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5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8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34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37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0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3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46.xml" ContentType="application/vnd.openxmlformats-officedocument.spreadsheetml.pivotTab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49.xml" ContentType="application/vnd.openxmlformats-officedocument.spreadsheetml.pivotTab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52.xml" ContentType="application/vnd.openxmlformats-officedocument.spreadsheetml.pivotTab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55.xml" ContentType="application/vnd.openxmlformats-officedocument.spreadsheetml.pivotTab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62.xml" ContentType="application/vnd.openxmlformats-officedocument.spreadsheetml.pivotTab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race\Downloads\"/>
    </mc:Choice>
  </mc:AlternateContent>
  <xr:revisionPtr revIDLastSave="0" documentId="13_ncr:1_{DA558A2E-58FC-4F98-BD4D-0CCE71CC2D8C}" xr6:coauthVersionLast="47" xr6:coauthVersionMax="47" xr10:uidLastSave="{00000000-0000-0000-0000-000000000000}"/>
  <bookViews>
    <workbookView xWindow="-108" yWindow="-108" windowWidth="23256" windowHeight="12456" tabRatio="648" firstSheet="63" activeTab="66" xr2:uid="{00000000-000D-0000-FFFF-FFFF00000000}"/>
  </bookViews>
  <sheets>
    <sheet name="April 25 (2)" sheetId="80" r:id="rId1"/>
    <sheet name="June" sheetId="1" r:id="rId2"/>
    <sheet name="July piv 2023" sheetId="3" r:id="rId3"/>
    <sheet name="July 2023" sheetId="2" r:id="rId4"/>
    <sheet name="Aug piv 2023" sheetId="5" r:id="rId5"/>
    <sheet name="August2023" sheetId="4" r:id="rId6"/>
    <sheet name="Sep 2023 piv" sheetId="7" r:id="rId7"/>
    <sheet name="Sep 2023 graph" sheetId="11" r:id="rId8"/>
    <sheet name="September 2023" sheetId="6" r:id="rId9"/>
    <sheet name="Oct2023Piv" sheetId="9" r:id="rId10"/>
    <sheet name="October 2023" sheetId="8" r:id="rId11"/>
    <sheet name="Oct 2023 Graph" sheetId="10" r:id="rId12"/>
    <sheet name="Nov 2023 Piv" sheetId="13" r:id="rId13"/>
    <sheet name="November 2023" sheetId="12" r:id="rId14"/>
    <sheet name="Nov 2023 Graph" sheetId="14" r:id="rId15"/>
    <sheet name="Dec 2023 Piv" sheetId="16" r:id="rId16"/>
    <sheet name="December 2023" sheetId="15" r:id="rId17"/>
    <sheet name="dec 2023 graph" sheetId="17" r:id="rId18"/>
    <sheet name="Jan Piv" sheetId="19" r:id="rId19"/>
    <sheet name="January 24" sheetId="18" r:id="rId20"/>
    <sheet name="Jan Graph" sheetId="20" r:id="rId21"/>
    <sheet name="Feb piv" sheetId="24" r:id="rId22"/>
    <sheet name="Feb 24" sheetId="23" r:id="rId23"/>
    <sheet name="Feb graph" sheetId="26" r:id="rId24"/>
    <sheet name="March piv" sheetId="28" r:id="rId25"/>
    <sheet name="March" sheetId="27" r:id="rId26"/>
    <sheet name="March graph" sheetId="29" r:id="rId27"/>
    <sheet name="April piv" sheetId="31" r:id="rId28"/>
    <sheet name="April" sheetId="30" r:id="rId29"/>
    <sheet name="April graph" sheetId="32" r:id="rId30"/>
    <sheet name="May Piv" sheetId="34" r:id="rId31"/>
    <sheet name="May" sheetId="33" r:id="rId32"/>
    <sheet name="May Graph" sheetId="35" r:id="rId33"/>
    <sheet name="June Piv" sheetId="37" r:id="rId34"/>
    <sheet name="June 24" sheetId="36" r:id="rId35"/>
    <sheet name="June Graph" sheetId="38" r:id="rId36"/>
    <sheet name="July piv" sheetId="40" r:id="rId37"/>
    <sheet name="July 24" sheetId="39" r:id="rId38"/>
    <sheet name="July 2024 graph" sheetId="41" r:id="rId39"/>
    <sheet name="Aug 24 piv" sheetId="43" r:id="rId40"/>
    <sheet name="August 24" sheetId="42" r:id="rId41"/>
    <sheet name="Aug 24 Graph" sheetId="44" r:id="rId42"/>
    <sheet name="Sep 24 piv" sheetId="46" r:id="rId43"/>
    <sheet name="Sep 24" sheetId="45" r:id="rId44"/>
    <sheet name="Sep 24 Graph" sheetId="47" r:id="rId45"/>
    <sheet name="Oct 24 Piv" sheetId="49" r:id="rId46"/>
    <sheet name="Oct 24" sheetId="48" r:id="rId47"/>
    <sheet name="Oct 24 Graph" sheetId="50" r:id="rId48"/>
    <sheet name="Nov 24 piv" sheetId="52" r:id="rId49"/>
    <sheet name="Nov 24" sheetId="51" r:id="rId50"/>
    <sheet name="Nov 24 Graph" sheetId="53" r:id="rId51"/>
    <sheet name="Dec 24 piv" sheetId="62" r:id="rId52"/>
    <sheet name="Dec 24" sheetId="60" r:id="rId53"/>
    <sheet name="Dec 24 Graph" sheetId="61" r:id="rId54"/>
    <sheet name="Jan 25 Piv" sheetId="65" r:id="rId55"/>
    <sheet name="Jan 25 " sheetId="63" r:id="rId56"/>
    <sheet name="Jan 25 Graph" sheetId="64" r:id="rId57"/>
    <sheet name="Feb 25 piv" sheetId="68" r:id="rId58"/>
    <sheet name="Feb 25 " sheetId="66" r:id="rId59"/>
    <sheet name="Feb 25 Graph" sheetId="67" r:id="rId60"/>
    <sheet name="March 25 Piv" sheetId="72" r:id="rId61"/>
    <sheet name="March 25" sheetId="69" r:id="rId62"/>
    <sheet name="March 25 graph" sheetId="70" r:id="rId63"/>
    <sheet name="April 25 piv" sheetId="74" r:id="rId64"/>
    <sheet name="April 25" sheetId="73" r:id="rId65"/>
    <sheet name="Sheet4" sheetId="82" r:id="rId66"/>
    <sheet name="April 25 copy" sheetId="81" r:id="rId67"/>
    <sheet name="April 25 Graph" sheetId="75" r:id="rId68"/>
    <sheet name="May 25 Piv" sheetId="78" r:id="rId69"/>
    <sheet name="May 25" sheetId="76" r:id="rId70"/>
    <sheet name="May 25 Graph" sheetId="77" r:id="rId71"/>
  </sheets>
  <definedNames>
    <definedName name="_xlnm._FilterDatabase" localSheetId="28" hidden="1">April!$A$1:$I$91</definedName>
    <definedName name="_xlnm._FilterDatabase" localSheetId="64" hidden="1">'April 25'!$A$1:$AP$206</definedName>
    <definedName name="_xlnm._FilterDatabase" localSheetId="0" hidden="1">'April 25 (2)'!$A$1:$AP$206</definedName>
    <definedName name="_xlnm._FilterDatabase" localSheetId="66" hidden="1">'April 25 copy'!$A$1:$AP$206</definedName>
    <definedName name="_xlnm._FilterDatabase" localSheetId="40" hidden="1">'August 24'!$A$1:$I$114</definedName>
    <definedName name="_xlnm._FilterDatabase" localSheetId="5" hidden="1">August2023!$A$1:$AN$61</definedName>
    <definedName name="_xlnm._FilterDatabase" localSheetId="52" hidden="1">'Dec 24'!$A$1:$AQ$152</definedName>
    <definedName name="_xlnm._FilterDatabase" localSheetId="16" hidden="1">'December 2023'!$A$1:$H$60</definedName>
    <definedName name="_xlnm._FilterDatabase" localSheetId="22" hidden="1">'Feb 24'!$A$1:$I$70</definedName>
    <definedName name="_xlnm._FilterDatabase" localSheetId="58" hidden="1">'Feb 25 '!$A$1:$AN$170</definedName>
    <definedName name="_xlnm._FilterDatabase" localSheetId="55" hidden="1">'Jan 25 '!$A$1:$AS$160</definedName>
    <definedName name="_xlnm._FilterDatabase" localSheetId="19" hidden="1">'January 24'!$A$1:$I$63</definedName>
    <definedName name="_xlnm._FilterDatabase" localSheetId="3" hidden="1">'July 2023'!$A$1:$H$45</definedName>
    <definedName name="_xlnm._FilterDatabase" localSheetId="37" hidden="1">'July 24'!$A$1:$I$103</definedName>
    <definedName name="_xlnm._FilterDatabase" localSheetId="1" hidden="1">June!$A$1:$H$48</definedName>
    <definedName name="_xlnm._FilterDatabase" localSheetId="34" hidden="1">'June 24'!$A$1:$I$99</definedName>
    <definedName name="_xlnm._FilterDatabase" localSheetId="25" hidden="1">March!$A$1:$I$80</definedName>
    <definedName name="_xlnm._FilterDatabase" localSheetId="61" hidden="1">'March 25'!$A$1:$AQ$185</definedName>
    <definedName name="_xlnm._FilterDatabase" localSheetId="31" hidden="1">May!$A$1:$I$94</definedName>
    <definedName name="_xlnm._FilterDatabase" localSheetId="69" hidden="1">'May 25'!$A$1:$AR$215</definedName>
    <definedName name="_xlnm._FilterDatabase" localSheetId="49" hidden="1">'Nov 24'!$A$1:$I$141</definedName>
    <definedName name="_xlnm._FilterDatabase" localSheetId="13" hidden="1">'November 2023'!$A$1:$AM$60</definedName>
    <definedName name="_xlnm._FilterDatabase" localSheetId="46" hidden="1">'Oct 24'!$A$1:$I$129</definedName>
    <definedName name="_xlnm._FilterDatabase" localSheetId="10" hidden="1">'October 2023'!$A$1:$AN$64</definedName>
    <definedName name="_xlnm._FilterDatabase" localSheetId="43" hidden="1">'Sep 24'!$A$1:$I$118</definedName>
    <definedName name="_xlnm._FilterDatabase" localSheetId="8" hidden="1">'September 2023'!$A$1:$AM$61</definedName>
    <definedName name="_xlnm.Print_Area" localSheetId="28">April!$A$1:$AP$94</definedName>
    <definedName name="_xlnm.Print_Area" localSheetId="64">'April 25'!$A$1:$AP$206</definedName>
    <definedName name="_xlnm.Print_Area" localSheetId="0">'April 25 (2)'!$A$1:$AP$206</definedName>
    <definedName name="_xlnm.Print_Area" localSheetId="66">'April 25 copy'!$A$1:$AP$206</definedName>
    <definedName name="_xlnm.Print_Area" localSheetId="40">'August 24'!$A$1:$AP$117</definedName>
    <definedName name="_xlnm.Print_Area" localSheetId="52">'Dec 24'!$A$1:$AQ$152</definedName>
    <definedName name="_xlnm.Print_Area" localSheetId="16">'December 2023'!$A$1:$AP$63</definedName>
    <definedName name="_xlnm.Print_Area" localSheetId="22">'Feb 24'!$A$1:$AN$73</definedName>
    <definedName name="_xlnm.Print_Area" localSheetId="58">'Feb 25 '!$A$1:$AN$170</definedName>
    <definedName name="_xlnm.Print_Area" localSheetId="55">'Jan 25 '!$A$1:$AS$160</definedName>
    <definedName name="_xlnm.Print_Area" localSheetId="19">'January 24'!$A$1:$AR$66</definedName>
    <definedName name="_xlnm.Print_Area" localSheetId="37">'July 24'!$A$1:$AP$106</definedName>
    <definedName name="_xlnm.Print_Area" localSheetId="34">'June 24'!$A$1:$AQ$102</definedName>
    <definedName name="_xlnm.Print_Area" localSheetId="25">March!$A$1:$AP$83</definedName>
    <definedName name="_xlnm.Print_Area" localSheetId="61">'March 25'!$A$1:$AQ$185</definedName>
    <definedName name="_xlnm.Print_Area" localSheetId="31">May!$A$1:$AR$97</definedName>
    <definedName name="_xlnm.Print_Area" localSheetId="69">'May 25'!$A$1:$AR$215</definedName>
    <definedName name="_xlnm.Print_Area" localSheetId="49">'Nov 24'!$A$1:$AO$141</definedName>
    <definedName name="_xlnm.Print_Area" localSheetId="46">'Oct 24'!$A$1:$AP$132</definedName>
    <definedName name="_xlnm.Print_Area" localSheetId="43">'Sep 24'!$A$1:$AO$121</definedName>
    <definedName name="solver_eng" localSheetId="66" hidden="1">1</definedName>
    <definedName name="solver_neg" localSheetId="66" hidden="1">1</definedName>
    <definedName name="solver_num" localSheetId="66" hidden="1">0</definedName>
    <definedName name="solver_opt" localSheetId="66" hidden="1">'April 25 copy'!$D$7</definedName>
    <definedName name="solver_typ" localSheetId="66" hidden="1">1</definedName>
    <definedName name="solver_val" localSheetId="66" hidden="1">0</definedName>
    <definedName name="solver_ver" localSheetId="66" hidden="1">3</definedName>
  </definedNames>
  <calcPr calcId="191029"/>
  <pivotCaches>
    <pivotCache cacheId="30" r:id="rId72"/>
    <pivotCache cacheId="33" r:id="rId73"/>
    <pivotCache cacheId="34" r:id="rId74"/>
    <pivotCache cacheId="35" r:id="rId75"/>
    <pivotCache cacheId="43" r:id="rId76"/>
    <pivotCache cacheId="55" r:id="rId77"/>
    <pivotCache cacheId="61" r:id="rId78"/>
    <pivotCache cacheId="67" r:id="rId79"/>
    <pivotCache cacheId="73" r:id="rId80"/>
    <pivotCache cacheId="79" r:id="rId81"/>
    <pivotCache cacheId="86" r:id="rId82"/>
    <pivotCache cacheId="92" r:id="rId83"/>
    <pivotCache cacheId="98" r:id="rId84"/>
    <pivotCache cacheId="104" r:id="rId85"/>
    <pivotCache cacheId="110" r:id="rId86"/>
    <pivotCache cacheId="116" r:id="rId87"/>
    <pivotCache cacheId="120" r:id="rId88"/>
    <pivotCache cacheId="129" r:id="rId89"/>
    <pivotCache cacheId="135" r:id="rId90"/>
    <pivotCache cacheId="141" r:id="rId91"/>
    <pivotCache cacheId="146" r:id="rId92"/>
    <pivotCache cacheId="151" r:id="rId93"/>
    <pivotCache cacheId="156" r:id="rId94"/>
    <pivotCache cacheId="161" r:id="rId95"/>
    <pivotCache cacheId="166" r:id="rId9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06" i="81" l="1"/>
  <c r="AQ196" i="81"/>
  <c r="AQ15" i="81"/>
  <c r="AQ5" i="81"/>
  <c r="AQ3" i="81"/>
  <c r="AQ4" i="81"/>
  <c r="AQ6" i="81"/>
  <c r="AQ7" i="81"/>
  <c r="AQ8" i="81"/>
  <c r="AQ9" i="81"/>
  <c r="AQ10" i="81"/>
  <c r="AQ11" i="81"/>
  <c r="AQ12" i="81"/>
  <c r="AQ13" i="81"/>
  <c r="AQ14" i="81"/>
  <c r="AQ16" i="81"/>
  <c r="AQ17" i="81"/>
  <c r="AQ18" i="81"/>
  <c r="AQ19" i="81"/>
  <c r="AQ20" i="81"/>
  <c r="AQ21" i="81"/>
  <c r="AQ22" i="81"/>
  <c r="AQ23" i="81"/>
  <c r="AQ24" i="81"/>
  <c r="AQ25" i="81"/>
  <c r="AQ26" i="81"/>
  <c r="AQ27" i="81"/>
  <c r="AQ28" i="81"/>
  <c r="AQ29" i="81"/>
  <c r="AQ30" i="81"/>
  <c r="AQ31" i="81"/>
  <c r="AQ32" i="81"/>
  <c r="AQ33" i="81"/>
  <c r="AQ34" i="81"/>
  <c r="AQ35" i="81"/>
  <c r="AQ36" i="81"/>
  <c r="AQ37" i="81"/>
  <c r="AQ38" i="81"/>
  <c r="AQ39" i="81"/>
  <c r="AQ40" i="81"/>
  <c r="AQ41" i="81"/>
  <c r="AQ42" i="81"/>
  <c r="AQ43" i="81"/>
  <c r="AQ44" i="81"/>
  <c r="AQ45" i="81"/>
  <c r="AQ46" i="81"/>
  <c r="AQ47" i="81"/>
  <c r="AQ48" i="81"/>
  <c r="AQ49" i="81"/>
  <c r="AQ50" i="81"/>
  <c r="AQ51" i="81"/>
  <c r="AQ52" i="81"/>
  <c r="AQ53" i="81"/>
  <c r="AQ54" i="81"/>
  <c r="AQ55" i="81"/>
  <c r="AQ56" i="81"/>
  <c r="AQ57" i="81"/>
  <c r="AQ58" i="81"/>
  <c r="AQ59" i="81"/>
  <c r="AQ60" i="81"/>
  <c r="AQ61" i="81"/>
  <c r="AQ62" i="81"/>
  <c r="AQ63" i="81"/>
  <c r="AQ64" i="81"/>
  <c r="AQ65" i="81"/>
  <c r="AQ66" i="81"/>
  <c r="AQ67" i="81"/>
  <c r="AQ68" i="81"/>
  <c r="AQ69" i="81"/>
  <c r="AQ70" i="81"/>
  <c r="AQ71" i="81"/>
  <c r="AQ72" i="81"/>
  <c r="AQ73" i="81"/>
  <c r="AQ74" i="81"/>
  <c r="AQ75" i="81"/>
  <c r="AQ76" i="81"/>
  <c r="AQ77" i="81"/>
  <c r="AQ78" i="81"/>
  <c r="AQ79" i="81"/>
  <c r="AQ80" i="81"/>
  <c r="AQ81" i="81"/>
  <c r="AQ82" i="81"/>
  <c r="AQ83" i="81"/>
  <c r="AQ84" i="81"/>
  <c r="AQ85" i="81"/>
  <c r="AQ86" i="81"/>
  <c r="AQ87" i="81"/>
  <c r="AQ88" i="81"/>
  <c r="AQ89" i="81"/>
  <c r="AQ90" i="81"/>
  <c r="AQ91" i="81"/>
  <c r="AQ92" i="81"/>
  <c r="AQ93" i="81"/>
  <c r="AQ94" i="81"/>
  <c r="AQ95" i="81"/>
  <c r="AQ96" i="81"/>
  <c r="AQ97" i="81"/>
  <c r="AQ98" i="81"/>
  <c r="AQ99" i="81"/>
  <c r="AQ100" i="81"/>
  <c r="AQ101" i="81"/>
  <c r="AQ102" i="81"/>
  <c r="AQ103" i="81"/>
  <c r="AQ104" i="81"/>
  <c r="AQ105" i="81"/>
  <c r="AQ106" i="81"/>
  <c r="AQ107" i="81"/>
  <c r="AQ108" i="81"/>
  <c r="AQ109" i="81"/>
  <c r="AQ110" i="81"/>
  <c r="AQ111" i="81"/>
  <c r="AQ112" i="81"/>
  <c r="AQ113" i="81"/>
  <c r="AQ114" i="81"/>
  <c r="AQ115" i="81"/>
  <c r="AQ116" i="81"/>
  <c r="AQ117" i="81"/>
  <c r="AQ118" i="81"/>
  <c r="AQ119" i="81"/>
  <c r="AQ120" i="81"/>
  <c r="AQ121" i="81"/>
  <c r="AQ122" i="81"/>
  <c r="AQ123" i="81"/>
  <c r="AQ124" i="81"/>
  <c r="AQ125" i="81"/>
  <c r="AQ126" i="81"/>
  <c r="AQ127" i="81"/>
  <c r="AQ128" i="81"/>
  <c r="AQ129" i="81"/>
  <c r="AQ130" i="81"/>
  <c r="AQ131" i="81"/>
  <c r="AQ132" i="81"/>
  <c r="AQ133" i="81"/>
  <c r="AQ134" i="81"/>
  <c r="AQ135" i="81"/>
  <c r="AQ136" i="81"/>
  <c r="AQ137" i="81"/>
  <c r="AQ138" i="81"/>
  <c r="AQ139" i="81"/>
  <c r="AQ140" i="81"/>
  <c r="AQ141" i="81"/>
  <c r="AQ142" i="81"/>
  <c r="AQ143" i="81"/>
  <c r="AQ144" i="81"/>
  <c r="AQ145" i="81"/>
  <c r="AQ146" i="81"/>
  <c r="AQ147" i="81"/>
  <c r="AQ148" i="81"/>
  <c r="AQ149" i="81"/>
  <c r="AQ150" i="81"/>
  <c r="AQ151" i="81"/>
  <c r="AQ152" i="81"/>
  <c r="AQ153" i="81"/>
  <c r="AQ154" i="81"/>
  <c r="AQ155" i="81"/>
  <c r="AQ156" i="81"/>
  <c r="AQ157" i="81"/>
  <c r="AQ158" i="81"/>
  <c r="AQ159" i="81"/>
  <c r="AQ160" i="81"/>
  <c r="AQ161" i="81"/>
  <c r="AQ162" i="81"/>
  <c r="AQ163" i="81"/>
  <c r="AQ164" i="81"/>
  <c r="AQ165" i="81"/>
  <c r="AQ166" i="81"/>
  <c r="AQ167" i="81"/>
  <c r="AQ168" i="81"/>
  <c r="AQ169" i="81"/>
  <c r="AQ170" i="81"/>
  <c r="AQ171" i="81"/>
  <c r="AQ172" i="81"/>
  <c r="AQ173" i="81"/>
  <c r="AQ174" i="81"/>
  <c r="AQ175" i="81"/>
  <c r="AQ176" i="81"/>
  <c r="AQ177" i="81"/>
  <c r="AQ178" i="81"/>
  <c r="AQ179" i="81"/>
  <c r="AQ180" i="81"/>
  <c r="AQ181" i="81"/>
  <c r="AQ182" i="81"/>
  <c r="AQ183" i="81"/>
  <c r="AQ184" i="81"/>
  <c r="AQ185" i="81"/>
  <c r="AQ186" i="81"/>
  <c r="AQ187" i="81"/>
  <c r="AQ188" i="81"/>
  <c r="AQ189" i="81"/>
  <c r="AQ190" i="81"/>
  <c r="AQ191" i="81"/>
  <c r="AQ192" i="81"/>
  <c r="AQ193" i="81"/>
  <c r="AQ194" i="81"/>
  <c r="AQ195" i="81"/>
  <c r="AQ197" i="81"/>
  <c r="AQ198" i="81"/>
  <c r="AQ199" i="81"/>
  <c r="AQ200" i="81"/>
  <c r="AQ201" i="81"/>
  <c r="AQ202" i="81"/>
  <c r="AQ203" i="81"/>
  <c r="AQ204" i="81"/>
  <c r="AQ205" i="81"/>
  <c r="AQ2" i="81"/>
  <c r="AO2" i="81"/>
  <c r="AN206" i="81" l="1"/>
  <c r="AM206" i="81"/>
  <c r="AL206" i="81"/>
  <c r="AK206" i="81"/>
  <c r="AJ206" i="81"/>
  <c r="AI206" i="81"/>
  <c r="AH206" i="81"/>
  <c r="AG206" i="81"/>
  <c r="AF206" i="81"/>
  <c r="AE206" i="81"/>
  <c r="AD206" i="81"/>
  <c r="AC206" i="81"/>
  <c r="AB206" i="81"/>
  <c r="AA206" i="81"/>
  <c r="Z206" i="81"/>
  <c r="Y206" i="81"/>
  <c r="X206" i="81"/>
  <c r="W206" i="81"/>
  <c r="V206" i="81"/>
  <c r="U206" i="81"/>
  <c r="T206" i="81"/>
  <c r="S206" i="81"/>
  <c r="R206" i="81"/>
  <c r="Q206" i="81"/>
  <c r="P206" i="81"/>
  <c r="O206" i="81"/>
  <c r="N206" i="81"/>
  <c r="M206" i="81"/>
  <c r="L206" i="81"/>
  <c r="K206" i="81"/>
  <c r="I206" i="81"/>
  <c r="AO187" i="81"/>
  <c r="AP187" i="81" s="1"/>
  <c r="AO170" i="81"/>
  <c r="AP170" i="81" s="1"/>
  <c r="AO144" i="81"/>
  <c r="AP144" i="81" s="1"/>
  <c r="AO131" i="81"/>
  <c r="AP131" i="81" s="1"/>
  <c r="AO204" i="81"/>
  <c r="AP204" i="81" s="1"/>
  <c r="AO205" i="81"/>
  <c r="AP205" i="81" s="1"/>
  <c r="AO100" i="81"/>
  <c r="AP100" i="81" s="1"/>
  <c r="AO99" i="81"/>
  <c r="AP99" i="81" s="1"/>
  <c r="AO98" i="81"/>
  <c r="AP98" i="81" s="1"/>
  <c r="AO97" i="81"/>
  <c r="AP97" i="81" s="1"/>
  <c r="AO96" i="81"/>
  <c r="AP96" i="81" s="1"/>
  <c r="AO95" i="81"/>
  <c r="AP95" i="81" s="1"/>
  <c r="AO94" i="81"/>
  <c r="AP94" i="81" s="1"/>
  <c r="AO93" i="81"/>
  <c r="AP93" i="81" s="1"/>
  <c r="AO92" i="81"/>
  <c r="AP92" i="81" s="1"/>
  <c r="AO91" i="81"/>
  <c r="AP91" i="81" s="1"/>
  <c r="AO90" i="81"/>
  <c r="AP90" i="81" s="1"/>
  <c r="AO89" i="81"/>
  <c r="AP89" i="81" s="1"/>
  <c r="AO88" i="81"/>
  <c r="AP88" i="81" s="1"/>
  <c r="AO87" i="81"/>
  <c r="AP87" i="81" s="1"/>
  <c r="AO86" i="81"/>
  <c r="AP86" i="81" s="1"/>
  <c r="AO85" i="81"/>
  <c r="AP85" i="81" s="1"/>
  <c r="AO84" i="81"/>
  <c r="AP84" i="81" s="1"/>
  <c r="AO83" i="81"/>
  <c r="AP83" i="81" s="1"/>
  <c r="AO130" i="81"/>
  <c r="AP130" i="81" s="1"/>
  <c r="AO129" i="81"/>
  <c r="AP129" i="81" s="1"/>
  <c r="AO195" i="81"/>
  <c r="AP195" i="81" s="1"/>
  <c r="AO128" i="81"/>
  <c r="AP128" i="81" s="1"/>
  <c r="AO82" i="81"/>
  <c r="AP82" i="81" s="1"/>
  <c r="AO127" i="81"/>
  <c r="AP127" i="81" s="1"/>
  <c r="AO81" i="81"/>
  <c r="AP81" i="81" s="1"/>
  <c r="AO126" i="81"/>
  <c r="AP126" i="81" s="1"/>
  <c r="AO125" i="81"/>
  <c r="AP125" i="81" s="1"/>
  <c r="AO80" i="81"/>
  <c r="AP80" i="81" s="1"/>
  <c r="AO194" i="81"/>
  <c r="AP194" i="81" s="1"/>
  <c r="AO150" i="81"/>
  <c r="AP150" i="81" s="1"/>
  <c r="AO143" i="81"/>
  <c r="AP143" i="81" s="1"/>
  <c r="AO142" i="81"/>
  <c r="AP142" i="81" s="1"/>
  <c r="AO141" i="81"/>
  <c r="AP141" i="81" s="1"/>
  <c r="AO140" i="81"/>
  <c r="AP140" i="81" s="1"/>
  <c r="AO79" i="81"/>
  <c r="AP79" i="81" s="1"/>
  <c r="AO139" i="81"/>
  <c r="AP139" i="81" s="1"/>
  <c r="AO138" i="81"/>
  <c r="AP138" i="81" s="1"/>
  <c r="AO124" i="81"/>
  <c r="AP124" i="81" s="1"/>
  <c r="AO123" i="81"/>
  <c r="AP123" i="81" s="1"/>
  <c r="AO149" i="81"/>
  <c r="AP149" i="81" s="1"/>
  <c r="AO78" i="81"/>
  <c r="AP78" i="81" s="1"/>
  <c r="AO193" i="81"/>
  <c r="AP193" i="81" s="1"/>
  <c r="AO157" i="81"/>
  <c r="AP157" i="81" s="1"/>
  <c r="AO77" i="81"/>
  <c r="AP77" i="81" s="1"/>
  <c r="AO76" i="81"/>
  <c r="AP76" i="81" s="1"/>
  <c r="AO201" i="81"/>
  <c r="AP201" i="81" s="1"/>
  <c r="AO164" i="81"/>
  <c r="AP164" i="81" s="1"/>
  <c r="AO122" i="81"/>
  <c r="AP122" i="81" s="1"/>
  <c r="AO121" i="81"/>
  <c r="AP121" i="81" s="1"/>
  <c r="AO75" i="81"/>
  <c r="AP75" i="81" s="1"/>
  <c r="AO74" i="81"/>
  <c r="AP74" i="81" s="1"/>
  <c r="AO120" i="81"/>
  <c r="AP120" i="81" s="1"/>
  <c r="AO200" i="81"/>
  <c r="AP200" i="81" s="1"/>
  <c r="AO192" i="81"/>
  <c r="AP192" i="81" s="1"/>
  <c r="AO189" i="81"/>
  <c r="AP189" i="81" s="1"/>
  <c r="AO185" i="81"/>
  <c r="AP185" i="81" s="1"/>
  <c r="AO196" i="81"/>
  <c r="AP196" i="81" s="1"/>
  <c r="AO156" i="81"/>
  <c r="AP156" i="81" s="1"/>
  <c r="AO73" i="81"/>
  <c r="AP73" i="81" s="1"/>
  <c r="AO191" i="81"/>
  <c r="AP191" i="81" s="1"/>
  <c r="AO72" i="81"/>
  <c r="AP72" i="81" s="1"/>
  <c r="AO71" i="81"/>
  <c r="AP71" i="81" s="1"/>
  <c r="AO70" i="81"/>
  <c r="AP70" i="81" s="1"/>
  <c r="AO163" i="81"/>
  <c r="AP163" i="81" s="1"/>
  <c r="AO119" i="81"/>
  <c r="AP119" i="81" s="1"/>
  <c r="AO198" i="81"/>
  <c r="AP198" i="81" s="1"/>
  <c r="AO69" i="81"/>
  <c r="AP69" i="81" s="1"/>
  <c r="AO68" i="81"/>
  <c r="AP68" i="81" s="1"/>
  <c r="AO203" i="81"/>
  <c r="AP203" i="81" s="1"/>
  <c r="AO67" i="81"/>
  <c r="AP67" i="81" s="1"/>
  <c r="AO66" i="81"/>
  <c r="AP66" i="81" s="1"/>
  <c r="AO65" i="81"/>
  <c r="AP65" i="81" s="1"/>
  <c r="AO64" i="81"/>
  <c r="AP64" i="81" s="1"/>
  <c r="AO63" i="81"/>
  <c r="AP63" i="81" s="1"/>
  <c r="AO62" i="81"/>
  <c r="AP62" i="81" s="1"/>
  <c r="AO61" i="81"/>
  <c r="AP61" i="81" s="1"/>
  <c r="AO60" i="81"/>
  <c r="AP60" i="81" s="1"/>
  <c r="AO118" i="81"/>
  <c r="AP118" i="81" s="1"/>
  <c r="AO59" i="81"/>
  <c r="AP59" i="81" s="1"/>
  <c r="AO58" i="81"/>
  <c r="AP58" i="81" s="1"/>
  <c r="AO57" i="81"/>
  <c r="AP57" i="81" s="1"/>
  <c r="AO56" i="81"/>
  <c r="AP56" i="81" s="1"/>
  <c r="AO55" i="81"/>
  <c r="AP55" i="81" s="1"/>
  <c r="AO54" i="81"/>
  <c r="AP54" i="81" s="1"/>
  <c r="AO137" i="81"/>
  <c r="AP137" i="81" s="1"/>
  <c r="AO199" i="81"/>
  <c r="AP199" i="81" s="1"/>
  <c r="AO53" i="81"/>
  <c r="AP53" i="81" s="1"/>
  <c r="AO52" i="81"/>
  <c r="AP52" i="81" s="1"/>
  <c r="AO117" i="81"/>
  <c r="AP117" i="81" s="1"/>
  <c r="AO51" i="81"/>
  <c r="AP51" i="81" s="1"/>
  <c r="AO50" i="81"/>
  <c r="AP50" i="81" s="1"/>
  <c r="AO49" i="81"/>
  <c r="AP49" i="81" s="1"/>
  <c r="AO48" i="81"/>
  <c r="AP48" i="81" s="1"/>
  <c r="AO190" i="81"/>
  <c r="AP190" i="81" s="1"/>
  <c r="AO47" i="81"/>
  <c r="AP47" i="81" s="1"/>
  <c r="AO116" i="81"/>
  <c r="AP116" i="81" s="1"/>
  <c r="AO46" i="81"/>
  <c r="AP46" i="81" s="1"/>
  <c r="AO115" i="81"/>
  <c r="AP115" i="81" s="1"/>
  <c r="AO162" i="81"/>
  <c r="AP162" i="81" s="1"/>
  <c r="AO176" i="81"/>
  <c r="AP176" i="81" s="1"/>
  <c r="AO184" i="81"/>
  <c r="AP184" i="81" s="1"/>
  <c r="AO169" i="81"/>
  <c r="AP169" i="81" s="1"/>
  <c r="AO45" i="81"/>
  <c r="AP45" i="81" s="1"/>
  <c r="AO175" i="81"/>
  <c r="AP175" i="81" s="1"/>
  <c r="AO180" i="81"/>
  <c r="AP180" i="81" s="1"/>
  <c r="AO148" i="81"/>
  <c r="AP148" i="81" s="1"/>
  <c r="AO155" i="81"/>
  <c r="AP155" i="81" s="1"/>
  <c r="AO44" i="81"/>
  <c r="AP44" i="81" s="1"/>
  <c r="AO43" i="81"/>
  <c r="AP43" i="81" s="1"/>
  <c r="AO42" i="81"/>
  <c r="AP42" i="81" s="1"/>
  <c r="AO168" i="81"/>
  <c r="AP168" i="81" s="1"/>
  <c r="AO41" i="81"/>
  <c r="AP41" i="81" s="1"/>
  <c r="AO136" i="81"/>
  <c r="AP136" i="81" s="1"/>
  <c r="AO167" i="81"/>
  <c r="AP167" i="81" s="1"/>
  <c r="AO135" i="81"/>
  <c r="AP135" i="81" s="1"/>
  <c r="AO183" i="81"/>
  <c r="AP183" i="81" s="1"/>
  <c r="AO154" i="81"/>
  <c r="AP154" i="81" s="1"/>
  <c r="AO40" i="81"/>
  <c r="AP40" i="81" s="1"/>
  <c r="AO114" i="81"/>
  <c r="AP114" i="81" s="1"/>
  <c r="AO147" i="81"/>
  <c r="AP147" i="81" s="1"/>
  <c r="AO39" i="81"/>
  <c r="AP39" i="81" s="1"/>
  <c r="AO38" i="81"/>
  <c r="AP38" i="81" s="1"/>
  <c r="AO37" i="81"/>
  <c r="AP37" i="81" s="1"/>
  <c r="AO36" i="81"/>
  <c r="AP36" i="81" s="1"/>
  <c r="AO35" i="81"/>
  <c r="AP35" i="81" s="1"/>
  <c r="AO113" i="81"/>
  <c r="AP113" i="81" s="1"/>
  <c r="AO146" i="81"/>
  <c r="AP146" i="81" s="1"/>
  <c r="AO34" i="81"/>
  <c r="AP34" i="81" s="1"/>
  <c r="AO153" i="81"/>
  <c r="AP153" i="81" s="1"/>
  <c r="AO112" i="81"/>
  <c r="AP112" i="81" s="1"/>
  <c r="AO111" i="81"/>
  <c r="AP111" i="81" s="1"/>
  <c r="AO110" i="81"/>
  <c r="AP110" i="81" s="1"/>
  <c r="AO33" i="81"/>
  <c r="AP33" i="81" s="1"/>
  <c r="AO32" i="81"/>
  <c r="AP32" i="81" s="1"/>
  <c r="AO161" i="81"/>
  <c r="AP161" i="81" s="1"/>
  <c r="AO182" i="81"/>
  <c r="AP182" i="81" s="1"/>
  <c r="AO174" i="81"/>
  <c r="AP174" i="81" s="1"/>
  <c r="AO31" i="81"/>
  <c r="AP31" i="81" s="1"/>
  <c r="AO109" i="81"/>
  <c r="AP109" i="81" s="1"/>
  <c r="AO30" i="81"/>
  <c r="AP30" i="81" s="1"/>
  <c r="AO181" i="81"/>
  <c r="AP181" i="81" s="1"/>
  <c r="AO29" i="81"/>
  <c r="AP29" i="81" s="1"/>
  <c r="AO28" i="81"/>
  <c r="AP28" i="81" s="1"/>
  <c r="AO27" i="81"/>
  <c r="AP27" i="81" s="1"/>
  <c r="AO179" i="81"/>
  <c r="AP179" i="81" s="1"/>
  <c r="AO26" i="81"/>
  <c r="AP26" i="81" s="1"/>
  <c r="AO25" i="81"/>
  <c r="AP25" i="81" s="1"/>
  <c r="AO24" i="81"/>
  <c r="AP24" i="81" s="1"/>
  <c r="AO108" i="81"/>
  <c r="AP108" i="81" s="1"/>
  <c r="AO107" i="81"/>
  <c r="AP107" i="81" s="1"/>
  <c r="AO152" i="81"/>
  <c r="AP152" i="81" s="1"/>
  <c r="AO106" i="81"/>
  <c r="AP106" i="81" s="1"/>
  <c r="AO23" i="81"/>
  <c r="AP23" i="81" s="1"/>
  <c r="AO22" i="81"/>
  <c r="AP22" i="81" s="1"/>
  <c r="AO21" i="81"/>
  <c r="AP21" i="81" s="1"/>
  <c r="AO20" i="81"/>
  <c r="AP20" i="81" s="1"/>
  <c r="AO151" i="81"/>
  <c r="AP151" i="81" s="1"/>
  <c r="AO19" i="81"/>
  <c r="AP19" i="81" s="1"/>
  <c r="AO188" i="81"/>
  <c r="AP188" i="81" s="1"/>
  <c r="AO160" i="81"/>
  <c r="AP160" i="81" s="1"/>
  <c r="AO18" i="81"/>
  <c r="AP18" i="81" s="1"/>
  <c r="AO17" i="81"/>
  <c r="AP17" i="81" s="1"/>
  <c r="AO186" i="81"/>
  <c r="AP186" i="81" s="1"/>
  <c r="AO105" i="81"/>
  <c r="AP105" i="81" s="1"/>
  <c r="AO104" i="81"/>
  <c r="AP104" i="81" s="1"/>
  <c r="AO173" i="81"/>
  <c r="AP173" i="81" s="1"/>
  <c r="AO16" i="81"/>
  <c r="AP16" i="81" s="1"/>
  <c r="AO178" i="81"/>
  <c r="AP178" i="81" s="1"/>
  <c r="AO15" i="81"/>
  <c r="AP15" i="81" s="1"/>
  <c r="AO14" i="81"/>
  <c r="AP14" i="81" s="1"/>
  <c r="AO134" i="81"/>
  <c r="AP134" i="81" s="1"/>
  <c r="AO13" i="81"/>
  <c r="AP13" i="81" s="1"/>
  <c r="AO12" i="81"/>
  <c r="AP12" i="81" s="1"/>
  <c r="AO166" i="81"/>
  <c r="AP166" i="81" s="1"/>
  <c r="AO11" i="81"/>
  <c r="AP11" i="81" s="1"/>
  <c r="AO10" i="81"/>
  <c r="AP10" i="81" s="1"/>
  <c r="AO9" i="81"/>
  <c r="AP9" i="81" s="1"/>
  <c r="AO8" i="81"/>
  <c r="AP8" i="81" s="1"/>
  <c r="AO7" i="81"/>
  <c r="AP7" i="81" s="1"/>
  <c r="AO6" i="81"/>
  <c r="AP6" i="81" s="1"/>
  <c r="AO172" i="81"/>
  <c r="AP172" i="81" s="1"/>
  <c r="AO103" i="81"/>
  <c r="AP103" i="81" s="1"/>
  <c r="AO5" i="81"/>
  <c r="AP5" i="81" s="1"/>
  <c r="AO197" i="81"/>
  <c r="AP197" i="81" s="1"/>
  <c r="AO145" i="81"/>
  <c r="AP145" i="81" s="1"/>
  <c r="AO4" i="81"/>
  <c r="AP4" i="81" s="1"/>
  <c r="AO165" i="81"/>
  <c r="AP165" i="81" s="1"/>
  <c r="AO3" i="81"/>
  <c r="AP3" i="81" s="1"/>
  <c r="AO102" i="81"/>
  <c r="AP102" i="81" s="1"/>
  <c r="AO101" i="81"/>
  <c r="AP101" i="81" s="1"/>
  <c r="AP2" i="81"/>
  <c r="AO133" i="81"/>
  <c r="AP133" i="81" s="1"/>
  <c r="AO159" i="81"/>
  <c r="AP159" i="81" s="1"/>
  <c r="AO171" i="81"/>
  <c r="AP171" i="81" s="1"/>
  <c r="AO202" i="81"/>
  <c r="AP202" i="81" s="1"/>
  <c r="AO132" i="81"/>
  <c r="AP132" i="81" s="1"/>
  <c r="AO177" i="81"/>
  <c r="AP177" i="81" s="1"/>
  <c r="AO158" i="81"/>
  <c r="AP158" i="81" s="1"/>
  <c r="AN206" i="80"/>
  <c r="AM206" i="80"/>
  <c r="AL206" i="80"/>
  <c r="AK206" i="80"/>
  <c r="AJ206" i="80"/>
  <c r="AI206" i="80"/>
  <c r="AH206" i="80"/>
  <c r="AG206" i="80"/>
  <c r="AF206" i="80"/>
  <c r="AE206" i="80"/>
  <c r="AD206" i="80"/>
  <c r="AC206" i="80"/>
  <c r="AB206" i="80"/>
  <c r="AA206" i="80"/>
  <c r="Z206" i="80"/>
  <c r="Y206" i="80"/>
  <c r="X206" i="80"/>
  <c r="W206" i="80"/>
  <c r="V206" i="80"/>
  <c r="U206" i="80"/>
  <c r="T206" i="80"/>
  <c r="S206" i="80"/>
  <c r="R206" i="80"/>
  <c r="Q206" i="80"/>
  <c r="P206" i="80"/>
  <c r="O206" i="80"/>
  <c r="N206" i="80"/>
  <c r="M206" i="80"/>
  <c r="L206" i="80"/>
  <c r="K206" i="80"/>
  <c r="AO206" i="80" s="1"/>
  <c r="AP206" i="80" s="1"/>
  <c r="I206" i="80"/>
  <c r="AO205" i="80"/>
  <c r="AP205" i="80" s="1"/>
  <c r="AP204" i="80"/>
  <c r="AO204" i="80"/>
  <c r="AO203" i="80"/>
  <c r="AP203" i="80" s="1"/>
  <c r="AP202" i="80"/>
  <c r="AO202" i="80"/>
  <c r="AO201" i="80"/>
  <c r="AP201" i="80" s="1"/>
  <c r="AP200" i="80"/>
  <c r="AO200" i="80"/>
  <c r="AO199" i="80"/>
  <c r="AP199" i="80" s="1"/>
  <c r="AP198" i="80"/>
  <c r="AO198" i="80"/>
  <c r="AO197" i="80"/>
  <c r="AP197" i="80" s="1"/>
  <c r="AP196" i="80"/>
  <c r="AO196" i="80"/>
  <c r="AO195" i="80"/>
  <c r="AP195" i="80" s="1"/>
  <c r="AP194" i="80"/>
  <c r="AO194" i="80"/>
  <c r="AO193" i="80"/>
  <c r="AP193" i="80" s="1"/>
  <c r="AP192" i="80"/>
  <c r="AO192" i="80"/>
  <c r="AO191" i="80"/>
  <c r="AP191" i="80" s="1"/>
  <c r="AP190" i="80"/>
  <c r="AO190" i="80"/>
  <c r="AO189" i="80"/>
  <c r="AP189" i="80" s="1"/>
  <c r="AP188" i="80"/>
  <c r="AO188" i="80"/>
  <c r="AO187" i="80"/>
  <c r="AP187" i="80" s="1"/>
  <c r="AP186" i="80"/>
  <c r="AO186" i="80"/>
  <c r="AO185" i="80"/>
  <c r="AP185" i="80" s="1"/>
  <c r="AP184" i="80"/>
  <c r="AO184" i="80"/>
  <c r="AO183" i="80"/>
  <c r="AP183" i="80" s="1"/>
  <c r="AP182" i="80"/>
  <c r="AO182" i="80"/>
  <c r="AO181" i="80"/>
  <c r="AP181" i="80" s="1"/>
  <c r="AP180" i="80"/>
  <c r="AO180" i="80"/>
  <c r="AO179" i="80"/>
  <c r="AP179" i="80" s="1"/>
  <c r="AP178" i="80"/>
  <c r="AO178" i="80"/>
  <c r="AO177" i="80"/>
  <c r="AP177" i="80" s="1"/>
  <c r="AP176" i="80"/>
  <c r="AO176" i="80"/>
  <c r="AO175" i="80"/>
  <c r="AP175" i="80" s="1"/>
  <c r="AP174" i="80"/>
  <c r="AO174" i="80"/>
  <c r="AO173" i="80"/>
  <c r="AP173" i="80" s="1"/>
  <c r="AP172" i="80"/>
  <c r="AO172" i="80"/>
  <c r="AO171" i="80"/>
  <c r="AP171" i="80" s="1"/>
  <c r="AP170" i="80"/>
  <c r="AO170" i="80"/>
  <c r="AO169" i="80"/>
  <c r="AP169" i="80" s="1"/>
  <c r="AP168" i="80"/>
  <c r="AO168" i="80"/>
  <c r="AO167" i="80"/>
  <c r="AP167" i="80" s="1"/>
  <c r="AP166" i="80"/>
  <c r="AO166" i="80"/>
  <c r="AO165" i="80"/>
  <c r="AP165" i="80" s="1"/>
  <c r="AP164" i="80"/>
  <c r="AO164" i="80"/>
  <c r="AO163" i="80"/>
  <c r="AP163" i="80" s="1"/>
  <c r="AP162" i="80"/>
  <c r="AO162" i="80"/>
  <c r="AO161" i="80"/>
  <c r="AP161" i="80" s="1"/>
  <c r="AP160" i="80"/>
  <c r="AO160" i="80"/>
  <c r="AO159" i="80"/>
  <c r="AP159" i="80" s="1"/>
  <c r="AO158" i="80"/>
  <c r="AP158" i="80" s="1"/>
  <c r="AO157" i="80"/>
  <c r="AP157" i="80" s="1"/>
  <c r="AP156" i="80"/>
  <c r="AO156" i="80"/>
  <c r="AO155" i="80"/>
  <c r="AP155" i="80" s="1"/>
  <c r="AP154" i="80"/>
  <c r="AO154" i="80"/>
  <c r="AO153" i="80"/>
  <c r="AP153" i="80" s="1"/>
  <c r="AO152" i="80"/>
  <c r="AP152" i="80" s="1"/>
  <c r="AO151" i="80"/>
  <c r="AP151" i="80" s="1"/>
  <c r="AO150" i="80"/>
  <c r="AP150" i="80" s="1"/>
  <c r="AO149" i="80"/>
  <c r="AP149" i="80" s="1"/>
  <c r="AP148" i="80"/>
  <c r="AO148" i="80"/>
  <c r="AO147" i="80"/>
  <c r="AP147" i="80" s="1"/>
  <c r="AP146" i="80"/>
  <c r="AO146" i="80"/>
  <c r="AO145" i="80"/>
  <c r="AP145" i="80" s="1"/>
  <c r="AO144" i="80"/>
  <c r="AP144" i="80" s="1"/>
  <c r="AO143" i="80"/>
  <c r="AP143" i="80" s="1"/>
  <c r="AO142" i="80"/>
  <c r="AP142" i="80" s="1"/>
  <c r="AO141" i="80"/>
  <c r="AP141" i="80" s="1"/>
  <c r="AP140" i="80"/>
  <c r="AO140" i="80"/>
  <c r="AO139" i="80"/>
  <c r="AP139" i="80" s="1"/>
  <c r="AP138" i="80"/>
  <c r="AO138" i="80"/>
  <c r="AO137" i="80"/>
  <c r="AP137" i="80" s="1"/>
  <c r="AO136" i="80"/>
  <c r="AP136" i="80" s="1"/>
  <c r="AO135" i="80"/>
  <c r="AP135" i="80" s="1"/>
  <c r="AO134" i="80"/>
  <c r="AP134" i="80" s="1"/>
  <c r="AO133" i="80"/>
  <c r="AP133" i="80" s="1"/>
  <c r="AP132" i="80"/>
  <c r="AO132" i="80"/>
  <c r="AO131" i="80"/>
  <c r="AP131" i="80" s="1"/>
  <c r="AP130" i="80"/>
  <c r="AO130" i="80"/>
  <c r="AO129" i="80"/>
  <c r="AP129" i="80" s="1"/>
  <c r="AO128" i="80"/>
  <c r="AP128" i="80" s="1"/>
  <c r="AO127" i="80"/>
  <c r="AP127" i="80" s="1"/>
  <c r="AO126" i="80"/>
  <c r="AP126" i="80" s="1"/>
  <c r="AO125" i="80"/>
  <c r="AP125" i="80" s="1"/>
  <c r="AP124" i="80"/>
  <c r="AO124" i="80"/>
  <c r="AO123" i="80"/>
  <c r="AP123" i="80" s="1"/>
  <c r="AP122" i="80"/>
  <c r="AO122" i="80"/>
  <c r="AO121" i="80"/>
  <c r="AP121" i="80" s="1"/>
  <c r="AO120" i="80"/>
  <c r="AP120" i="80" s="1"/>
  <c r="AO119" i="80"/>
  <c r="AP119" i="80" s="1"/>
  <c r="AO118" i="80"/>
  <c r="AP118" i="80" s="1"/>
  <c r="AO117" i="80"/>
  <c r="AP117" i="80" s="1"/>
  <c r="AP116" i="80"/>
  <c r="AO116" i="80"/>
  <c r="AO115" i="80"/>
  <c r="AP115" i="80" s="1"/>
  <c r="AP114" i="80"/>
  <c r="AO114" i="80"/>
  <c r="AO113" i="80"/>
  <c r="AP113" i="80" s="1"/>
  <c r="AO112" i="80"/>
  <c r="AP112" i="80" s="1"/>
  <c r="AO111" i="80"/>
  <c r="AP111" i="80" s="1"/>
  <c r="AO110" i="80"/>
  <c r="AP110" i="80" s="1"/>
  <c r="AO109" i="80"/>
  <c r="AP109" i="80" s="1"/>
  <c r="AP108" i="80"/>
  <c r="AO108" i="80"/>
  <c r="AO107" i="80"/>
  <c r="AP107" i="80" s="1"/>
  <c r="AP106" i="80"/>
  <c r="AO106" i="80"/>
  <c r="AO105" i="80"/>
  <c r="AP105" i="80" s="1"/>
  <c r="AO104" i="80"/>
  <c r="AP104" i="80" s="1"/>
  <c r="AO103" i="80"/>
  <c r="AP103" i="80" s="1"/>
  <c r="AO102" i="80"/>
  <c r="AP102" i="80" s="1"/>
  <c r="AO101" i="80"/>
  <c r="AP101" i="80" s="1"/>
  <c r="AP100" i="80"/>
  <c r="AO100" i="80"/>
  <c r="AO99" i="80"/>
  <c r="AP99" i="80" s="1"/>
  <c r="AP98" i="80"/>
  <c r="AO98" i="80"/>
  <c r="AO97" i="80"/>
  <c r="AP97" i="80" s="1"/>
  <c r="AO96" i="80"/>
  <c r="AP96" i="80" s="1"/>
  <c r="AO95" i="80"/>
  <c r="AP95" i="80" s="1"/>
  <c r="AO94" i="80"/>
  <c r="AP94" i="80" s="1"/>
  <c r="AO93" i="80"/>
  <c r="AP93" i="80" s="1"/>
  <c r="AP92" i="80"/>
  <c r="AO92" i="80"/>
  <c r="AO91" i="80"/>
  <c r="AP91" i="80" s="1"/>
  <c r="AP90" i="80"/>
  <c r="AO90" i="80"/>
  <c r="AO89" i="80"/>
  <c r="AP89" i="80" s="1"/>
  <c r="AO88" i="80"/>
  <c r="AP88" i="80" s="1"/>
  <c r="AO87" i="80"/>
  <c r="AP87" i="80" s="1"/>
  <c r="AO86" i="80"/>
  <c r="AP86" i="80" s="1"/>
  <c r="AO85" i="80"/>
  <c r="AP85" i="80" s="1"/>
  <c r="AP84" i="80"/>
  <c r="AO84" i="80"/>
  <c r="AO83" i="80"/>
  <c r="AP83" i="80" s="1"/>
  <c r="AP82" i="80"/>
  <c r="AO82" i="80"/>
  <c r="AO81" i="80"/>
  <c r="AP81" i="80" s="1"/>
  <c r="AO80" i="80"/>
  <c r="AP80" i="80" s="1"/>
  <c r="AO79" i="80"/>
  <c r="AP79" i="80" s="1"/>
  <c r="AO78" i="80"/>
  <c r="AP78" i="80" s="1"/>
  <c r="AO77" i="80"/>
  <c r="AP77" i="80" s="1"/>
  <c r="AP76" i="80"/>
  <c r="AO76" i="80"/>
  <c r="AO75" i="80"/>
  <c r="AP75" i="80" s="1"/>
  <c r="AP74" i="80"/>
  <c r="AO74" i="80"/>
  <c r="AO73" i="80"/>
  <c r="AP73" i="80" s="1"/>
  <c r="AO72" i="80"/>
  <c r="AP72" i="80" s="1"/>
  <c r="AO71" i="80"/>
  <c r="AP71" i="80" s="1"/>
  <c r="AO70" i="80"/>
  <c r="AP70" i="80" s="1"/>
  <c r="AO69" i="80"/>
  <c r="AP69" i="80" s="1"/>
  <c r="AP68" i="80"/>
  <c r="AO68" i="80"/>
  <c r="AO67" i="80"/>
  <c r="AP67" i="80" s="1"/>
  <c r="AP66" i="80"/>
  <c r="AO66" i="80"/>
  <c r="AO65" i="80"/>
  <c r="AP65" i="80" s="1"/>
  <c r="AO64" i="80"/>
  <c r="AP64" i="80" s="1"/>
  <c r="AO63" i="80"/>
  <c r="AP63" i="80" s="1"/>
  <c r="AO62" i="80"/>
  <c r="AP62" i="80" s="1"/>
  <c r="AO61" i="80"/>
  <c r="AP61" i="80" s="1"/>
  <c r="AP60" i="80"/>
  <c r="AO60" i="80"/>
  <c r="AO59" i="80"/>
  <c r="AP59" i="80" s="1"/>
  <c r="AP58" i="80"/>
  <c r="AO58" i="80"/>
  <c r="AO57" i="80"/>
  <c r="AP57" i="80" s="1"/>
  <c r="AO56" i="80"/>
  <c r="AP56" i="80" s="1"/>
  <c r="AO55" i="80"/>
  <c r="AP55" i="80" s="1"/>
  <c r="AO54" i="80"/>
  <c r="AP54" i="80" s="1"/>
  <c r="AO53" i="80"/>
  <c r="AP53" i="80" s="1"/>
  <c r="AP52" i="80"/>
  <c r="AO52" i="80"/>
  <c r="AO51" i="80"/>
  <c r="AP51" i="80" s="1"/>
  <c r="AP50" i="80"/>
  <c r="AO50" i="80"/>
  <c r="AO49" i="80"/>
  <c r="AP49" i="80" s="1"/>
  <c r="AO48" i="80"/>
  <c r="AP48" i="80" s="1"/>
  <c r="AO47" i="80"/>
  <c r="AP47" i="80" s="1"/>
  <c r="AO46" i="80"/>
  <c r="AP46" i="80" s="1"/>
  <c r="AO45" i="80"/>
  <c r="AP45" i="80" s="1"/>
  <c r="AP44" i="80"/>
  <c r="AO44" i="80"/>
  <c r="AO43" i="80"/>
  <c r="AP43" i="80" s="1"/>
  <c r="AP42" i="80"/>
  <c r="AO42" i="80"/>
  <c r="AO41" i="80"/>
  <c r="AP41" i="80" s="1"/>
  <c r="AO40" i="80"/>
  <c r="AP40" i="80" s="1"/>
  <c r="AO39" i="80"/>
  <c r="AP39" i="80" s="1"/>
  <c r="AO38" i="80"/>
  <c r="AP38" i="80" s="1"/>
  <c r="AP37" i="80"/>
  <c r="AO37" i="80"/>
  <c r="AO36" i="80"/>
  <c r="AP36" i="80" s="1"/>
  <c r="AP35" i="80"/>
  <c r="AO35" i="80"/>
  <c r="AO34" i="80"/>
  <c r="AP34" i="80" s="1"/>
  <c r="AP33" i="80"/>
  <c r="AO33" i="80"/>
  <c r="AO32" i="80"/>
  <c r="AP32" i="80" s="1"/>
  <c r="AP31" i="80"/>
  <c r="AO31" i="80"/>
  <c r="AO30" i="80"/>
  <c r="AP30" i="80" s="1"/>
  <c r="AP29" i="80"/>
  <c r="AO29" i="80"/>
  <c r="AO28" i="80"/>
  <c r="AP28" i="80" s="1"/>
  <c r="AP27" i="80"/>
  <c r="AO27" i="80"/>
  <c r="AO26" i="80"/>
  <c r="AP26" i="80" s="1"/>
  <c r="AP25" i="80"/>
  <c r="AO25" i="80"/>
  <c r="AO24" i="80"/>
  <c r="AP24" i="80" s="1"/>
  <c r="AP23" i="80"/>
  <c r="AO23" i="80"/>
  <c r="AO22" i="80"/>
  <c r="AP22" i="80" s="1"/>
  <c r="AP21" i="80"/>
  <c r="AO21" i="80"/>
  <c r="AO20" i="80"/>
  <c r="AP20" i="80" s="1"/>
  <c r="AP19" i="80"/>
  <c r="AO19" i="80"/>
  <c r="AO18" i="80"/>
  <c r="AP18" i="80" s="1"/>
  <c r="AP17" i="80"/>
  <c r="AO17" i="80"/>
  <c r="AO16" i="80"/>
  <c r="AP16" i="80" s="1"/>
  <c r="AP15" i="80"/>
  <c r="AO15" i="80"/>
  <c r="AO14" i="80"/>
  <c r="AP14" i="80" s="1"/>
  <c r="AP13" i="80"/>
  <c r="AO13" i="80"/>
  <c r="AO12" i="80"/>
  <c r="AP12" i="80" s="1"/>
  <c r="AP11" i="80"/>
  <c r="AO11" i="80"/>
  <c r="AO10" i="80"/>
  <c r="AP10" i="80" s="1"/>
  <c r="AP9" i="80"/>
  <c r="AO9" i="80"/>
  <c r="AO8" i="80"/>
  <c r="AP8" i="80" s="1"/>
  <c r="AP7" i="80"/>
  <c r="AO7" i="80"/>
  <c r="AO6" i="80"/>
  <c r="AP6" i="80" s="1"/>
  <c r="AP5" i="80"/>
  <c r="AO5" i="80"/>
  <c r="AO4" i="80"/>
  <c r="AP4" i="80" s="1"/>
  <c r="AP3" i="80"/>
  <c r="AO3" i="80"/>
  <c r="AO2" i="80"/>
  <c r="AP2" i="80" s="1"/>
  <c r="AI215" i="76"/>
  <c r="AJ215" i="76"/>
  <c r="AH215" i="76"/>
  <c r="AO206" i="81" l="1"/>
  <c r="AP206" i="81" s="1"/>
  <c r="AE215" i="76"/>
  <c r="AQ198" i="76"/>
  <c r="AR198" i="76" s="1"/>
  <c r="AQ199" i="76" l="1"/>
  <c r="AR199" i="76" s="1"/>
  <c r="AQ197" i="76"/>
  <c r="AR197" i="76" s="1"/>
  <c r="AP21" i="73" l="1"/>
  <c r="AP33" i="73"/>
  <c r="AO3" i="73"/>
  <c r="AP3" i="73" s="1"/>
  <c r="AO4" i="73"/>
  <c r="AP4" i="73" s="1"/>
  <c r="AO5" i="73"/>
  <c r="AP5" i="73" s="1"/>
  <c r="AO6" i="73"/>
  <c r="AP6" i="73" s="1"/>
  <c r="AO7" i="73"/>
  <c r="AP7" i="73" s="1"/>
  <c r="AO8" i="73"/>
  <c r="AP8" i="73" s="1"/>
  <c r="AO9" i="73"/>
  <c r="AP9" i="73" s="1"/>
  <c r="AO10" i="73"/>
  <c r="AP10" i="73" s="1"/>
  <c r="AO11" i="73"/>
  <c r="AP11" i="73" s="1"/>
  <c r="AO12" i="73"/>
  <c r="AP12" i="73" s="1"/>
  <c r="AO13" i="73"/>
  <c r="AP13" i="73" s="1"/>
  <c r="AO14" i="73"/>
  <c r="AP14" i="73" s="1"/>
  <c r="AO15" i="73"/>
  <c r="AP15" i="73" s="1"/>
  <c r="AO16" i="73"/>
  <c r="AP16" i="73" s="1"/>
  <c r="AO17" i="73"/>
  <c r="AP17" i="73" s="1"/>
  <c r="AO18" i="73"/>
  <c r="AP18" i="73" s="1"/>
  <c r="AO19" i="73"/>
  <c r="AP19" i="73" s="1"/>
  <c r="AO20" i="73"/>
  <c r="AP20" i="73" s="1"/>
  <c r="AO21" i="73"/>
  <c r="AO22" i="73"/>
  <c r="AP22" i="73" s="1"/>
  <c r="AO23" i="73"/>
  <c r="AP23" i="73" s="1"/>
  <c r="AO24" i="73"/>
  <c r="AP24" i="73" s="1"/>
  <c r="AO25" i="73"/>
  <c r="AP25" i="73" s="1"/>
  <c r="AO26" i="73"/>
  <c r="AP26" i="73" s="1"/>
  <c r="AO27" i="73"/>
  <c r="AP27" i="73" s="1"/>
  <c r="AO28" i="73"/>
  <c r="AP28" i="73" s="1"/>
  <c r="AO29" i="73"/>
  <c r="AP29" i="73" s="1"/>
  <c r="AO30" i="73"/>
  <c r="AP30" i="73" s="1"/>
  <c r="AO31" i="73"/>
  <c r="AP31" i="73" s="1"/>
  <c r="AO32" i="73"/>
  <c r="AP32" i="73" s="1"/>
  <c r="AO33" i="73"/>
  <c r="AO34" i="73"/>
  <c r="AP34" i="73" s="1"/>
  <c r="AO35" i="73"/>
  <c r="AP35" i="73" s="1"/>
  <c r="AO36" i="73"/>
  <c r="AP36" i="73" s="1"/>
  <c r="AO37" i="73"/>
  <c r="AP37" i="73" s="1"/>
  <c r="AO38" i="73"/>
  <c r="AP38" i="73" s="1"/>
  <c r="AO39" i="73"/>
  <c r="AP39" i="73" s="1"/>
  <c r="AO40" i="73"/>
  <c r="AP40" i="73" s="1"/>
  <c r="AO41" i="73"/>
  <c r="AP41" i="73" s="1"/>
  <c r="AO42" i="73"/>
  <c r="AP42" i="73" s="1"/>
  <c r="AO43" i="73"/>
  <c r="AP43" i="73" s="1"/>
  <c r="AO44" i="73"/>
  <c r="AP44" i="73" s="1"/>
  <c r="AO45" i="73"/>
  <c r="AP45" i="73" s="1"/>
  <c r="AO46" i="73"/>
  <c r="AP46" i="73" s="1"/>
  <c r="AO47" i="73"/>
  <c r="AP47" i="73" s="1"/>
  <c r="AO48" i="73"/>
  <c r="AP48" i="73" s="1"/>
  <c r="AO49" i="73"/>
  <c r="AP49" i="73" s="1"/>
  <c r="AO50" i="73"/>
  <c r="AP50" i="73" s="1"/>
  <c r="AO51" i="73"/>
  <c r="AP51" i="73" s="1"/>
  <c r="AO52" i="73"/>
  <c r="AP52" i="73" s="1"/>
  <c r="AO53" i="73"/>
  <c r="AP53" i="73" s="1"/>
  <c r="AO54" i="73"/>
  <c r="AP54" i="73" s="1"/>
  <c r="AO55" i="73"/>
  <c r="AP55" i="73" s="1"/>
  <c r="AO56" i="73"/>
  <c r="AP56" i="73" s="1"/>
  <c r="AO57" i="73"/>
  <c r="AP57" i="73" s="1"/>
  <c r="AO58" i="73"/>
  <c r="AP58" i="73" s="1"/>
  <c r="AO59" i="73"/>
  <c r="AP59" i="73" s="1"/>
  <c r="AO60" i="73"/>
  <c r="AP60" i="73" s="1"/>
  <c r="AO61" i="73"/>
  <c r="AP61" i="73" s="1"/>
  <c r="AO62" i="73"/>
  <c r="AP62" i="73" s="1"/>
  <c r="AO63" i="73"/>
  <c r="AP63" i="73" s="1"/>
  <c r="AO64" i="73"/>
  <c r="AP64" i="73" s="1"/>
  <c r="AO65" i="73"/>
  <c r="AP65" i="73" s="1"/>
  <c r="AO66" i="73"/>
  <c r="AP66" i="73" s="1"/>
  <c r="AO67" i="73"/>
  <c r="AP67" i="73" s="1"/>
  <c r="AO68" i="73"/>
  <c r="AP68" i="73" s="1"/>
  <c r="AO69" i="73"/>
  <c r="AP69" i="73" s="1"/>
  <c r="AO70" i="73"/>
  <c r="AP70" i="73" s="1"/>
  <c r="AO71" i="73"/>
  <c r="AP71" i="73" s="1"/>
  <c r="AO72" i="73"/>
  <c r="AP72" i="73" s="1"/>
  <c r="AO73" i="73"/>
  <c r="AP73" i="73" s="1"/>
  <c r="AO74" i="73"/>
  <c r="AP74" i="73" s="1"/>
  <c r="AO75" i="73"/>
  <c r="AP75" i="73" s="1"/>
  <c r="AO76" i="73"/>
  <c r="AP76" i="73" s="1"/>
  <c r="AO77" i="73"/>
  <c r="AP77" i="73" s="1"/>
  <c r="AO78" i="73"/>
  <c r="AP78" i="73" s="1"/>
  <c r="AO79" i="73"/>
  <c r="AP79" i="73" s="1"/>
  <c r="AO80" i="73"/>
  <c r="AP80" i="73" s="1"/>
  <c r="AO81" i="73"/>
  <c r="AP81" i="73" s="1"/>
  <c r="AO82" i="73"/>
  <c r="AP82" i="73" s="1"/>
  <c r="AO83" i="73"/>
  <c r="AP83" i="73" s="1"/>
  <c r="AO84" i="73"/>
  <c r="AP84" i="73" s="1"/>
  <c r="AO85" i="73"/>
  <c r="AP85" i="73" s="1"/>
  <c r="AO86" i="73"/>
  <c r="AP86" i="73" s="1"/>
  <c r="AO87" i="73"/>
  <c r="AP87" i="73" s="1"/>
  <c r="AO88" i="73"/>
  <c r="AP88" i="73" s="1"/>
  <c r="AO89" i="73"/>
  <c r="AP89" i="73" s="1"/>
  <c r="AO90" i="73"/>
  <c r="AP90" i="73" s="1"/>
  <c r="AO91" i="73"/>
  <c r="AP91" i="73" s="1"/>
  <c r="AO92" i="73"/>
  <c r="AP92" i="73" s="1"/>
  <c r="AO93" i="73"/>
  <c r="AP93" i="73" s="1"/>
  <c r="AO94" i="73"/>
  <c r="AP94" i="73" s="1"/>
  <c r="AO95" i="73"/>
  <c r="AP95" i="73" s="1"/>
  <c r="AO96" i="73"/>
  <c r="AP96" i="73" s="1"/>
  <c r="AO97" i="73"/>
  <c r="AP97" i="73" s="1"/>
  <c r="AO98" i="73"/>
  <c r="AP98" i="73" s="1"/>
  <c r="AO99" i="73"/>
  <c r="AP99" i="73" s="1"/>
  <c r="AO100" i="73"/>
  <c r="AP100" i="73" s="1"/>
  <c r="AO101" i="73"/>
  <c r="AP101" i="73" s="1"/>
  <c r="AO102" i="73"/>
  <c r="AP102" i="73" s="1"/>
  <c r="AO103" i="73"/>
  <c r="AP103" i="73" s="1"/>
  <c r="AO104" i="73"/>
  <c r="AP104" i="73" s="1"/>
  <c r="AO105" i="73"/>
  <c r="AP105" i="73" s="1"/>
  <c r="AO106" i="73"/>
  <c r="AP106" i="73" s="1"/>
  <c r="AO107" i="73"/>
  <c r="AP107" i="73" s="1"/>
  <c r="AO108" i="73"/>
  <c r="AP108" i="73" s="1"/>
  <c r="AO109" i="73"/>
  <c r="AP109" i="73" s="1"/>
  <c r="AO110" i="73"/>
  <c r="AP110" i="73" s="1"/>
  <c r="AO111" i="73"/>
  <c r="AP111" i="73" s="1"/>
  <c r="AO112" i="73"/>
  <c r="AP112" i="73" s="1"/>
  <c r="AO113" i="73"/>
  <c r="AP113" i="73" s="1"/>
  <c r="AO114" i="73"/>
  <c r="AP114" i="73" s="1"/>
  <c r="AO115" i="73"/>
  <c r="AP115" i="73" s="1"/>
  <c r="AO116" i="73"/>
  <c r="AP116" i="73" s="1"/>
  <c r="AO117" i="73"/>
  <c r="AP117" i="73" s="1"/>
  <c r="AO118" i="73"/>
  <c r="AP118" i="73" s="1"/>
  <c r="AO119" i="73"/>
  <c r="AP119" i="73" s="1"/>
  <c r="AO120" i="73"/>
  <c r="AP120" i="73" s="1"/>
  <c r="AO121" i="73"/>
  <c r="AP121" i="73" s="1"/>
  <c r="AO122" i="73"/>
  <c r="AP122" i="73" s="1"/>
  <c r="AO123" i="73"/>
  <c r="AP123" i="73" s="1"/>
  <c r="AO124" i="73"/>
  <c r="AP124" i="73" s="1"/>
  <c r="AO125" i="73"/>
  <c r="AP125" i="73" s="1"/>
  <c r="AO126" i="73"/>
  <c r="AP126" i="73" s="1"/>
  <c r="AO127" i="73"/>
  <c r="AP127" i="73" s="1"/>
  <c r="AO128" i="73"/>
  <c r="AP128" i="73" s="1"/>
  <c r="AO129" i="73"/>
  <c r="AP129" i="73" s="1"/>
  <c r="AO130" i="73"/>
  <c r="AP130" i="73" s="1"/>
  <c r="AO131" i="73"/>
  <c r="AP131" i="73" s="1"/>
  <c r="AO132" i="73"/>
  <c r="AP132" i="73" s="1"/>
  <c r="AO133" i="73"/>
  <c r="AP133" i="73" s="1"/>
  <c r="AO134" i="73"/>
  <c r="AP134" i="73" s="1"/>
  <c r="AO135" i="73"/>
  <c r="AP135" i="73" s="1"/>
  <c r="AO136" i="73"/>
  <c r="AP136" i="73" s="1"/>
  <c r="AO137" i="73"/>
  <c r="AP137" i="73" s="1"/>
  <c r="AO138" i="73"/>
  <c r="AP138" i="73" s="1"/>
  <c r="AO139" i="73"/>
  <c r="AP139" i="73" s="1"/>
  <c r="AO140" i="73"/>
  <c r="AP140" i="73" s="1"/>
  <c r="AO141" i="73"/>
  <c r="AP141" i="73" s="1"/>
  <c r="AO142" i="73"/>
  <c r="AP142" i="73" s="1"/>
  <c r="AO143" i="73"/>
  <c r="AP143" i="73" s="1"/>
  <c r="AO144" i="73"/>
  <c r="AP144" i="73" s="1"/>
  <c r="AO145" i="73"/>
  <c r="AP145" i="73" s="1"/>
  <c r="AO146" i="73"/>
  <c r="AP146" i="73" s="1"/>
  <c r="AO147" i="73"/>
  <c r="AP147" i="73" s="1"/>
  <c r="AO148" i="73"/>
  <c r="AP148" i="73" s="1"/>
  <c r="AO149" i="73"/>
  <c r="AP149" i="73" s="1"/>
  <c r="AO150" i="73"/>
  <c r="AP150" i="73" s="1"/>
  <c r="AO151" i="73"/>
  <c r="AP151" i="73" s="1"/>
  <c r="AO152" i="73"/>
  <c r="AP152" i="73" s="1"/>
  <c r="AO153" i="73"/>
  <c r="AP153" i="73" s="1"/>
  <c r="AO154" i="73"/>
  <c r="AP154" i="73" s="1"/>
  <c r="AO155" i="73"/>
  <c r="AP155" i="73" s="1"/>
  <c r="AO156" i="73"/>
  <c r="AP156" i="73" s="1"/>
  <c r="AO157" i="73"/>
  <c r="AP157" i="73" s="1"/>
  <c r="AO158" i="73"/>
  <c r="AP158" i="73" s="1"/>
  <c r="AO159" i="73"/>
  <c r="AP159" i="73" s="1"/>
  <c r="AO160" i="73"/>
  <c r="AP160" i="73" s="1"/>
  <c r="AO161" i="73"/>
  <c r="AP161" i="73" s="1"/>
  <c r="AO162" i="73"/>
  <c r="AP162" i="73" s="1"/>
  <c r="AO163" i="73"/>
  <c r="AP163" i="73" s="1"/>
  <c r="AO164" i="73"/>
  <c r="AP164" i="73" s="1"/>
  <c r="AO165" i="73"/>
  <c r="AP165" i="73" s="1"/>
  <c r="AO166" i="73"/>
  <c r="AP166" i="73" s="1"/>
  <c r="AO167" i="73"/>
  <c r="AP167" i="73" s="1"/>
  <c r="AO168" i="73"/>
  <c r="AP168" i="73" s="1"/>
  <c r="AO169" i="73"/>
  <c r="AP169" i="73" s="1"/>
  <c r="AO170" i="73"/>
  <c r="AP170" i="73" s="1"/>
  <c r="AO171" i="73"/>
  <c r="AP171" i="73" s="1"/>
  <c r="AO172" i="73"/>
  <c r="AP172" i="73" s="1"/>
  <c r="AO173" i="73"/>
  <c r="AP173" i="73" s="1"/>
  <c r="AO174" i="73"/>
  <c r="AP174" i="73" s="1"/>
  <c r="AO175" i="73"/>
  <c r="AP175" i="73" s="1"/>
  <c r="AO176" i="73"/>
  <c r="AP176" i="73" s="1"/>
  <c r="AO177" i="73"/>
  <c r="AP177" i="73" s="1"/>
  <c r="AO178" i="73"/>
  <c r="AP178" i="73" s="1"/>
  <c r="AO179" i="73"/>
  <c r="AP179" i="73" s="1"/>
  <c r="AO180" i="73"/>
  <c r="AP180" i="73" s="1"/>
  <c r="AO181" i="73"/>
  <c r="AP181" i="73" s="1"/>
  <c r="AO182" i="73"/>
  <c r="AP182" i="73" s="1"/>
  <c r="AO183" i="73"/>
  <c r="AP183" i="73" s="1"/>
  <c r="AO184" i="73"/>
  <c r="AP184" i="73" s="1"/>
  <c r="AO185" i="73"/>
  <c r="AP185" i="73" s="1"/>
  <c r="AO186" i="73"/>
  <c r="AP186" i="73" s="1"/>
  <c r="AO187" i="73"/>
  <c r="AP187" i="73" s="1"/>
  <c r="AO188" i="73"/>
  <c r="AP188" i="73" s="1"/>
  <c r="AO189" i="73"/>
  <c r="AP189" i="73" s="1"/>
  <c r="AO190" i="73"/>
  <c r="AP190" i="73" s="1"/>
  <c r="AO191" i="73"/>
  <c r="AP191" i="73" s="1"/>
  <c r="AO192" i="73"/>
  <c r="AP192" i="73" s="1"/>
  <c r="AO193" i="73"/>
  <c r="AP193" i="73" s="1"/>
  <c r="AO194" i="73"/>
  <c r="AP194" i="73" s="1"/>
  <c r="AO195" i="73"/>
  <c r="AP195" i="73" s="1"/>
  <c r="AO196" i="73"/>
  <c r="AP196" i="73" s="1"/>
  <c r="AO197" i="73"/>
  <c r="AP197" i="73" s="1"/>
  <c r="AO198" i="73"/>
  <c r="AP198" i="73" s="1"/>
  <c r="AO199" i="73"/>
  <c r="AP199" i="73" s="1"/>
  <c r="AO200" i="73"/>
  <c r="AP200" i="73" s="1"/>
  <c r="AO201" i="73"/>
  <c r="AP201" i="73" s="1"/>
  <c r="AO202" i="73"/>
  <c r="AP202" i="73" s="1"/>
  <c r="AO203" i="73"/>
  <c r="AP203" i="73" s="1"/>
  <c r="AO204" i="73"/>
  <c r="AP204" i="73" s="1"/>
  <c r="AO205" i="73"/>
  <c r="AP205" i="73" s="1"/>
  <c r="AO2" i="73"/>
  <c r="AP2" i="73" s="1"/>
  <c r="AQ88" i="76"/>
  <c r="AR88" i="76" s="1"/>
  <c r="AQ87" i="76"/>
  <c r="AR87" i="76" s="1"/>
  <c r="AQ11" i="76"/>
  <c r="AR11" i="76" s="1"/>
  <c r="AO215" i="76"/>
  <c r="AN215" i="76"/>
  <c r="AM215" i="76"/>
  <c r="AL215" i="76"/>
  <c r="AK215" i="76"/>
  <c r="AG215" i="76"/>
  <c r="AF215" i="76"/>
  <c r="AD215" i="76"/>
  <c r="AC215" i="76"/>
  <c r="AB215" i="76"/>
  <c r="AA215" i="76"/>
  <c r="Z215" i="76"/>
  <c r="Y215" i="76"/>
  <c r="X215" i="76"/>
  <c r="W215" i="76"/>
  <c r="V215" i="76"/>
  <c r="U215" i="76"/>
  <c r="T215" i="76"/>
  <c r="S215" i="76"/>
  <c r="R215" i="76"/>
  <c r="Q215" i="76"/>
  <c r="P215" i="76"/>
  <c r="O215" i="76"/>
  <c r="N215" i="76"/>
  <c r="M215" i="76"/>
  <c r="L215" i="76"/>
  <c r="J215" i="76"/>
  <c r="AQ207" i="76"/>
  <c r="AR207" i="76" s="1"/>
  <c r="AQ206" i="76"/>
  <c r="AR206" i="76" s="1"/>
  <c r="AQ205" i="76"/>
  <c r="AR205" i="76" s="1"/>
  <c r="AQ204" i="76"/>
  <c r="AR204" i="76" s="1"/>
  <c r="AQ203" i="76"/>
  <c r="AR203" i="76" s="1"/>
  <c r="AQ202" i="76"/>
  <c r="AR202" i="76" s="1"/>
  <c r="AQ201" i="76"/>
  <c r="AR201" i="76" s="1"/>
  <c r="AQ200" i="76"/>
  <c r="AR200" i="76" s="1"/>
  <c r="AQ196" i="76"/>
  <c r="AR196" i="76" s="1"/>
  <c r="AQ194" i="76"/>
  <c r="AR194" i="76" s="1"/>
  <c r="AQ193" i="76"/>
  <c r="AR193" i="76" s="1"/>
  <c r="AQ192" i="76"/>
  <c r="AR192" i="76" s="1"/>
  <c r="AQ191" i="76"/>
  <c r="AR191" i="76" s="1"/>
  <c r="AQ190" i="76"/>
  <c r="AR190" i="76" s="1"/>
  <c r="AQ189" i="76"/>
  <c r="AR189" i="76" s="1"/>
  <c r="AQ188" i="76"/>
  <c r="AR188" i="76" s="1"/>
  <c r="AQ187" i="76"/>
  <c r="AR187" i="76" s="1"/>
  <c r="AQ186" i="76"/>
  <c r="AR186" i="76" s="1"/>
  <c r="AQ185" i="76"/>
  <c r="AR185" i="76" s="1"/>
  <c r="AQ184" i="76"/>
  <c r="AR184" i="76" s="1"/>
  <c r="AQ183" i="76"/>
  <c r="AR183" i="76" s="1"/>
  <c r="AQ182" i="76"/>
  <c r="AR182" i="76" s="1"/>
  <c r="AQ181" i="76"/>
  <c r="AR181" i="76" s="1"/>
  <c r="AQ180" i="76"/>
  <c r="AR180" i="76" s="1"/>
  <c r="AQ179" i="76"/>
  <c r="AR179" i="76" s="1"/>
  <c r="AQ178" i="76"/>
  <c r="AR178" i="76" s="1"/>
  <c r="AQ177" i="76"/>
  <c r="AR177" i="76" s="1"/>
  <c r="AQ176" i="76"/>
  <c r="AR176" i="76" s="1"/>
  <c r="AQ175" i="76"/>
  <c r="AR175" i="76" s="1"/>
  <c r="AQ174" i="76"/>
  <c r="AR174" i="76" s="1"/>
  <c r="AQ173" i="76"/>
  <c r="AR173" i="76" s="1"/>
  <c r="AQ172" i="76"/>
  <c r="AR172" i="76" s="1"/>
  <c r="AQ171" i="76"/>
  <c r="AR171" i="76" s="1"/>
  <c r="AQ170" i="76"/>
  <c r="AR170" i="76" s="1"/>
  <c r="AQ169" i="76"/>
  <c r="AR169" i="76" s="1"/>
  <c r="AQ168" i="76"/>
  <c r="AR168" i="76" s="1"/>
  <c r="AQ167" i="76"/>
  <c r="AR167" i="76" s="1"/>
  <c r="AQ166" i="76"/>
  <c r="AR166" i="76" s="1"/>
  <c r="AQ165" i="76"/>
  <c r="AR165" i="76" s="1"/>
  <c r="AQ164" i="76"/>
  <c r="AR164" i="76" s="1"/>
  <c r="AQ163" i="76"/>
  <c r="AR163" i="76" s="1"/>
  <c r="AQ162" i="76"/>
  <c r="AR162" i="76" s="1"/>
  <c r="AQ161" i="76"/>
  <c r="AR161" i="76" s="1"/>
  <c r="AQ160" i="76"/>
  <c r="AR160" i="76" s="1"/>
  <c r="AQ159" i="76"/>
  <c r="AR159" i="76" s="1"/>
  <c r="AQ158" i="76"/>
  <c r="AR158" i="76" s="1"/>
  <c r="AQ157" i="76"/>
  <c r="AR157" i="76" s="1"/>
  <c r="AQ156" i="76"/>
  <c r="AR156" i="76" s="1"/>
  <c r="AQ155" i="76"/>
  <c r="AR155" i="76" s="1"/>
  <c r="AQ154" i="76"/>
  <c r="AR154" i="76" s="1"/>
  <c r="AQ153" i="76"/>
  <c r="AR153" i="76" s="1"/>
  <c r="AQ152" i="76"/>
  <c r="AR152" i="76" s="1"/>
  <c r="AQ151" i="76"/>
  <c r="AR151" i="76" s="1"/>
  <c r="AQ150" i="76"/>
  <c r="AR150" i="76" s="1"/>
  <c r="AQ149" i="76"/>
  <c r="AR149" i="76" s="1"/>
  <c r="AQ148" i="76"/>
  <c r="AR148" i="76" s="1"/>
  <c r="AQ147" i="76"/>
  <c r="AR147" i="76" s="1"/>
  <c r="AQ146" i="76"/>
  <c r="AR146" i="76" s="1"/>
  <c r="AQ145" i="76"/>
  <c r="AR145" i="76" s="1"/>
  <c r="AQ144" i="76"/>
  <c r="AR144" i="76" s="1"/>
  <c r="AQ143" i="76"/>
  <c r="AR143" i="76" s="1"/>
  <c r="AQ142" i="76"/>
  <c r="AR142" i="76" s="1"/>
  <c r="AQ141" i="76"/>
  <c r="AR141" i="76" s="1"/>
  <c r="AQ140" i="76"/>
  <c r="AR140" i="76" s="1"/>
  <c r="AQ139" i="76"/>
  <c r="AR139" i="76" s="1"/>
  <c r="AQ138" i="76"/>
  <c r="AR138" i="76" s="1"/>
  <c r="AQ137" i="76"/>
  <c r="AR137" i="76" s="1"/>
  <c r="AQ136" i="76"/>
  <c r="AR136" i="76" s="1"/>
  <c r="AQ135" i="76"/>
  <c r="AR135" i="76" s="1"/>
  <c r="AQ134" i="76"/>
  <c r="AR134" i="76" s="1"/>
  <c r="AQ133" i="76"/>
  <c r="AR133" i="76" s="1"/>
  <c r="AQ132" i="76"/>
  <c r="AR132" i="76" s="1"/>
  <c r="AQ131" i="76"/>
  <c r="AR131" i="76" s="1"/>
  <c r="AQ130" i="76"/>
  <c r="AR130" i="76" s="1"/>
  <c r="AQ129" i="76"/>
  <c r="AR129" i="76" s="1"/>
  <c r="AQ128" i="76"/>
  <c r="AR128" i="76" s="1"/>
  <c r="AQ127" i="76"/>
  <c r="AR127" i="76" s="1"/>
  <c r="AQ126" i="76"/>
  <c r="AR126" i="76" s="1"/>
  <c r="AQ125" i="76"/>
  <c r="AR125" i="76" s="1"/>
  <c r="AQ124" i="76"/>
  <c r="AR124" i="76" s="1"/>
  <c r="AQ123" i="76"/>
  <c r="AR123" i="76" s="1"/>
  <c r="AQ122" i="76"/>
  <c r="AR122" i="76" s="1"/>
  <c r="AQ121" i="76"/>
  <c r="AR121" i="76" s="1"/>
  <c r="AQ120" i="76"/>
  <c r="AR120" i="76" s="1"/>
  <c r="AQ119" i="76"/>
  <c r="AR119" i="76" s="1"/>
  <c r="AQ118" i="76"/>
  <c r="AR118" i="76" s="1"/>
  <c r="AQ117" i="76"/>
  <c r="AR117" i="76" s="1"/>
  <c r="AQ116" i="76"/>
  <c r="AR116" i="76" s="1"/>
  <c r="AQ115" i="76"/>
  <c r="AR115" i="76" s="1"/>
  <c r="AQ114" i="76"/>
  <c r="AR114" i="76" s="1"/>
  <c r="AQ113" i="76"/>
  <c r="AR113" i="76" s="1"/>
  <c r="AQ112" i="76"/>
  <c r="AR112" i="76" s="1"/>
  <c r="AQ111" i="76"/>
  <c r="AR111" i="76" s="1"/>
  <c r="AQ110" i="76"/>
  <c r="AR110" i="76" s="1"/>
  <c r="AQ109" i="76"/>
  <c r="AR109" i="76" s="1"/>
  <c r="AQ108" i="76"/>
  <c r="AR108" i="76" s="1"/>
  <c r="AQ107" i="76"/>
  <c r="AR107" i="76" s="1"/>
  <c r="AQ106" i="76"/>
  <c r="AR106" i="76" s="1"/>
  <c r="AQ105" i="76"/>
  <c r="AR105" i="76" s="1"/>
  <c r="AQ104" i="76"/>
  <c r="AR104" i="76" s="1"/>
  <c r="AQ103" i="76"/>
  <c r="AR103" i="76" s="1"/>
  <c r="AQ102" i="76"/>
  <c r="AR102" i="76" s="1"/>
  <c r="AQ101" i="76"/>
  <c r="AR101" i="76" s="1"/>
  <c r="AQ100" i="76"/>
  <c r="AR100" i="76" s="1"/>
  <c r="AQ99" i="76"/>
  <c r="AR99" i="76" s="1"/>
  <c r="AQ98" i="76"/>
  <c r="AR98" i="76" s="1"/>
  <c r="AQ97" i="76"/>
  <c r="AR97" i="76" s="1"/>
  <c r="AQ96" i="76"/>
  <c r="AR96" i="76" s="1"/>
  <c r="AQ95" i="76"/>
  <c r="AR95" i="76" s="1"/>
  <c r="AQ94" i="76"/>
  <c r="AR94" i="76" s="1"/>
  <c r="AQ93" i="76"/>
  <c r="AR93" i="76" s="1"/>
  <c r="AQ92" i="76"/>
  <c r="AR92" i="76" s="1"/>
  <c r="AQ91" i="76"/>
  <c r="AR91" i="76" s="1"/>
  <c r="AQ90" i="76"/>
  <c r="AR90" i="76" s="1"/>
  <c r="AQ89" i="76"/>
  <c r="AR89" i="76" s="1"/>
  <c r="AQ86" i="76"/>
  <c r="AR86" i="76" s="1"/>
  <c r="AQ85" i="76"/>
  <c r="AR85" i="76" s="1"/>
  <c r="AQ84" i="76"/>
  <c r="AR84" i="76" s="1"/>
  <c r="AQ83" i="76"/>
  <c r="AR83" i="76" s="1"/>
  <c r="AQ82" i="76"/>
  <c r="AR82" i="76" s="1"/>
  <c r="AQ81" i="76"/>
  <c r="AR81" i="76" s="1"/>
  <c r="AQ80" i="76"/>
  <c r="AR80" i="76" s="1"/>
  <c r="AQ79" i="76"/>
  <c r="AR79" i="76" s="1"/>
  <c r="AQ78" i="76"/>
  <c r="AR78" i="76" s="1"/>
  <c r="AQ77" i="76"/>
  <c r="AR77" i="76" s="1"/>
  <c r="AQ76" i="76"/>
  <c r="AR76" i="76" s="1"/>
  <c r="AQ75" i="76"/>
  <c r="AR75" i="76" s="1"/>
  <c r="AQ74" i="76"/>
  <c r="AR74" i="76" s="1"/>
  <c r="AQ73" i="76"/>
  <c r="AR73" i="76" s="1"/>
  <c r="AQ72" i="76"/>
  <c r="AR72" i="76" s="1"/>
  <c r="AQ71" i="76"/>
  <c r="AR71" i="76" s="1"/>
  <c r="AQ70" i="76"/>
  <c r="AR70" i="76" s="1"/>
  <c r="AQ69" i="76"/>
  <c r="AR69" i="76" s="1"/>
  <c r="AQ68" i="76"/>
  <c r="AR68" i="76" s="1"/>
  <c r="AQ67" i="76"/>
  <c r="AR67" i="76" s="1"/>
  <c r="AQ66" i="76"/>
  <c r="AR66" i="76" s="1"/>
  <c r="AQ65" i="76"/>
  <c r="AR65" i="76" s="1"/>
  <c r="AQ64" i="76"/>
  <c r="AR64" i="76" s="1"/>
  <c r="AQ63" i="76"/>
  <c r="AR63" i="76" s="1"/>
  <c r="AQ62" i="76"/>
  <c r="AR62" i="76" s="1"/>
  <c r="AQ61" i="76"/>
  <c r="AR61" i="76" s="1"/>
  <c r="AQ60" i="76"/>
  <c r="AR60" i="76" s="1"/>
  <c r="AQ59" i="76"/>
  <c r="AR59" i="76" s="1"/>
  <c r="AQ58" i="76"/>
  <c r="AR58" i="76" s="1"/>
  <c r="AQ57" i="76"/>
  <c r="AR57" i="76" s="1"/>
  <c r="AQ56" i="76"/>
  <c r="AR56" i="76" s="1"/>
  <c r="AQ55" i="76"/>
  <c r="AR55" i="76" s="1"/>
  <c r="AQ54" i="76"/>
  <c r="AR54" i="76" s="1"/>
  <c r="AQ53" i="76"/>
  <c r="AR53" i="76" s="1"/>
  <c r="AQ52" i="76"/>
  <c r="AR52" i="76" s="1"/>
  <c r="AQ51" i="76"/>
  <c r="AR51" i="76" s="1"/>
  <c r="AQ50" i="76"/>
  <c r="AR50" i="76" s="1"/>
  <c r="AQ49" i="76"/>
  <c r="AR49" i="76" s="1"/>
  <c r="AQ48" i="76"/>
  <c r="AR48" i="76" s="1"/>
  <c r="AQ47" i="76"/>
  <c r="AR47" i="76" s="1"/>
  <c r="AQ46" i="76"/>
  <c r="AR46" i="76" s="1"/>
  <c r="AQ45" i="76"/>
  <c r="AR45" i="76" s="1"/>
  <c r="AQ44" i="76"/>
  <c r="AR44" i="76" s="1"/>
  <c r="AQ43" i="76"/>
  <c r="AR43" i="76" s="1"/>
  <c r="AQ42" i="76"/>
  <c r="AR42" i="76" s="1"/>
  <c r="AQ41" i="76"/>
  <c r="AR41" i="76" s="1"/>
  <c r="AQ40" i="76"/>
  <c r="AR40" i="76" s="1"/>
  <c r="AQ39" i="76"/>
  <c r="AR39" i="76" s="1"/>
  <c r="AQ38" i="76"/>
  <c r="AR38" i="76" s="1"/>
  <c r="AQ37" i="76"/>
  <c r="AR37" i="76" s="1"/>
  <c r="AQ36" i="76"/>
  <c r="AR36" i="76" s="1"/>
  <c r="AQ35" i="76"/>
  <c r="AR35" i="76" s="1"/>
  <c r="AQ34" i="76"/>
  <c r="AR34" i="76" s="1"/>
  <c r="AQ33" i="76"/>
  <c r="AR33" i="76" s="1"/>
  <c r="AQ32" i="76"/>
  <c r="AR32" i="76" s="1"/>
  <c r="AQ31" i="76"/>
  <c r="AR31" i="76" s="1"/>
  <c r="AQ30" i="76"/>
  <c r="AR30" i="76" s="1"/>
  <c r="AQ29" i="76"/>
  <c r="AR29" i="76" s="1"/>
  <c r="AQ28" i="76"/>
  <c r="AR28" i="76" s="1"/>
  <c r="AQ27" i="76"/>
  <c r="AR27" i="76" s="1"/>
  <c r="AQ26" i="76"/>
  <c r="AR26" i="76" s="1"/>
  <c r="AQ25" i="76"/>
  <c r="AR25" i="76" s="1"/>
  <c r="AQ24" i="76"/>
  <c r="AR24" i="76" s="1"/>
  <c r="AQ23" i="76"/>
  <c r="AR23" i="76" s="1"/>
  <c r="AQ22" i="76"/>
  <c r="AR22" i="76" s="1"/>
  <c r="AQ21" i="76"/>
  <c r="AR21" i="76" s="1"/>
  <c r="AQ20" i="76"/>
  <c r="AR20" i="76" s="1"/>
  <c r="AQ19" i="76"/>
  <c r="AR19" i="76" s="1"/>
  <c r="AQ18" i="76"/>
  <c r="AR18" i="76" s="1"/>
  <c r="AQ17" i="76"/>
  <c r="AR17" i="76" s="1"/>
  <c r="AQ16" i="76"/>
  <c r="AR16" i="76" s="1"/>
  <c r="AQ15" i="76"/>
  <c r="AR15" i="76" s="1"/>
  <c r="AQ14" i="76"/>
  <c r="AR14" i="76" s="1"/>
  <c r="AQ13" i="76"/>
  <c r="AR13" i="76" s="1"/>
  <c r="AQ12" i="76"/>
  <c r="AR12" i="76" s="1"/>
  <c r="AQ10" i="76"/>
  <c r="AR10" i="76" s="1"/>
  <c r="AQ9" i="76"/>
  <c r="AR9" i="76" s="1"/>
  <c r="AQ8" i="76"/>
  <c r="AR8" i="76" s="1"/>
  <c r="AQ7" i="76"/>
  <c r="AR7" i="76" s="1"/>
  <c r="AQ6" i="76"/>
  <c r="AR6" i="76" s="1"/>
  <c r="AQ5" i="76"/>
  <c r="AR5" i="76" s="1"/>
  <c r="AQ4" i="76"/>
  <c r="AR4" i="76" s="1"/>
  <c r="AQ3" i="76"/>
  <c r="AR3" i="76" s="1"/>
  <c r="AQ2" i="76"/>
  <c r="AR2" i="76" s="1"/>
  <c r="AQ215" i="76" l="1"/>
  <c r="AR215" i="76" s="1"/>
  <c r="AN206" i="73" l="1"/>
  <c r="AM206" i="73"/>
  <c r="AL206" i="73"/>
  <c r="AK206" i="73"/>
  <c r="AJ206" i="73"/>
  <c r="AI206" i="73"/>
  <c r="AH206" i="73"/>
  <c r="AG206" i="73"/>
  <c r="AF206" i="73"/>
  <c r="AE206" i="73"/>
  <c r="AD206" i="73"/>
  <c r="AC206" i="73"/>
  <c r="AB206" i="73"/>
  <c r="AA206" i="73"/>
  <c r="Z206" i="73"/>
  <c r="Y206" i="73"/>
  <c r="X206" i="73"/>
  <c r="W206" i="73"/>
  <c r="V206" i="73"/>
  <c r="U206" i="73"/>
  <c r="T206" i="73"/>
  <c r="S206" i="73"/>
  <c r="R206" i="73"/>
  <c r="Q206" i="73"/>
  <c r="P206" i="73"/>
  <c r="O206" i="73"/>
  <c r="N206" i="73"/>
  <c r="M206" i="73"/>
  <c r="L206" i="73"/>
  <c r="K206" i="73"/>
  <c r="I206" i="73"/>
  <c r="AO206" i="73" l="1"/>
  <c r="AP206" i="73" s="1"/>
  <c r="AO185" i="69"/>
  <c r="AN185" i="69"/>
  <c r="AQ9" i="69"/>
  <c r="AQ10" i="69"/>
  <c r="AQ11" i="69"/>
  <c r="AQ21" i="69"/>
  <c r="AQ22" i="69"/>
  <c r="AQ23" i="69"/>
  <c r="AQ33" i="69"/>
  <c r="AQ34" i="69"/>
  <c r="AQ35" i="69"/>
  <c r="AQ45" i="69"/>
  <c r="AQ46" i="69"/>
  <c r="AQ47" i="69"/>
  <c r="AQ57" i="69"/>
  <c r="AQ58" i="69"/>
  <c r="AQ59" i="69"/>
  <c r="AQ69" i="69"/>
  <c r="AQ70" i="69"/>
  <c r="AQ71" i="69"/>
  <c r="AQ81" i="69"/>
  <c r="AQ82" i="69"/>
  <c r="AQ83" i="69"/>
  <c r="AQ93" i="69"/>
  <c r="AQ94" i="69"/>
  <c r="AQ95" i="69"/>
  <c r="AQ105" i="69"/>
  <c r="AQ106" i="69"/>
  <c r="AQ107" i="69"/>
  <c r="AQ117" i="69"/>
  <c r="AQ118" i="69"/>
  <c r="AQ119" i="69"/>
  <c r="AQ129" i="69"/>
  <c r="AQ130" i="69"/>
  <c r="AQ131" i="69"/>
  <c r="AQ141" i="69"/>
  <c r="AQ142" i="69"/>
  <c r="AQ143" i="69"/>
  <c r="AQ153" i="69"/>
  <c r="AQ154" i="69"/>
  <c r="AQ155" i="69"/>
  <c r="AQ165" i="69"/>
  <c r="AQ166" i="69"/>
  <c r="AQ167" i="69"/>
  <c r="AQ177" i="69"/>
  <c r="AQ178" i="69"/>
  <c r="AQ179" i="69"/>
  <c r="AP3" i="69"/>
  <c r="AQ3" i="69" s="1"/>
  <c r="AP4" i="69"/>
  <c r="AQ4" i="69" s="1"/>
  <c r="AP5" i="69"/>
  <c r="AQ5" i="69" s="1"/>
  <c r="AP6" i="69"/>
  <c r="AQ6" i="69" s="1"/>
  <c r="AP7" i="69"/>
  <c r="AQ7" i="69" s="1"/>
  <c r="AP8" i="69"/>
  <c r="AQ8" i="69" s="1"/>
  <c r="AP9" i="69"/>
  <c r="AP10" i="69"/>
  <c r="AP11" i="69"/>
  <c r="AP12" i="69"/>
  <c r="AQ12" i="69" s="1"/>
  <c r="AP13" i="69"/>
  <c r="AQ13" i="69" s="1"/>
  <c r="AP14" i="69"/>
  <c r="AQ14" i="69" s="1"/>
  <c r="AP15" i="69"/>
  <c r="AQ15" i="69" s="1"/>
  <c r="AP16" i="69"/>
  <c r="AQ16" i="69" s="1"/>
  <c r="AP17" i="69"/>
  <c r="AQ17" i="69" s="1"/>
  <c r="AP18" i="69"/>
  <c r="AQ18" i="69" s="1"/>
  <c r="AP19" i="69"/>
  <c r="AQ19" i="69" s="1"/>
  <c r="AP20" i="69"/>
  <c r="AQ20" i="69" s="1"/>
  <c r="AP21" i="69"/>
  <c r="AP22" i="69"/>
  <c r="AP23" i="69"/>
  <c r="AP24" i="69"/>
  <c r="AQ24" i="69" s="1"/>
  <c r="AP25" i="69"/>
  <c r="AQ25" i="69" s="1"/>
  <c r="AP26" i="69"/>
  <c r="AQ26" i="69" s="1"/>
  <c r="AP27" i="69"/>
  <c r="AQ27" i="69" s="1"/>
  <c r="AP28" i="69"/>
  <c r="AQ28" i="69" s="1"/>
  <c r="AP29" i="69"/>
  <c r="AQ29" i="69" s="1"/>
  <c r="AP30" i="69"/>
  <c r="AQ30" i="69" s="1"/>
  <c r="AP31" i="69"/>
  <c r="AQ31" i="69" s="1"/>
  <c r="AP32" i="69"/>
  <c r="AQ32" i="69" s="1"/>
  <c r="AP33" i="69"/>
  <c r="AP34" i="69"/>
  <c r="AP35" i="69"/>
  <c r="AP36" i="69"/>
  <c r="AQ36" i="69" s="1"/>
  <c r="AP37" i="69"/>
  <c r="AQ37" i="69" s="1"/>
  <c r="AP38" i="69"/>
  <c r="AQ38" i="69" s="1"/>
  <c r="AP39" i="69"/>
  <c r="AQ39" i="69" s="1"/>
  <c r="AP40" i="69"/>
  <c r="AQ40" i="69" s="1"/>
  <c r="AP41" i="69"/>
  <c r="AQ41" i="69" s="1"/>
  <c r="AP42" i="69"/>
  <c r="AQ42" i="69" s="1"/>
  <c r="AP43" i="69"/>
  <c r="AQ43" i="69" s="1"/>
  <c r="AP44" i="69"/>
  <c r="AQ44" i="69" s="1"/>
  <c r="AP45" i="69"/>
  <c r="AP46" i="69"/>
  <c r="AP47" i="69"/>
  <c r="AP48" i="69"/>
  <c r="AQ48" i="69" s="1"/>
  <c r="AP49" i="69"/>
  <c r="AQ49" i="69" s="1"/>
  <c r="AP50" i="69"/>
  <c r="AQ50" i="69" s="1"/>
  <c r="AP51" i="69"/>
  <c r="AQ51" i="69" s="1"/>
  <c r="AP52" i="69"/>
  <c r="AQ52" i="69" s="1"/>
  <c r="AP53" i="69"/>
  <c r="AQ53" i="69" s="1"/>
  <c r="AP54" i="69"/>
  <c r="AQ54" i="69" s="1"/>
  <c r="AP55" i="69"/>
  <c r="AQ55" i="69" s="1"/>
  <c r="AP56" i="69"/>
  <c r="AQ56" i="69" s="1"/>
  <c r="AP57" i="69"/>
  <c r="AP58" i="69"/>
  <c r="AP59" i="69"/>
  <c r="AP60" i="69"/>
  <c r="AQ60" i="69" s="1"/>
  <c r="AP61" i="69"/>
  <c r="AQ61" i="69" s="1"/>
  <c r="AP62" i="69"/>
  <c r="AQ62" i="69" s="1"/>
  <c r="AP63" i="69"/>
  <c r="AQ63" i="69" s="1"/>
  <c r="AP64" i="69"/>
  <c r="AQ64" i="69" s="1"/>
  <c r="AP65" i="69"/>
  <c r="AQ65" i="69" s="1"/>
  <c r="AP66" i="69"/>
  <c r="AQ66" i="69" s="1"/>
  <c r="AP67" i="69"/>
  <c r="AQ67" i="69" s="1"/>
  <c r="AP68" i="69"/>
  <c r="AQ68" i="69" s="1"/>
  <c r="AP69" i="69"/>
  <c r="AP70" i="69"/>
  <c r="AP71" i="69"/>
  <c r="AP72" i="69"/>
  <c r="AQ72" i="69" s="1"/>
  <c r="AP73" i="69"/>
  <c r="AQ73" i="69" s="1"/>
  <c r="AP74" i="69"/>
  <c r="AQ74" i="69" s="1"/>
  <c r="AP75" i="69"/>
  <c r="AQ75" i="69" s="1"/>
  <c r="AP76" i="69"/>
  <c r="AQ76" i="69" s="1"/>
  <c r="AP77" i="69"/>
  <c r="AQ77" i="69" s="1"/>
  <c r="AP78" i="69"/>
  <c r="AQ78" i="69" s="1"/>
  <c r="AP79" i="69"/>
  <c r="AQ79" i="69" s="1"/>
  <c r="AP80" i="69"/>
  <c r="AQ80" i="69" s="1"/>
  <c r="AP81" i="69"/>
  <c r="AP82" i="69"/>
  <c r="AP83" i="69"/>
  <c r="AP84" i="69"/>
  <c r="AQ84" i="69" s="1"/>
  <c r="AP85" i="69"/>
  <c r="AQ85" i="69" s="1"/>
  <c r="AP86" i="69"/>
  <c r="AQ86" i="69" s="1"/>
  <c r="AP87" i="69"/>
  <c r="AQ87" i="69" s="1"/>
  <c r="AP88" i="69"/>
  <c r="AQ88" i="69" s="1"/>
  <c r="AP89" i="69"/>
  <c r="AQ89" i="69" s="1"/>
  <c r="AP90" i="69"/>
  <c r="AQ90" i="69" s="1"/>
  <c r="AP91" i="69"/>
  <c r="AQ91" i="69" s="1"/>
  <c r="AP92" i="69"/>
  <c r="AQ92" i="69" s="1"/>
  <c r="AP93" i="69"/>
  <c r="AP94" i="69"/>
  <c r="AP95" i="69"/>
  <c r="AP96" i="69"/>
  <c r="AQ96" i="69" s="1"/>
  <c r="AP97" i="69"/>
  <c r="AQ97" i="69" s="1"/>
  <c r="AP98" i="69"/>
  <c r="AQ98" i="69" s="1"/>
  <c r="AP99" i="69"/>
  <c r="AQ99" i="69" s="1"/>
  <c r="AP100" i="69"/>
  <c r="AQ100" i="69" s="1"/>
  <c r="AP101" i="69"/>
  <c r="AQ101" i="69" s="1"/>
  <c r="AP102" i="69"/>
  <c r="AQ102" i="69" s="1"/>
  <c r="AP103" i="69"/>
  <c r="AQ103" i="69" s="1"/>
  <c r="AP104" i="69"/>
  <c r="AQ104" i="69" s="1"/>
  <c r="AP105" i="69"/>
  <c r="AP106" i="69"/>
  <c r="AP107" i="69"/>
  <c r="AP108" i="69"/>
  <c r="AQ108" i="69" s="1"/>
  <c r="AP109" i="69"/>
  <c r="AQ109" i="69" s="1"/>
  <c r="AP110" i="69"/>
  <c r="AQ110" i="69" s="1"/>
  <c r="AP111" i="69"/>
  <c r="AQ111" i="69" s="1"/>
  <c r="AP112" i="69"/>
  <c r="AQ112" i="69" s="1"/>
  <c r="AP113" i="69"/>
  <c r="AQ113" i="69" s="1"/>
  <c r="AP114" i="69"/>
  <c r="AQ114" i="69" s="1"/>
  <c r="AP115" i="69"/>
  <c r="AQ115" i="69" s="1"/>
  <c r="AP116" i="69"/>
  <c r="AQ116" i="69" s="1"/>
  <c r="AP117" i="69"/>
  <c r="AP118" i="69"/>
  <c r="AP119" i="69"/>
  <c r="AP120" i="69"/>
  <c r="AQ120" i="69" s="1"/>
  <c r="AP121" i="69"/>
  <c r="AQ121" i="69" s="1"/>
  <c r="AP122" i="69"/>
  <c r="AQ122" i="69" s="1"/>
  <c r="AP123" i="69"/>
  <c r="AQ123" i="69" s="1"/>
  <c r="AP124" i="69"/>
  <c r="AQ124" i="69" s="1"/>
  <c r="AP125" i="69"/>
  <c r="AQ125" i="69" s="1"/>
  <c r="AP126" i="69"/>
  <c r="AQ126" i="69" s="1"/>
  <c r="AP127" i="69"/>
  <c r="AQ127" i="69" s="1"/>
  <c r="AP128" i="69"/>
  <c r="AQ128" i="69" s="1"/>
  <c r="AP129" i="69"/>
  <c r="AP130" i="69"/>
  <c r="AP131" i="69"/>
  <c r="AP132" i="69"/>
  <c r="AQ132" i="69" s="1"/>
  <c r="AP133" i="69"/>
  <c r="AQ133" i="69" s="1"/>
  <c r="AP134" i="69"/>
  <c r="AQ134" i="69" s="1"/>
  <c r="AP135" i="69"/>
  <c r="AQ135" i="69" s="1"/>
  <c r="AP136" i="69"/>
  <c r="AQ136" i="69" s="1"/>
  <c r="AP137" i="69"/>
  <c r="AQ137" i="69" s="1"/>
  <c r="AP138" i="69"/>
  <c r="AQ138" i="69" s="1"/>
  <c r="AP139" i="69"/>
  <c r="AQ139" i="69" s="1"/>
  <c r="AP140" i="69"/>
  <c r="AQ140" i="69" s="1"/>
  <c r="AP141" i="69"/>
  <c r="AP142" i="69"/>
  <c r="AP143" i="69"/>
  <c r="AP144" i="69"/>
  <c r="AQ144" i="69" s="1"/>
  <c r="AP145" i="69"/>
  <c r="AQ145" i="69" s="1"/>
  <c r="AP146" i="69"/>
  <c r="AQ146" i="69" s="1"/>
  <c r="AP147" i="69"/>
  <c r="AQ147" i="69" s="1"/>
  <c r="AP148" i="69"/>
  <c r="AQ148" i="69" s="1"/>
  <c r="AP149" i="69"/>
  <c r="AQ149" i="69" s="1"/>
  <c r="AP150" i="69"/>
  <c r="AQ150" i="69" s="1"/>
  <c r="AP151" i="69"/>
  <c r="AQ151" i="69" s="1"/>
  <c r="AP152" i="69"/>
  <c r="AQ152" i="69" s="1"/>
  <c r="AP153" i="69"/>
  <c r="AP154" i="69"/>
  <c r="AP155" i="69"/>
  <c r="AP156" i="69"/>
  <c r="AQ156" i="69" s="1"/>
  <c r="AP157" i="69"/>
  <c r="AQ157" i="69" s="1"/>
  <c r="AP158" i="69"/>
  <c r="AQ158" i="69" s="1"/>
  <c r="AP159" i="69"/>
  <c r="AQ159" i="69" s="1"/>
  <c r="AP160" i="69"/>
  <c r="AQ160" i="69" s="1"/>
  <c r="AP161" i="69"/>
  <c r="AQ161" i="69" s="1"/>
  <c r="AP162" i="69"/>
  <c r="AQ162" i="69" s="1"/>
  <c r="AP163" i="69"/>
  <c r="AQ163" i="69" s="1"/>
  <c r="AP164" i="69"/>
  <c r="AQ164" i="69" s="1"/>
  <c r="AP165" i="69"/>
  <c r="AP166" i="69"/>
  <c r="AP167" i="69"/>
  <c r="AP168" i="69"/>
  <c r="AQ168" i="69" s="1"/>
  <c r="AP169" i="69"/>
  <c r="AQ169" i="69" s="1"/>
  <c r="AP170" i="69"/>
  <c r="AQ170" i="69" s="1"/>
  <c r="AP171" i="69"/>
  <c r="AQ171" i="69" s="1"/>
  <c r="AP172" i="69"/>
  <c r="AQ172" i="69" s="1"/>
  <c r="AP173" i="69"/>
  <c r="AQ173" i="69" s="1"/>
  <c r="AP174" i="69"/>
  <c r="AQ174" i="69" s="1"/>
  <c r="AP175" i="69"/>
  <c r="AQ175" i="69" s="1"/>
  <c r="AP176" i="69"/>
  <c r="AQ176" i="69" s="1"/>
  <c r="AP177" i="69"/>
  <c r="AP178" i="69"/>
  <c r="AP179" i="69"/>
  <c r="AP180" i="69"/>
  <c r="AQ180" i="69" s="1"/>
  <c r="AP181" i="69"/>
  <c r="AQ181" i="69" s="1"/>
  <c r="AP182" i="69"/>
  <c r="AQ182" i="69" s="1"/>
  <c r="AP183" i="69"/>
  <c r="AQ183" i="69" s="1"/>
  <c r="AP184" i="69"/>
  <c r="AQ184" i="69" s="1"/>
  <c r="AP2" i="69"/>
  <c r="AQ2" i="69" s="1"/>
  <c r="AM185" i="69" l="1"/>
  <c r="AE185" i="69" l="1"/>
  <c r="AF185" i="69"/>
  <c r="AA185" i="69" l="1"/>
  <c r="AL185" i="69" l="1"/>
  <c r="AK185" i="69"/>
  <c r="AJ185" i="69"/>
  <c r="AI185" i="69"/>
  <c r="AH185" i="69"/>
  <c r="AG185" i="69"/>
  <c r="AD185" i="69"/>
  <c r="AC185" i="69"/>
  <c r="AB185" i="69"/>
  <c r="Z185" i="69"/>
  <c r="Y185" i="69"/>
  <c r="X185" i="69"/>
  <c r="W185" i="69"/>
  <c r="V185" i="69"/>
  <c r="U185" i="69"/>
  <c r="T185" i="69"/>
  <c r="S185" i="69"/>
  <c r="R185" i="69"/>
  <c r="Q185" i="69"/>
  <c r="P185" i="69"/>
  <c r="O185" i="69"/>
  <c r="N185" i="69"/>
  <c r="M185" i="69"/>
  <c r="L185" i="69"/>
  <c r="K185" i="69"/>
  <c r="I185" i="69"/>
  <c r="AP185" i="69" l="1"/>
  <c r="AQ185" i="69" s="1"/>
  <c r="AM169" i="66"/>
  <c r="AM168" i="66"/>
  <c r="AM167" i="66"/>
  <c r="AM166" i="66"/>
  <c r="AM165" i="66"/>
  <c r="AM164" i="66"/>
  <c r="AM163" i="66"/>
  <c r="AM162" i="66"/>
  <c r="AM161" i="66"/>
  <c r="AM158" i="66"/>
  <c r="AM157" i="66"/>
  <c r="AM156" i="66"/>
  <c r="AM155" i="66"/>
  <c r="AM153" i="66"/>
  <c r="AM151" i="66"/>
  <c r="AM150" i="66"/>
  <c r="AM149" i="66"/>
  <c r="AM147" i="66"/>
  <c r="AM146" i="66"/>
  <c r="AM145" i="66"/>
  <c r="AM144" i="66"/>
  <c r="AM143" i="66"/>
  <c r="AM142" i="66"/>
  <c r="AM141" i="66"/>
  <c r="AM138" i="66"/>
  <c r="AM137" i="66"/>
  <c r="AM133" i="66"/>
  <c r="AM132" i="66"/>
  <c r="AM131" i="66"/>
  <c r="AM130" i="66"/>
  <c r="AM125" i="66"/>
  <c r="AM120" i="66"/>
  <c r="AM119" i="66"/>
  <c r="AM118" i="66"/>
  <c r="AM116" i="66"/>
  <c r="AM115" i="66"/>
  <c r="AM113" i="66"/>
  <c r="AM111" i="66"/>
  <c r="AM110" i="66"/>
  <c r="AM109" i="66"/>
  <c r="AM108" i="66"/>
  <c r="AM107" i="66"/>
  <c r="AM106" i="66"/>
  <c r="AM105" i="66"/>
  <c r="AM104" i="66"/>
  <c r="AM102" i="66"/>
  <c r="AM101" i="66"/>
  <c r="AM100" i="66"/>
  <c r="AM99" i="66"/>
  <c r="AM98" i="66"/>
  <c r="AM95" i="66"/>
  <c r="AM94" i="66"/>
  <c r="AM93" i="66"/>
  <c r="AM92" i="66"/>
  <c r="AM90" i="66"/>
  <c r="AM89" i="66"/>
  <c r="AM87" i="66"/>
  <c r="AM86" i="66"/>
  <c r="AM81" i="66"/>
  <c r="AM74" i="66"/>
  <c r="AM72" i="66"/>
  <c r="AM71" i="66"/>
  <c r="AM70" i="66"/>
  <c r="AM69" i="66"/>
  <c r="AM68" i="66"/>
  <c r="AM67" i="66"/>
  <c r="AM65" i="66"/>
  <c r="AM64" i="66"/>
  <c r="AM61" i="66"/>
  <c r="AM57" i="66"/>
  <c r="AM56" i="66"/>
  <c r="AM55" i="66"/>
  <c r="AM54" i="66"/>
  <c r="AM53" i="66"/>
  <c r="AM51" i="66"/>
  <c r="AM50" i="66"/>
  <c r="AM47" i="66"/>
  <c r="AM46" i="66"/>
  <c r="AM45" i="66"/>
  <c r="AM44" i="66"/>
  <c r="AM42" i="66"/>
  <c r="AM39" i="66"/>
  <c r="AM38" i="66"/>
  <c r="AM35" i="66"/>
  <c r="AM33" i="66"/>
  <c r="AM26" i="66"/>
  <c r="AM21" i="66"/>
  <c r="AM16" i="66"/>
  <c r="AM14" i="66"/>
  <c r="AM11" i="66"/>
  <c r="AM10" i="66"/>
  <c r="AM5" i="66"/>
  <c r="AM4" i="66"/>
  <c r="AM2" i="66"/>
  <c r="AM3" i="66" l="1"/>
  <c r="AN3" i="66" s="1"/>
  <c r="AN4" i="66"/>
  <c r="AN5" i="66"/>
  <c r="AM6" i="66"/>
  <c r="AN6" i="66" s="1"/>
  <c r="AM7" i="66"/>
  <c r="AN7" i="66" s="1"/>
  <c r="AM8" i="66"/>
  <c r="AN8" i="66" s="1"/>
  <c r="AM9" i="66"/>
  <c r="AN9" i="66" s="1"/>
  <c r="AN10" i="66"/>
  <c r="AN11" i="66"/>
  <c r="AM12" i="66"/>
  <c r="AN12" i="66" s="1"/>
  <c r="AM13" i="66"/>
  <c r="AN13" i="66" s="1"/>
  <c r="AN14" i="66"/>
  <c r="AM15" i="66"/>
  <c r="AN15" i="66" s="1"/>
  <c r="AN16" i="66"/>
  <c r="AM17" i="66"/>
  <c r="AN17" i="66" s="1"/>
  <c r="AM18" i="66"/>
  <c r="AN18" i="66" s="1"/>
  <c r="AM19" i="66"/>
  <c r="AN19" i="66" s="1"/>
  <c r="AM20" i="66"/>
  <c r="AN20" i="66" s="1"/>
  <c r="AN21" i="66"/>
  <c r="AM22" i="66"/>
  <c r="AN22" i="66" s="1"/>
  <c r="AM23" i="66"/>
  <c r="AN23" i="66" s="1"/>
  <c r="AM24" i="66"/>
  <c r="AN24" i="66" s="1"/>
  <c r="AM25" i="66"/>
  <c r="AN25" i="66" s="1"/>
  <c r="AN26" i="66"/>
  <c r="AM27" i="66"/>
  <c r="AN27" i="66" s="1"/>
  <c r="AM28" i="66"/>
  <c r="AN28" i="66" s="1"/>
  <c r="AM29" i="66"/>
  <c r="AN29" i="66" s="1"/>
  <c r="AM30" i="66"/>
  <c r="AN30" i="66" s="1"/>
  <c r="AM31" i="66"/>
  <c r="AN31" i="66" s="1"/>
  <c r="AM32" i="66"/>
  <c r="AN32" i="66" s="1"/>
  <c r="AN33" i="66"/>
  <c r="AM34" i="66"/>
  <c r="AN34" i="66" s="1"/>
  <c r="AN35" i="66"/>
  <c r="AM36" i="66"/>
  <c r="AN36" i="66" s="1"/>
  <c r="AM37" i="66"/>
  <c r="AN37" i="66" s="1"/>
  <c r="AN38" i="66"/>
  <c r="AN39" i="66"/>
  <c r="AM40" i="66"/>
  <c r="AN40" i="66" s="1"/>
  <c r="AM41" i="66"/>
  <c r="AN41" i="66" s="1"/>
  <c r="AN42" i="66"/>
  <c r="AM43" i="66"/>
  <c r="AN43" i="66" s="1"/>
  <c r="AN44" i="66"/>
  <c r="AN45" i="66"/>
  <c r="AN46" i="66"/>
  <c r="AN47" i="66"/>
  <c r="AM48" i="66"/>
  <c r="AN48" i="66" s="1"/>
  <c r="AM49" i="66"/>
  <c r="AN49" i="66" s="1"/>
  <c r="AN50" i="66"/>
  <c r="AN51" i="66"/>
  <c r="AM52" i="66"/>
  <c r="AN52" i="66" s="1"/>
  <c r="AN53" i="66"/>
  <c r="AN54" i="66"/>
  <c r="AN55" i="66"/>
  <c r="AN56" i="66"/>
  <c r="AN57" i="66"/>
  <c r="AM58" i="66"/>
  <c r="AN58" i="66" s="1"/>
  <c r="AM59" i="66"/>
  <c r="AN59" i="66" s="1"/>
  <c r="AM60" i="66"/>
  <c r="AN60" i="66" s="1"/>
  <c r="AN61" i="66"/>
  <c r="AM62" i="66"/>
  <c r="AN62" i="66" s="1"/>
  <c r="AM63" i="66"/>
  <c r="AN63" i="66" s="1"/>
  <c r="AN64" i="66"/>
  <c r="AN65" i="66"/>
  <c r="AM66" i="66"/>
  <c r="AN66" i="66" s="1"/>
  <c r="AN67" i="66"/>
  <c r="AN68" i="66"/>
  <c r="AN69" i="66"/>
  <c r="AN70" i="66"/>
  <c r="AN71" i="66"/>
  <c r="AN72" i="66"/>
  <c r="AM73" i="66"/>
  <c r="AN73" i="66" s="1"/>
  <c r="AN74" i="66"/>
  <c r="AM75" i="66"/>
  <c r="AN75" i="66" s="1"/>
  <c r="AM76" i="66"/>
  <c r="AN76" i="66" s="1"/>
  <c r="AM77" i="66"/>
  <c r="AN77" i="66" s="1"/>
  <c r="AM78" i="66"/>
  <c r="AN78" i="66" s="1"/>
  <c r="AM79" i="66"/>
  <c r="AN79" i="66" s="1"/>
  <c r="AM80" i="66"/>
  <c r="AN80" i="66" s="1"/>
  <c r="AN81" i="66"/>
  <c r="AM82" i="66"/>
  <c r="AN82" i="66" s="1"/>
  <c r="AM83" i="66"/>
  <c r="AN83" i="66" s="1"/>
  <c r="AM84" i="66"/>
  <c r="AN84" i="66" s="1"/>
  <c r="AM85" i="66"/>
  <c r="AN85" i="66" s="1"/>
  <c r="AN86" i="66"/>
  <c r="AN87" i="66"/>
  <c r="AM88" i="66"/>
  <c r="AN88" i="66" s="1"/>
  <c r="AN89" i="66"/>
  <c r="AN90" i="66"/>
  <c r="AM91" i="66"/>
  <c r="AN91" i="66" s="1"/>
  <c r="AN92" i="66"/>
  <c r="AN93" i="66"/>
  <c r="AN94" i="66"/>
  <c r="AN95" i="66"/>
  <c r="AM96" i="66"/>
  <c r="AN96" i="66" s="1"/>
  <c r="AM97" i="66"/>
  <c r="AN97" i="66" s="1"/>
  <c r="AN98" i="66"/>
  <c r="AN99" i="66"/>
  <c r="AN100" i="66"/>
  <c r="AN101" i="66"/>
  <c r="AN102" i="66"/>
  <c r="AM103" i="66"/>
  <c r="AN103" i="66" s="1"/>
  <c r="AN104" i="66"/>
  <c r="AN105" i="66"/>
  <c r="AN106" i="66"/>
  <c r="AN107" i="66"/>
  <c r="AN108" i="66"/>
  <c r="AN109" i="66"/>
  <c r="AN110" i="66"/>
  <c r="AN111" i="66"/>
  <c r="AM112" i="66"/>
  <c r="AN112" i="66" s="1"/>
  <c r="AN113" i="66"/>
  <c r="AM114" i="66"/>
  <c r="AN114" i="66" s="1"/>
  <c r="AN115" i="66"/>
  <c r="AN116" i="66"/>
  <c r="AM117" i="66"/>
  <c r="AN117" i="66" s="1"/>
  <c r="AN118" i="66"/>
  <c r="AN119" i="66"/>
  <c r="AN120" i="66"/>
  <c r="AM121" i="66"/>
  <c r="AN121" i="66" s="1"/>
  <c r="AM122" i="66"/>
  <c r="AN122" i="66" s="1"/>
  <c r="AM123" i="66"/>
  <c r="AN123" i="66" s="1"/>
  <c r="AM124" i="66"/>
  <c r="AN124" i="66" s="1"/>
  <c r="AN125" i="66"/>
  <c r="AM126" i="66"/>
  <c r="AN126" i="66" s="1"/>
  <c r="AM127" i="66"/>
  <c r="AN127" i="66" s="1"/>
  <c r="AM128" i="66"/>
  <c r="AN128" i="66" s="1"/>
  <c r="AM129" i="66"/>
  <c r="AN129" i="66" s="1"/>
  <c r="AN130" i="66"/>
  <c r="AN131" i="66"/>
  <c r="AN132" i="66"/>
  <c r="AN133" i="66"/>
  <c r="AM134" i="66"/>
  <c r="AN134" i="66" s="1"/>
  <c r="AM135" i="66"/>
  <c r="AN135" i="66" s="1"/>
  <c r="AM136" i="66"/>
  <c r="AN136" i="66" s="1"/>
  <c r="AN137" i="66"/>
  <c r="AN138" i="66"/>
  <c r="AM139" i="66"/>
  <c r="AN139" i="66" s="1"/>
  <c r="AM140" i="66"/>
  <c r="AN140" i="66" s="1"/>
  <c r="AN141" i="66"/>
  <c r="AN142" i="66"/>
  <c r="AN143" i="66"/>
  <c r="AN144" i="66"/>
  <c r="AN145" i="66"/>
  <c r="AN146" i="66"/>
  <c r="AN147" i="66"/>
  <c r="AM148" i="66"/>
  <c r="AN148" i="66" s="1"/>
  <c r="AN149" i="66"/>
  <c r="AN150" i="66"/>
  <c r="AN151" i="66"/>
  <c r="AM152" i="66"/>
  <c r="AN152" i="66" s="1"/>
  <c r="AN153" i="66"/>
  <c r="AM154" i="66"/>
  <c r="AN154" i="66" s="1"/>
  <c r="AN155" i="66"/>
  <c r="AN156" i="66"/>
  <c r="AN157" i="66"/>
  <c r="AN158" i="66"/>
  <c r="AM159" i="66"/>
  <c r="AN159" i="66" s="1"/>
  <c r="AM160" i="66"/>
  <c r="AN160" i="66" s="1"/>
  <c r="AN161" i="66"/>
  <c r="AN162" i="66"/>
  <c r="AN163" i="66"/>
  <c r="AN164" i="66"/>
  <c r="AN165" i="66"/>
  <c r="AN166" i="66"/>
  <c r="AN167" i="66"/>
  <c r="AN168" i="66"/>
  <c r="AN169" i="66"/>
  <c r="AN2" i="66"/>
  <c r="AL170" i="66" l="1"/>
  <c r="AK170" i="66"/>
  <c r="AJ170" i="66"/>
  <c r="AI170" i="66"/>
  <c r="W170" i="66" l="1"/>
  <c r="K149" i="63" l="1"/>
  <c r="K136" i="63"/>
  <c r="K134" i="63"/>
  <c r="K122" i="63"/>
  <c r="K120" i="63"/>
  <c r="K106" i="63"/>
  <c r="K104" i="63"/>
  <c r="K94" i="63"/>
  <c r="K92" i="63"/>
  <c r="K82" i="63"/>
  <c r="K80" i="63"/>
  <c r="K70" i="63"/>
  <c r="K68" i="63"/>
  <c r="K58" i="63"/>
  <c r="K56" i="63"/>
  <c r="K45" i="63"/>
  <c r="K43" i="63"/>
  <c r="K32" i="63"/>
  <c r="K28" i="63"/>
  <c r="K12" i="63"/>
  <c r="K10" i="63"/>
  <c r="K151" i="63"/>
  <c r="K143" i="63"/>
  <c r="K130" i="63"/>
  <c r="K127" i="63"/>
  <c r="K113" i="63"/>
  <c r="K111" i="63"/>
  <c r="K110" i="63"/>
  <c r="K109" i="63"/>
  <c r="K53" i="63"/>
  <c r="K37" i="63"/>
  <c r="K29" i="63"/>
  <c r="K22" i="63"/>
  <c r="K15" i="63"/>
  <c r="K8" i="63"/>
  <c r="K7" i="63"/>
  <c r="I159" i="63"/>
  <c r="K159" i="63" s="1"/>
  <c r="I158" i="63"/>
  <c r="K158" i="63" s="1"/>
  <c r="I157" i="63"/>
  <c r="K157" i="63" s="1"/>
  <c r="I156" i="63"/>
  <c r="K156" i="63" s="1"/>
  <c r="I155" i="63"/>
  <c r="K155" i="63" s="1"/>
  <c r="I154" i="63"/>
  <c r="K154" i="63" s="1"/>
  <c r="I153" i="63"/>
  <c r="K153" i="63" s="1"/>
  <c r="I152" i="63"/>
  <c r="K152" i="63" s="1"/>
  <c r="I151" i="63"/>
  <c r="I150" i="63"/>
  <c r="K150" i="63" s="1"/>
  <c r="I149" i="63"/>
  <c r="I148" i="63"/>
  <c r="K148" i="63" s="1"/>
  <c r="I147" i="63"/>
  <c r="K147" i="63" s="1"/>
  <c r="I146" i="63"/>
  <c r="K146" i="63" s="1"/>
  <c r="I145" i="63"/>
  <c r="K145" i="63" s="1"/>
  <c r="I144" i="63"/>
  <c r="K144" i="63" s="1"/>
  <c r="I143" i="63"/>
  <c r="I142" i="63"/>
  <c r="K142" i="63" s="1"/>
  <c r="I141" i="63"/>
  <c r="K141" i="63" s="1"/>
  <c r="I140" i="63"/>
  <c r="K140" i="63" s="1"/>
  <c r="I139" i="63"/>
  <c r="K139" i="63" s="1"/>
  <c r="I138" i="63"/>
  <c r="K138" i="63" s="1"/>
  <c r="I137" i="63"/>
  <c r="K137" i="63" s="1"/>
  <c r="I136" i="63"/>
  <c r="I135" i="63"/>
  <c r="K135" i="63" s="1"/>
  <c r="I134" i="63"/>
  <c r="I133" i="63"/>
  <c r="K133" i="63" s="1"/>
  <c r="I132" i="63"/>
  <c r="K132" i="63" s="1"/>
  <c r="I131" i="63"/>
  <c r="K131" i="63" s="1"/>
  <c r="I130" i="63"/>
  <c r="I129" i="63"/>
  <c r="K129" i="63" s="1"/>
  <c r="I128" i="63"/>
  <c r="K128" i="63" s="1"/>
  <c r="I127" i="63"/>
  <c r="I126" i="63"/>
  <c r="K126" i="63" s="1"/>
  <c r="I125" i="63"/>
  <c r="K125" i="63" s="1"/>
  <c r="I124" i="63"/>
  <c r="K124" i="63" s="1"/>
  <c r="I123" i="63"/>
  <c r="K123" i="63" s="1"/>
  <c r="I122" i="63"/>
  <c r="I121" i="63"/>
  <c r="K121" i="63" s="1"/>
  <c r="I120" i="63"/>
  <c r="I119" i="63"/>
  <c r="K119" i="63" s="1"/>
  <c r="I118" i="63"/>
  <c r="K118" i="63" s="1"/>
  <c r="I117" i="63"/>
  <c r="K117" i="63" s="1"/>
  <c r="I116" i="63"/>
  <c r="K116" i="63" s="1"/>
  <c r="I115" i="63"/>
  <c r="K115" i="63" s="1"/>
  <c r="I114" i="63"/>
  <c r="K114" i="63" s="1"/>
  <c r="I113" i="63"/>
  <c r="I112" i="63"/>
  <c r="K112" i="63" s="1"/>
  <c r="I111" i="63"/>
  <c r="I110" i="63"/>
  <c r="I109" i="63"/>
  <c r="I108" i="63"/>
  <c r="K108" i="63" s="1"/>
  <c r="I107" i="63"/>
  <c r="K107" i="63" s="1"/>
  <c r="I106" i="63"/>
  <c r="I105" i="63"/>
  <c r="K105" i="63" s="1"/>
  <c r="I104" i="63"/>
  <c r="I103" i="63"/>
  <c r="K103" i="63" s="1"/>
  <c r="I102" i="63"/>
  <c r="K102" i="63" s="1"/>
  <c r="I101" i="63"/>
  <c r="K101" i="63" s="1"/>
  <c r="I100" i="63"/>
  <c r="K100" i="63" s="1"/>
  <c r="I99" i="63"/>
  <c r="K99" i="63" s="1"/>
  <c r="I98" i="63"/>
  <c r="K98" i="63" s="1"/>
  <c r="I97" i="63"/>
  <c r="K97" i="63" s="1"/>
  <c r="I96" i="63"/>
  <c r="K96" i="63" s="1"/>
  <c r="I95" i="63"/>
  <c r="K95" i="63" s="1"/>
  <c r="I94" i="63"/>
  <c r="I93" i="63"/>
  <c r="K93" i="63" s="1"/>
  <c r="I92" i="63"/>
  <c r="I91" i="63"/>
  <c r="K91" i="63" s="1"/>
  <c r="I90" i="63"/>
  <c r="K90" i="63" s="1"/>
  <c r="I89" i="63"/>
  <c r="K89" i="63" s="1"/>
  <c r="I88" i="63"/>
  <c r="K88" i="63" s="1"/>
  <c r="I87" i="63"/>
  <c r="K87" i="63" s="1"/>
  <c r="I86" i="63"/>
  <c r="K86" i="63" s="1"/>
  <c r="I85" i="63"/>
  <c r="K85" i="63" s="1"/>
  <c r="I84" i="63"/>
  <c r="K84" i="63" s="1"/>
  <c r="I83" i="63"/>
  <c r="K83" i="63" s="1"/>
  <c r="I82" i="63"/>
  <c r="I81" i="63"/>
  <c r="K81" i="63" s="1"/>
  <c r="I80" i="63"/>
  <c r="I79" i="63"/>
  <c r="K79" i="63" s="1"/>
  <c r="I78" i="63"/>
  <c r="K78" i="63" s="1"/>
  <c r="I77" i="63"/>
  <c r="K77" i="63" s="1"/>
  <c r="I76" i="63"/>
  <c r="K76" i="63" s="1"/>
  <c r="I75" i="63"/>
  <c r="K75" i="63" s="1"/>
  <c r="I74" i="63"/>
  <c r="K74" i="63" s="1"/>
  <c r="I73" i="63"/>
  <c r="K73" i="63" s="1"/>
  <c r="I72" i="63"/>
  <c r="K72" i="63" s="1"/>
  <c r="I71" i="63"/>
  <c r="K71" i="63" s="1"/>
  <c r="I70" i="63"/>
  <c r="I69" i="63"/>
  <c r="K69" i="63" s="1"/>
  <c r="I68" i="63"/>
  <c r="I67" i="63"/>
  <c r="K67" i="63" s="1"/>
  <c r="I66" i="63"/>
  <c r="K66" i="63" s="1"/>
  <c r="I65" i="63"/>
  <c r="K65" i="63" s="1"/>
  <c r="I64" i="63"/>
  <c r="K64" i="63" s="1"/>
  <c r="I63" i="63"/>
  <c r="K63" i="63" s="1"/>
  <c r="I62" i="63"/>
  <c r="K62" i="63" s="1"/>
  <c r="I61" i="63"/>
  <c r="K61" i="63" s="1"/>
  <c r="I60" i="63"/>
  <c r="K60" i="63" s="1"/>
  <c r="I59" i="63"/>
  <c r="K59" i="63" s="1"/>
  <c r="I58" i="63"/>
  <c r="I57" i="63"/>
  <c r="K57" i="63" s="1"/>
  <c r="I56" i="63"/>
  <c r="I55" i="63"/>
  <c r="K55" i="63" s="1"/>
  <c r="I54" i="63"/>
  <c r="K54" i="63" s="1"/>
  <c r="I53" i="63"/>
  <c r="I52" i="63"/>
  <c r="K52" i="63" s="1"/>
  <c r="I51" i="63"/>
  <c r="K51" i="63" s="1"/>
  <c r="I50" i="63"/>
  <c r="K50" i="63" s="1"/>
  <c r="I49" i="63"/>
  <c r="K49" i="63" s="1"/>
  <c r="I48" i="63"/>
  <c r="K48" i="63" s="1"/>
  <c r="I47" i="63"/>
  <c r="K47" i="63" s="1"/>
  <c r="I46" i="63"/>
  <c r="K46" i="63" s="1"/>
  <c r="I45" i="63"/>
  <c r="I44" i="63"/>
  <c r="K44" i="63" s="1"/>
  <c r="I43" i="63"/>
  <c r="I42" i="63"/>
  <c r="K42" i="63" s="1"/>
  <c r="I41" i="63"/>
  <c r="K41" i="63" s="1"/>
  <c r="I40" i="63"/>
  <c r="K40" i="63" s="1"/>
  <c r="I39" i="63"/>
  <c r="K39" i="63" s="1"/>
  <c r="I38" i="63"/>
  <c r="K38" i="63" s="1"/>
  <c r="I37" i="63"/>
  <c r="I36" i="63"/>
  <c r="K36" i="63" s="1"/>
  <c r="I35" i="63"/>
  <c r="K35" i="63" s="1"/>
  <c r="I34" i="63"/>
  <c r="K34" i="63" s="1"/>
  <c r="I33" i="63"/>
  <c r="K33" i="63" s="1"/>
  <c r="I32" i="63"/>
  <c r="I31" i="63"/>
  <c r="K31" i="63" s="1"/>
  <c r="I30" i="63"/>
  <c r="I29" i="63"/>
  <c r="I28" i="63"/>
  <c r="I27" i="63"/>
  <c r="K27" i="63" s="1"/>
  <c r="I26" i="63"/>
  <c r="K26" i="63" s="1"/>
  <c r="I25" i="63"/>
  <c r="K25" i="63" s="1"/>
  <c r="I24" i="63"/>
  <c r="I23" i="63"/>
  <c r="I22" i="63"/>
  <c r="I21" i="63"/>
  <c r="K21" i="63" s="1"/>
  <c r="I20" i="63"/>
  <c r="K20" i="63" s="1"/>
  <c r="I19" i="63"/>
  <c r="I18" i="63"/>
  <c r="K18" i="63" s="1"/>
  <c r="I17" i="63"/>
  <c r="K17" i="63" s="1"/>
  <c r="I16" i="63"/>
  <c r="K16" i="63" s="1"/>
  <c r="I15" i="63"/>
  <c r="I14" i="63"/>
  <c r="K14" i="63" s="1"/>
  <c r="I13" i="63"/>
  <c r="I12" i="63"/>
  <c r="I11" i="63"/>
  <c r="K11" i="63" s="1"/>
  <c r="I10" i="63"/>
  <c r="I9" i="63"/>
  <c r="K9" i="63" s="1"/>
  <c r="I8" i="63"/>
  <c r="I7" i="63"/>
  <c r="I6" i="63"/>
  <c r="K6" i="63" s="1"/>
  <c r="I5" i="63"/>
  <c r="K5" i="63" s="1"/>
  <c r="I4" i="63"/>
  <c r="K4" i="63" s="1"/>
  <c r="I3" i="63"/>
  <c r="K3" i="63" s="1"/>
  <c r="I2" i="63"/>
  <c r="K2" i="63" s="1"/>
  <c r="AR159" i="63" l="1"/>
  <c r="AR158" i="63"/>
  <c r="AR157" i="63"/>
  <c r="AR156" i="63"/>
  <c r="AR155" i="63"/>
  <c r="AR154" i="63"/>
  <c r="AR153" i="63"/>
  <c r="AR152" i="63"/>
  <c r="AR151" i="63"/>
  <c r="AR149" i="63"/>
  <c r="AR148" i="63"/>
  <c r="AR147" i="63"/>
  <c r="AR146" i="63"/>
  <c r="AR143" i="63"/>
  <c r="AR141" i="63"/>
  <c r="AR140" i="63"/>
  <c r="AR139" i="63"/>
  <c r="AR137" i="63"/>
  <c r="AR136" i="63"/>
  <c r="AR135" i="63"/>
  <c r="AR134" i="63"/>
  <c r="AR133" i="63"/>
  <c r="AR132" i="63"/>
  <c r="AR131" i="63"/>
  <c r="AR130" i="63"/>
  <c r="AR128" i="63"/>
  <c r="AR127" i="63"/>
  <c r="AR126" i="63"/>
  <c r="AR123" i="63"/>
  <c r="AR122" i="63"/>
  <c r="AR121" i="63"/>
  <c r="AR120" i="63"/>
  <c r="AR119" i="63"/>
  <c r="AR116" i="63"/>
  <c r="AR113" i="63"/>
  <c r="AR111" i="63"/>
  <c r="AR110" i="63"/>
  <c r="AR109" i="63"/>
  <c r="AR106" i="63"/>
  <c r="AR104" i="63"/>
  <c r="AR103" i="63"/>
  <c r="AR102" i="63"/>
  <c r="AR101" i="63"/>
  <c r="AR100" i="63"/>
  <c r="AR99" i="63"/>
  <c r="AR98" i="63"/>
  <c r="AR97" i="63"/>
  <c r="AR96" i="63"/>
  <c r="AR95" i="63"/>
  <c r="AR93" i="63"/>
  <c r="AR92" i="63"/>
  <c r="AR89" i="63"/>
  <c r="AR88" i="63"/>
  <c r="AR87" i="63"/>
  <c r="AR86" i="63"/>
  <c r="AR85" i="63"/>
  <c r="AR84" i="63"/>
  <c r="AR83" i="63"/>
  <c r="AR82" i="63"/>
  <c r="AR77" i="63"/>
  <c r="AR70" i="63"/>
  <c r="AR67" i="63"/>
  <c r="AR66" i="63"/>
  <c r="AR65" i="63"/>
  <c r="AR64" i="63"/>
  <c r="AR63" i="63"/>
  <c r="AR60" i="63"/>
  <c r="AR56" i="63"/>
  <c r="AR55" i="63"/>
  <c r="AR54" i="63"/>
  <c r="AR53" i="63"/>
  <c r="AR50" i="63"/>
  <c r="AR49" i="63"/>
  <c r="AR46" i="63"/>
  <c r="AR45" i="63"/>
  <c r="AR44" i="63"/>
  <c r="AR43" i="63"/>
  <c r="AR41" i="63"/>
  <c r="AR38" i="63"/>
  <c r="AR37" i="63"/>
  <c r="AR34" i="63"/>
  <c r="AR29" i="63"/>
  <c r="AR22" i="63"/>
  <c r="AR21" i="63"/>
  <c r="AR17" i="63"/>
  <c r="AR15" i="63"/>
  <c r="AR13" i="63"/>
  <c r="AR12" i="63"/>
  <c r="AR11" i="63"/>
  <c r="AR7" i="63"/>
  <c r="AR4" i="63"/>
  <c r="AR2" i="63"/>
  <c r="AH170" i="66" l="1"/>
  <c r="AG170" i="66"/>
  <c r="AF170" i="66"/>
  <c r="AE170" i="66"/>
  <c r="AD170" i="66"/>
  <c r="AC170" i="66"/>
  <c r="AB170" i="66"/>
  <c r="AA170" i="66"/>
  <c r="Z170" i="66"/>
  <c r="Y170" i="66"/>
  <c r="X170" i="66"/>
  <c r="V170" i="66"/>
  <c r="U170" i="66"/>
  <c r="T170" i="66"/>
  <c r="S170" i="66"/>
  <c r="R170" i="66"/>
  <c r="Q170" i="66"/>
  <c r="P170" i="66"/>
  <c r="O170" i="66"/>
  <c r="N170" i="66"/>
  <c r="M170" i="66"/>
  <c r="L170" i="66"/>
  <c r="K170" i="66"/>
  <c r="I170" i="66"/>
  <c r="AM170" i="66" l="1"/>
  <c r="AN170" i="66" s="1"/>
  <c r="AS15" i="63"/>
  <c r="AS158" i="63"/>
  <c r="AR3" i="63"/>
  <c r="AS3" i="63" s="1"/>
  <c r="AS4" i="63"/>
  <c r="AR5" i="63"/>
  <c r="AS5" i="63" s="1"/>
  <c r="AR6" i="63"/>
  <c r="AS6" i="63" s="1"/>
  <c r="AS7" i="63"/>
  <c r="AR8" i="63"/>
  <c r="AS8" i="63" s="1"/>
  <c r="AR9" i="63"/>
  <c r="AS9" i="63" s="1"/>
  <c r="AR10" i="63"/>
  <c r="AS10" i="63" s="1"/>
  <c r="AS11" i="63"/>
  <c r="AS12" i="63"/>
  <c r="AS13" i="63"/>
  <c r="AR14" i="63"/>
  <c r="AS14" i="63" s="1"/>
  <c r="AR16" i="63"/>
  <c r="AS16" i="63" s="1"/>
  <c r="AS17" i="63"/>
  <c r="AR18" i="63"/>
  <c r="AS18" i="63" s="1"/>
  <c r="AR19" i="63"/>
  <c r="AS19" i="63" s="1"/>
  <c r="AR20" i="63"/>
  <c r="AS20" i="63" s="1"/>
  <c r="AS21" i="63"/>
  <c r="AS22" i="63"/>
  <c r="AR23" i="63"/>
  <c r="AS23" i="63" s="1"/>
  <c r="AR24" i="63"/>
  <c r="AS24" i="63" s="1"/>
  <c r="AR25" i="63"/>
  <c r="AS25" i="63" s="1"/>
  <c r="AR26" i="63"/>
  <c r="AS26" i="63" s="1"/>
  <c r="AR27" i="63"/>
  <c r="AS27" i="63" s="1"/>
  <c r="AR28" i="63"/>
  <c r="AS28" i="63" s="1"/>
  <c r="AS29" i="63"/>
  <c r="AR30" i="63"/>
  <c r="AS30" i="63" s="1"/>
  <c r="AR31" i="63"/>
  <c r="AS31" i="63" s="1"/>
  <c r="AR32" i="63"/>
  <c r="AS32" i="63" s="1"/>
  <c r="AR33" i="63"/>
  <c r="AS33" i="63" s="1"/>
  <c r="AS34" i="63"/>
  <c r="AR35" i="63"/>
  <c r="AS35" i="63" s="1"/>
  <c r="AR36" i="63"/>
  <c r="AS36" i="63" s="1"/>
  <c r="AS37" i="63"/>
  <c r="AS38" i="63"/>
  <c r="AR39" i="63"/>
  <c r="AS39" i="63" s="1"/>
  <c r="AR40" i="63"/>
  <c r="AS40" i="63" s="1"/>
  <c r="AS41" i="63"/>
  <c r="AR42" i="63"/>
  <c r="AS42" i="63" s="1"/>
  <c r="AS43" i="63"/>
  <c r="AS44" i="63"/>
  <c r="AS45" i="63"/>
  <c r="AS46" i="63"/>
  <c r="AR47" i="63"/>
  <c r="AS47" i="63" s="1"/>
  <c r="AR48" i="63"/>
  <c r="AS48" i="63" s="1"/>
  <c r="AS49" i="63"/>
  <c r="AS50" i="63"/>
  <c r="AR51" i="63"/>
  <c r="AS51" i="63" s="1"/>
  <c r="AR52" i="63"/>
  <c r="AS52" i="63" s="1"/>
  <c r="AS53" i="63"/>
  <c r="AS54" i="63"/>
  <c r="AS55" i="63"/>
  <c r="AS56" i="63"/>
  <c r="AR57" i="63"/>
  <c r="AS57" i="63" s="1"/>
  <c r="AR58" i="63"/>
  <c r="AS58" i="63" s="1"/>
  <c r="AR59" i="63"/>
  <c r="AS59" i="63" s="1"/>
  <c r="AS60" i="63"/>
  <c r="AR61" i="63"/>
  <c r="AS61" i="63" s="1"/>
  <c r="AR62" i="63"/>
  <c r="AS62" i="63" s="1"/>
  <c r="AS63" i="63"/>
  <c r="AS64" i="63"/>
  <c r="AS65" i="63"/>
  <c r="AS66" i="63"/>
  <c r="AS67" i="63"/>
  <c r="AR68" i="63"/>
  <c r="AS68" i="63" s="1"/>
  <c r="AR69" i="63"/>
  <c r="AS69" i="63" s="1"/>
  <c r="AS70" i="63"/>
  <c r="AR71" i="63"/>
  <c r="AS71" i="63" s="1"/>
  <c r="AR72" i="63"/>
  <c r="AS72" i="63" s="1"/>
  <c r="AR73" i="63"/>
  <c r="AS73" i="63" s="1"/>
  <c r="AR74" i="63"/>
  <c r="AS74" i="63" s="1"/>
  <c r="AR75" i="63"/>
  <c r="AS75" i="63" s="1"/>
  <c r="AR76" i="63"/>
  <c r="AS76" i="63" s="1"/>
  <c r="AS77" i="63"/>
  <c r="AR78" i="63"/>
  <c r="AS78" i="63" s="1"/>
  <c r="AR79" i="63"/>
  <c r="AS79" i="63" s="1"/>
  <c r="AR80" i="63"/>
  <c r="AS80" i="63" s="1"/>
  <c r="AR81" i="63"/>
  <c r="AS81" i="63" s="1"/>
  <c r="AS82" i="63"/>
  <c r="AS83" i="63"/>
  <c r="AS84" i="63"/>
  <c r="AS85" i="63"/>
  <c r="AS86" i="63"/>
  <c r="AS87" i="63"/>
  <c r="AS88" i="63"/>
  <c r="AS89" i="63"/>
  <c r="AR90" i="63"/>
  <c r="AS90" i="63" s="1"/>
  <c r="AR91" i="63"/>
  <c r="AS91" i="63" s="1"/>
  <c r="AS92" i="63"/>
  <c r="AS93" i="63"/>
  <c r="AR94" i="63"/>
  <c r="AS94" i="63" s="1"/>
  <c r="AS95" i="63"/>
  <c r="AS96" i="63"/>
  <c r="AS97" i="63"/>
  <c r="AS98" i="63"/>
  <c r="AS99" i="63"/>
  <c r="AS100" i="63"/>
  <c r="AS101" i="63"/>
  <c r="AS102" i="63"/>
  <c r="AS103" i="63"/>
  <c r="AS104" i="63"/>
  <c r="AR105" i="63"/>
  <c r="AS105" i="63" s="1"/>
  <c r="AS106" i="63"/>
  <c r="AR107" i="63"/>
  <c r="AS107" i="63" s="1"/>
  <c r="AR108" i="63"/>
  <c r="AS108" i="63" s="1"/>
  <c r="AS109" i="63"/>
  <c r="AS110" i="63"/>
  <c r="AS111" i="63"/>
  <c r="AR112" i="63"/>
  <c r="AS112" i="63" s="1"/>
  <c r="AS113" i="63"/>
  <c r="AR114" i="63"/>
  <c r="AS114" i="63" s="1"/>
  <c r="AR115" i="63"/>
  <c r="AS115" i="63" s="1"/>
  <c r="AS116" i="63"/>
  <c r="AR117" i="63"/>
  <c r="AS117" i="63" s="1"/>
  <c r="AR118" i="63"/>
  <c r="AS118" i="63" s="1"/>
  <c r="AS119" i="63"/>
  <c r="AS120" i="63"/>
  <c r="AS121" i="63"/>
  <c r="AS122" i="63"/>
  <c r="AS123" i="63"/>
  <c r="AR124" i="63"/>
  <c r="AS124" i="63" s="1"/>
  <c r="AR125" i="63"/>
  <c r="AS125" i="63" s="1"/>
  <c r="AS126" i="63"/>
  <c r="AS127" i="63"/>
  <c r="AS128" i="63"/>
  <c r="AR129" i="63"/>
  <c r="AS129" i="63" s="1"/>
  <c r="AS130" i="63"/>
  <c r="AS131" i="63"/>
  <c r="AS132" i="63"/>
  <c r="AS133" i="63"/>
  <c r="AS134" i="63"/>
  <c r="AS135" i="63"/>
  <c r="AS136" i="63"/>
  <c r="AS137" i="63"/>
  <c r="AR138" i="63"/>
  <c r="AS138" i="63" s="1"/>
  <c r="AS139" i="63"/>
  <c r="AS140" i="63"/>
  <c r="AS141" i="63"/>
  <c r="AR142" i="63"/>
  <c r="AS142" i="63" s="1"/>
  <c r="AS143" i="63"/>
  <c r="AR144" i="63"/>
  <c r="AS144" i="63" s="1"/>
  <c r="AR145" i="63"/>
  <c r="AS145" i="63" s="1"/>
  <c r="AS146" i="63"/>
  <c r="AS147" i="63"/>
  <c r="AS148" i="63"/>
  <c r="AS149" i="63"/>
  <c r="AR150" i="63"/>
  <c r="AS150" i="63" s="1"/>
  <c r="AS151" i="63"/>
  <c r="AS152" i="63"/>
  <c r="AS153" i="63"/>
  <c r="AS154" i="63"/>
  <c r="AS155" i="63"/>
  <c r="AS156" i="63"/>
  <c r="AS157" i="63"/>
  <c r="AS159" i="63"/>
  <c r="AS2" i="63"/>
  <c r="AQ160" i="63" l="1"/>
  <c r="AP160" i="63"/>
  <c r="AO160" i="63"/>
  <c r="AN160" i="63"/>
  <c r="AM160" i="63"/>
  <c r="AL160" i="63"/>
  <c r="AK160" i="63"/>
  <c r="AJ160" i="63"/>
  <c r="AI160" i="63"/>
  <c r="AH160" i="63"/>
  <c r="AG160" i="63"/>
  <c r="AF160" i="63"/>
  <c r="AE160" i="63"/>
  <c r="AD160" i="63"/>
  <c r="AC160" i="63"/>
  <c r="AB160" i="63"/>
  <c r="AA160" i="63"/>
  <c r="Z160" i="63"/>
  <c r="Y160" i="63"/>
  <c r="X160" i="63"/>
  <c r="W160" i="63"/>
  <c r="V160" i="63"/>
  <c r="U160" i="63"/>
  <c r="T160" i="63"/>
  <c r="S160" i="63"/>
  <c r="R160" i="63"/>
  <c r="Q160" i="63"/>
  <c r="P160" i="63"/>
  <c r="O160" i="63"/>
  <c r="N160" i="63"/>
  <c r="M160" i="63"/>
  <c r="J160" i="63"/>
  <c r="AR160" i="63" l="1"/>
  <c r="AS160" i="63" s="1"/>
  <c r="AO152" i="60"/>
  <c r="AN152" i="60"/>
  <c r="AP84" i="60" l="1"/>
  <c r="AQ84" i="60" s="1"/>
  <c r="AP85" i="60"/>
  <c r="AQ85" i="60" s="1"/>
  <c r="AP86" i="60"/>
  <c r="AQ86" i="60" s="1"/>
  <c r="AP87" i="60"/>
  <c r="AQ87" i="60" s="1"/>
  <c r="AP88" i="60"/>
  <c r="AQ88" i="60" s="1"/>
  <c r="AP89" i="60"/>
  <c r="AQ89" i="60" s="1"/>
  <c r="AP90" i="60"/>
  <c r="AQ90" i="60" s="1"/>
  <c r="AP91" i="60"/>
  <c r="AQ91" i="60" s="1"/>
  <c r="AP92" i="60"/>
  <c r="AQ92" i="60" s="1"/>
  <c r="AP93" i="60"/>
  <c r="AQ93" i="60" s="1"/>
  <c r="AP94" i="60"/>
  <c r="AQ94" i="60" s="1"/>
  <c r="AP95" i="60"/>
  <c r="AQ95" i="60" s="1"/>
  <c r="AP96" i="60"/>
  <c r="AQ96" i="60" s="1"/>
  <c r="AP97" i="60"/>
  <c r="AQ97" i="60" s="1"/>
  <c r="AP98" i="60"/>
  <c r="AQ98" i="60" s="1"/>
  <c r="AP99" i="60"/>
  <c r="AQ99" i="60" s="1"/>
  <c r="AP100" i="60"/>
  <c r="AQ100" i="60" s="1"/>
  <c r="AP101" i="60"/>
  <c r="AQ101" i="60" s="1"/>
  <c r="AP102" i="60"/>
  <c r="AQ102" i="60" s="1"/>
  <c r="AP103" i="60"/>
  <c r="AQ103" i="60" s="1"/>
  <c r="AP104" i="60"/>
  <c r="AQ104" i="60" s="1"/>
  <c r="AP105" i="60"/>
  <c r="AQ105" i="60" s="1"/>
  <c r="AP106" i="60"/>
  <c r="AQ106" i="60" s="1"/>
  <c r="AP107" i="60"/>
  <c r="AQ107" i="60" s="1"/>
  <c r="AP108" i="60"/>
  <c r="AQ108" i="60" s="1"/>
  <c r="AP109" i="60"/>
  <c r="AQ109" i="60" s="1"/>
  <c r="AP110" i="60"/>
  <c r="AQ110" i="60" s="1"/>
  <c r="AP111" i="60"/>
  <c r="AQ111" i="60" s="1"/>
  <c r="AP112" i="60"/>
  <c r="AQ112" i="60" s="1"/>
  <c r="AP113" i="60"/>
  <c r="AQ113" i="60" s="1"/>
  <c r="AP114" i="60"/>
  <c r="AQ114" i="60" s="1"/>
  <c r="AP115" i="60"/>
  <c r="AQ115" i="60" s="1"/>
  <c r="AP116" i="60"/>
  <c r="AQ116" i="60" s="1"/>
  <c r="AP117" i="60"/>
  <c r="AQ117" i="60" s="1"/>
  <c r="AP118" i="60"/>
  <c r="AQ118" i="60" s="1"/>
  <c r="AP119" i="60"/>
  <c r="AQ119" i="60" s="1"/>
  <c r="AP120" i="60"/>
  <c r="AQ120" i="60" s="1"/>
  <c r="AP121" i="60"/>
  <c r="AQ121" i="60" s="1"/>
  <c r="AP122" i="60"/>
  <c r="AQ122" i="60" s="1"/>
  <c r="AP123" i="60"/>
  <c r="AQ123" i="60" s="1"/>
  <c r="AP124" i="60"/>
  <c r="AQ124" i="60" s="1"/>
  <c r="AP125" i="60"/>
  <c r="AQ125" i="60" s="1"/>
  <c r="AP126" i="60"/>
  <c r="AQ126" i="60" s="1"/>
  <c r="AP127" i="60"/>
  <c r="AQ127" i="60" s="1"/>
  <c r="AP128" i="60"/>
  <c r="AQ128" i="60" s="1"/>
  <c r="AP129" i="60"/>
  <c r="AQ129" i="60" s="1"/>
  <c r="AP130" i="60"/>
  <c r="AQ130" i="60" s="1"/>
  <c r="AP131" i="60"/>
  <c r="AQ131" i="60" s="1"/>
  <c r="AP132" i="60"/>
  <c r="AQ132" i="60" s="1"/>
  <c r="AP133" i="60"/>
  <c r="AQ133" i="60" s="1"/>
  <c r="AP134" i="60"/>
  <c r="AQ134" i="60" s="1"/>
  <c r="AP135" i="60"/>
  <c r="AQ135" i="60" s="1"/>
  <c r="AP136" i="60"/>
  <c r="AQ136" i="60" s="1"/>
  <c r="AP137" i="60"/>
  <c r="AQ137" i="60" s="1"/>
  <c r="AP138" i="60"/>
  <c r="AQ138" i="60" s="1"/>
  <c r="AP139" i="60"/>
  <c r="AQ139" i="60" s="1"/>
  <c r="AP140" i="60"/>
  <c r="AQ140" i="60" s="1"/>
  <c r="AP141" i="60"/>
  <c r="AQ141" i="60" s="1"/>
  <c r="AP142" i="60"/>
  <c r="AQ142" i="60" s="1"/>
  <c r="AP143" i="60"/>
  <c r="AQ143" i="60" s="1"/>
  <c r="AP144" i="60"/>
  <c r="AQ144" i="60" s="1"/>
  <c r="AP145" i="60"/>
  <c r="AQ145" i="60" s="1"/>
  <c r="AP146" i="60"/>
  <c r="AQ146" i="60" s="1"/>
  <c r="AP147" i="60"/>
  <c r="AQ147" i="60" s="1"/>
  <c r="AP148" i="60"/>
  <c r="AQ148" i="60" s="1"/>
  <c r="AP149" i="60"/>
  <c r="AQ149" i="60" s="1"/>
  <c r="AP150" i="60"/>
  <c r="AQ150" i="60" s="1"/>
  <c r="AP151" i="60"/>
  <c r="AQ151" i="60" s="1"/>
  <c r="AP3" i="60"/>
  <c r="AQ3" i="60" s="1"/>
  <c r="AP4" i="60"/>
  <c r="AQ4" i="60" s="1"/>
  <c r="AP5" i="60"/>
  <c r="AQ5" i="60" s="1"/>
  <c r="AP6" i="60"/>
  <c r="AQ6" i="60" s="1"/>
  <c r="AP7" i="60"/>
  <c r="AQ7" i="60" s="1"/>
  <c r="AP8" i="60"/>
  <c r="AQ8" i="60" s="1"/>
  <c r="AP9" i="60"/>
  <c r="AQ9" i="60" s="1"/>
  <c r="AP10" i="60"/>
  <c r="AQ10" i="60" s="1"/>
  <c r="AP11" i="60"/>
  <c r="AQ11" i="60" s="1"/>
  <c r="AP12" i="60"/>
  <c r="AQ12" i="60" s="1"/>
  <c r="AP13" i="60"/>
  <c r="AQ13" i="60" s="1"/>
  <c r="AP14" i="60"/>
  <c r="AQ14" i="60" s="1"/>
  <c r="AP15" i="60"/>
  <c r="AQ15" i="60" s="1"/>
  <c r="AP16" i="60"/>
  <c r="AQ16" i="60" s="1"/>
  <c r="AP17" i="60"/>
  <c r="AQ17" i="60" s="1"/>
  <c r="AP18" i="60"/>
  <c r="AQ18" i="60" s="1"/>
  <c r="AP19" i="60"/>
  <c r="AQ19" i="60" s="1"/>
  <c r="AP20" i="60"/>
  <c r="AQ20" i="60" s="1"/>
  <c r="AP21" i="60"/>
  <c r="AQ21" i="60" s="1"/>
  <c r="AP22" i="60"/>
  <c r="AQ22" i="60" s="1"/>
  <c r="AP23" i="60"/>
  <c r="AQ23" i="60" s="1"/>
  <c r="AP24" i="60"/>
  <c r="AQ24" i="60" s="1"/>
  <c r="AP25" i="60"/>
  <c r="AQ25" i="60" s="1"/>
  <c r="AP26" i="60"/>
  <c r="AQ26" i="60" s="1"/>
  <c r="AP27" i="60"/>
  <c r="AQ27" i="60" s="1"/>
  <c r="AP28" i="60"/>
  <c r="AQ28" i="60" s="1"/>
  <c r="AP29" i="60"/>
  <c r="AQ29" i="60" s="1"/>
  <c r="AP30" i="60"/>
  <c r="AQ30" i="60" s="1"/>
  <c r="AP31" i="60"/>
  <c r="AQ31" i="60" s="1"/>
  <c r="AP32" i="60"/>
  <c r="AQ32" i="60" s="1"/>
  <c r="AP33" i="60"/>
  <c r="AQ33" i="60" s="1"/>
  <c r="AP34" i="60"/>
  <c r="AQ34" i="60" s="1"/>
  <c r="AP35" i="60"/>
  <c r="AQ35" i="60" s="1"/>
  <c r="AP36" i="60"/>
  <c r="AQ36" i="60" s="1"/>
  <c r="AP37" i="60"/>
  <c r="AQ37" i="60" s="1"/>
  <c r="AP38" i="60"/>
  <c r="AQ38" i="60" s="1"/>
  <c r="AP39" i="60"/>
  <c r="AQ39" i="60" s="1"/>
  <c r="AP40" i="60"/>
  <c r="AQ40" i="60" s="1"/>
  <c r="AP41" i="60"/>
  <c r="AQ41" i="60" s="1"/>
  <c r="AP42" i="60"/>
  <c r="AQ42" i="60" s="1"/>
  <c r="AP43" i="60"/>
  <c r="AQ43" i="60" s="1"/>
  <c r="AP44" i="60"/>
  <c r="AQ44" i="60" s="1"/>
  <c r="AP45" i="60"/>
  <c r="AQ45" i="60" s="1"/>
  <c r="AP46" i="60"/>
  <c r="AQ46" i="60" s="1"/>
  <c r="AP47" i="60"/>
  <c r="AQ47" i="60" s="1"/>
  <c r="AP48" i="60"/>
  <c r="AQ48" i="60" s="1"/>
  <c r="AP49" i="60"/>
  <c r="AQ49" i="60" s="1"/>
  <c r="AP50" i="60"/>
  <c r="AQ50" i="60" s="1"/>
  <c r="AP51" i="60"/>
  <c r="AQ51" i="60" s="1"/>
  <c r="AP52" i="60"/>
  <c r="AQ52" i="60" s="1"/>
  <c r="AP53" i="60"/>
  <c r="AQ53" i="60" s="1"/>
  <c r="AP54" i="60"/>
  <c r="AQ54" i="60" s="1"/>
  <c r="AP55" i="60"/>
  <c r="AQ55" i="60" s="1"/>
  <c r="AP56" i="60"/>
  <c r="AQ56" i="60" s="1"/>
  <c r="AP57" i="60"/>
  <c r="AQ57" i="60" s="1"/>
  <c r="AP58" i="60"/>
  <c r="AQ58" i="60" s="1"/>
  <c r="AP59" i="60"/>
  <c r="AQ59" i="60" s="1"/>
  <c r="AP60" i="60"/>
  <c r="AQ60" i="60" s="1"/>
  <c r="AP61" i="60"/>
  <c r="AQ61" i="60" s="1"/>
  <c r="AP62" i="60"/>
  <c r="AQ62" i="60" s="1"/>
  <c r="AP63" i="60"/>
  <c r="AQ63" i="60" s="1"/>
  <c r="AP64" i="60"/>
  <c r="AQ64" i="60" s="1"/>
  <c r="AP65" i="60"/>
  <c r="AQ65" i="60" s="1"/>
  <c r="AP66" i="60"/>
  <c r="AQ66" i="60" s="1"/>
  <c r="AP67" i="60"/>
  <c r="AQ67" i="60" s="1"/>
  <c r="AP68" i="60"/>
  <c r="AQ68" i="60" s="1"/>
  <c r="AP69" i="60"/>
  <c r="AQ69" i="60" s="1"/>
  <c r="AP70" i="60"/>
  <c r="AQ70" i="60" s="1"/>
  <c r="AP71" i="60"/>
  <c r="AQ71" i="60" s="1"/>
  <c r="AP72" i="60"/>
  <c r="AQ72" i="60" s="1"/>
  <c r="AP73" i="60"/>
  <c r="AQ73" i="60" s="1"/>
  <c r="AP74" i="60"/>
  <c r="AQ74" i="60" s="1"/>
  <c r="AP75" i="60"/>
  <c r="AQ75" i="60" s="1"/>
  <c r="AP76" i="60"/>
  <c r="AQ76" i="60" s="1"/>
  <c r="AP77" i="60"/>
  <c r="AQ77" i="60" s="1"/>
  <c r="AP78" i="60"/>
  <c r="AQ78" i="60" s="1"/>
  <c r="AP79" i="60"/>
  <c r="AQ79" i="60" s="1"/>
  <c r="AP80" i="60"/>
  <c r="AQ80" i="60" s="1"/>
  <c r="AP81" i="60"/>
  <c r="AQ81" i="60" s="1"/>
  <c r="AP82" i="60"/>
  <c r="AQ82" i="60" s="1"/>
  <c r="AP83" i="60"/>
  <c r="AQ83" i="60" s="1"/>
  <c r="AP2" i="60"/>
  <c r="AQ2" i="60" s="1"/>
  <c r="I152" i="60" l="1"/>
  <c r="AM152" i="60" l="1"/>
  <c r="AL152" i="60"/>
  <c r="AK152" i="60"/>
  <c r="AJ152" i="60"/>
  <c r="AI152" i="60"/>
  <c r="AH152" i="60"/>
  <c r="AG152" i="60"/>
  <c r="AF152" i="60"/>
  <c r="AE152" i="60"/>
  <c r="AD152" i="60"/>
  <c r="AC152" i="60"/>
  <c r="AB152" i="60"/>
  <c r="AA152" i="60"/>
  <c r="Z152" i="60"/>
  <c r="Y152" i="60"/>
  <c r="X152" i="60"/>
  <c r="W152" i="60"/>
  <c r="V152" i="60"/>
  <c r="U152" i="60"/>
  <c r="T152" i="60"/>
  <c r="S152" i="60"/>
  <c r="R152" i="60"/>
  <c r="Q152" i="60"/>
  <c r="P152" i="60"/>
  <c r="O152" i="60"/>
  <c r="N152" i="60"/>
  <c r="M152" i="60"/>
  <c r="L152" i="60"/>
  <c r="K152" i="60"/>
  <c r="AP152" i="60" l="1"/>
  <c r="AQ152" i="60" s="1"/>
  <c r="AN3" i="51"/>
  <c r="AN4" i="51"/>
  <c r="AN5" i="51"/>
  <c r="AN6" i="51"/>
  <c r="AN7" i="51"/>
  <c r="AN8" i="51"/>
  <c r="AN9" i="51"/>
  <c r="AN10" i="51"/>
  <c r="AN11" i="51"/>
  <c r="AN12" i="51"/>
  <c r="AN13" i="51"/>
  <c r="AN14" i="51"/>
  <c r="AN15" i="51"/>
  <c r="AN16" i="51"/>
  <c r="AN17" i="51"/>
  <c r="AN18" i="51"/>
  <c r="AN19" i="51"/>
  <c r="AN20" i="51"/>
  <c r="AN21" i="51"/>
  <c r="AN22" i="51"/>
  <c r="AN23" i="51"/>
  <c r="AN24" i="51"/>
  <c r="AN25" i="51"/>
  <c r="AN26" i="51"/>
  <c r="AN27" i="51"/>
  <c r="AN28" i="51"/>
  <c r="AN29" i="51"/>
  <c r="AN30" i="51"/>
  <c r="AN31" i="51"/>
  <c r="AN32" i="51"/>
  <c r="AN33" i="51"/>
  <c r="AN34" i="51"/>
  <c r="AN35" i="51"/>
  <c r="AN36" i="51"/>
  <c r="AN37" i="51"/>
  <c r="AN38" i="51"/>
  <c r="AN39" i="51"/>
  <c r="AN40" i="51"/>
  <c r="AN41" i="51"/>
  <c r="AN42" i="51"/>
  <c r="AN43" i="51"/>
  <c r="AN44" i="51"/>
  <c r="AN45" i="51"/>
  <c r="AN46" i="51"/>
  <c r="AN47" i="51"/>
  <c r="AN48" i="51"/>
  <c r="AN49" i="51"/>
  <c r="AN50" i="51"/>
  <c r="AN51" i="51"/>
  <c r="AN52" i="51"/>
  <c r="AN53" i="51"/>
  <c r="AN54" i="51"/>
  <c r="AN55" i="51"/>
  <c r="AN56" i="51"/>
  <c r="AN57" i="51"/>
  <c r="AN58" i="51"/>
  <c r="AN59" i="51"/>
  <c r="AN60" i="51"/>
  <c r="AN61" i="51"/>
  <c r="AN62" i="51"/>
  <c r="AN63" i="51"/>
  <c r="AN64" i="51"/>
  <c r="AN65" i="51"/>
  <c r="AN66" i="51"/>
  <c r="AN67" i="51"/>
  <c r="AN68" i="51"/>
  <c r="AN69" i="51"/>
  <c r="AN70" i="51"/>
  <c r="AN71" i="51"/>
  <c r="AN72" i="51"/>
  <c r="AN73" i="51"/>
  <c r="AN74" i="51"/>
  <c r="AN75" i="51"/>
  <c r="AN76" i="51"/>
  <c r="AN77" i="51"/>
  <c r="AN78" i="51"/>
  <c r="AN79" i="51"/>
  <c r="AN80" i="51"/>
  <c r="AN81" i="51"/>
  <c r="AN82" i="51"/>
  <c r="AN83" i="51"/>
  <c r="AN84" i="51"/>
  <c r="AN85" i="51"/>
  <c r="AN86" i="51"/>
  <c r="AN87" i="51"/>
  <c r="AN88" i="51"/>
  <c r="AN89" i="51"/>
  <c r="AN90" i="51"/>
  <c r="AN91" i="51"/>
  <c r="AN92" i="51"/>
  <c r="AN93" i="51"/>
  <c r="AN94" i="51"/>
  <c r="AN95" i="51"/>
  <c r="AN96" i="51"/>
  <c r="AN97" i="51"/>
  <c r="AN98" i="51"/>
  <c r="AN99" i="51"/>
  <c r="AN100" i="51"/>
  <c r="AN101" i="51"/>
  <c r="AN102" i="51"/>
  <c r="AN103" i="51"/>
  <c r="AN104" i="51"/>
  <c r="AN105" i="51"/>
  <c r="AN106" i="51"/>
  <c r="AN107" i="51"/>
  <c r="AN108" i="51"/>
  <c r="AN109" i="51"/>
  <c r="AN110" i="51"/>
  <c r="AN111" i="51"/>
  <c r="AN112" i="51"/>
  <c r="AN113" i="51"/>
  <c r="AN114" i="51"/>
  <c r="AN115" i="51"/>
  <c r="AN116" i="51"/>
  <c r="AN117" i="51"/>
  <c r="AN118" i="51"/>
  <c r="AN119" i="51"/>
  <c r="AN120" i="51"/>
  <c r="AN121" i="51"/>
  <c r="AN122" i="51"/>
  <c r="AN123" i="51"/>
  <c r="AN124" i="51"/>
  <c r="AN125" i="51"/>
  <c r="AN126" i="51"/>
  <c r="AN127" i="51"/>
  <c r="AN128" i="51"/>
  <c r="AN129" i="51"/>
  <c r="AN130" i="51"/>
  <c r="AN131" i="51"/>
  <c r="AN132" i="51"/>
  <c r="AN133" i="51"/>
  <c r="AN134" i="51"/>
  <c r="AN135" i="51"/>
  <c r="AN136" i="51"/>
  <c r="AN137" i="51"/>
  <c r="AN138" i="51"/>
  <c r="AN139" i="51"/>
  <c r="AN140" i="51"/>
  <c r="AN2" i="51"/>
  <c r="AO3" i="51" l="1"/>
  <c r="AO4" i="51"/>
  <c r="AO5" i="51"/>
  <c r="AO6" i="51"/>
  <c r="AO7" i="51"/>
  <c r="AO8" i="51"/>
  <c r="AO9" i="51"/>
  <c r="AO10" i="51"/>
  <c r="AO11" i="51"/>
  <c r="AO12" i="51"/>
  <c r="AO13" i="51"/>
  <c r="AO14" i="51"/>
  <c r="AO15" i="51"/>
  <c r="AO16" i="51"/>
  <c r="AO17" i="51"/>
  <c r="AO18" i="51"/>
  <c r="AO19" i="51"/>
  <c r="AO20" i="51"/>
  <c r="AO21" i="51"/>
  <c r="AO22" i="51"/>
  <c r="AO23" i="51"/>
  <c r="AO24" i="51"/>
  <c r="AO25" i="51"/>
  <c r="AO26" i="51"/>
  <c r="AO27" i="51"/>
  <c r="AO28" i="51"/>
  <c r="AO29" i="51"/>
  <c r="AO30" i="51"/>
  <c r="AO31" i="51"/>
  <c r="AO32" i="51"/>
  <c r="AO33" i="51"/>
  <c r="AO34" i="51"/>
  <c r="AO35" i="51"/>
  <c r="AO36" i="51"/>
  <c r="AO37" i="51"/>
  <c r="AO38" i="51"/>
  <c r="AO39" i="51"/>
  <c r="AO40" i="51"/>
  <c r="AO41" i="51"/>
  <c r="AO42" i="51"/>
  <c r="AO43" i="51"/>
  <c r="AO44" i="51"/>
  <c r="AO45" i="51"/>
  <c r="AO46" i="51"/>
  <c r="AO47" i="51"/>
  <c r="AO48" i="51"/>
  <c r="AO49" i="51"/>
  <c r="AO50" i="51"/>
  <c r="AO51" i="51"/>
  <c r="AO52" i="51"/>
  <c r="AO53" i="51"/>
  <c r="AO54" i="51"/>
  <c r="AO55" i="51"/>
  <c r="AO56" i="51"/>
  <c r="AO57" i="51"/>
  <c r="AO58" i="51"/>
  <c r="AO59" i="51"/>
  <c r="AO60" i="51"/>
  <c r="AO61" i="51"/>
  <c r="AO62" i="51"/>
  <c r="AO63" i="51"/>
  <c r="AO64" i="51"/>
  <c r="AO65" i="51"/>
  <c r="AO66" i="51"/>
  <c r="AO67" i="51"/>
  <c r="AO68" i="51"/>
  <c r="AO69" i="51"/>
  <c r="AO70" i="51"/>
  <c r="AO71" i="51"/>
  <c r="AO72" i="51"/>
  <c r="AO73" i="51"/>
  <c r="AO74" i="51"/>
  <c r="AO75" i="51"/>
  <c r="AO76" i="51"/>
  <c r="AO77" i="51"/>
  <c r="AO78" i="51"/>
  <c r="AO79" i="51"/>
  <c r="AO80" i="51"/>
  <c r="AO81" i="51"/>
  <c r="AO82" i="51"/>
  <c r="AO83" i="51"/>
  <c r="AO84" i="51"/>
  <c r="AO85" i="51"/>
  <c r="AO86" i="51"/>
  <c r="AO87" i="51"/>
  <c r="AO88" i="51"/>
  <c r="AO89" i="51"/>
  <c r="AO90" i="51"/>
  <c r="AO91" i="51"/>
  <c r="AO92" i="51"/>
  <c r="AO93" i="51"/>
  <c r="AO94" i="51"/>
  <c r="AO95" i="51"/>
  <c r="AO96" i="51"/>
  <c r="AO97" i="51"/>
  <c r="AO98" i="51"/>
  <c r="AO99" i="51"/>
  <c r="AO100" i="51"/>
  <c r="AO101" i="51"/>
  <c r="AO102" i="51"/>
  <c r="AO103" i="51"/>
  <c r="AO104" i="51"/>
  <c r="AO105" i="51"/>
  <c r="AO106" i="51"/>
  <c r="AO107" i="51"/>
  <c r="AO108" i="51"/>
  <c r="AO109" i="51"/>
  <c r="AO110" i="51"/>
  <c r="AO111" i="51"/>
  <c r="AO112" i="51"/>
  <c r="AO113" i="51"/>
  <c r="AO114" i="51"/>
  <c r="AO115" i="51"/>
  <c r="AO116" i="51"/>
  <c r="AO117" i="51"/>
  <c r="AO118" i="51"/>
  <c r="AO119" i="51"/>
  <c r="AO120" i="51"/>
  <c r="AO121" i="51"/>
  <c r="AO122" i="51"/>
  <c r="AO123" i="51"/>
  <c r="AO124" i="51"/>
  <c r="AO125" i="51"/>
  <c r="AO126" i="51"/>
  <c r="AO127" i="51"/>
  <c r="AO128" i="51"/>
  <c r="AO129" i="51"/>
  <c r="AO130" i="51"/>
  <c r="AO131" i="51"/>
  <c r="AO132" i="51"/>
  <c r="AO133" i="51"/>
  <c r="AO134" i="51"/>
  <c r="AO135" i="51"/>
  <c r="AO136" i="51"/>
  <c r="AO137" i="51"/>
  <c r="AO138" i="51"/>
  <c r="AO139" i="51"/>
  <c r="AO140" i="51"/>
  <c r="AO2" i="51"/>
  <c r="H141" i="51" l="1"/>
  <c r="K141" i="51"/>
  <c r="L141" i="51"/>
  <c r="M141" i="51"/>
  <c r="N141" i="51"/>
  <c r="O141" i="51"/>
  <c r="P141" i="51"/>
  <c r="Q141" i="51"/>
  <c r="R141" i="51"/>
  <c r="S141" i="51"/>
  <c r="T141" i="51"/>
  <c r="U141" i="51"/>
  <c r="V141" i="51"/>
  <c r="W141" i="51"/>
  <c r="X141" i="51"/>
  <c r="Y141" i="51"/>
  <c r="Z141" i="51"/>
  <c r="AA141" i="51"/>
  <c r="AB141" i="51"/>
  <c r="AC141" i="51"/>
  <c r="AD141" i="51"/>
  <c r="AE141" i="51"/>
  <c r="AF141" i="51"/>
  <c r="AG141" i="51"/>
  <c r="AH141" i="51"/>
  <c r="AI141" i="51"/>
  <c r="AJ141" i="51"/>
  <c r="AK141" i="51"/>
  <c r="AL141" i="51"/>
  <c r="AM141" i="51"/>
  <c r="J141" i="51"/>
  <c r="AN141" i="51" l="1"/>
  <c r="AO141" i="51"/>
  <c r="AP55" i="48"/>
  <c r="AP58" i="48"/>
  <c r="AP59" i="48"/>
  <c r="AP60" i="48"/>
  <c r="AP62" i="48"/>
  <c r="AP67" i="48"/>
  <c r="AP70" i="48"/>
  <c r="AP71" i="48"/>
  <c r="AP72" i="48"/>
  <c r="AP74" i="48"/>
  <c r="AP79" i="48"/>
  <c r="AP82" i="48"/>
  <c r="AP83" i="48"/>
  <c r="AP84" i="48"/>
  <c r="AP85" i="48"/>
  <c r="AP86" i="48"/>
  <c r="AP91" i="48"/>
  <c r="AP94" i="48"/>
  <c r="AP95" i="48"/>
  <c r="AP96" i="48"/>
  <c r="AP97" i="48"/>
  <c r="AP98" i="48"/>
  <c r="AP103" i="48"/>
  <c r="AP106" i="48"/>
  <c r="AP107" i="48"/>
  <c r="AP108" i="48"/>
  <c r="AP109" i="48"/>
  <c r="AP110" i="48"/>
  <c r="AP115" i="48"/>
  <c r="AP118" i="48"/>
  <c r="AP119" i="48"/>
  <c r="AP120" i="48"/>
  <c r="AP121" i="48"/>
  <c r="AP122" i="48"/>
  <c r="AP127" i="48"/>
  <c r="AP5" i="48"/>
  <c r="AP6" i="48"/>
  <c r="AP17" i="48"/>
  <c r="AP18" i="48"/>
  <c r="AP29" i="48"/>
  <c r="AP30" i="48"/>
  <c r="AP41" i="48"/>
  <c r="AP42" i="48"/>
  <c r="AO3" i="48"/>
  <c r="AP3" i="48" s="1"/>
  <c r="AO4" i="48"/>
  <c r="AP4" i="48" s="1"/>
  <c r="AO5" i="48"/>
  <c r="AO6" i="48"/>
  <c r="AO7" i="48"/>
  <c r="AP7" i="48" s="1"/>
  <c r="AO8" i="48"/>
  <c r="AP8" i="48" s="1"/>
  <c r="AO9" i="48"/>
  <c r="AP9" i="48" s="1"/>
  <c r="AO10" i="48"/>
  <c r="AP10" i="48" s="1"/>
  <c r="AO11" i="48"/>
  <c r="AP11" i="48" s="1"/>
  <c r="AO12" i="48"/>
  <c r="AP12" i="48" s="1"/>
  <c r="AO13" i="48"/>
  <c r="AP13" i="48" s="1"/>
  <c r="AO14" i="48"/>
  <c r="AP14" i="48" s="1"/>
  <c r="AO15" i="48"/>
  <c r="AP15" i="48" s="1"/>
  <c r="AO16" i="48"/>
  <c r="AP16" i="48" s="1"/>
  <c r="AO17" i="48"/>
  <c r="AO18" i="48"/>
  <c r="AO19" i="48"/>
  <c r="AP19" i="48" s="1"/>
  <c r="AO20" i="48"/>
  <c r="AP20" i="48" s="1"/>
  <c r="AO21" i="48"/>
  <c r="AP21" i="48" s="1"/>
  <c r="AO22" i="48"/>
  <c r="AP22" i="48" s="1"/>
  <c r="AO23" i="48"/>
  <c r="AP23" i="48" s="1"/>
  <c r="AO24" i="48"/>
  <c r="AP24" i="48" s="1"/>
  <c r="AO25" i="48"/>
  <c r="AP25" i="48" s="1"/>
  <c r="AO26" i="48"/>
  <c r="AP26" i="48" s="1"/>
  <c r="AO27" i="48"/>
  <c r="AP27" i="48" s="1"/>
  <c r="AO28" i="48"/>
  <c r="AP28" i="48" s="1"/>
  <c r="AO29" i="48"/>
  <c r="AO30" i="48"/>
  <c r="AO31" i="48"/>
  <c r="AP31" i="48" s="1"/>
  <c r="AO32" i="48"/>
  <c r="AP32" i="48" s="1"/>
  <c r="AO33" i="48"/>
  <c r="AP33" i="48" s="1"/>
  <c r="AO34" i="48"/>
  <c r="AP34" i="48" s="1"/>
  <c r="AO35" i="48"/>
  <c r="AP35" i="48" s="1"/>
  <c r="AO36" i="48"/>
  <c r="AP36" i="48" s="1"/>
  <c r="AO37" i="48"/>
  <c r="AP37" i="48" s="1"/>
  <c r="AO38" i="48"/>
  <c r="AP38" i="48" s="1"/>
  <c r="AO39" i="48"/>
  <c r="AP39" i="48" s="1"/>
  <c r="AO40" i="48"/>
  <c r="AP40" i="48" s="1"/>
  <c r="AO41" i="48"/>
  <c r="AO42" i="48"/>
  <c r="AO43" i="48"/>
  <c r="AP43" i="48" s="1"/>
  <c r="AO44" i="48"/>
  <c r="AP44" i="48" s="1"/>
  <c r="AO45" i="48"/>
  <c r="AP45" i="48" s="1"/>
  <c r="AO46" i="48"/>
  <c r="AP46" i="48" s="1"/>
  <c r="AO47" i="48"/>
  <c r="AP47" i="48" s="1"/>
  <c r="AO48" i="48"/>
  <c r="AP48" i="48" s="1"/>
  <c r="AO49" i="48"/>
  <c r="AP49" i="48" s="1"/>
  <c r="AO50" i="48"/>
  <c r="AP50" i="48" s="1"/>
  <c r="AO51" i="48"/>
  <c r="AP51" i="48" s="1"/>
  <c r="AO52" i="48"/>
  <c r="AP52" i="48" s="1"/>
  <c r="AO53" i="48"/>
  <c r="AP53" i="48" s="1"/>
  <c r="AO54" i="48"/>
  <c r="AP54" i="48" s="1"/>
  <c r="AO55" i="48"/>
  <c r="AO56" i="48"/>
  <c r="AP56" i="48" s="1"/>
  <c r="AO57" i="48"/>
  <c r="AP57" i="48" s="1"/>
  <c r="AO58" i="48"/>
  <c r="AO59" i="48"/>
  <c r="AO60" i="48"/>
  <c r="AO61" i="48"/>
  <c r="AP61" i="48" s="1"/>
  <c r="AO62" i="48"/>
  <c r="AO63" i="48"/>
  <c r="AP63" i="48" s="1"/>
  <c r="AO64" i="48"/>
  <c r="AP64" i="48" s="1"/>
  <c r="AO65" i="48"/>
  <c r="AP65" i="48" s="1"/>
  <c r="AO66" i="48"/>
  <c r="AP66" i="48" s="1"/>
  <c r="AO67" i="48"/>
  <c r="AO68" i="48"/>
  <c r="AP68" i="48" s="1"/>
  <c r="AO69" i="48"/>
  <c r="AP69" i="48" s="1"/>
  <c r="AO70" i="48"/>
  <c r="AO71" i="48"/>
  <c r="AO72" i="48"/>
  <c r="AO73" i="48"/>
  <c r="AP73" i="48" s="1"/>
  <c r="AO74" i="48"/>
  <c r="AO75" i="48"/>
  <c r="AP75" i="48" s="1"/>
  <c r="AO76" i="48"/>
  <c r="AP76" i="48" s="1"/>
  <c r="AO77" i="48"/>
  <c r="AP77" i="48" s="1"/>
  <c r="AO78" i="48"/>
  <c r="AP78" i="48" s="1"/>
  <c r="AO79" i="48"/>
  <c r="AO80" i="48"/>
  <c r="AP80" i="48" s="1"/>
  <c r="AO81" i="48"/>
  <c r="AP81" i="48" s="1"/>
  <c r="AO82" i="48"/>
  <c r="AO83" i="48"/>
  <c r="AO84" i="48"/>
  <c r="AO85" i="48"/>
  <c r="AO86" i="48"/>
  <c r="AO87" i="48"/>
  <c r="AP87" i="48" s="1"/>
  <c r="AO88" i="48"/>
  <c r="AP88" i="48" s="1"/>
  <c r="AO89" i="48"/>
  <c r="AP89" i="48" s="1"/>
  <c r="AO90" i="48"/>
  <c r="AP90" i="48" s="1"/>
  <c r="AO91" i="48"/>
  <c r="AO92" i="48"/>
  <c r="AP92" i="48" s="1"/>
  <c r="AO93" i="48"/>
  <c r="AP93" i="48" s="1"/>
  <c r="AO94" i="48"/>
  <c r="AO95" i="48"/>
  <c r="AO96" i="48"/>
  <c r="AO97" i="48"/>
  <c r="AO98" i="48"/>
  <c r="AO99" i="48"/>
  <c r="AP99" i="48" s="1"/>
  <c r="AO100" i="48"/>
  <c r="AP100" i="48" s="1"/>
  <c r="AO101" i="48"/>
  <c r="AP101" i="48" s="1"/>
  <c r="AO102" i="48"/>
  <c r="AP102" i="48" s="1"/>
  <c r="AO103" i="48"/>
  <c r="AO104" i="48"/>
  <c r="AP104" i="48" s="1"/>
  <c r="AO105" i="48"/>
  <c r="AP105" i="48" s="1"/>
  <c r="AO106" i="48"/>
  <c r="AO107" i="48"/>
  <c r="AO108" i="48"/>
  <c r="AO109" i="48"/>
  <c r="AO110" i="48"/>
  <c r="AO111" i="48"/>
  <c r="AP111" i="48" s="1"/>
  <c r="AO112" i="48"/>
  <c r="AP112" i="48" s="1"/>
  <c r="AO113" i="48"/>
  <c r="AP113" i="48" s="1"/>
  <c r="AO114" i="48"/>
  <c r="AP114" i="48" s="1"/>
  <c r="AO115" i="48"/>
  <c r="AO116" i="48"/>
  <c r="AP116" i="48" s="1"/>
  <c r="AO117" i="48"/>
  <c r="AP117" i="48" s="1"/>
  <c r="AO118" i="48"/>
  <c r="AO119" i="48"/>
  <c r="AO120" i="48"/>
  <c r="AO121" i="48"/>
  <c r="AO122" i="48"/>
  <c r="AO123" i="48"/>
  <c r="AP123" i="48" s="1"/>
  <c r="AO124" i="48"/>
  <c r="AP124" i="48" s="1"/>
  <c r="AO125" i="48"/>
  <c r="AP125" i="48" s="1"/>
  <c r="AO126" i="48"/>
  <c r="AP126" i="48" s="1"/>
  <c r="AO127" i="48"/>
  <c r="AO128" i="48"/>
  <c r="AP128" i="48" s="1"/>
  <c r="AO129" i="48"/>
  <c r="AP129" i="48" s="1"/>
  <c r="AO2" i="48"/>
  <c r="AE131" i="48" l="1"/>
  <c r="AP2" i="48" l="1"/>
  <c r="AN131" i="48"/>
  <c r="AM131" i="48"/>
  <c r="AL131" i="48"/>
  <c r="AK131" i="48"/>
  <c r="AJ131" i="48"/>
  <c r="AI131" i="48"/>
  <c r="AH131" i="48"/>
  <c r="AG131" i="48"/>
  <c r="AF131" i="48"/>
  <c r="AD131" i="48"/>
  <c r="AC131" i="48"/>
  <c r="AB131" i="48"/>
  <c r="AA131" i="48"/>
  <c r="Z131" i="48"/>
  <c r="Y131" i="48"/>
  <c r="X131" i="48"/>
  <c r="W131" i="48"/>
  <c r="V131" i="48"/>
  <c r="U131" i="48"/>
  <c r="T131" i="48"/>
  <c r="S131" i="48"/>
  <c r="R131" i="48"/>
  <c r="Q131" i="48"/>
  <c r="P131" i="48"/>
  <c r="O131" i="48"/>
  <c r="N131" i="48"/>
  <c r="M131" i="48"/>
  <c r="L131" i="48"/>
  <c r="K131" i="48"/>
  <c r="J131" i="48"/>
  <c r="H131" i="48"/>
  <c r="AO131" i="48" l="1"/>
  <c r="AP131" i="48" s="1"/>
  <c r="AN3" i="45"/>
  <c r="AN4" i="45"/>
  <c r="AN5" i="45"/>
  <c r="AN6" i="45"/>
  <c r="AN7" i="45"/>
  <c r="AN8" i="45"/>
  <c r="AN9" i="45"/>
  <c r="AN10" i="45"/>
  <c r="AN11" i="45"/>
  <c r="AN12" i="45"/>
  <c r="AN13" i="45"/>
  <c r="AN14" i="45"/>
  <c r="AN15" i="45"/>
  <c r="AN16" i="45"/>
  <c r="AN17" i="45"/>
  <c r="AN18" i="45"/>
  <c r="AN19" i="45"/>
  <c r="AN20" i="45"/>
  <c r="AN21" i="45"/>
  <c r="AN22" i="45"/>
  <c r="AN23" i="45"/>
  <c r="AN24" i="45"/>
  <c r="AN25" i="45"/>
  <c r="AN26" i="45"/>
  <c r="AN27" i="45"/>
  <c r="AN28" i="45"/>
  <c r="AN29" i="45"/>
  <c r="AN30" i="45"/>
  <c r="AN31" i="45"/>
  <c r="AN32" i="45"/>
  <c r="AN33" i="45"/>
  <c r="AN34" i="45"/>
  <c r="AN35" i="45"/>
  <c r="AN36" i="45"/>
  <c r="AN37" i="45"/>
  <c r="AN38" i="45"/>
  <c r="AN39" i="45"/>
  <c r="AN40" i="45"/>
  <c r="AN41" i="45"/>
  <c r="AN42" i="45"/>
  <c r="AN43" i="45"/>
  <c r="AN44" i="45"/>
  <c r="AN45" i="45"/>
  <c r="AN46" i="45"/>
  <c r="AN47" i="45"/>
  <c r="AN48" i="45"/>
  <c r="AN49" i="45"/>
  <c r="AN50" i="45"/>
  <c r="AN51" i="45"/>
  <c r="AN52" i="45"/>
  <c r="AN53" i="45"/>
  <c r="AN54" i="45"/>
  <c r="AN55" i="45"/>
  <c r="AN56" i="45"/>
  <c r="AN57" i="45"/>
  <c r="AN58" i="45"/>
  <c r="AN59" i="45"/>
  <c r="AN60" i="45"/>
  <c r="AN61" i="45"/>
  <c r="AN62" i="45"/>
  <c r="AN63" i="45"/>
  <c r="AN64" i="45"/>
  <c r="AN65" i="45"/>
  <c r="AN66" i="45"/>
  <c r="AN67" i="45"/>
  <c r="AN68" i="45"/>
  <c r="AN69" i="45"/>
  <c r="AN70" i="45"/>
  <c r="AN71" i="45"/>
  <c r="AN72" i="45"/>
  <c r="AN73" i="45"/>
  <c r="AN74" i="45"/>
  <c r="AN75" i="45"/>
  <c r="AN76" i="45"/>
  <c r="AN77" i="45"/>
  <c r="AN78" i="45"/>
  <c r="AN79" i="45"/>
  <c r="AN80" i="45"/>
  <c r="AN81" i="45"/>
  <c r="AN82" i="45"/>
  <c r="AN83" i="45"/>
  <c r="AN84" i="45"/>
  <c r="AN85" i="45"/>
  <c r="AN86" i="45"/>
  <c r="AN87" i="45"/>
  <c r="AN88" i="45"/>
  <c r="AN89" i="45"/>
  <c r="AN90" i="45"/>
  <c r="AN91" i="45"/>
  <c r="AN92" i="45"/>
  <c r="AN93" i="45"/>
  <c r="AN94" i="45"/>
  <c r="AN95" i="45"/>
  <c r="AN96" i="45"/>
  <c r="AN97" i="45"/>
  <c r="AN98" i="45"/>
  <c r="AN99" i="45"/>
  <c r="AN100" i="45"/>
  <c r="AN101" i="45"/>
  <c r="AN102" i="45"/>
  <c r="AN103" i="45"/>
  <c r="AN104" i="45"/>
  <c r="AN105" i="45"/>
  <c r="AN106" i="45"/>
  <c r="AN107" i="45"/>
  <c r="AN108" i="45"/>
  <c r="AN109" i="45"/>
  <c r="AN110" i="45"/>
  <c r="AN111" i="45"/>
  <c r="AN112" i="45"/>
  <c r="AN113" i="45"/>
  <c r="AN114" i="45"/>
  <c r="AN115" i="45"/>
  <c r="AN116" i="45"/>
  <c r="AN117" i="45"/>
  <c r="AN118" i="45"/>
  <c r="AO118" i="45" s="1"/>
  <c r="AN2" i="45"/>
  <c r="AO63" i="45" l="1"/>
  <c r="AO55" i="45" l="1"/>
  <c r="AO46" i="45" l="1"/>
  <c r="AO15" i="45" l="1"/>
  <c r="AO91" i="45"/>
  <c r="AO10" i="45" l="1"/>
  <c r="AO73" i="45"/>
  <c r="AO97" i="45"/>
  <c r="AO69" i="45" l="1"/>
  <c r="AO12" i="45" l="1"/>
  <c r="AO2" i="45"/>
  <c r="AO92" i="45"/>
  <c r="AO78" i="45"/>
  <c r="AO30" i="45"/>
  <c r="AO27" i="45"/>
  <c r="AO17" i="45"/>
  <c r="AO3" i="45"/>
  <c r="AO4" i="45"/>
  <c r="AO5" i="45"/>
  <c r="AO6" i="45"/>
  <c r="AO7" i="45"/>
  <c r="AO8" i="45"/>
  <c r="AO9" i="45"/>
  <c r="AO11" i="45"/>
  <c r="AO13" i="45"/>
  <c r="AO14" i="45"/>
  <c r="AO16" i="45"/>
  <c r="AO18" i="45"/>
  <c r="AO19" i="45"/>
  <c r="AO20" i="45"/>
  <c r="AO21" i="45"/>
  <c r="AO22" i="45"/>
  <c r="AO23" i="45"/>
  <c r="AO24" i="45"/>
  <c r="AO25" i="45"/>
  <c r="AO26" i="45"/>
  <c r="AO28" i="45"/>
  <c r="AO29" i="45"/>
  <c r="AO31" i="45"/>
  <c r="AO32" i="45"/>
  <c r="AO33" i="45"/>
  <c r="AO34" i="45"/>
  <c r="AO35" i="45"/>
  <c r="AO36" i="45"/>
  <c r="AO37" i="45"/>
  <c r="AO38" i="45"/>
  <c r="AO39" i="45"/>
  <c r="AO40" i="45"/>
  <c r="AO41" i="45"/>
  <c r="AO42" i="45"/>
  <c r="AO43" i="45"/>
  <c r="AO44" i="45"/>
  <c r="AO45" i="45"/>
  <c r="AO47" i="45"/>
  <c r="AO48" i="45"/>
  <c r="AO49" i="45"/>
  <c r="AO50" i="45"/>
  <c r="AO51" i="45"/>
  <c r="AO52" i="45"/>
  <c r="AO53" i="45"/>
  <c r="AO54" i="45"/>
  <c r="AO56" i="45"/>
  <c r="AO57" i="45"/>
  <c r="AO58" i="45"/>
  <c r="AO59" i="45"/>
  <c r="AO60" i="45"/>
  <c r="AO61" i="45"/>
  <c r="AO62" i="45"/>
  <c r="AO64" i="45"/>
  <c r="AO65" i="45"/>
  <c r="AO66" i="45"/>
  <c r="AO67" i="45"/>
  <c r="AO68" i="45"/>
  <c r="AO70" i="45"/>
  <c r="AO71" i="45"/>
  <c r="AO72" i="45"/>
  <c r="AO74" i="45"/>
  <c r="AO75" i="45"/>
  <c r="AO76" i="45"/>
  <c r="AO77" i="45"/>
  <c r="AO79" i="45"/>
  <c r="AO80" i="45"/>
  <c r="AO81" i="45"/>
  <c r="AO82" i="45"/>
  <c r="AO83" i="45"/>
  <c r="AO84" i="45"/>
  <c r="AO85" i="45"/>
  <c r="AO86" i="45"/>
  <c r="AO87" i="45"/>
  <c r="AO88" i="45"/>
  <c r="AO89" i="45"/>
  <c r="AO90" i="45"/>
  <c r="AO93" i="45"/>
  <c r="AO94" i="45"/>
  <c r="AO95" i="45"/>
  <c r="AO96" i="45"/>
  <c r="AO98" i="45"/>
  <c r="AO99" i="45"/>
  <c r="AO100" i="45"/>
  <c r="AO101" i="45"/>
  <c r="AO102" i="45"/>
  <c r="AO103" i="45"/>
  <c r="AO104" i="45"/>
  <c r="AO105" i="45"/>
  <c r="AO106" i="45"/>
  <c r="AO107" i="45"/>
  <c r="AO108" i="45"/>
  <c r="AO109" i="45"/>
  <c r="AO110" i="45"/>
  <c r="AO111" i="45"/>
  <c r="AO112" i="45"/>
  <c r="AO113" i="45"/>
  <c r="AO114" i="45"/>
  <c r="AO115" i="45"/>
  <c r="AO116" i="45"/>
  <c r="AO117" i="45"/>
  <c r="H120" i="45" l="1"/>
  <c r="K120" i="45" l="1"/>
  <c r="L120" i="45"/>
  <c r="M120" i="45"/>
  <c r="N120" i="45"/>
  <c r="O120" i="45"/>
  <c r="P120" i="45"/>
  <c r="Q120" i="45"/>
  <c r="R120" i="45"/>
  <c r="S120" i="45"/>
  <c r="T120" i="45"/>
  <c r="U120" i="45"/>
  <c r="V120" i="45"/>
  <c r="W120" i="45"/>
  <c r="X120" i="45"/>
  <c r="Y120" i="45"/>
  <c r="Z120" i="45"/>
  <c r="AA120" i="45"/>
  <c r="AB120" i="45"/>
  <c r="AC120" i="45"/>
  <c r="AD120" i="45"/>
  <c r="AE120" i="45"/>
  <c r="AF120" i="45"/>
  <c r="AG120" i="45"/>
  <c r="AH120" i="45"/>
  <c r="AI120" i="45"/>
  <c r="AJ120" i="45"/>
  <c r="AK120" i="45"/>
  <c r="AL120" i="45"/>
  <c r="AM120" i="45"/>
  <c r="J120" i="45"/>
  <c r="AN120" i="45" l="1"/>
  <c r="AO120" i="45" s="1"/>
  <c r="AO3" i="42"/>
  <c r="AO4" i="42"/>
  <c r="AO5" i="42"/>
  <c r="AO6" i="42"/>
  <c r="AO7" i="42"/>
  <c r="AO8" i="42"/>
  <c r="AO9" i="42"/>
  <c r="AO10" i="42"/>
  <c r="AO11" i="42"/>
  <c r="AO12" i="42"/>
  <c r="AO13" i="42"/>
  <c r="AO14" i="42"/>
  <c r="AO15" i="42"/>
  <c r="AO16" i="42"/>
  <c r="AO17" i="42"/>
  <c r="AO18" i="42"/>
  <c r="AO19" i="42"/>
  <c r="AO20" i="42"/>
  <c r="AO21" i="42"/>
  <c r="AO22" i="42"/>
  <c r="AO23" i="42"/>
  <c r="AO24" i="42"/>
  <c r="AO25" i="42"/>
  <c r="AO26" i="42"/>
  <c r="AO27" i="42"/>
  <c r="AO28" i="42"/>
  <c r="AO29" i="42"/>
  <c r="AO30" i="42"/>
  <c r="AO31" i="42"/>
  <c r="AO32" i="42"/>
  <c r="AO33" i="42"/>
  <c r="AO34" i="42"/>
  <c r="AO35" i="42"/>
  <c r="AO36" i="42"/>
  <c r="AO37" i="42"/>
  <c r="AO38" i="42"/>
  <c r="AO39" i="42"/>
  <c r="AO40" i="42"/>
  <c r="AO41" i="42"/>
  <c r="AO42" i="42"/>
  <c r="AO43" i="42"/>
  <c r="AO44" i="42"/>
  <c r="AO45" i="42"/>
  <c r="AO46" i="42"/>
  <c r="AO47" i="42"/>
  <c r="AO48" i="42"/>
  <c r="AO49" i="42"/>
  <c r="AO50" i="42"/>
  <c r="AO51" i="42"/>
  <c r="AO52" i="42"/>
  <c r="AO53" i="42"/>
  <c r="AO54" i="42"/>
  <c r="AO55" i="42"/>
  <c r="AO56" i="42"/>
  <c r="AO57" i="42"/>
  <c r="AO58" i="42"/>
  <c r="AO59" i="42"/>
  <c r="AO60" i="42"/>
  <c r="AO61" i="42"/>
  <c r="AO62" i="42"/>
  <c r="AO63" i="42"/>
  <c r="AO64" i="42"/>
  <c r="AO65" i="42"/>
  <c r="AO66" i="42"/>
  <c r="AO67" i="42"/>
  <c r="AO68" i="42"/>
  <c r="AO69" i="42"/>
  <c r="AO70" i="42"/>
  <c r="AO71" i="42"/>
  <c r="AO72" i="42"/>
  <c r="AO73" i="42"/>
  <c r="AO74" i="42"/>
  <c r="AO75" i="42"/>
  <c r="AO76" i="42"/>
  <c r="AO77" i="42"/>
  <c r="AO78" i="42"/>
  <c r="AO79" i="42"/>
  <c r="AO80" i="42"/>
  <c r="AO81" i="42"/>
  <c r="AO82" i="42"/>
  <c r="AO83" i="42"/>
  <c r="AO84" i="42"/>
  <c r="AO85" i="42"/>
  <c r="AO86" i="42"/>
  <c r="AO87" i="42"/>
  <c r="AO88" i="42"/>
  <c r="AO89" i="42"/>
  <c r="AO90" i="42"/>
  <c r="AO91" i="42"/>
  <c r="AO92" i="42"/>
  <c r="AO93" i="42"/>
  <c r="AO94" i="42"/>
  <c r="AO95" i="42"/>
  <c r="AO96" i="42"/>
  <c r="AO97" i="42"/>
  <c r="AO98" i="42"/>
  <c r="AO99" i="42"/>
  <c r="AO100" i="42"/>
  <c r="AO101" i="42"/>
  <c r="AO102" i="42"/>
  <c r="AO103" i="42"/>
  <c r="AO104" i="42"/>
  <c r="AO105" i="42"/>
  <c r="AO106" i="42"/>
  <c r="AO107" i="42"/>
  <c r="AO108" i="42"/>
  <c r="AO109" i="42"/>
  <c r="AO110" i="42"/>
  <c r="AO111" i="42"/>
  <c r="AO112" i="42"/>
  <c r="AO113" i="42"/>
  <c r="AO114" i="42"/>
  <c r="AO2" i="42"/>
  <c r="AP2" i="42"/>
  <c r="AP80" i="42" l="1"/>
  <c r="AP72" i="42"/>
  <c r="AP45" i="42"/>
  <c r="AP88" i="42"/>
  <c r="AP28" i="42"/>
  <c r="AP21" i="42"/>
  <c r="AP3" i="42"/>
  <c r="AP4" i="42"/>
  <c r="AP5" i="42"/>
  <c r="AP6" i="42"/>
  <c r="AP7" i="42"/>
  <c r="AP8" i="42"/>
  <c r="AP9" i="42"/>
  <c r="AP10" i="42"/>
  <c r="AP11" i="42"/>
  <c r="AP12" i="42"/>
  <c r="AP13" i="42"/>
  <c r="AP14" i="42"/>
  <c r="AP15" i="42"/>
  <c r="AP16" i="42"/>
  <c r="AP17" i="42"/>
  <c r="AP18" i="42"/>
  <c r="AP19" i="42"/>
  <c r="AP20" i="42"/>
  <c r="AP22" i="42"/>
  <c r="AP23" i="42"/>
  <c r="AP24" i="42"/>
  <c r="AP25" i="42"/>
  <c r="AP26" i="42"/>
  <c r="AP27" i="42"/>
  <c r="AP29" i="42"/>
  <c r="AP30" i="42"/>
  <c r="AP31" i="42"/>
  <c r="AP32" i="42"/>
  <c r="AP33" i="42"/>
  <c r="AP34" i="42"/>
  <c r="AP35" i="42"/>
  <c r="AP36" i="42"/>
  <c r="AP37" i="42"/>
  <c r="AP38" i="42"/>
  <c r="AP39" i="42"/>
  <c r="AP40" i="42"/>
  <c r="AP41" i="42"/>
  <c r="AP42" i="42"/>
  <c r="AP43" i="42"/>
  <c r="AP44" i="42"/>
  <c r="AP46" i="42"/>
  <c r="AP47" i="42"/>
  <c r="AP48" i="42"/>
  <c r="AP49" i="42"/>
  <c r="AP50" i="42"/>
  <c r="AP51" i="42"/>
  <c r="AP52" i="42"/>
  <c r="AP53" i="42"/>
  <c r="AP54" i="42"/>
  <c r="AP55" i="42"/>
  <c r="AP56" i="42"/>
  <c r="AP57" i="42"/>
  <c r="AP58" i="42"/>
  <c r="AP59" i="42"/>
  <c r="AP60" i="42"/>
  <c r="AP61" i="42"/>
  <c r="AP62" i="42"/>
  <c r="AP63" i="42"/>
  <c r="AP64" i="42"/>
  <c r="AP65" i="42"/>
  <c r="AP66" i="42"/>
  <c r="AP67" i="42"/>
  <c r="AP68" i="42"/>
  <c r="AP69" i="42"/>
  <c r="AP70" i="42"/>
  <c r="AP71" i="42"/>
  <c r="AP73" i="42"/>
  <c r="AP74" i="42"/>
  <c r="AP75" i="42"/>
  <c r="AP76" i="42"/>
  <c r="AP77" i="42"/>
  <c r="AP78" i="42"/>
  <c r="AP79" i="42"/>
  <c r="AP81" i="42"/>
  <c r="AP82" i="42"/>
  <c r="AP83" i="42"/>
  <c r="AP84" i="42"/>
  <c r="AP85" i="42"/>
  <c r="AP86" i="42"/>
  <c r="AP87" i="42"/>
  <c r="AP89" i="42"/>
  <c r="AP90" i="42"/>
  <c r="AP91" i="42"/>
  <c r="AP92" i="42"/>
  <c r="AP93" i="42"/>
  <c r="AP94" i="42"/>
  <c r="AP95" i="42"/>
  <c r="AP96" i="42"/>
  <c r="AP97" i="42"/>
  <c r="AP98" i="42"/>
  <c r="AP99" i="42"/>
  <c r="AP100" i="42"/>
  <c r="AP101" i="42"/>
  <c r="AP102" i="42"/>
  <c r="AP103" i="42"/>
  <c r="AP104" i="42"/>
  <c r="AP105" i="42"/>
  <c r="AP106" i="42"/>
  <c r="AP107" i="42"/>
  <c r="AP108" i="42"/>
  <c r="AP109" i="42"/>
  <c r="AP110" i="42"/>
  <c r="AP111" i="42"/>
  <c r="AP112" i="42"/>
  <c r="AP113" i="42"/>
  <c r="AP114" i="42"/>
  <c r="K116" i="42" l="1"/>
  <c r="L116" i="42"/>
  <c r="M116" i="42"/>
  <c r="N116" i="42"/>
  <c r="O116" i="42"/>
  <c r="P116" i="42"/>
  <c r="Q116" i="42"/>
  <c r="R116" i="42"/>
  <c r="S116" i="42"/>
  <c r="T116" i="42"/>
  <c r="U116" i="42"/>
  <c r="V116" i="42"/>
  <c r="W116" i="42"/>
  <c r="X116" i="42"/>
  <c r="Y116" i="42"/>
  <c r="Z116" i="42"/>
  <c r="AA116" i="42"/>
  <c r="AB116" i="42"/>
  <c r="AC116" i="42"/>
  <c r="AD116" i="42"/>
  <c r="AE116" i="42"/>
  <c r="AF116" i="42"/>
  <c r="AG116" i="42"/>
  <c r="AH116" i="42"/>
  <c r="AI116" i="42"/>
  <c r="AJ116" i="42"/>
  <c r="AK116" i="42"/>
  <c r="AL116" i="42"/>
  <c r="AM116" i="42"/>
  <c r="AN116" i="42"/>
  <c r="J116" i="42"/>
  <c r="AO116" i="42" l="1"/>
  <c r="H116" i="42"/>
  <c r="AP116" i="42" l="1"/>
  <c r="AO3" i="39"/>
  <c r="AO4" i="39"/>
  <c r="AO5" i="39"/>
  <c r="AO6" i="39"/>
  <c r="AO7" i="39"/>
  <c r="AO8" i="39"/>
  <c r="AO9" i="39"/>
  <c r="AO10" i="39"/>
  <c r="AO11" i="39"/>
  <c r="AO12" i="39"/>
  <c r="AO13" i="39"/>
  <c r="AO14" i="39"/>
  <c r="AO15" i="39"/>
  <c r="AO16" i="39"/>
  <c r="AO17" i="39"/>
  <c r="AO18" i="39"/>
  <c r="AO19" i="39"/>
  <c r="AO20" i="39"/>
  <c r="AO21" i="39"/>
  <c r="AO22" i="39"/>
  <c r="AO23" i="39"/>
  <c r="AO24" i="39"/>
  <c r="AO25" i="39"/>
  <c r="AO26" i="39"/>
  <c r="AO27" i="39"/>
  <c r="AO28" i="39"/>
  <c r="AO29" i="39"/>
  <c r="AO30" i="39"/>
  <c r="AO31" i="39"/>
  <c r="AO32" i="39"/>
  <c r="AO33" i="39"/>
  <c r="AO34" i="39"/>
  <c r="AO35" i="39"/>
  <c r="AO36" i="39"/>
  <c r="AO37" i="39"/>
  <c r="AO38" i="39"/>
  <c r="AO39" i="39"/>
  <c r="AO40" i="39"/>
  <c r="AO41" i="39"/>
  <c r="AO42" i="39"/>
  <c r="AO43" i="39"/>
  <c r="AO44" i="39"/>
  <c r="AO45" i="39"/>
  <c r="AO46" i="39"/>
  <c r="AO47" i="39"/>
  <c r="AO48" i="39"/>
  <c r="AO49" i="39"/>
  <c r="AO50" i="39"/>
  <c r="AO51" i="39"/>
  <c r="AO52" i="39"/>
  <c r="AO53" i="39"/>
  <c r="AO54" i="39"/>
  <c r="AO55" i="39"/>
  <c r="AO56" i="39"/>
  <c r="AO57" i="39"/>
  <c r="AO58" i="39"/>
  <c r="AO59" i="39"/>
  <c r="AO60" i="39"/>
  <c r="AO61" i="39"/>
  <c r="AO62" i="39"/>
  <c r="AO63" i="39"/>
  <c r="AO64" i="39"/>
  <c r="AO65" i="39"/>
  <c r="AO66" i="39"/>
  <c r="AO67" i="39"/>
  <c r="AO68" i="39"/>
  <c r="AO69" i="39"/>
  <c r="AO70" i="39"/>
  <c r="AO71" i="39"/>
  <c r="AO72" i="39"/>
  <c r="AO73" i="39"/>
  <c r="AO74" i="39"/>
  <c r="AO75" i="39"/>
  <c r="AO76" i="39"/>
  <c r="AO77" i="39"/>
  <c r="AO78" i="39"/>
  <c r="AO79" i="39"/>
  <c r="AO80" i="39"/>
  <c r="AO81" i="39"/>
  <c r="AO82" i="39"/>
  <c r="AO83" i="39"/>
  <c r="AO84" i="39"/>
  <c r="AO85" i="39"/>
  <c r="AO86" i="39"/>
  <c r="AO87" i="39"/>
  <c r="AO88" i="39"/>
  <c r="AO89" i="39"/>
  <c r="AO90" i="39"/>
  <c r="AO91" i="39"/>
  <c r="AO92" i="39"/>
  <c r="AO93" i="39"/>
  <c r="AO94" i="39"/>
  <c r="AO95" i="39"/>
  <c r="AO96" i="39"/>
  <c r="AO97" i="39"/>
  <c r="AO98" i="39"/>
  <c r="AO99" i="39"/>
  <c r="AO100" i="39"/>
  <c r="AO101" i="39"/>
  <c r="AO102" i="39"/>
  <c r="AO103" i="39"/>
  <c r="AO2" i="39"/>
  <c r="AP24" i="39" l="1"/>
  <c r="AP25" i="39"/>
  <c r="AP26" i="39"/>
  <c r="AP27" i="39"/>
  <c r="AP28" i="39"/>
  <c r="AP29" i="39"/>
  <c r="AP30" i="39"/>
  <c r="AP31" i="39"/>
  <c r="AP32" i="39"/>
  <c r="AP33" i="39"/>
  <c r="AP34" i="39"/>
  <c r="AP35" i="39"/>
  <c r="AP36" i="39"/>
  <c r="AP37" i="39"/>
  <c r="AP38" i="39"/>
  <c r="AP39" i="39"/>
  <c r="AP40" i="39"/>
  <c r="AP41" i="39"/>
  <c r="AP42" i="39"/>
  <c r="AP43" i="39"/>
  <c r="AP44" i="39"/>
  <c r="AP45" i="39"/>
  <c r="AP46" i="39"/>
  <c r="AP47" i="39"/>
  <c r="AP48" i="39"/>
  <c r="AP49" i="39"/>
  <c r="AP50" i="39"/>
  <c r="AP51" i="39"/>
  <c r="AP52" i="39"/>
  <c r="AP53" i="39"/>
  <c r="AP54" i="39"/>
  <c r="AP55" i="39"/>
  <c r="AP56" i="39"/>
  <c r="AP57" i="39"/>
  <c r="AP58" i="39"/>
  <c r="AP59" i="39"/>
  <c r="AP60" i="39"/>
  <c r="AP61" i="39"/>
  <c r="AP62" i="39"/>
  <c r="AP63" i="39"/>
  <c r="AP64" i="39"/>
  <c r="AP65" i="39"/>
  <c r="AP66" i="39"/>
  <c r="AP67" i="39"/>
  <c r="AP68" i="39"/>
  <c r="AP69" i="39"/>
  <c r="AP70" i="39"/>
  <c r="AP71" i="39"/>
  <c r="AP72" i="39"/>
  <c r="AP73" i="39"/>
  <c r="AP74" i="39"/>
  <c r="AP75" i="39"/>
  <c r="AP76" i="39"/>
  <c r="AP77" i="39"/>
  <c r="AP78" i="39"/>
  <c r="AP79" i="39"/>
  <c r="AP80" i="39"/>
  <c r="AP81" i="39"/>
  <c r="AP82" i="39"/>
  <c r="AP83" i="39"/>
  <c r="AP84" i="39"/>
  <c r="AP85" i="39"/>
  <c r="AP86" i="39"/>
  <c r="AP87" i="39"/>
  <c r="AP88" i="39"/>
  <c r="AP89" i="39"/>
  <c r="AP90" i="39"/>
  <c r="AP91" i="39"/>
  <c r="AP92" i="39"/>
  <c r="AP93" i="39"/>
  <c r="AP94" i="39"/>
  <c r="AP95" i="39"/>
  <c r="AP96" i="39"/>
  <c r="AP97" i="39"/>
  <c r="AP98" i="39"/>
  <c r="AP99" i="39"/>
  <c r="AP100" i="39"/>
  <c r="AP101" i="39"/>
  <c r="AP102" i="39"/>
  <c r="AP103" i="39"/>
  <c r="AP3" i="39"/>
  <c r="AP4" i="39"/>
  <c r="AP5" i="39"/>
  <c r="AP6" i="39"/>
  <c r="AP7" i="39"/>
  <c r="AP8" i="39"/>
  <c r="AP9" i="39"/>
  <c r="AP10" i="39"/>
  <c r="AP11" i="39"/>
  <c r="AP12" i="39"/>
  <c r="AP13" i="39"/>
  <c r="AP14" i="39"/>
  <c r="AP15" i="39"/>
  <c r="AP16" i="39"/>
  <c r="AP17" i="39"/>
  <c r="AP18" i="39"/>
  <c r="AP19" i="39"/>
  <c r="AP20" i="39"/>
  <c r="AP21" i="39"/>
  <c r="AP22" i="39"/>
  <c r="AP23" i="39"/>
  <c r="AP2" i="39" l="1"/>
  <c r="AN105" i="39" l="1"/>
  <c r="AM105" i="39" l="1"/>
  <c r="AL105" i="39"/>
  <c r="AK105" i="39"/>
  <c r="AJ105" i="39"/>
  <c r="AI105" i="39"/>
  <c r="AH105" i="39"/>
  <c r="AG105" i="39"/>
  <c r="AF105" i="39"/>
  <c r="AE105" i="39"/>
  <c r="AD105" i="39"/>
  <c r="AC105" i="39"/>
  <c r="AB105" i="39"/>
  <c r="AA105" i="39"/>
  <c r="Y105" i="39"/>
  <c r="X105" i="39"/>
  <c r="W105" i="39"/>
  <c r="V105" i="39"/>
  <c r="U105" i="39"/>
  <c r="T105" i="39"/>
  <c r="S105" i="39"/>
  <c r="R105" i="39"/>
  <c r="Q105" i="39"/>
  <c r="P105" i="39"/>
  <c r="O105" i="39"/>
  <c r="N105" i="39"/>
  <c r="M105" i="39"/>
  <c r="L105" i="39"/>
  <c r="K105" i="39"/>
  <c r="J105" i="39"/>
  <c r="H105" i="39"/>
  <c r="Z105" i="39" l="1"/>
  <c r="AO105" i="39" s="1"/>
  <c r="AP3" i="36"/>
  <c r="AP4" i="36"/>
  <c r="AP5" i="36"/>
  <c r="AP6" i="36"/>
  <c r="AP7" i="36"/>
  <c r="AP8" i="36"/>
  <c r="AP9" i="36"/>
  <c r="AP10" i="36"/>
  <c r="AP11" i="36"/>
  <c r="AP12" i="36"/>
  <c r="AP13" i="36"/>
  <c r="AP14" i="36"/>
  <c r="AP15" i="36"/>
  <c r="AP16" i="36"/>
  <c r="AP17" i="36"/>
  <c r="AP18" i="36"/>
  <c r="AP19" i="36"/>
  <c r="AP20" i="36"/>
  <c r="AP21" i="36"/>
  <c r="AP22" i="36"/>
  <c r="AP23" i="36"/>
  <c r="AP24" i="36"/>
  <c r="AP25" i="36"/>
  <c r="AP26" i="36"/>
  <c r="AP27" i="36"/>
  <c r="AP28" i="36"/>
  <c r="AP29" i="36"/>
  <c r="AP30" i="36"/>
  <c r="AP31" i="36"/>
  <c r="AP32" i="36"/>
  <c r="AP33" i="36"/>
  <c r="AP34" i="36"/>
  <c r="AP35" i="36"/>
  <c r="AP36" i="36"/>
  <c r="AP37" i="36"/>
  <c r="AP38" i="36"/>
  <c r="AP39" i="36"/>
  <c r="AP40" i="36"/>
  <c r="AP41" i="36"/>
  <c r="AP42" i="36"/>
  <c r="AP43" i="36"/>
  <c r="AP44" i="36"/>
  <c r="AP45" i="36"/>
  <c r="AP46" i="36"/>
  <c r="AP47" i="36"/>
  <c r="AP48" i="36"/>
  <c r="AP49" i="36"/>
  <c r="AP50" i="36"/>
  <c r="AP51" i="36"/>
  <c r="AP52" i="36"/>
  <c r="AP53" i="36"/>
  <c r="AP54" i="36"/>
  <c r="AP55" i="36"/>
  <c r="AP56" i="36"/>
  <c r="AP57" i="36"/>
  <c r="AP58" i="36"/>
  <c r="AP59" i="36"/>
  <c r="AP60" i="36"/>
  <c r="AP61" i="36"/>
  <c r="AP62" i="36"/>
  <c r="AP63" i="36"/>
  <c r="AP65" i="36"/>
  <c r="AP66" i="36"/>
  <c r="AP67" i="36"/>
  <c r="AP68" i="36"/>
  <c r="AP69" i="36"/>
  <c r="AP70" i="36"/>
  <c r="AP71" i="36"/>
  <c r="AP72" i="36"/>
  <c r="AP73" i="36"/>
  <c r="AP74" i="36"/>
  <c r="AP75" i="36"/>
  <c r="AP76" i="36"/>
  <c r="AP77" i="36"/>
  <c r="AP78" i="36"/>
  <c r="AP79" i="36"/>
  <c r="AP80" i="36"/>
  <c r="AP81" i="36"/>
  <c r="AP82" i="36"/>
  <c r="AP83" i="36"/>
  <c r="AP84" i="36"/>
  <c r="AP85" i="36"/>
  <c r="AP86" i="36"/>
  <c r="AP87" i="36"/>
  <c r="AP88" i="36"/>
  <c r="AP89" i="36"/>
  <c r="AP90" i="36"/>
  <c r="AP91" i="36"/>
  <c r="AP92" i="36"/>
  <c r="AP93" i="36"/>
  <c r="AP94" i="36"/>
  <c r="AP95" i="36"/>
  <c r="AP96" i="36"/>
  <c r="AP97" i="36"/>
  <c r="AP98" i="36"/>
  <c r="AP99" i="36"/>
  <c r="AP2" i="36"/>
  <c r="AP105" i="39" l="1"/>
  <c r="AQ78" i="36"/>
  <c r="AQ41" i="36" l="1"/>
  <c r="AN86" i="30" l="1"/>
  <c r="AN85" i="30"/>
  <c r="AN83" i="30"/>
  <c r="AN82" i="30"/>
  <c r="AN81" i="30"/>
  <c r="AN80" i="30"/>
  <c r="AN79" i="30"/>
  <c r="AN78" i="30"/>
  <c r="AN77" i="30"/>
  <c r="AN76" i="30"/>
  <c r="AN75" i="30"/>
  <c r="AN74" i="30"/>
  <c r="AN71" i="30"/>
  <c r="AN70" i="30"/>
  <c r="AN69" i="30"/>
  <c r="AN68" i="30"/>
  <c r="AN67" i="30"/>
  <c r="AN66" i="30"/>
  <c r="AN60" i="30"/>
  <c r="AN59" i="30"/>
  <c r="AN58" i="30"/>
  <c r="AN55" i="30"/>
  <c r="AN29" i="30"/>
  <c r="AN27" i="30"/>
  <c r="AN26" i="30"/>
  <c r="AN25" i="30"/>
  <c r="AN24" i="30"/>
  <c r="AN22" i="30"/>
  <c r="AN21" i="30"/>
  <c r="AN20" i="30"/>
  <c r="AN19" i="30"/>
  <c r="AN17" i="30"/>
  <c r="AN16" i="30"/>
  <c r="AN14" i="30"/>
  <c r="AN13" i="30"/>
  <c r="AN12" i="30"/>
  <c r="AN11" i="30"/>
  <c r="AN4" i="30"/>
  <c r="AN3" i="30"/>
  <c r="AN2" i="30"/>
  <c r="AQ3" i="36" l="1"/>
  <c r="AQ4" i="36"/>
  <c r="AQ5" i="36"/>
  <c r="AQ6" i="36"/>
  <c r="AQ7" i="36"/>
  <c r="AQ8" i="36"/>
  <c r="AQ9" i="36"/>
  <c r="AQ10" i="36"/>
  <c r="AQ11" i="36"/>
  <c r="AQ12" i="36"/>
  <c r="AQ13" i="36"/>
  <c r="AQ14" i="36"/>
  <c r="AQ15" i="36"/>
  <c r="AQ16" i="36"/>
  <c r="AQ17" i="36"/>
  <c r="AQ18" i="36"/>
  <c r="AQ19" i="36"/>
  <c r="AQ20" i="36"/>
  <c r="AQ21" i="36"/>
  <c r="AQ22" i="36"/>
  <c r="AQ23" i="36"/>
  <c r="AQ24" i="36"/>
  <c r="AQ25" i="36"/>
  <c r="AQ26" i="36"/>
  <c r="AQ27" i="36"/>
  <c r="AQ28" i="36"/>
  <c r="AQ29" i="36"/>
  <c r="AQ30" i="36"/>
  <c r="AQ31" i="36"/>
  <c r="AQ32" i="36"/>
  <c r="AQ33" i="36"/>
  <c r="AQ34" i="36"/>
  <c r="AQ35" i="36"/>
  <c r="AQ36" i="36"/>
  <c r="AQ37" i="36"/>
  <c r="AQ38" i="36"/>
  <c r="AQ39" i="36"/>
  <c r="AQ40" i="36"/>
  <c r="AQ42" i="36"/>
  <c r="AQ43" i="36"/>
  <c r="AQ44" i="36"/>
  <c r="AQ45" i="36"/>
  <c r="AQ46" i="36"/>
  <c r="AQ47" i="36"/>
  <c r="AQ48" i="36"/>
  <c r="AQ49" i="36"/>
  <c r="AQ50" i="36"/>
  <c r="AQ51" i="36"/>
  <c r="AQ52" i="36"/>
  <c r="AQ53" i="36"/>
  <c r="AQ54" i="36"/>
  <c r="AQ55" i="36"/>
  <c r="AQ56" i="36"/>
  <c r="AQ57" i="36"/>
  <c r="AQ58" i="36"/>
  <c r="AQ59" i="36"/>
  <c r="AQ60" i="36"/>
  <c r="AQ61" i="36"/>
  <c r="AQ62" i="36"/>
  <c r="AQ63" i="36"/>
  <c r="AQ65" i="36"/>
  <c r="AQ66" i="36"/>
  <c r="AQ67" i="36"/>
  <c r="AQ68" i="36"/>
  <c r="AQ69" i="36"/>
  <c r="AQ70" i="36"/>
  <c r="AQ71" i="36"/>
  <c r="AQ72" i="36"/>
  <c r="AQ73" i="36"/>
  <c r="AQ74" i="36"/>
  <c r="AQ75" i="36"/>
  <c r="AQ76" i="36"/>
  <c r="AQ77" i="36"/>
  <c r="AQ79" i="36"/>
  <c r="AQ80" i="36"/>
  <c r="AQ81" i="36"/>
  <c r="AQ82" i="36"/>
  <c r="AQ83" i="36"/>
  <c r="AQ84" i="36"/>
  <c r="AQ85" i="36"/>
  <c r="AQ86" i="36"/>
  <c r="AQ87" i="36"/>
  <c r="AQ88" i="36"/>
  <c r="AQ89" i="36"/>
  <c r="AQ90" i="36"/>
  <c r="AQ91" i="36"/>
  <c r="AQ92" i="36"/>
  <c r="AQ93" i="36"/>
  <c r="AQ94" i="36"/>
  <c r="AQ95" i="36"/>
  <c r="AQ96" i="36"/>
  <c r="AQ97" i="36"/>
  <c r="AQ98" i="36"/>
  <c r="AQ99" i="36"/>
  <c r="AQ2" i="36"/>
  <c r="AA64" i="36" l="1"/>
  <c r="AP64" i="36" s="1"/>
  <c r="AQ64" i="36" s="1"/>
  <c r="AN101" i="36" l="1"/>
  <c r="AM101" i="36"/>
  <c r="AL101" i="36"/>
  <c r="AK101" i="36"/>
  <c r="AJ101" i="36"/>
  <c r="AI101" i="36"/>
  <c r="AH101" i="36"/>
  <c r="AG101" i="36"/>
  <c r="AF101" i="36"/>
  <c r="AE101" i="36"/>
  <c r="AD101" i="36"/>
  <c r="AC101" i="36"/>
  <c r="AB101" i="36"/>
  <c r="AA101" i="36"/>
  <c r="Z101" i="36"/>
  <c r="Y101" i="36"/>
  <c r="X101" i="36"/>
  <c r="W101" i="36"/>
  <c r="V101" i="36"/>
  <c r="U101" i="36"/>
  <c r="T101" i="36"/>
  <c r="S101" i="36"/>
  <c r="R101" i="36"/>
  <c r="Q101" i="36"/>
  <c r="P101" i="36"/>
  <c r="O101" i="36"/>
  <c r="N101" i="36"/>
  <c r="M101" i="36"/>
  <c r="L101" i="36"/>
  <c r="K101" i="36"/>
  <c r="H101" i="36"/>
  <c r="AP101" i="36" l="1"/>
  <c r="AQ101" i="36" s="1"/>
  <c r="AQ3" i="33"/>
  <c r="AQ4" i="33"/>
  <c r="AQ5" i="33"/>
  <c r="AQ6" i="33"/>
  <c r="AQ7" i="33"/>
  <c r="AQ8" i="33"/>
  <c r="AQ9" i="33"/>
  <c r="AQ10" i="33"/>
  <c r="AQ11" i="33"/>
  <c r="AQ12" i="33"/>
  <c r="AQ13" i="33"/>
  <c r="AQ14" i="33"/>
  <c r="AQ15" i="33"/>
  <c r="AQ16" i="33"/>
  <c r="AQ17" i="33"/>
  <c r="AQ18" i="33"/>
  <c r="AQ19" i="33"/>
  <c r="AQ20" i="33"/>
  <c r="AQ21" i="33"/>
  <c r="AQ22" i="33"/>
  <c r="AQ23" i="33"/>
  <c r="AQ24" i="33"/>
  <c r="AQ25" i="33"/>
  <c r="AQ26" i="33"/>
  <c r="AQ27" i="33"/>
  <c r="AQ28" i="33"/>
  <c r="AQ29" i="33"/>
  <c r="AQ30" i="33"/>
  <c r="AQ31" i="33"/>
  <c r="AQ32" i="33"/>
  <c r="AQ33" i="33"/>
  <c r="AQ34" i="33"/>
  <c r="AQ35" i="33"/>
  <c r="AQ36" i="33"/>
  <c r="AQ37" i="33"/>
  <c r="AQ38" i="33"/>
  <c r="AQ39" i="33"/>
  <c r="AQ40" i="33"/>
  <c r="AQ41" i="33"/>
  <c r="AQ42" i="33"/>
  <c r="AQ43" i="33"/>
  <c r="AQ44" i="33"/>
  <c r="AQ45" i="33"/>
  <c r="AQ46" i="33"/>
  <c r="AQ47" i="33"/>
  <c r="AQ48" i="33"/>
  <c r="AQ49" i="33"/>
  <c r="AQ50" i="33"/>
  <c r="AQ51" i="33"/>
  <c r="AQ52" i="33"/>
  <c r="AQ53" i="33"/>
  <c r="AQ54" i="33"/>
  <c r="AQ55" i="33"/>
  <c r="AQ56" i="33"/>
  <c r="AQ57" i="33"/>
  <c r="AQ58" i="33"/>
  <c r="AQ59" i="33"/>
  <c r="AQ60" i="33"/>
  <c r="AQ61" i="33"/>
  <c r="AQ62" i="33"/>
  <c r="AQ63" i="33"/>
  <c r="AQ64" i="33"/>
  <c r="AQ65" i="33"/>
  <c r="AQ66" i="33"/>
  <c r="AQ67" i="33"/>
  <c r="AQ68" i="33"/>
  <c r="AQ69" i="33"/>
  <c r="AQ70" i="33"/>
  <c r="AQ71" i="33"/>
  <c r="AQ72" i="33"/>
  <c r="AQ73" i="33"/>
  <c r="AQ74" i="33"/>
  <c r="AQ75" i="33"/>
  <c r="AQ76" i="33"/>
  <c r="AQ77" i="33"/>
  <c r="AQ78" i="33"/>
  <c r="AQ79" i="33"/>
  <c r="AQ80" i="33"/>
  <c r="AQ81" i="33"/>
  <c r="AQ82" i="33"/>
  <c r="AQ83" i="33"/>
  <c r="AQ84" i="33"/>
  <c r="AQ85" i="33"/>
  <c r="AQ86" i="33"/>
  <c r="AQ87" i="33"/>
  <c r="AQ88" i="33"/>
  <c r="AQ89" i="33"/>
  <c r="AQ90" i="33"/>
  <c r="AQ91" i="33"/>
  <c r="AQ92" i="33"/>
  <c r="AQ93" i="33"/>
  <c r="AQ94" i="33"/>
  <c r="AQ2" i="33"/>
  <c r="AR2" i="33" l="1"/>
  <c r="AC96" i="33" l="1"/>
  <c r="AR36" i="33" l="1"/>
  <c r="AR35" i="33" l="1"/>
  <c r="H96" i="33" l="1"/>
  <c r="AR21" i="33"/>
  <c r="K96" i="33" l="1"/>
  <c r="AR3" i="33"/>
  <c r="AR5" i="33"/>
  <c r="AR7" i="33"/>
  <c r="AR9" i="33"/>
  <c r="AR11" i="33"/>
  <c r="AR13" i="33"/>
  <c r="AR15" i="33"/>
  <c r="AR17" i="33"/>
  <c r="AR19" i="33"/>
  <c r="AR22" i="33"/>
  <c r="AR24" i="33"/>
  <c r="AR26" i="33"/>
  <c r="AR28" i="33"/>
  <c r="AR30" i="33"/>
  <c r="AR32" i="33"/>
  <c r="AR34" i="33"/>
  <c r="AR38" i="33"/>
  <c r="AR40" i="33"/>
  <c r="AR42" i="33"/>
  <c r="AR44" i="33"/>
  <c r="AR46" i="33"/>
  <c r="AR48" i="33"/>
  <c r="AR50" i="33"/>
  <c r="AR52" i="33"/>
  <c r="AR54" i="33"/>
  <c r="AR56" i="33"/>
  <c r="AR58" i="33"/>
  <c r="AR60" i="33"/>
  <c r="AR62" i="33"/>
  <c r="AR64" i="33"/>
  <c r="AR66" i="33"/>
  <c r="AR68" i="33"/>
  <c r="AR70" i="33"/>
  <c r="AR72" i="33"/>
  <c r="AR74" i="33"/>
  <c r="AR76" i="33"/>
  <c r="AR78" i="33"/>
  <c r="AR80" i="33"/>
  <c r="AR82" i="33"/>
  <c r="AR84" i="33"/>
  <c r="AR86" i="33"/>
  <c r="AR88" i="33"/>
  <c r="AR90" i="33"/>
  <c r="AR92" i="33"/>
  <c r="AR94" i="33"/>
  <c r="AO96" i="33"/>
  <c r="AO2" i="30"/>
  <c r="AN96" i="33"/>
  <c r="AM96" i="33"/>
  <c r="AL96" i="33"/>
  <c r="AK96" i="33"/>
  <c r="AJ96" i="33"/>
  <c r="AI96" i="33"/>
  <c r="AH96" i="33"/>
  <c r="AG96" i="33"/>
  <c r="AF96" i="33"/>
  <c r="AE96" i="33"/>
  <c r="AD96" i="33"/>
  <c r="AB96" i="33"/>
  <c r="AA96" i="33"/>
  <c r="Z96" i="33"/>
  <c r="Y96" i="33"/>
  <c r="X96" i="33"/>
  <c r="W96" i="33"/>
  <c r="V96" i="33"/>
  <c r="U96" i="33"/>
  <c r="T96" i="33"/>
  <c r="S96" i="33"/>
  <c r="R96" i="33"/>
  <c r="Q96" i="33"/>
  <c r="P96" i="33"/>
  <c r="O96" i="33"/>
  <c r="N96" i="33"/>
  <c r="M96" i="33"/>
  <c r="AR93" i="33"/>
  <c r="AR91" i="33"/>
  <c r="AR89" i="33"/>
  <c r="AR87" i="33"/>
  <c r="AR85" i="33"/>
  <c r="AR83" i="33"/>
  <c r="AR81" i="33"/>
  <c r="AR79" i="33"/>
  <c r="AR77" i="33"/>
  <c r="AR75" i="33"/>
  <c r="AR73" i="33"/>
  <c r="AR71" i="33"/>
  <c r="AR69" i="33"/>
  <c r="AR67" i="33"/>
  <c r="AR65" i="33"/>
  <c r="AR63" i="33"/>
  <c r="AR61" i="33"/>
  <c r="AR59" i="33"/>
  <c r="AR57" i="33"/>
  <c r="AR55" i="33"/>
  <c r="AR53" i="33"/>
  <c r="AR51" i="33"/>
  <c r="AR49" i="33"/>
  <c r="AR47" i="33"/>
  <c r="AR45" i="33"/>
  <c r="AR43" i="33"/>
  <c r="AR41" i="33"/>
  <c r="AR39" i="33"/>
  <c r="AR37" i="33"/>
  <c r="AR33" i="33"/>
  <c r="AR31" i="33"/>
  <c r="AR29" i="33"/>
  <c r="AR27" i="33"/>
  <c r="AR25" i="33"/>
  <c r="AR23" i="33"/>
  <c r="AR20" i="33"/>
  <c r="AR18" i="33"/>
  <c r="AR16" i="33"/>
  <c r="AR14" i="33"/>
  <c r="AR12" i="33"/>
  <c r="AR10" i="33"/>
  <c r="AR8" i="33"/>
  <c r="AR6" i="33"/>
  <c r="AR4" i="33"/>
  <c r="AO84" i="30"/>
  <c r="AO85" i="30"/>
  <c r="AO86" i="30"/>
  <c r="AO80" i="30"/>
  <c r="AO79" i="30"/>
  <c r="AO76" i="30"/>
  <c r="AO75" i="30"/>
  <c r="AO74" i="30"/>
  <c r="AO73" i="30"/>
  <c r="AO72" i="30"/>
  <c r="AO71" i="30"/>
  <c r="AO70" i="30"/>
  <c r="AO69" i="30"/>
  <c r="AO68" i="30"/>
  <c r="AO64" i="30"/>
  <c r="AO63" i="30"/>
  <c r="AO62" i="30"/>
  <c r="AO61" i="30"/>
  <c r="AO57" i="30"/>
  <c r="AO55" i="30"/>
  <c r="AO54" i="30"/>
  <c r="AO53" i="30"/>
  <c r="AO52" i="30"/>
  <c r="AO51" i="30"/>
  <c r="AO49" i="30"/>
  <c r="AO48" i="30"/>
  <c r="AO47" i="30"/>
  <c r="AO45" i="30"/>
  <c r="AO46" i="30"/>
  <c r="AO44" i="30"/>
  <c r="AO43" i="30"/>
  <c r="AO42" i="30"/>
  <c r="AO41" i="30"/>
  <c r="AO40" i="30"/>
  <c r="AO39" i="30"/>
  <c r="AO38" i="30"/>
  <c r="AO37" i="30"/>
  <c r="AO33" i="30"/>
  <c r="AO32" i="30"/>
  <c r="AO31" i="30"/>
  <c r="AO3" i="30"/>
  <c r="AO4" i="30"/>
  <c r="AO5" i="30"/>
  <c r="AO6" i="30"/>
  <c r="AO7" i="30"/>
  <c r="AO8" i="30"/>
  <c r="AO9" i="30"/>
  <c r="AO10" i="30"/>
  <c r="AO11" i="30"/>
  <c r="AO12" i="30"/>
  <c r="AO13" i="30"/>
  <c r="AO14" i="30"/>
  <c r="AO15" i="30"/>
  <c r="AO16" i="30"/>
  <c r="AO17" i="30"/>
  <c r="AO18" i="30"/>
  <c r="AO19" i="30"/>
  <c r="AO20" i="30"/>
  <c r="AO21" i="30"/>
  <c r="AO22" i="30"/>
  <c r="AO23" i="30"/>
  <c r="AO24" i="30"/>
  <c r="AO25" i="30"/>
  <c r="AO26" i="30"/>
  <c r="AO27" i="30"/>
  <c r="AO28" i="30"/>
  <c r="AO29" i="30"/>
  <c r="AO30" i="30"/>
  <c r="AO34" i="30"/>
  <c r="AO35" i="30"/>
  <c r="AO36" i="30"/>
  <c r="AO50" i="30"/>
  <c r="AO58" i="30"/>
  <c r="AO59" i="30"/>
  <c r="AO60" i="30"/>
  <c r="AO65" i="30"/>
  <c r="AO66" i="30"/>
  <c r="AO67" i="30"/>
  <c r="AO77" i="30"/>
  <c r="AO78" i="30"/>
  <c r="AO81" i="30"/>
  <c r="AO82" i="30"/>
  <c r="AO83" i="30"/>
  <c r="AO87" i="30"/>
  <c r="AO88" i="30"/>
  <c r="AO89" i="30"/>
  <c r="AO90" i="30"/>
  <c r="AO91" i="30"/>
  <c r="L96" i="33" l="1"/>
  <c r="AQ96" i="33" s="1"/>
  <c r="AK93" i="30"/>
  <c r="AP65" i="30"/>
  <c r="AP84" i="30"/>
  <c r="AR96" i="33" l="1"/>
  <c r="AP21" i="30"/>
  <c r="AP23" i="30"/>
  <c r="AP22" i="30"/>
  <c r="AH93" i="30" l="1"/>
  <c r="AP33" i="30" l="1"/>
  <c r="AP3" i="30" l="1"/>
  <c r="AP4" i="30"/>
  <c r="AP5" i="30"/>
  <c r="AP6" i="30"/>
  <c r="AP7" i="30"/>
  <c r="AP8" i="30"/>
  <c r="AP9" i="30"/>
  <c r="AP10" i="30"/>
  <c r="AP11" i="30"/>
  <c r="AP12" i="30"/>
  <c r="AP13" i="30"/>
  <c r="AP14" i="30"/>
  <c r="AP15" i="30"/>
  <c r="AP16" i="30"/>
  <c r="AP17" i="30"/>
  <c r="AP18" i="30"/>
  <c r="AP19" i="30"/>
  <c r="AP20" i="30"/>
  <c r="AP24" i="30"/>
  <c r="AP25" i="30"/>
  <c r="AP26" i="30"/>
  <c r="AP27" i="30"/>
  <c r="AP28" i="30"/>
  <c r="AP29" i="30"/>
  <c r="AP30" i="30"/>
  <c r="AP31" i="30"/>
  <c r="AP32" i="30"/>
  <c r="AP34" i="30"/>
  <c r="AP35" i="30"/>
  <c r="AP36" i="30"/>
  <c r="AP37" i="30"/>
  <c r="AP38" i="30"/>
  <c r="AP39" i="30"/>
  <c r="AP40" i="30"/>
  <c r="AP41" i="30"/>
  <c r="AP42" i="30"/>
  <c r="AP43" i="30"/>
  <c r="AP44" i="30"/>
  <c r="AP45" i="30"/>
  <c r="AP46" i="30"/>
  <c r="AP47" i="30"/>
  <c r="AP48" i="30"/>
  <c r="AP49" i="30"/>
  <c r="AP50" i="30"/>
  <c r="AP51" i="30"/>
  <c r="AP52" i="30"/>
  <c r="AP53" i="30"/>
  <c r="AP54" i="30"/>
  <c r="AP55" i="30"/>
  <c r="AP57" i="30"/>
  <c r="AP58" i="30"/>
  <c r="AP59" i="30"/>
  <c r="AP60" i="30"/>
  <c r="AP61" i="30"/>
  <c r="AP62" i="30"/>
  <c r="AP63" i="30"/>
  <c r="AP64" i="30"/>
  <c r="AP66" i="30"/>
  <c r="AP67" i="30"/>
  <c r="AP68" i="30"/>
  <c r="AP69" i="30"/>
  <c r="AP70" i="30"/>
  <c r="AP71" i="30"/>
  <c r="AP72" i="30"/>
  <c r="AP73" i="30"/>
  <c r="AP74" i="30"/>
  <c r="AP75" i="30"/>
  <c r="AP76" i="30"/>
  <c r="AP77" i="30"/>
  <c r="AP78" i="30"/>
  <c r="AP79" i="30"/>
  <c r="AP80" i="30"/>
  <c r="AP81" i="30"/>
  <c r="AP82" i="30"/>
  <c r="AP83" i="30"/>
  <c r="AP85" i="30"/>
  <c r="AP86" i="30"/>
  <c r="AP87" i="30"/>
  <c r="AP88" i="30"/>
  <c r="AP89" i="30"/>
  <c r="AP90" i="30"/>
  <c r="AP91" i="30"/>
  <c r="AP2" i="30"/>
  <c r="K56" i="30" l="1"/>
  <c r="AO56" i="30" l="1"/>
  <c r="AP56" i="30" s="1"/>
  <c r="AM93" i="30"/>
  <c r="AL93" i="30"/>
  <c r="AJ93" i="30"/>
  <c r="AI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AG93" i="30"/>
  <c r="AF93" i="30"/>
  <c r="AD93" i="30" l="1"/>
  <c r="AE93" i="30"/>
  <c r="AO93" i="30" s="1"/>
  <c r="AP93" i="30" l="1"/>
  <c r="AO41" i="27" l="1"/>
  <c r="AP41" i="27" s="1"/>
  <c r="AO3" i="27" l="1"/>
  <c r="AO4" i="27"/>
  <c r="AO5" i="27"/>
  <c r="AO6" i="27"/>
  <c r="AO7" i="27"/>
  <c r="AO8" i="27"/>
  <c r="AO9" i="27"/>
  <c r="AO10" i="27"/>
  <c r="AO11" i="27"/>
  <c r="AO12" i="27"/>
  <c r="AO13" i="27"/>
  <c r="AO14" i="27"/>
  <c r="AO15" i="27"/>
  <c r="AO16" i="27"/>
  <c r="AO17" i="27"/>
  <c r="AO18" i="27"/>
  <c r="AO19" i="27"/>
  <c r="AO20" i="27"/>
  <c r="AO21" i="27"/>
  <c r="AO22" i="27"/>
  <c r="AO23" i="27"/>
  <c r="AO24" i="27"/>
  <c r="AO25" i="27"/>
  <c r="AO26" i="27"/>
  <c r="AO27" i="27"/>
  <c r="AO28" i="27"/>
  <c r="AO29" i="27"/>
  <c r="AO30" i="27"/>
  <c r="AO31" i="27"/>
  <c r="AO32" i="27"/>
  <c r="AO33" i="27"/>
  <c r="AO34" i="27"/>
  <c r="AO35" i="27"/>
  <c r="AO36" i="27"/>
  <c r="AO37" i="27"/>
  <c r="AO38" i="27"/>
  <c r="AO39" i="27"/>
  <c r="AO40" i="27"/>
  <c r="AO42" i="27"/>
  <c r="AO43" i="27"/>
  <c r="AO44" i="27"/>
  <c r="AO45" i="27"/>
  <c r="AO46" i="27"/>
  <c r="AO47" i="27"/>
  <c r="AO49" i="27"/>
  <c r="AO50" i="27"/>
  <c r="AO51" i="27"/>
  <c r="AO52" i="27"/>
  <c r="AO53" i="27"/>
  <c r="AO54" i="27"/>
  <c r="AO55" i="27"/>
  <c r="AO56" i="27"/>
  <c r="AO57" i="27"/>
  <c r="AO58" i="27"/>
  <c r="AO59" i="27"/>
  <c r="AO60" i="27"/>
  <c r="AO61" i="27"/>
  <c r="AO62" i="27"/>
  <c r="AO63" i="27"/>
  <c r="AO64" i="27"/>
  <c r="AO65" i="27"/>
  <c r="AO66" i="27"/>
  <c r="AO68" i="27"/>
  <c r="AO69" i="27"/>
  <c r="AO70" i="27"/>
  <c r="AO71" i="27"/>
  <c r="AO72" i="27"/>
  <c r="AO73" i="27"/>
  <c r="AO74" i="27"/>
  <c r="AO75" i="27"/>
  <c r="AO76" i="27"/>
  <c r="AO77" i="27"/>
  <c r="AO78" i="27"/>
  <c r="AO79" i="27"/>
  <c r="AO80" i="27"/>
  <c r="AO2" i="27"/>
  <c r="AP14" i="27" l="1"/>
  <c r="H82" i="27"/>
  <c r="AP75" i="27" l="1"/>
  <c r="AP74" i="27"/>
  <c r="AP73" i="27"/>
  <c r="AP72" i="27"/>
  <c r="AP71" i="27"/>
  <c r="AP70" i="27"/>
  <c r="AP69" i="27"/>
  <c r="AP68" i="27"/>
  <c r="AP66" i="27"/>
  <c r="AP65" i="27"/>
  <c r="AP64" i="27"/>
  <c r="AP63" i="27"/>
  <c r="AP62" i="27"/>
  <c r="AP61" i="27"/>
  <c r="AP60" i="27"/>
  <c r="AP59" i="27"/>
  <c r="AP58" i="27"/>
  <c r="AP57" i="27"/>
  <c r="AP56" i="27"/>
  <c r="AP55" i="27"/>
  <c r="AP54" i="27"/>
  <c r="AP53" i="27"/>
  <c r="AP52" i="27"/>
  <c r="AP51" i="27"/>
  <c r="AP50" i="27"/>
  <c r="AP49" i="27"/>
  <c r="AP47" i="27"/>
  <c r="AP46" i="27"/>
  <c r="AP45" i="27"/>
  <c r="AP44" i="27"/>
  <c r="AP43" i="27"/>
  <c r="AP40" i="27"/>
  <c r="AP39" i="27"/>
  <c r="AP38" i="27"/>
  <c r="AP37" i="27"/>
  <c r="AP36" i="27"/>
  <c r="AP35" i="27"/>
  <c r="AP34" i="27"/>
  <c r="AP33" i="27"/>
  <c r="AP32" i="27"/>
  <c r="AP31" i="27"/>
  <c r="AP30" i="27"/>
  <c r="AP29" i="27"/>
  <c r="AP24" i="27"/>
  <c r="AP23" i="27"/>
  <c r="AP22" i="27"/>
  <c r="AP21" i="27"/>
  <c r="AP20" i="27"/>
  <c r="AP19" i="27"/>
  <c r="AP18" i="27"/>
  <c r="AP17" i="27"/>
  <c r="AP16" i="27"/>
  <c r="AP15" i="27"/>
  <c r="AP13" i="27"/>
  <c r="AP12" i="27"/>
  <c r="AP11" i="27"/>
  <c r="AP10" i="27"/>
  <c r="AP9" i="27"/>
  <c r="AP8" i="27"/>
  <c r="AP7" i="27"/>
  <c r="AP6" i="27"/>
  <c r="AP5" i="27"/>
  <c r="AP4" i="27"/>
  <c r="AP3" i="27"/>
  <c r="AP2" i="27"/>
  <c r="AP25" i="27" l="1"/>
  <c r="AP26" i="27"/>
  <c r="AP27" i="27"/>
  <c r="AP28" i="27"/>
  <c r="AP42" i="27"/>
  <c r="AP76" i="27"/>
  <c r="AP77" i="27"/>
  <c r="AP78" i="27"/>
  <c r="AP79" i="27"/>
  <c r="AP80" i="27"/>
  <c r="AG48" i="27" l="1"/>
  <c r="AF48" i="27"/>
  <c r="AE48" i="27"/>
  <c r="AO48" i="27" s="1"/>
  <c r="AP48" i="27" s="1"/>
  <c r="AD67" i="27" l="1"/>
  <c r="AO67" i="27" s="1"/>
  <c r="AP67" i="27" s="1"/>
  <c r="AB82" i="27" l="1"/>
  <c r="AA82" i="27"/>
  <c r="K82" i="27" l="1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J82" i="27"/>
  <c r="I82" i="27"/>
  <c r="AO82" i="27" l="1"/>
  <c r="AP82" i="27" s="1"/>
  <c r="AM3" i="23"/>
  <c r="AM4" i="23"/>
  <c r="AM5" i="23"/>
  <c r="AM6" i="23"/>
  <c r="AM7" i="23"/>
  <c r="AM8" i="23"/>
  <c r="AM9" i="23"/>
  <c r="AM10" i="23"/>
  <c r="AM11" i="23"/>
  <c r="AM12" i="23"/>
  <c r="AM13" i="23"/>
  <c r="AM14" i="23"/>
  <c r="AM15" i="23"/>
  <c r="AM16" i="23"/>
  <c r="AM17" i="23"/>
  <c r="AM18" i="23"/>
  <c r="AM19" i="23"/>
  <c r="AM20" i="23"/>
  <c r="AM21" i="23"/>
  <c r="AM22" i="23"/>
  <c r="AM23" i="23"/>
  <c r="AM24" i="23"/>
  <c r="AM25" i="23"/>
  <c r="AM26" i="23"/>
  <c r="AM27" i="23"/>
  <c r="AM28" i="23"/>
  <c r="AM29" i="23"/>
  <c r="AM30" i="23"/>
  <c r="AM31" i="23"/>
  <c r="AM32" i="23"/>
  <c r="AM33" i="23"/>
  <c r="AM35" i="23"/>
  <c r="AM36" i="23"/>
  <c r="AM37" i="23"/>
  <c r="AM38" i="23"/>
  <c r="AM39" i="23"/>
  <c r="AM40" i="23"/>
  <c r="AM41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2" i="23"/>
  <c r="AN3" i="23" l="1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5" i="23"/>
  <c r="AN36" i="23"/>
  <c r="AN37" i="23"/>
  <c r="AN38" i="23"/>
  <c r="AN39" i="23"/>
  <c r="AN40" i="23"/>
  <c r="AN41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2" i="23"/>
  <c r="H72" i="23" l="1"/>
  <c r="Q42" i="23" l="1"/>
  <c r="P42" i="23" l="1"/>
  <c r="P34" i="23"/>
  <c r="O42" i="23" l="1"/>
  <c r="L42" i="23"/>
  <c r="K42" i="23"/>
  <c r="O34" i="23"/>
  <c r="N34" i="23"/>
  <c r="M34" i="23"/>
  <c r="AM42" i="23" l="1"/>
  <c r="AN42" i="23" s="1"/>
  <c r="AM34" i="23"/>
  <c r="AN34" i="23" s="1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AM72" i="23" l="1"/>
  <c r="AN72" i="23" s="1"/>
  <c r="AP3" i="18" l="1"/>
  <c r="AP4" i="18"/>
  <c r="AP5" i="18"/>
  <c r="AP6" i="18"/>
  <c r="AP7" i="18"/>
  <c r="AP8" i="18"/>
  <c r="AP9" i="18"/>
  <c r="AP10" i="18"/>
  <c r="AP11" i="18"/>
  <c r="AP12" i="18"/>
  <c r="AP13" i="18"/>
  <c r="AP14" i="18"/>
  <c r="AP15" i="18"/>
  <c r="AP16" i="18"/>
  <c r="AP17" i="18"/>
  <c r="AP18" i="18"/>
  <c r="AP19" i="18"/>
  <c r="AP20" i="18"/>
  <c r="AP21" i="18"/>
  <c r="AP22" i="18"/>
  <c r="AP23" i="18"/>
  <c r="AP24" i="18"/>
  <c r="AP25" i="18"/>
  <c r="AP26" i="18"/>
  <c r="AP27" i="18"/>
  <c r="AP28" i="18"/>
  <c r="AP29" i="18"/>
  <c r="AP30" i="18"/>
  <c r="AP31" i="18"/>
  <c r="AP32" i="18"/>
  <c r="AP33" i="18"/>
  <c r="AP34" i="18"/>
  <c r="AP35" i="18"/>
  <c r="AP36" i="18"/>
  <c r="AP37" i="18"/>
  <c r="AP38" i="18"/>
  <c r="AP39" i="18"/>
  <c r="AP40" i="18"/>
  <c r="AP41" i="18"/>
  <c r="AP42" i="18"/>
  <c r="AP43" i="18"/>
  <c r="AP44" i="18"/>
  <c r="AP45" i="18"/>
  <c r="AP46" i="18"/>
  <c r="AP47" i="18"/>
  <c r="AP48" i="18"/>
  <c r="AP49" i="18"/>
  <c r="AP50" i="18"/>
  <c r="AP51" i="18"/>
  <c r="AP52" i="18"/>
  <c r="AP53" i="18"/>
  <c r="AP54" i="18"/>
  <c r="AP55" i="18"/>
  <c r="AP56" i="18"/>
  <c r="AP57" i="18"/>
  <c r="AP58" i="18"/>
  <c r="AP59" i="18"/>
  <c r="AP60" i="18"/>
  <c r="AP61" i="18"/>
  <c r="AP62" i="18"/>
  <c r="AP2" i="18"/>
  <c r="AQ3" i="18" l="1"/>
  <c r="AQ4" i="18"/>
  <c r="AQ5" i="18"/>
  <c r="AQ6" i="18"/>
  <c r="AQ7" i="18"/>
  <c r="AQ8" i="18"/>
  <c r="AQ9" i="18"/>
  <c r="AQ10" i="18"/>
  <c r="AQ11" i="18"/>
  <c r="AQ12" i="18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1" i="18"/>
  <c r="AQ32" i="18"/>
  <c r="AQ33" i="18"/>
  <c r="AQ34" i="18"/>
  <c r="AQ35" i="18"/>
  <c r="AQ36" i="18"/>
  <c r="AQ37" i="18"/>
  <c r="AQ38" i="18"/>
  <c r="AQ39" i="18"/>
  <c r="AQ40" i="18"/>
  <c r="AQ41" i="18"/>
  <c r="AQ42" i="18"/>
  <c r="AQ43" i="18"/>
  <c r="AQ44" i="18"/>
  <c r="AQ45" i="18"/>
  <c r="AQ46" i="18"/>
  <c r="AQ47" i="18"/>
  <c r="AQ48" i="18"/>
  <c r="AQ49" i="18"/>
  <c r="AQ50" i="18"/>
  <c r="AQ51" i="18"/>
  <c r="AQ52" i="18"/>
  <c r="AQ53" i="18"/>
  <c r="AQ54" i="18"/>
  <c r="AQ55" i="18"/>
  <c r="AQ56" i="18"/>
  <c r="AQ57" i="18"/>
  <c r="AQ58" i="18"/>
  <c r="AQ59" i="18"/>
  <c r="AQ60" i="18"/>
  <c r="AQ61" i="18"/>
  <c r="AQ62" i="18"/>
  <c r="AQ2" i="18"/>
  <c r="AR23" i="18" l="1"/>
  <c r="J65" i="18"/>
  <c r="AR2" i="18" l="1"/>
  <c r="AA63" i="18" l="1"/>
  <c r="Z63" i="18" l="1"/>
  <c r="Y63" i="18" l="1"/>
  <c r="X63" i="18"/>
  <c r="W63" i="18"/>
  <c r="V63" i="18"/>
  <c r="U63" i="18" l="1"/>
  <c r="AP63" i="18" l="1"/>
  <c r="AQ63" i="18"/>
  <c r="AR63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Q65" i="18" l="1"/>
  <c r="AR22" i="18"/>
  <c r="AR24" i="18"/>
  <c r="AR25" i="18"/>
  <c r="AR26" i="18"/>
  <c r="AR27" i="18"/>
  <c r="AR28" i="18"/>
  <c r="AR29" i="18"/>
  <c r="AR30" i="18"/>
  <c r="AR31" i="18"/>
  <c r="AR32" i="18"/>
  <c r="AR33" i="18"/>
  <c r="AR34" i="18"/>
  <c r="AR35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56" i="18"/>
  <c r="AR57" i="18"/>
  <c r="AR58" i="18"/>
  <c r="AR59" i="18"/>
  <c r="AR60" i="18"/>
  <c r="AR61" i="18"/>
  <c r="AR62" i="18"/>
  <c r="AR3" i="18"/>
  <c r="AR4" i="18"/>
  <c r="AR6" i="18"/>
  <c r="AR7" i="18"/>
  <c r="AR8" i="18"/>
  <c r="AR9" i="18"/>
  <c r="AR10" i="18"/>
  <c r="AR11" i="18"/>
  <c r="AR12" i="18"/>
  <c r="AR13" i="18"/>
  <c r="AR14" i="18"/>
  <c r="AR15" i="18"/>
  <c r="AR16" i="18"/>
  <c r="AR17" i="18"/>
  <c r="AR18" i="18"/>
  <c r="AR19" i="18"/>
  <c r="AR20" i="18"/>
  <c r="AR21" i="18"/>
  <c r="AO2" i="15" l="1"/>
  <c r="AP2" i="15" s="1"/>
  <c r="AO60" i="15" l="1"/>
  <c r="AP60" i="15" s="1"/>
  <c r="AO3" i="15"/>
  <c r="AP3" i="15" s="1"/>
  <c r="AO4" i="15"/>
  <c r="AP4" i="15" s="1"/>
  <c r="AO5" i="15"/>
  <c r="AP5" i="15" s="1"/>
  <c r="AO6" i="15"/>
  <c r="AP6" i="15" s="1"/>
  <c r="AO7" i="15"/>
  <c r="AP7" i="15" s="1"/>
  <c r="AO8" i="15"/>
  <c r="AP8" i="15" s="1"/>
  <c r="AO9" i="15"/>
  <c r="AP9" i="15" s="1"/>
  <c r="AO10" i="15"/>
  <c r="AP10" i="15" s="1"/>
  <c r="AO11" i="15"/>
  <c r="AP11" i="15" s="1"/>
  <c r="AO12" i="15"/>
  <c r="AP12" i="15" s="1"/>
  <c r="AO13" i="15"/>
  <c r="AP13" i="15" s="1"/>
  <c r="AO14" i="15"/>
  <c r="AP14" i="15" s="1"/>
  <c r="AO15" i="15"/>
  <c r="AP15" i="15" s="1"/>
  <c r="AO16" i="15"/>
  <c r="AP16" i="15" s="1"/>
  <c r="AO17" i="15"/>
  <c r="AP17" i="15" s="1"/>
  <c r="AO18" i="15"/>
  <c r="AP18" i="15" s="1"/>
  <c r="AO19" i="15"/>
  <c r="AP19" i="15" s="1"/>
  <c r="AO20" i="15"/>
  <c r="AP20" i="15" s="1"/>
  <c r="AO21" i="15"/>
  <c r="AP21" i="15" s="1"/>
  <c r="AO22" i="15"/>
  <c r="AP22" i="15" s="1"/>
  <c r="AO23" i="15"/>
  <c r="AP23" i="15" s="1"/>
  <c r="AO24" i="15"/>
  <c r="AP24" i="15" s="1"/>
  <c r="AO25" i="15"/>
  <c r="AP25" i="15" s="1"/>
  <c r="AO26" i="15"/>
  <c r="AP26" i="15" s="1"/>
  <c r="AO27" i="15"/>
  <c r="AP27" i="15" s="1"/>
  <c r="AO28" i="15"/>
  <c r="AP28" i="15" s="1"/>
  <c r="AO29" i="15"/>
  <c r="AP29" i="15" s="1"/>
  <c r="AO30" i="15"/>
  <c r="AP30" i="15" s="1"/>
  <c r="AO31" i="15"/>
  <c r="AP31" i="15" s="1"/>
  <c r="AO32" i="15"/>
  <c r="AP32" i="15" s="1"/>
  <c r="AO34" i="15"/>
  <c r="AO35" i="15"/>
  <c r="AP35" i="15" s="1"/>
  <c r="AO36" i="15"/>
  <c r="AP36" i="15" s="1"/>
  <c r="AO37" i="15"/>
  <c r="AP37" i="15" s="1"/>
  <c r="AO38" i="15"/>
  <c r="AP38" i="15" s="1"/>
  <c r="AO39" i="15"/>
  <c r="AP39" i="15" s="1"/>
  <c r="AO40" i="15"/>
  <c r="AP40" i="15" s="1"/>
  <c r="AO41" i="15"/>
  <c r="AP41" i="15" s="1"/>
  <c r="AO42" i="15"/>
  <c r="AP42" i="15" s="1"/>
  <c r="AO43" i="15"/>
  <c r="AP43" i="15" s="1"/>
  <c r="AO44" i="15"/>
  <c r="AP44" i="15" s="1"/>
  <c r="AO45" i="15"/>
  <c r="AP45" i="15" s="1"/>
  <c r="AO46" i="15"/>
  <c r="AP46" i="15" s="1"/>
  <c r="AO47" i="15"/>
  <c r="AP47" i="15" s="1"/>
  <c r="AO48" i="15"/>
  <c r="AP48" i="15" s="1"/>
  <c r="AO49" i="15"/>
  <c r="AP49" i="15" s="1"/>
  <c r="AO51" i="15"/>
  <c r="AP51" i="15" s="1"/>
  <c r="AO53" i="15"/>
  <c r="AP53" i="15" s="1"/>
  <c r="AO54" i="15"/>
  <c r="AP54" i="15" s="1"/>
  <c r="AO55" i="15"/>
  <c r="AP55" i="15" s="1"/>
  <c r="AO56" i="15"/>
  <c r="AP56" i="15" s="1"/>
  <c r="AO57" i="15"/>
  <c r="AP57" i="15" s="1"/>
  <c r="AO58" i="15"/>
  <c r="AP58" i="15" s="1"/>
  <c r="AO59" i="15"/>
  <c r="AP59" i="15" s="1"/>
  <c r="H36" i="18" l="1"/>
  <c r="AR36" i="18" s="1"/>
  <c r="H65" i="18" l="1"/>
  <c r="AR65" i="18" s="1"/>
  <c r="T50" i="15"/>
  <c r="S50" i="15"/>
  <c r="R50" i="15"/>
  <c r="Q50" i="15"/>
  <c r="P50" i="15"/>
  <c r="O50" i="15"/>
  <c r="N50" i="15"/>
  <c r="M50" i="15"/>
  <c r="AO50" i="15" l="1"/>
  <c r="AP50" i="15" s="1"/>
  <c r="AC33" i="15"/>
  <c r="AB33" i="15" l="1"/>
  <c r="AO33" i="15" s="1"/>
  <c r="AP33" i="15" s="1"/>
  <c r="P52" i="15" l="1"/>
  <c r="AO52" i="15" s="1"/>
  <c r="AP52" i="15" s="1"/>
  <c r="AI62" i="15" l="1"/>
  <c r="AN62" i="15" l="1"/>
  <c r="J62" i="15" l="1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J62" i="15"/>
  <c r="AK62" i="15"/>
  <c r="AL62" i="15"/>
  <c r="AM62" i="15"/>
  <c r="H34" i="15"/>
  <c r="AP34" i="15" s="1"/>
  <c r="H62" i="15" l="1"/>
  <c r="AO62" i="15"/>
  <c r="AL53" i="12"/>
  <c r="AM3" i="12" l="1"/>
  <c r="AM4" i="12"/>
  <c r="AM5" i="12"/>
  <c r="AM6" i="12"/>
  <c r="AM7" i="12"/>
  <c r="AM8" i="12"/>
  <c r="AM9" i="12"/>
  <c r="AM10" i="12"/>
  <c r="AM11" i="12"/>
  <c r="AM1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4" i="12"/>
  <c r="AM55" i="12"/>
  <c r="AM56" i="12"/>
  <c r="AM57" i="12"/>
  <c r="AM58" i="12"/>
  <c r="AM59" i="12"/>
  <c r="AM60" i="12"/>
  <c r="AM2" i="12"/>
  <c r="AI53" i="12" l="1"/>
  <c r="AM53" i="12" s="1"/>
  <c r="AG62" i="12" l="1"/>
  <c r="AE62" i="12" l="1"/>
  <c r="AL62" i="12" l="1"/>
  <c r="AO3" i="8" l="1"/>
  <c r="AO4" i="8"/>
  <c r="AO5" i="8"/>
  <c r="AO6" i="8"/>
  <c r="AO7" i="8"/>
  <c r="AO8" i="8"/>
  <c r="AO9" i="8"/>
  <c r="AO10" i="8"/>
  <c r="AO11" i="8"/>
  <c r="AO12" i="8"/>
  <c r="AO14" i="8"/>
  <c r="AO15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4" i="8"/>
  <c r="AO35" i="8"/>
  <c r="AO37" i="8"/>
  <c r="AO39" i="8"/>
  <c r="AO40" i="8"/>
  <c r="AO41" i="8"/>
  <c r="AO43" i="8"/>
  <c r="AO45" i="8"/>
  <c r="AO47" i="8"/>
  <c r="AO49" i="8"/>
  <c r="AO50" i="8"/>
  <c r="AO51" i="8"/>
  <c r="AO52" i="8"/>
  <c r="AO53" i="8"/>
  <c r="AO54" i="8"/>
  <c r="AO55" i="8"/>
  <c r="AO56" i="8"/>
  <c r="AO57" i="8"/>
  <c r="AO58" i="8"/>
  <c r="AO59" i="8"/>
  <c r="AO60" i="8"/>
  <c r="AO62" i="8"/>
  <c r="AO63" i="8"/>
  <c r="Z13" i="8" l="1"/>
  <c r="AM66" i="8" l="1"/>
  <c r="I62" i="12" l="1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F62" i="12"/>
  <c r="AH62" i="12"/>
  <c r="AI62" i="12"/>
  <c r="AJ62" i="12"/>
  <c r="AK62" i="12"/>
  <c r="AM62" i="12" l="1"/>
  <c r="AN3" i="8"/>
  <c r="AN4" i="8"/>
  <c r="AN5" i="8"/>
  <c r="AN6" i="8"/>
  <c r="AN7" i="8"/>
  <c r="AN8" i="8"/>
  <c r="AN9" i="8"/>
  <c r="AN10" i="8"/>
  <c r="AN11" i="8"/>
  <c r="AN12" i="8"/>
  <c r="AN14" i="8"/>
  <c r="AN15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4" i="8"/>
  <c r="AN35" i="8"/>
  <c r="AN37" i="8"/>
  <c r="AN39" i="8"/>
  <c r="AN40" i="8"/>
  <c r="AN41" i="8"/>
  <c r="AN43" i="8"/>
  <c r="AN45" i="8"/>
  <c r="AN47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2" i="8"/>
  <c r="AN63" i="8"/>
  <c r="H33" i="12" l="1"/>
  <c r="H62" i="12" s="1"/>
  <c r="AM60" i="4" l="1"/>
  <c r="AI60" i="4"/>
  <c r="AH60" i="4"/>
  <c r="AG60" i="4"/>
  <c r="AF60" i="4"/>
  <c r="AK66" i="8" l="1"/>
  <c r="AL66" i="8"/>
  <c r="AM15" i="6"/>
  <c r="AI66" i="8" l="1"/>
  <c r="AH64" i="8" l="1"/>
  <c r="AE66" i="8" l="1"/>
  <c r="V2" i="8" l="1"/>
  <c r="T64" i="8" l="1"/>
  <c r="T48" i="8"/>
  <c r="AO64" i="8" l="1"/>
  <c r="AN64" i="8"/>
  <c r="S61" i="8"/>
  <c r="S48" i="8"/>
  <c r="S42" i="8"/>
  <c r="S66" i="8" l="1"/>
  <c r="R48" i="8"/>
  <c r="R42" i="8"/>
  <c r="Q61" i="8" l="1"/>
  <c r="Q44" i="8"/>
  <c r="Q42" i="8"/>
  <c r="Q33" i="8"/>
  <c r="Q2" i="8"/>
  <c r="AO33" i="8" l="1"/>
  <c r="AN33" i="8"/>
  <c r="AO44" i="8"/>
  <c r="AN44" i="8"/>
  <c r="P16" i="8"/>
  <c r="P36" i="8"/>
  <c r="P61" i="8"/>
  <c r="O36" i="8"/>
  <c r="P46" i="8"/>
  <c r="O13" i="8"/>
  <c r="O48" i="8"/>
  <c r="AO16" i="8" l="1"/>
  <c r="AN16" i="8"/>
  <c r="AJ66" i="8"/>
  <c r="AH66" i="8"/>
  <c r="AG66" i="8"/>
  <c r="AF66" i="8"/>
  <c r="AD66" i="8"/>
  <c r="AC66" i="8"/>
  <c r="AB66" i="8"/>
  <c r="AA66" i="8"/>
  <c r="Z66" i="8"/>
  <c r="Y66" i="8"/>
  <c r="X66" i="8"/>
  <c r="W66" i="8"/>
  <c r="V66" i="8"/>
  <c r="U66" i="8"/>
  <c r="T66" i="8"/>
  <c r="R66" i="8"/>
  <c r="Q66" i="8"/>
  <c r="P66" i="8"/>
  <c r="O66" i="8"/>
  <c r="N61" i="8"/>
  <c r="M61" i="8"/>
  <c r="L61" i="8"/>
  <c r="K61" i="8"/>
  <c r="J61" i="8"/>
  <c r="I61" i="8"/>
  <c r="N48" i="8"/>
  <c r="K48" i="8"/>
  <c r="J48" i="8"/>
  <c r="I48" i="8"/>
  <c r="M46" i="8"/>
  <c r="L42" i="8"/>
  <c r="H39" i="8"/>
  <c r="H66" i="8" s="1"/>
  <c r="M38" i="8"/>
  <c r="N36" i="8"/>
  <c r="K36" i="8"/>
  <c r="J36" i="8"/>
  <c r="N17" i="8"/>
  <c r="N13" i="8"/>
  <c r="M13" i="8"/>
  <c r="L13" i="8"/>
  <c r="L2" i="8"/>
  <c r="J2" i="8"/>
  <c r="H63" i="6"/>
  <c r="AM61" i="6"/>
  <c r="AM60" i="6"/>
  <c r="AM59" i="6"/>
  <c r="AL58" i="6"/>
  <c r="AL63" i="6" s="1"/>
  <c r="AK58" i="6"/>
  <c r="AJ58" i="6"/>
  <c r="AI58" i="6"/>
  <c r="AH58" i="6"/>
  <c r="AG58" i="6"/>
  <c r="AE58" i="6"/>
  <c r="AD58" i="6"/>
  <c r="AC58" i="6"/>
  <c r="AB58" i="6"/>
  <c r="AA58" i="6"/>
  <c r="Z58" i="6"/>
  <c r="Y58" i="6"/>
  <c r="X58" i="6"/>
  <c r="W58" i="6"/>
  <c r="U58" i="6"/>
  <c r="T58" i="6"/>
  <c r="S58" i="6"/>
  <c r="R58" i="6"/>
  <c r="P58" i="6"/>
  <c r="O58" i="6"/>
  <c r="N58" i="6"/>
  <c r="M58" i="6"/>
  <c r="L58" i="6"/>
  <c r="J58" i="6"/>
  <c r="I58" i="6"/>
  <c r="AM57" i="6"/>
  <c r="AM56" i="6"/>
  <c r="AM55" i="6"/>
  <c r="AM54" i="6"/>
  <c r="AM53" i="6"/>
  <c r="AM52" i="6"/>
  <c r="AM51" i="6"/>
  <c r="AM50" i="6"/>
  <c r="AM49" i="6"/>
  <c r="AM48" i="6"/>
  <c r="AK47" i="6"/>
  <c r="AJ47" i="6"/>
  <c r="AI47" i="6"/>
  <c r="AH47" i="6"/>
  <c r="AG47" i="6"/>
  <c r="AF47" i="6"/>
  <c r="AD47" i="6"/>
  <c r="Z47" i="6"/>
  <c r="X47" i="6"/>
  <c r="W47" i="6"/>
  <c r="V47" i="6"/>
  <c r="O47" i="6"/>
  <c r="N47" i="6"/>
  <c r="M47" i="6"/>
  <c r="L47" i="6"/>
  <c r="I47" i="6"/>
  <c r="AM46" i="6"/>
  <c r="AJ45" i="6"/>
  <c r="AI45" i="6"/>
  <c r="AH45" i="6"/>
  <c r="T45" i="6"/>
  <c r="S45" i="6"/>
  <c r="AM45" i="6" s="1"/>
  <c r="AM44" i="6"/>
  <c r="AD43" i="6"/>
  <c r="AD63" i="6" s="1"/>
  <c r="X43" i="6"/>
  <c r="W43" i="6"/>
  <c r="N43" i="6"/>
  <c r="AM42" i="6"/>
  <c r="AI41" i="6"/>
  <c r="AH41" i="6"/>
  <c r="AF41" i="6"/>
  <c r="AB41" i="6"/>
  <c r="V41" i="6"/>
  <c r="S41" i="6"/>
  <c r="N41" i="6"/>
  <c r="M41" i="6"/>
  <c r="L41" i="6"/>
  <c r="K41" i="6"/>
  <c r="I41" i="6"/>
  <c r="AM40" i="6"/>
  <c r="AM39" i="6"/>
  <c r="AM38" i="6"/>
  <c r="H38" i="6"/>
  <c r="L37" i="6"/>
  <c r="I37" i="6"/>
  <c r="AM37" i="6" s="1"/>
  <c r="P36" i="6"/>
  <c r="AM36" i="6" s="1"/>
  <c r="AC35" i="6"/>
  <c r="AB35" i="6"/>
  <c r="AB63" i="6" s="1"/>
  <c r="AA35" i="6"/>
  <c r="Z35" i="6"/>
  <c r="Y35" i="6"/>
  <c r="Y63" i="6" s="1"/>
  <c r="L35" i="6"/>
  <c r="J35" i="6"/>
  <c r="I35" i="6"/>
  <c r="N34" i="6"/>
  <c r="M34" i="6"/>
  <c r="AM34" i="6" s="1"/>
  <c r="AM33" i="6"/>
  <c r="M32" i="6"/>
  <c r="AM32" i="6" s="1"/>
  <c r="AM31" i="6"/>
  <c r="AM30" i="6"/>
  <c r="AM29" i="6"/>
  <c r="AM28" i="6"/>
  <c r="AM27" i="6"/>
  <c r="AM26" i="6"/>
  <c r="AM25" i="6"/>
  <c r="AM24" i="6"/>
  <c r="AM23" i="6"/>
  <c r="AM22" i="6"/>
  <c r="AM21" i="6"/>
  <c r="AI20" i="6"/>
  <c r="AI63" i="6" s="1"/>
  <c r="AH20" i="6"/>
  <c r="AF20" i="6"/>
  <c r="AE20" i="6"/>
  <c r="Q20" i="6"/>
  <c r="P20" i="6"/>
  <c r="O20" i="6"/>
  <c r="W19" i="6"/>
  <c r="Q19" i="6"/>
  <c r="Q63" i="6" s="1"/>
  <c r="P19" i="6"/>
  <c r="O19" i="6"/>
  <c r="N19" i="6"/>
  <c r="M19" i="6"/>
  <c r="AM19" i="6" s="1"/>
  <c r="AM18" i="6"/>
  <c r="AM17" i="6"/>
  <c r="AK16" i="6"/>
  <c r="AK63" i="6" s="1"/>
  <c r="AJ16" i="6"/>
  <c r="AJ63" i="6" s="1"/>
  <c r="AH16" i="6"/>
  <c r="AG16" i="6"/>
  <c r="AG63" i="6" s="1"/>
  <c r="AF16" i="6"/>
  <c r="AC16" i="6"/>
  <c r="AC63" i="6" s="1"/>
  <c r="AA16" i="6"/>
  <c r="AA63" i="6" s="1"/>
  <c r="X16" i="6"/>
  <c r="X63" i="6" s="1"/>
  <c r="W16" i="6"/>
  <c r="V16" i="6"/>
  <c r="V63" i="6" s="1"/>
  <c r="U16" i="6"/>
  <c r="T16" i="6"/>
  <c r="S16" i="6"/>
  <c r="R16" i="6"/>
  <c r="P16" i="6"/>
  <c r="O16" i="6"/>
  <c r="M16" i="6"/>
  <c r="L16" i="6"/>
  <c r="K16" i="6"/>
  <c r="K63" i="6" s="1"/>
  <c r="J16" i="6"/>
  <c r="J63" i="6" s="1"/>
  <c r="I16" i="6"/>
  <c r="I63" i="6" s="1"/>
  <c r="AM14" i="6"/>
  <c r="AM13" i="6"/>
  <c r="AM12" i="6"/>
  <c r="AM11" i="6"/>
  <c r="AM10" i="6"/>
  <c r="AM9" i="6"/>
  <c r="AM8" i="6"/>
  <c r="AM7" i="6"/>
  <c r="AM6" i="6"/>
  <c r="AM5" i="6"/>
  <c r="AM4" i="6"/>
  <c r="AF3" i="6"/>
  <c r="AF63" i="6" s="1"/>
  <c r="AM2" i="6"/>
  <c r="AK63" i="4"/>
  <c r="AE63" i="4"/>
  <c r="AD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H40" i="4"/>
  <c r="H63" i="4" s="1"/>
  <c r="AN39" i="4"/>
  <c r="AN38" i="4"/>
  <c r="AM37" i="4"/>
  <c r="AL37" i="4"/>
  <c r="AF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1" i="4"/>
  <c r="AN19" i="4"/>
  <c r="AN17" i="4"/>
  <c r="AN16" i="4"/>
  <c r="AM15" i="4"/>
  <c r="AL15" i="4"/>
  <c r="AJ15" i="4"/>
  <c r="AJ63" i="4" s="1"/>
  <c r="AI15" i="4"/>
  <c r="AI63" i="4" s="1"/>
  <c r="AH15" i="4"/>
  <c r="AH63" i="4" s="1"/>
  <c r="AG15" i="4"/>
  <c r="AG63" i="4" s="1"/>
  <c r="AF15" i="4"/>
  <c r="AF63" i="4" s="1"/>
  <c r="AC15" i="4"/>
  <c r="AC63" i="4" s="1"/>
  <c r="AN14" i="4"/>
  <c r="AN13" i="4"/>
  <c r="AN12" i="4"/>
  <c r="AN11" i="4"/>
  <c r="AN10" i="4"/>
  <c r="AN9" i="4"/>
  <c r="AN8" i="4"/>
  <c r="AN7" i="4"/>
  <c r="AN6" i="4"/>
  <c r="AN5" i="4"/>
  <c r="AN4" i="4"/>
  <c r="AN3" i="4"/>
  <c r="AN2" i="4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AN45" i="2"/>
  <c r="AN44" i="2"/>
  <c r="AN43" i="2"/>
  <c r="AN42" i="2"/>
  <c r="AN41" i="2"/>
  <c r="AN40" i="2"/>
  <c r="AN39" i="2"/>
  <c r="AN38" i="2"/>
  <c r="AN37" i="2"/>
  <c r="AN36" i="2"/>
  <c r="AN35" i="2"/>
  <c r="H35" i="2"/>
  <c r="H47" i="2" s="1"/>
  <c r="AN34" i="2"/>
  <c r="AN33" i="2"/>
  <c r="AN32" i="2"/>
  <c r="AN31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3" i="2"/>
  <c r="AN12" i="2"/>
  <c r="AN11" i="2"/>
  <c r="AN10" i="2"/>
  <c r="AN9" i="2"/>
  <c r="AN8" i="2"/>
  <c r="AN7" i="2"/>
  <c r="AN6" i="2"/>
  <c r="AN5" i="2"/>
  <c r="AN4" i="2"/>
  <c r="AN3" i="2"/>
  <c r="AN2" i="2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AM48" i="1"/>
  <c r="AM47" i="1"/>
  <c r="AM46" i="1"/>
  <c r="AM45" i="1"/>
  <c r="AM44" i="1"/>
  <c r="AM43" i="1"/>
  <c r="AM42" i="1"/>
  <c r="AM41" i="1"/>
  <c r="AM40" i="1"/>
  <c r="AM39" i="1"/>
  <c r="AM38" i="1"/>
  <c r="AM35" i="1"/>
  <c r="AM34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W63" i="6" l="1"/>
  <c r="N63" i="6"/>
  <c r="AO38" i="8"/>
  <c r="AN38" i="8"/>
  <c r="AO42" i="8"/>
  <c r="AN42" i="8"/>
  <c r="L63" i="6"/>
  <c r="AM63" i="6" s="1"/>
  <c r="AO2" i="8"/>
  <c r="AN2" i="8"/>
  <c r="AO46" i="8"/>
  <c r="AN46" i="8"/>
  <c r="M63" i="6"/>
  <c r="AO48" i="8"/>
  <c r="AN48" i="8"/>
  <c r="O63" i="6"/>
  <c r="AM20" i="6"/>
  <c r="AM35" i="6"/>
  <c r="AO13" i="8"/>
  <c r="AN13" i="8"/>
  <c r="P63" i="6"/>
  <c r="AH63" i="6"/>
  <c r="AN37" i="4"/>
  <c r="R63" i="6"/>
  <c r="AM47" i="6"/>
  <c r="AM63" i="4"/>
  <c r="S63" i="6"/>
  <c r="AE63" i="6"/>
  <c r="AO17" i="8"/>
  <c r="AN17" i="8"/>
  <c r="AO61" i="8"/>
  <c r="AN61" i="8"/>
  <c r="T63" i="6"/>
  <c r="Z63" i="6"/>
  <c r="AM41" i="6"/>
  <c r="AM58" i="6"/>
  <c r="AO36" i="8"/>
  <c r="AN36" i="8"/>
  <c r="U63" i="6"/>
  <c r="K66" i="8"/>
  <c r="AN47" i="2"/>
  <c r="AM50" i="1"/>
  <c r="M66" i="8"/>
  <c r="L66" i="8"/>
  <c r="I66" i="8"/>
  <c r="J66" i="8"/>
  <c r="N66" i="8"/>
  <c r="AM43" i="6"/>
  <c r="AM3" i="6"/>
  <c r="AM16" i="6"/>
  <c r="AN15" i="4"/>
  <c r="AL63" i="4"/>
  <c r="AN63" i="4" s="1"/>
  <c r="AO66" i="8" l="1"/>
  <c r="AN66" i="8"/>
  <c r="AR5" i="18"/>
</calcChain>
</file>

<file path=xl/sharedStrings.xml><?xml version="1.0" encoding="utf-8"?>
<sst xmlns="http://schemas.openxmlformats.org/spreadsheetml/2006/main" count="26202" uniqueCount="1321">
  <si>
    <t>Sl. No.</t>
  </si>
  <si>
    <t>City</t>
  </si>
  <si>
    <t>Location</t>
  </si>
  <si>
    <t>Location Owner</t>
  </si>
  <si>
    <t>Tariff Type</t>
  </si>
  <si>
    <t>Charger Capacity</t>
  </si>
  <si>
    <t>Type of Charger</t>
  </si>
  <si>
    <t>No. of Chargers</t>
  </si>
  <si>
    <t>Average</t>
  </si>
  <si>
    <t>Hyderabad</t>
  </si>
  <si>
    <t>Aramgarh</t>
  </si>
  <si>
    <t>Amazon</t>
  </si>
  <si>
    <t>Public-Paid</t>
  </si>
  <si>
    <t>3.3 kW</t>
  </si>
  <si>
    <t>LEVAC-BLE</t>
  </si>
  <si>
    <t>Gachibouli</t>
  </si>
  <si>
    <t>MoulaAli</t>
  </si>
  <si>
    <t>Balanagar</t>
  </si>
  <si>
    <t>Big Basket</t>
  </si>
  <si>
    <t>Public-Free</t>
  </si>
  <si>
    <t>Karwan</t>
  </si>
  <si>
    <t>Kompally</t>
  </si>
  <si>
    <t>Manikonda</t>
  </si>
  <si>
    <t>Masjidbanda</t>
  </si>
  <si>
    <t>Saroornagar</t>
  </si>
  <si>
    <t>Nampally</t>
  </si>
  <si>
    <t>Deccan College of Engg.</t>
  </si>
  <si>
    <t>ETO Drivers home</t>
  </si>
  <si>
    <t>ETO Driver</t>
  </si>
  <si>
    <t>ETO - Kachiguda</t>
  </si>
  <si>
    <t>ETO</t>
  </si>
  <si>
    <t>Habsiguda</t>
  </si>
  <si>
    <t>HMRL</t>
  </si>
  <si>
    <t>ETO - Kukatpally</t>
  </si>
  <si>
    <t>ETO - Miyapur</t>
  </si>
  <si>
    <t>OCPP</t>
  </si>
  <si>
    <t>ETO - Aramgarh</t>
  </si>
  <si>
    <t>ETO - Bollaram</t>
  </si>
  <si>
    <t>ETO - Moghalpura</t>
  </si>
  <si>
    <t>ETO - Secunderabad H.O.</t>
  </si>
  <si>
    <t>7.4 kW</t>
  </si>
  <si>
    <t>22 kW</t>
  </si>
  <si>
    <t>Bala Nagar</t>
  </si>
  <si>
    <t>Bluedart</t>
  </si>
  <si>
    <t>Nizampet</t>
  </si>
  <si>
    <t>Raidurg</t>
  </si>
  <si>
    <t>Hafeezpet</t>
  </si>
  <si>
    <t>Kottur</t>
  </si>
  <si>
    <t>Dhuni Polymers</t>
  </si>
  <si>
    <t>Vijayawada</t>
  </si>
  <si>
    <t>ETO - Autonagar</t>
  </si>
  <si>
    <t>Gangoor</t>
  </si>
  <si>
    <t>Vishakapatnam</t>
  </si>
  <si>
    <t>Mindi</t>
  </si>
  <si>
    <t>GATI</t>
  </si>
  <si>
    <t>Kevadiya</t>
  </si>
  <si>
    <t>SOU, Parking area</t>
  </si>
  <si>
    <t>SOU</t>
  </si>
  <si>
    <t>Bangalore</t>
  </si>
  <si>
    <t>ETO - Singsandra</t>
  </si>
  <si>
    <t>Halsur</t>
  </si>
  <si>
    <t>Flipkart</t>
  </si>
  <si>
    <t>Yeshwanthpura</t>
  </si>
  <si>
    <t>EFL</t>
  </si>
  <si>
    <t>6 kW</t>
  </si>
  <si>
    <t>Delhi</t>
  </si>
  <si>
    <t>ETO - BYPL MCD</t>
  </si>
  <si>
    <t>MCD</t>
  </si>
  <si>
    <t>BSES Yamuna- Mahagun Hotel</t>
  </si>
  <si>
    <t>Mahagun Hotel</t>
  </si>
  <si>
    <t>BSES Rajdhani Customer</t>
  </si>
  <si>
    <t>ETO - Shahdara Hub</t>
  </si>
  <si>
    <t>ETO - Okhla Hub</t>
  </si>
  <si>
    <t>ETO - Mayur vihar</t>
  </si>
  <si>
    <t>ETO - DHL, Noida</t>
  </si>
  <si>
    <t>ETO - Dwaraka Hub</t>
  </si>
  <si>
    <t>ETO - Usmanpur Hub</t>
  </si>
  <si>
    <t>ETO - Azadpur Hub</t>
  </si>
  <si>
    <t>ETO - Noida Hub</t>
  </si>
  <si>
    <t>Total</t>
  </si>
  <si>
    <t>DC Charger</t>
  </si>
  <si>
    <t>ETO - Hindon River Hub</t>
  </si>
  <si>
    <t>(All)</t>
  </si>
  <si>
    <t>Grand Total</t>
  </si>
  <si>
    <t>Sum of No. of Chargers</t>
  </si>
  <si>
    <t>Sum of Average</t>
  </si>
  <si>
    <t>AMAZON - Aramgarh</t>
  </si>
  <si>
    <t>AMAZON - Gachibouli</t>
  </si>
  <si>
    <t>AMAZON - MoulaAli</t>
  </si>
  <si>
    <t>Big Basket - Balanagar</t>
  </si>
  <si>
    <t>Big Basket - Karwan</t>
  </si>
  <si>
    <t>Big Basket - Kompally</t>
  </si>
  <si>
    <t>Big Basket - Saroornagar</t>
  </si>
  <si>
    <t>Deccan College of Engg. - Nampally</t>
  </si>
  <si>
    <t>HMRL - Habsiguda</t>
  </si>
  <si>
    <t>12 kW</t>
  </si>
  <si>
    <t>Bluedart - Raidurg</t>
  </si>
  <si>
    <t>Dhuni Polymers - Kottur</t>
  </si>
  <si>
    <t>Big Basket - Gangoor</t>
  </si>
  <si>
    <t>Flipkart - Vijayawada</t>
  </si>
  <si>
    <t>GATI - Mindi</t>
  </si>
  <si>
    <t>Flipkart - Halsur</t>
  </si>
  <si>
    <t>Flipkart - Yeshwanthpura</t>
  </si>
  <si>
    <t>EEFL - Yeshwanthpura</t>
  </si>
  <si>
    <t>RR Nagar</t>
  </si>
  <si>
    <t>ETO - Azadpur Metro Station</t>
  </si>
  <si>
    <t>ETO - Electronic City Metro Station</t>
  </si>
  <si>
    <t>ETO - Hindon River Metro Station</t>
  </si>
  <si>
    <t>ETO - Kalkaji Metro Station</t>
  </si>
  <si>
    <t>Hindustan times residence society, Mayur Vihar</t>
  </si>
  <si>
    <t>UNA Co-operative residence society, Mayur vihar</t>
  </si>
  <si>
    <t>Transport Office</t>
  </si>
  <si>
    <t>Log9 - V3S Mall station</t>
  </si>
  <si>
    <t>Log9</t>
  </si>
  <si>
    <t>15 Kw</t>
  </si>
  <si>
    <t>Log9 - Near Max hospital Milan apartment</t>
  </si>
  <si>
    <t>15kW</t>
  </si>
  <si>
    <t>Log9 - Covered Parking, Mother dairy</t>
  </si>
  <si>
    <t>Live Date</t>
  </si>
  <si>
    <t>Nagpur</t>
  </si>
  <si>
    <t>Airport South Metro Station Nagpur</t>
  </si>
  <si>
    <t>3.3kW</t>
  </si>
  <si>
    <t>Mayur vihar cargo parking</t>
  </si>
  <si>
    <t xml:space="preserve">  </t>
  </si>
  <si>
    <t>12kW</t>
  </si>
  <si>
    <t>Dhuni Polymenrs - Kottur</t>
  </si>
  <si>
    <t xml:space="preserve">Airport South Metro station </t>
  </si>
  <si>
    <t>Press Enclave Society</t>
  </si>
  <si>
    <t>Trinity</t>
  </si>
  <si>
    <t>Trade and Tax Department</t>
  </si>
  <si>
    <t>Private-Paid</t>
  </si>
  <si>
    <t>Values</t>
  </si>
  <si>
    <t>Auto Nagar, Visakhapatnam</t>
  </si>
  <si>
    <t>Auto Nagar - Guntur</t>
  </si>
  <si>
    <t>Guntur</t>
  </si>
  <si>
    <t>7.4 kw</t>
  </si>
  <si>
    <t>ETO - Dwaraka Cargo Hub</t>
  </si>
  <si>
    <t>Dwaraka sector - 14</t>
  </si>
  <si>
    <t>Big Basket Nagpur</t>
  </si>
  <si>
    <t>EEFL , Madhapur</t>
  </si>
  <si>
    <t>EEFL, Madhapur</t>
  </si>
  <si>
    <t>Umdanagar , Hyderabad</t>
  </si>
  <si>
    <t>Autonagar, Vijayawada</t>
  </si>
  <si>
    <t>Radhika Appartment, Dwaraka sector - 14</t>
  </si>
  <si>
    <t>Column Labels</t>
  </si>
  <si>
    <t>Radhika Appartment, Dwaraka sector - 15</t>
  </si>
  <si>
    <t>No. of Vehicles</t>
  </si>
  <si>
    <t>Trinity - Miyapur</t>
  </si>
  <si>
    <t>Trinity - Bollaram</t>
  </si>
  <si>
    <t>Trinity - RR Nagar</t>
  </si>
  <si>
    <t>Trinity - Dwaraka sector - 14</t>
  </si>
  <si>
    <t>Trinity Charge Hub Moula Ali</t>
  </si>
  <si>
    <t>Avg Consumption / Charger</t>
  </si>
  <si>
    <t>Sum of 01-01-24</t>
  </si>
  <si>
    <t>Avg consumption/Charger</t>
  </si>
  <si>
    <t>Sum of Avg consumption/Charger</t>
  </si>
  <si>
    <t>Sum of Avg Consumption / Charger</t>
  </si>
  <si>
    <t>Sum of 02-01-24</t>
  </si>
  <si>
    <t>Station Type</t>
  </si>
  <si>
    <t>Public Charging (Limited)</t>
  </si>
  <si>
    <t>Public Charging</t>
  </si>
  <si>
    <t>Private Charging</t>
  </si>
  <si>
    <t>Public Charging (Residence)</t>
  </si>
  <si>
    <t>Fleet Charging</t>
  </si>
  <si>
    <t>Sum of 03-01-24</t>
  </si>
  <si>
    <t>Total Chargers</t>
  </si>
  <si>
    <t>Mahagun Sarovar Portico Suits</t>
  </si>
  <si>
    <t>Sum of 04-01-24</t>
  </si>
  <si>
    <t>Sum of 05-01-24</t>
  </si>
  <si>
    <t>Sum of 06-01-24</t>
  </si>
  <si>
    <t>Sum of 07-01-24</t>
  </si>
  <si>
    <t>Trinity Rtc BusDepot , Musheerabad</t>
  </si>
  <si>
    <t>Sum of 08-01-24</t>
  </si>
  <si>
    <t>Sum of 09-01-24</t>
  </si>
  <si>
    <t>Trinity EV Charge Hub, Ayodhya</t>
  </si>
  <si>
    <t>Ayodhya</t>
  </si>
  <si>
    <t>Sum of 10-01-24</t>
  </si>
  <si>
    <t>Sum of 11-01-24</t>
  </si>
  <si>
    <t>Sum of 12-01-24</t>
  </si>
  <si>
    <t>Sum of 13-01-24</t>
  </si>
  <si>
    <t>Sum of 14-01-24</t>
  </si>
  <si>
    <t>Sum of 15-01-24</t>
  </si>
  <si>
    <t>Sum of 16-01-24</t>
  </si>
  <si>
    <t>Sum of 17-01-24</t>
  </si>
  <si>
    <t>Sum of 18-01-24</t>
  </si>
  <si>
    <t>Sum of 19-01-24</t>
  </si>
  <si>
    <t>Sum of 20-01-24</t>
  </si>
  <si>
    <t>Sum of 21-01-24</t>
  </si>
  <si>
    <t>Sum of 22-01-24</t>
  </si>
  <si>
    <t>Sum of 23-01-24</t>
  </si>
  <si>
    <t>Sum of 24-01-24</t>
  </si>
  <si>
    <t>Sum of 25-01-24</t>
  </si>
  <si>
    <t>Sum of 26-01-24</t>
  </si>
  <si>
    <t>Sum of 27-01-24</t>
  </si>
  <si>
    <t>Sum of 28-01-24</t>
  </si>
  <si>
    <t>Sum of 29-01-24</t>
  </si>
  <si>
    <t>Trinity EV Charge Hub, Aramghar</t>
  </si>
  <si>
    <t>Sum of 30-01-24</t>
  </si>
  <si>
    <t>Sum of 31-01-24</t>
  </si>
  <si>
    <t>EV Charge Hub, Amazon Aramghar</t>
  </si>
  <si>
    <t>EV Charge Hub, Amazon Gachibowli</t>
  </si>
  <si>
    <t>EV Charge Hub, Amazon moula ali</t>
  </si>
  <si>
    <t>EV Charge Hub, Kachiguda</t>
  </si>
  <si>
    <t>Trinity EV Charge Hub, Miyapur</t>
  </si>
  <si>
    <t>Trinity EV Charge Hub, Bollaram</t>
  </si>
  <si>
    <t>EV Charge Hub, GHMC - Moghalpura</t>
  </si>
  <si>
    <t>EV Charge Hub, Madhapur</t>
  </si>
  <si>
    <t>EV Charge Hub, Umdanagar</t>
  </si>
  <si>
    <t>Trinity EV Charge Hub Moula Ali</t>
  </si>
  <si>
    <t>EV Charge Hub, Auto Nagar</t>
  </si>
  <si>
    <t xml:space="preserve">EV Charge Hub, Flipkart </t>
  </si>
  <si>
    <t>EV Charge Hub, Gati</t>
  </si>
  <si>
    <t>EV Charge Hub, Auto Nagar- Visakhapatnam</t>
  </si>
  <si>
    <t>EV Charge Hub, Halasuru - Flipkart</t>
  </si>
  <si>
    <t>EV Charge Hub, yeshwanthpur - Flipkart</t>
  </si>
  <si>
    <t>EV Charge Hub, Peenya</t>
  </si>
  <si>
    <t>Trinity EV Charge Hub, RR Nagar</t>
  </si>
  <si>
    <t>EV Charge Hub, Airport South Metro Station</t>
  </si>
  <si>
    <t>EV Charge Hub, Bigbasket - Nagpur</t>
  </si>
  <si>
    <t>Kevadia EV Charging Hub</t>
  </si>
  <si>
    <t>EV Charge Hub, Electronic City</t>
  </si>
  <si>
    <t>Noida</t>
  </si>
  <si>
    <t>Ghaziabad</t>
  </si>
  <si>
    <t>Mahagun Sarovar Portico Suits, Ghaziabad</t>
  </si>
  <si>
    <t>EV Charge Hub, Shahdara</t>
  </si>
  <si>
    <t>EV Charge Hub, Cargo - Dwarka</t>
  </si>
  <si>
    <t>EV Charge Hub , Usmanpur</t>
  </si>
  <si>
    <t>EV Charge Hub, Azadpur Metro Station</t>
  </si>
  <si>
    <t>Hindustan Times Appartment, Mayur Vihar</t>
  </si>
  <si>
    <t>EV Charge Hub, Press Enclave Society</t>
  </si>
  <si>
    <t>EV Charge Hub, Trade and Tax Department</t>
  </si>
  <si>
    <t>EV Charge Hub, Transport Department</t>
  </si>
  <si>
    <t xml:space="preserve">Trinity EV Charge Hub, Dwarka sector - 14 </t>
  </si>
  <si>
    <t>EV Charge Hub, Radhika Appartment</t>
  </si>
  <si>
    <t>Trinity EV Charge Hub, TSRTC Bus Depot,  Musheerabad</t>
  </si>
  <si>
    <t>BYPL MCD Parking,Milan Vihar Appartment</t>
  </si>
  <si>
    <t>BYPL MCD Parking</t>
  </si>
  <si>
    <t>BYPL MCD Parking,Mandoli extn</t>
  </si>
  <si>
    <t>BYPL MCD Parking,V3S Mall</t>
  </si>
  <si>
    <t xml:space="preserve"> </t>
  </si>
  <si>
    <t>BPCL SD Yadav station, Ayodhya</t>
  </si>
  <si>
    <t>BPCL Saket station, Ayodhya</t>
  </si>
  <si>
    <t>BPCL 24X7 station, Ayodhya</t>
  </si>
  <si>
    <t>Trinity EV Charge Hub, Shastripuram</t>
  </si>
  <si>
    <t>Trinity EV Charge Hub Sitaphalmandi</t>
  </si>
  <si>
    <t>BYPL MCD Parking,Kalkaji Mandir</t>
  </si>
  <si>
    <t>Rajahmundry</t>
  </si>
  <si>
    <t>Trinity EV Charge Hub, Rajahmundry</t>
  </si>
  <si>
    <t>EV Charge Hub, Dhuni Polymers, Kottur</t>
  </si>
  <si>
    <t>Trinity EV Charge Hub, ITPL</t>
  </si>
  <si>
    <t>Trinity EV Charge Hub, Mettuguda</t>
  </si>
  <si>
    <t>25 kW</t>
  </si>
  <si>
    <t>BYPL MCD Parking, Near Supreme Enclave</t>
  </si>
  <si>
    <t>BYPL MCD Parking,Mangolpuri</t>
  </si>
  <si>
    <t>Trinity EV Charge Hub, Jamia Millia Islamia Metro Station</t>
  </si>
  <si>
    <t>15 kw</t>
  </si>
  <si>
    <t>Trinity EV Charge Hub, Andrahalli</t>
  </si>
  <si>
    <t>Sum of 01-04-24</t>
  </si>
  <si>
    <t>Sum of 02-04-24</t>
  </si>
  <si>
    <t>Sum of 03-04-24</t>
  </si>
  <si>
    <t>Trinity EV Charge Hub, Yapral</t>
  </si>
  <si>
    <t>BYPL MCD Parking,Janta Flat, Nandnagri</t>
  </si>
  <si>
    <t>Sum of 04-04-24</t>
  </si>
  <si>
    <t>Sum of 05-04-24</t>
  </si>
  <si>
    <t>Trinity EV Charge Hub, Flipkart - Attapur</t>
  </si>
  <si>
    <t>Sum of 06-04-24</t>
  </si>
  <si>
    <t>Sum of 07-04-24</t>
  </si>
  <si>
    <t>Sum of 09-04-24</t>
  </si>
  <si>
    <t>Sum of 08-04-24</t>
  </si>
  <si>
    <t>Trinity EV Charge Hub, Mettuguda - 2</t>
  </si>
  <si>
    <t>Trinity EV Charge Hub, Mettuguda - 1</t>
  </si>
  <si>
    <t>Trinity EV Charge Hub, Hi-Tec City</t>
  </si>
  <si>
    <t>Society Charging</t>
  </si>
  <si>
    <t>Parking and Charging</t>
  </si>
  <si>
    <t>3 kW</t>
  </si>
  <si>
    <t>Sum of 10-04-24</t>
  </si>
  <si>
    <t>Sum of 11-04-24</t>
  </si>
  <si>
    <t>Trinity EV Charge Hub, Bluedart Madhapur</t>
  </si>
  <si>
    <t>Sum of 12-04-24</t>
  </si>
  <si>
    <t>Sum of 13-04-24</t>
  </si>
  <si>
    <t>Sum of 14-04-24</t>
  </si>
  <si>
    <t>Sum of 15-04-24</t>
  </si>
  <si>
    <t>Sum of 16-04-24</t>
  </si>
  <si>
    <t>Trinity EV Charge Hub, Nacharam</t>
  </si>
  <si>
    <t>Sum of 17-04-24</t>
  </si>
  <si>
    <t>Sum of 18-04-24</t>
  </si>
  <si>
    <t>Sum of 19-04-24</t>
  </si>
  <si>
    <t>Sum of 20-04-24</t>
  </si>
  <si>
    <t>Sum of 21-04-24</t>
  </si>
  <si>
    <t>Sum of 22-04-24</t>
  </si>
  <si>
    <t>60 kw</t>
  </si>
  <si>
    <t>Sum of 23-04-24</t>
  </si>
  <si>
    <t>Sum of 24-04-24</t>
  </si>
  <si>
    <t>Sum of 25-04-24</t>
  </si>
  <si>
    <t>Sum of 26-04-24</t>
  </si>
  <si>
    <t>Sum of 27-04-24</t>
  </si>
  <si>
    <t>Sum of 28-04-24</t>
  </si>
  <si>
    <t>Kalkaji metro station, Delhi</t>
  </si>
  <si>
    <t>Ev Charge Hub, IIITD , Delhi</t>
  </si>
  <si>
    <t>Sum of 29-04-24</t>
  </si>
  <si>
    <t>Sum of 30-04-24</t>
  </si>
  <si>
    <t>Sum of 01-05-2024</t>
  </si>
  <si>
    <t>Sum of 02-05-2024</t>
  </si>
  <si>
    <t>Sum of 03-05-2024</t>
  </si>
  <si>
    <t>Sum of 04-05-2024</t>
  </si>
  <si>
    <t>Sum of 05-05-2024</t>
  </si>
  <si>
    <t>Sum of 06-05-2024</t>
  </si>
  <si>
    <t>Sum of 07-05-2024</t>
  </si>
  <si>
    <t>Sum of 08-05-2024</t>
  </si>
  <si>
    <t>15 kW</t>
  </si>
  <si>
    <t>Sum of 09-05-2024</t>
  </si>
  <si>
    <t>Sum of 10-05-2024</t>
  </si>
  <si>
    <t>Sum of 11-05-2024</t>
  </si>
  <si>
    <t>Sum of 12-05-2024</t>
  </si>
  <si>
    <t>Sum of 13-05-2024</t>
  </si>
  <si>
    <t>Sum of 14-05-2024</t>
  </si>
  <si>
    <t>Sum of 15-05-2024</t>
  </si>
  <si>
    <t>Sum of 16-05-2024</t>
  </si>
  <si>
    <t>Trinity EV Charge Hub, Niharika Landmark, Hyderabad</t>
  </si>
  <si>
    <t>Sum of 17-05-2024</t>
  </si>
  <si>
    <t>Sum of 18-05-2024</t>
  </si>
  <si>
    <t>Sum of 19-05-2024</t>
  </si>
  <si>
    <t>Sum of 20-05-2024</t>
  </si>
  <si>
    <t>Trinity EV Charge Hub, Uppal, Hyderabad</t>
  </si>
  <si>
    <t>Sum of 21-05-2024</t>
  </si>
  <si>
    <t>Sum of 22-05-2024</t>
  </si>
  <si>
    <t>Sum of 24-05-2024</t>
  </si>
  <si>
    <t>Sum of 23-05-2024</t>
  </si>
  <si>
    <t>Sum of 25-05-2024</t>
  </si>
  <si>
    <t>Sum of 26-05-2024</t>
  </si>
  <si>
    <t>Sum of 27-05-2024</t>
  </si>
  <si>
    <t>Sum of 28-05-2024</t>
  </si>
  <si>
    <t>Sum of 30-05-2024</t>
  </si>
  <si>
    <t>Sum of 29-05-2024</t>
  </si>
  <si>
    <t>Sum of 31-05-2024</t>
  </si>
  <si>
    <t>Sum of 01-06-2024</t>
  </si>
  <si>
    <t>Sum of 02-06-2024</t>
  </si>
  <si>
    <t>Sum of 03-06-2024</t>
  </si>
  <si>
    <t>Sum of 04-06-2024</t>
  </si>
  <si>
    <t>Sum of 05-06-2024</t>
  </si>
  <si>
    <t>Sum of 06-06-2024</t>
  </si>
  <si>
    <t>Sum of 09-06-2024</t>
  </si>
  <si>
    <t>Sum of 08-06-2024</t>
  </si>
  <si>
    <t>Sum of 07-06-2024</t>
  </si>
  <si>
    <t>Sum of 10-06-2024</t>
  </si>
  <si>
    <t>Sum of 11-06-2024</t>
  </si>
  <si>
    <t>Sum of 12-06-2024</t>
  </si>
  <si>
    <t>Sum of 13-06-2024</t>
  </si>
  <si>
    <t>Sum of 14-06-2024</t>
  </si>
  <si>
    <t>Sum of 15-06-2024</t>
  </si>
  <si>
    <t>Sum of 16-06-2024</t>
  </si>
  <si>
    <t>Sum of 17-06-2024</t>
  </si>
  <si>
    <t>Trinity EV Charge Hub, Attapur</t>
  </si>
  <si>
    <t>22 kw</t>
  </si>
  <si>
    <t>Trinity EV Charge Hub, Rasoolpura, Hyderabad</t>
  </si>
  <si>
    <t>Trinity EV Charge Hub, Kannur</t>
  </si>
  <si>
    <t>EV Charge Hub, Kalkaji metro station</t>
  </si>
  <si>
    <t>Trinity EV Charge Hub, Hallmark Tranquil Apartment</t>
  </si>
  <si>
    <t>Sum of 18-06-2024</t>
  </si>
  <si>
    <t>Sum of 19-06-2024</t>
  </si>
  <si>
    <t>Sum of 20-06-2024</t>
  </si>
  <si>
    <t>Sum of 21-06-2024</t>
  </si>
  <si>
    <t>Sum of 22-06-2024</t>
  </si>
  <si>
    <t>Sum of 23-06-2024</t>
  </si>
  <si>
    <t>Sum of 24-06-2024</t>
  </si>
  <si>
    <t>Sum of 25-06-2024</t>
  </si>
  <si>
    <t>Trinity EV Charge Hub, Gajularamaram, Hyderabad</t>
  </si>
  <si>
    <t>Sum of 26-06-2024</t>
  </si>
  <si>
    <t>Sum of 27-06-2024</t>
  </si>
  <si>
    <t>Sum of 28-06-2024</t>
  </si>
  <si>
    <t>EV Charge Hub, Bluedart Madhapur</t>
  </si>
  <si>
    <t>Sum of 29-06-2024</t>
  </si>
  <si>
    <t>Sum of 30-06-2024</t>
  </si>
  <si>
    <t>Sum of 01-07-2024</t>
  </si>
  <si>
    <t>Sum of 02-07-2024</t>
  </si>
  <si>
    <t>Sum of 03-07-2024</t>
  </si>
  <si>
    <t>Sum of 04-07-2024</t>
  </si>
  <si>
    <t>Sum of 05-07-2024</t>
  </si>
  <si>
    <t>Sum of 06-07-2024</t>
  </si>
  <si>
    <t>Sum of 07-07-2024</t>
  </si>
  <si>
    <t>Sum of 08-07-2024</t>
  </si>
  <si>
    <t>Sum of 09-07-2024</t>
  </si>
  <si>
    <t>Sum of 10-07-2024</t>
  </si>
  <si>
    <t>Sum of 11-07-2024</t>
  </si>
  <si>
    <t>Sum of 12-07-2024</t>
  </si>
  <si>
    <t>Sum of 13-07-2024</t>
  </si>
  <si>
    <t>Sum of 14-07-2024</t>
  </si>
  <si>
    <t>Sum of 15-07-2024</t>
  </si>
  <si>
    <t>EV Charge Hub, Auto Nagar - Vijayawada</t>
  </si>
  <si>
    <t>EV Charge Hub, Flipkart - Vijayawada</t>
  </si>
  <si>
    <t>EV Charge Hub, Gati , Visakhapatnam</t>
  </si>
  <si>
    <t>EV Charge Hub, Auto Nagar - Guntur</t>
  </si>
  <si>
    <t>Trinity EV Charge Hub, Peenya</t>
  </si>
  <si>
    <t>EV Charging Hub,Kevadia</t>
  </si>
  <si>
    <t>Station Name</t>
  </si>
  <si>
    <t>Sum of 16-07-2024</t>
  </si>
  <si>
    <t>Sum of 17-07-2024</t>
  </si>
  <si>
    <t>Sum of 18-07-2024</t>
  </si>
  <si>
    <t>Sum of 19-07-2024</t>
  </si>
  <si>
    <t>Sum of 21-07-2024</t>
  </si>
  <si>
    <t>Sum of 20-07-2024</t>
  </si>
  <si>
    <t>Sum of 22-07-2024</t>
  </si>
  <si>
    <t>Sum of 23-07-2024</t>
  </si>
  <si>
    <t>EV Charge Hub, Bachupally, Hyderabad</t>
  </si>
  <si>
    <t>Trinity EV Charge Hub, Sri Dattatreya Hostel, Hyderabad</t>
  </si>
  <si>
    <t>Trinity EV Charge Hub, Uttam Nagar,Delhi</t>
  </si>
  <si>
    <t>Ev Charge Hub, BRPL Office 2nd Phase,Delhi</t>
  </si>
  <si>
    <t>BRPL MCD Parking</t>
  </si>
  <si>
    <t>Sum of 24-07-2024</t>
  </si>
  <si>
    <t>120 kw</t>
  </si>
  <si>
    <t>Sum of 25-07-2024</t>
  </si>
  <si>
    <t>Sum of 26-07-2024</t>
  </si>
  <si>
    <t>Sum of 27-07-2024</t>
  </si>
  <si>
    <t>Sum of 28-07-2024</t>
  </si>
  <si>
    <t>Sum of 29-07-2024</t>
  </si>
  <si>
    <t>Sum of 30-07-2024</t>
  </si>
  <si>
    <t>Sum of 31-07-2024</t>
  </si>
  <si>
    <t>Trinity EV Charge Hub, Bannerghatta Road</t>
  </si>
  <si>
    <t>Sum of 01-08-2024</t>
  </si>
  <si>
    <t>Sum of 02-08-2024</t>
  </si>
  <si>
    <t>Sum of 03-08-2024</t>
  </si>
  <si>
    <t>Sum of 04-08-2024</t>
  </si>
  <si>
    <t>Sum of 05-08-2024</t>
  </si>
  <si>
    <t>Sum of 06-08-2024</t>
  </si>
  <si>
    <t>Sum of 07-08-2024</t>
  </si>
  <si>
    <t>Sum of 08-08-2024</t>
  </si>
  <si>
    <t>Sum of 09-08-2024</t>
  </si>
  <si>
    <t>Sum of 10-08-2024</t>
  </si>
  <si>
    <t>Sum of 11-08-2024</t>
  </si>
  <si>
    <t>Sum of 12-08-2024</t>
  </si>
  <si>
    <t>Sum of 13-08-2024</t>
  </si>
  <si>
    <t>Ev Charge Hub,PGDAV College, Nehru Nagar, Delhi</t>
  </si>
  <si>
    <t>Sold</t>
  </si>
  <si>
    <t>EV Charge Hub, Mowo-Kukatpally, Hyderabad</t>
  </si>
  <si>
    <t>EV Charge Hub, GMR Mahalakshmi Foundation ,Shamshabad, Hyderabad</t>
  </si>
  <si>
    <t>Ev Charge Hub, BRPL Office Okhla Phase 2,Delhi</t>
  </si>
  <si>
    <t>Sum of 14-08-2024</t>
  </si>
  <si>
    <t>Sum of 15-08-2024</t>
  </si>
  <si>
    <t>Count of 07-08-2024</t>
  </si>
  <si>
    <t>Sum of 16-08-2024</t>
  </si>
  <si>
    <t>Trinity EV Charge Hub,Lavish Electric Wheel Club, Shaikpet , Hyderabad</t>
  </si>
  <si>
    <t>25 kw</t>
  </si>
  <si>
    <t>BYPL MCD Parking,Gazipur Gaushala</t>
  </si>
  <si>
    <t>Sum of 17-08-2024</t>
  </si>
  <si>
    <t>Sum of 18-08-2024</t>
  </si>
  <si>
    <t>Sum of 19-08-2024</t>
  </si>
  <si>
    <t>Sum of 20-08-2024</t>
  </si>
  <si>
    <t>Sum of 21-08-2024</t>
  </si>
  <si>
    <t>Sum of 23-08-2024</t>
  </si>
  <si>
    <t>Sum of 22-08-2024</t>
  </si>
  <si>
    <t>Sum of 24-08-2024</t>
  </si>
  <si>
    <t>Sum of 25-08-2024</t>
  </si>
  <si>
    <t>Sum of 26-08-2024</t>
  </si>
  <si>
    <t>Sum of 27-08-2024</t>
  </si>
  <si>
    <t>Sum of 28-08-2024</t>
  </si>
  <si>
    <t>Trinity EV Charge Hub, My Home Mangala, Hyderabad</t>
  </si>
  <si>
    <t>Trinity EV Charge Hub, Niharika Sky Line, Hyderabad</t>
  </si>
  <si>
    <t>EV Charge Hub,Wadi-Flipkart, Nagpur</t>
  </si>
  <si>
    <t>Ev Charge Hub, Sachivalay,Delhi</t>
  </si>
  <si>
    <t>Sum of 29-08-2024</t>
  </si>
  <si>
    <t>Sum of 30-08-2024</t>
  </si>
  <si>
    <t>Sum of 31-08-2024</t>
  </si>
  <si>
    <t>Sum of 01-09-2024</t>
  </si>
  <si>
    <t>Sum of 02-09-2024</t>
  </si>
  <si>
    <t>Sum of 03-09-2024</t>
  </si>
  <si>
    <t>Sum of 04-09-2024</t>
  </si>
  <si>
    <t>Sum of 05-09-2024</t>
  </si>
  <si>
    <t>Sum of 06-09-2024</t>
  </si>
  <si>
    <t>Sum of 07-09-2024</t>
  </si>
  <si>
    <t>Sum of 08-09-2024</t>
  </si>
  <si>
    <t>Sum of 09-09-2024</t>
  </si>
  <si>
    <t>Sum of 10-09-2024</t>
  </si>
  <si>
    <t>Sum of 11-09-2024</t>
  </si>
  <si>
    <t>Trinity EV Charge Hub, Hi-Tec City - 1</t>
  </si>
  <si>
    <t>Trinity EV Charge Hub, Hi-Tec City - 2</t>
  </si>
  <si>
    <t>Trinity EV Charge Hub, Zevo-Chinthal , Hyderabad</t>
  </si>
  <si>
    <t>Coimbatore</t>
  </si>
  <si>
    <t>Trinity EV Charge Hub, Swiss Cafe, Coimbatore</t>
  </si>
  <si>
    <t>Sum of 12-09-2024</t>
  </si>
  <si>
    <t>Sum of 13-09-2024</t>
  </si>
  <si>
    <t>Sum of 14-09-2024</t>
  </si>
  <si>
    <t>Sum of 15-09-2024</t>
  </si>
  <si>
    <t>Sum of 16-09-2024</t>
  </si>
  <si>
    <t>Sum of 17-09-2024</t>
  </si>
  <si>
    <t>Trinity EV Charge Hub,Tejaswi Green Energy Pvt Ltd, Hyderabad</t>
  </si>
  <si>
    <t>Sum of 18-09-2024</t>
  </si>
  <si>
    <t>Sum of 19-09-2024</t>
  </si>
  <si>
    <t>Sum of 20-09-2024</t>
  </si>
  <si>
    <t>Sum of 21-09-2024</t>
  </si>
  <si>
    <t>Sum of 22-09-2024</t>
  </si>
  <si>
    <t>Sum of 23-09-2024</t>
  </si>
  <si>
    <t>Sum of 24-09-2024</t>
  </si>
  <si>
    <t>Sum of 25-09-2024</t>
  </si>
  <si>
    <t>Sum of 26-09-2024</t>
  </si>
  <si>
    <t>Sum of 27-09-2024</t>
  </si>
  <si>
    <t>Sum of 28-09-2024</t>
  </si>
  <si>
    <t>Sum of 29-09-2024</t>
  </si>
  <si>
    <t>Sum of 30-09-2024</t>
  </si>
  <si>
    <t>Warangal</t>
  </si>
  <si>
    <t>Kolhapur</t>
  </si>
  <si>
    <t>Trinity EV Charge Hub, Tata Chetan Motors,Kolhapur</t>
  </si>
  <si>
    <t>Trinity EV Charge Hub, Tata Geeta Auto Commercials, Warangal</t>
  </si>
  <si>
    <t>Sum of 01-10-2024</t>
  </si>
  <si>
    <t>Sum of 02-10-2024</t>
  </si>
  <si>
    <t>Trinity EV Charge Hub, Guntur</t>
  </si>
  <si>
    <t>Sum of 03-10-2024</t>
  </si>
  <si>
    <t>Sum of 04-10-2024</t>
  </si>
  <si>
    <t>Sum of 05-10-2024</t>
  </si>
  <si>
    <t>Sum of 06-10-2024</t>
  </si>
  <si>
    <t>Sum of 07-10-2024</t>
  </si>
  <si>
    <t>Sum of 08-10-2024</t>
  </si>
  <si>
    <t>Sum of 09-10-2024</t>
  </si>
  <si>
    <t>Sum of 10-10-2024</t>
  </si>
  <si>
    <t>Sum of 11-10-2024</t>
  </si>
  <si>
    <t>Sum of 12-10-2024</t>
  </si>
  <si>
    <t>Sum of 13-10-2024</t>
  </si>
  <si>
    <t>15kw</t>
  </si>
  <si>
    <t>Sum of 14-10-2024</t>
  </si>
  <si>
    <t>EV Charge Hub, Bluedart Balanagar, Hyderabad</t>
  </si>
  <si>
    <t>Trinity EV Charge Hub, Gundla Pochampally, Hyderabad</t>
  </si>
  <si>
    <t>Ev Charge Hub, BSES Yumana power LTD, Karkardooma, Delhi</t>
  </si>
  <si>
    <t>BSES Parking</t>
  </si>
  <si>
    <t>Sum of 15-10-2024</t>
  </si>
  <si>
    <t>Sum of 16-10-2024</t>
  </si>
  <si>
    <t>3.3 kw</t>
  </si>
  <si>
    <t>Trinity EV Charge Hub, Post Offlice-Sainikpuri, Hyderabad</t>
  </si>
  <si>
    <t>Sum of 17-10-2024</t>
  </si>
  <si>
    <t>Sum of 18-10-2024</t>
  </si>
  <si>
    <t>Sum of 19-10-2024</t>
  </si>
  <si>
    <t>Sum of 20-10-2024</t>
  </si>
  <si>
    <t>EV Charge Hub, Bluedart Tellapur, Hyderabad</t>
  </si>
  <si>
    <t>Sum of 21-10-2024</t>
  </si>
  <si>
    <t>Sum of 22-10-2024</t>
  </si>
  <si>
    <t>Sum of 23-10-2024</t>
  </si>
  <si>
    <t>Trinity EV Charge Hub, Tata Kaps Motors,Malappuram</t>
  </si>
  <si>
    <t>Sum of 24-10-2024</t>
  </si>
  <si>
    <t>Kerala</t>
  </si>
  <si>
    <t>Sum of 25-10-2024</t>
  </si>
  <si>
    <t>Sum of 26-10-2024</t>
  </si>
  <si>
    <t>Sum of 27-10-2024</t>
  </si>
  <si>
    <t>Sum of 28-10-2024</t>
  </si>
  <si>
    <t>Sum of 29-10-2024</t>
  </si>
  <si>
    <t>Row Labels</t>
  </si>
  <si>
    <t>Sum of 30-10-2024</t>
  </si>
  <si>
    <t>Sum of 31-10-2024</t>
  </si>
  <si>
    <t>Sum of 01-11-2024</t>
  </si>
  <si>
    <t>Sum of 02-11-2024</t>
  </si>
  <si>
    <t>Sum of 03-11-2024</t>
  </si>
  <si>
    <t>Sum of 04-11-2024</t>
  </si>
  <si>
    <t>Sum of 05-11-2024</t>
  </si>
  <si>
    <t>Sum of 06-11-2024</t>
  </si>
  <si>
    <t>Sum of 07-11-2024</t>
  </si>
  <si>
    <t>Sum of 08-11-2024</t>
  </si>
  <si>
    <t>Sum of 09-11-2024</t>
  </si>
  <si>
    <t>Sum of 10-11-2024</t>
  </si>
  <si>
    <t>Trinity EV Charge Hub, Palam,Delhi</t>
  </si>
  <si>
    <t>Sum of 11-11-2024</t>
  </si>
  <si>
    <t>Trinity EV Charge Hub, Prayagraj,Delhi</t>
  </si>
  <si>
    <t>3.3kw</t>
  </si>
  <si>
    <t>12kw</t>
  </si>
  <si>
    <t>Nogaon</t>
  </si>
  <si>
    <t>Trinity EV Charge Hub, Tata Bajrang Auto,Nogaon</t>
  </si>
  <si>
    <t>Sum of 12-11-2024</t>
  </si>
  <si>
    <t>Kolkata</t>
  </si>
  <si>
    <t xml:space="preserve">Trinity EV Charge Hub,Tata GNB Motors, Kolkata
</t>
  </si>
  <si>
    <t>Prayagraj</t>
  </si>
  <si>
    <t>Sum of 13-11-2024</t>
  </si>
  <si>
    <t>Sum of 14-11-2024</t>
  </si>
  <si>
    <t>Trinity EV Charge Hub, Madhavaram- Flipkart, Chennai</t>
  </si>
  <si>
    <t>Chennai</t>
  </si>
  <si>
    <t>Trinity EV Charge Hub, Danapur- Flipkart, Patna</t>
  </si>
  <si>
    <t xml:space="preserve">
Trinity EV Charge Hub,Kumrar - Flipkart , Patna</t>
  </si>
  <si>
    <t>Patna</t>
  </si>
  <si>
    <t>Sum of 15-11-2024</t>
  </si>
  <si>
    <t xml:space="preserve">
Trinity EV Charge Hub, Kukatpally, Hyderabad</t>
  </si>
  <si>
    <t>Trinity EV Charge Hub,Tata Jodhpur Trucks, Jodhpur</t>
  </si>
  <si>
    <t xml:space="preserve"> Jodhpur</t>
  </si>
  <si>
    <t>Trinity EV Charge Hub, Tata Mourya Motors , Patna</t>
  </si>
  <si>
    <t xml:space="preserve"> Patna</t>
  </si>
  <si>
    <t>Sum of 16-11-2024</t>
  </si>
  <si>
    <t>Sum of 17-11-2024</t>
  </si>
  <si>
    <t>Sum of 18-11-2024</t>
  </si>
  <si>
    <t>Sum of 19-11-2024</t>
  </si>
  <si>
    <t>Sum of 20-11-2024</t>
  </si>
  <si>
    <t>Sum of 21-11-2024</t>
  </si>
  <si>
    <t>Sum of 22-11-2024</t>
  </si>
  <si>
    <t>Sum of 23-11-2024</t>
  </si>
  <si>
    <t>Sum of 24-11-2024</t>
  </si>
  <si>
    <t>Sum of 25-11-2024</t>
  </si>
  <si>
    <t>Charging Service</t>
  </si>
  <si>
    <t>Sales</t>
  </si>
  <si>
    <t>Trinity EV Charge Hub, Qutub Vihar, Dwarka</t>
  </si>
  <si>
    <t>Sum of 26-11-2024</t>
  </si>
  <si>
    <t>Sum of 27-11-2024</t>
  </si>
  <si>
    <t>Sum of 28-11-2024</t>
  </si>
  <si>
    <t>Sum of 29-11-2024</t>
  </si>
  <si>
    <t>Sum of 30-11-2024</t>
  </si>
  <si>
    <t>Vasai</t>
  </si>
  <si>
    <t>Vapi</t>
  </si>
  <si>
    <t>Station code</t>
  </si>
  <si>
    <t>EVCS-360003</t>
  </si>
  <si>
    <t>EVCS-360004</t>
  </si>
  <si>
    <t>EVCS-360005</t>
  </si>
  <si>
    <t>EVCS-360014</t>
  </si>
  <si>
    <t>EVCS-360017</t>
  </si>
  <si>
    <t>EVCS-360019</t>
  </si>
  <si>
    <t>EVCS-360020</t>
  </si>
  <si>
    <t>EVCS-360028</t>
  </si>
  <si>
    <t>EVCS-360030</t>
  </si>
  <si>
    <t>EVCS-360031</t>
  </si>
  <si>
    <t>EVCS-360032</t>
  </si>
  <si>
    <t>EVCS-360034</t>
  </si>
  <si>
    <t>EVCS-360035</t>
  </si>
  <si>
    <t>EVCS-360036</t>
  </si>
  <si>
    <t>EVCS-360041</t>
  </si>
  <si>
    <t>EVCS-360039</t>
  </si>
  <si>
    <t>EVCS-360040</t>
  </si>
  <si>
    <t>EVCS-360042</t>
  </si>
  <si>
    <t>EVCS-360043</t>
  </si>
  <si>
    <t>EVCS-360044</t>
  </si>
  <si>
    <t>EVCS-360045</t>
  </si>
  <si>
    <t>EVCS-360046</t>
  </si>
  <si>
    <t>EVCS-360047</t>
  </si>
  <si>
    <t>EVCS-360048</t>
  </si>
  <si>
    <t>EVCS-360049</t>
  </si>
  <si>
    <t>EVCS-360050</t>
  </si>
  <si>
    <t>EVCS-360051</t>
  </si>
  <si>
    <t>EVCS-360052</t>
  </si>
  <si>
    <t>EVCS-360053</t>
  </si>
  <si>
    <t>EVCS-360054</t>
  </si>
  <si>
    <t>EVCS-360055</t>
  </si>
  <si>
    <t>EVCS-360057</t>
  </si>
  <si>
    <t>EVCS-360056</t>
  </si>
  <si>
    <t>EVCS-360059</t>
  </si>
  <si>
    <t>EVCS-360060</t>
  </si>
  <si>
    <t>EVCS-360061</t>
  </si>
  <si>
    <t>EVCS-360062</t>
  </si>
  <si>
    <t>EVCS-360063</t>
  </si>
  <si>
    <t>EVCS-360064</t>
  </si>
  <si>
    <t>EVCS-320001</t>
  </si>
  <si>
    <t>EVCS-370001</t>
  </si>
  <si>
    <t>EVCS-370003</t>
  </si>
  <si>
    <t>EVCS-370004</t>
  </si>
  <si>
    <t>EVCS-370005</t>
  </si>
  <si>
    <t>EVCS-370006</t>
  </si>
  <si>
    <t>EVCS-370007</t>
  </si>
  <si>
    <t>EVCS-290002</t>
  </si>
  <si>
    <t>EVCS-290003</t>
  </si>
  <si>
    <t>EVCS-290004</t>
  </si>
  <si>
    <t>EVCS-290005</t>
  </si>
  <si>
    <t>EVCS-290007</t>
  </si>
  <si>
    <t>EVCS-290009</t>
  </si>
  <si>
    <t>EVCS-290010</t>
  </si>
  <si>
    <t>EVCS-290011</t>
  </si>
  <si>
    <t>EVCS-270005</t>
  </si>
  <si>
    <t>EVCS-270007</t>
  </si>
  <si>
    <t>EVCS-330002</t>
  </si>
  <si>
    <t>EVCS-100003</t>
  </si>
  <si>
    <t>EVCS-080001</t>
  </si>
  <si>
    <t>EVCS-190001</t>
  </si>
  <si>
    <t>EVCS-270008</t>
  </si>
  <si>
    <t>EVCS-180001</t>
  </si>
  <si>
    <t>EVCS-240003</t>
  </si>
  <si>
    <t>EVCS-090003</t>
  </si>
  <si>
    <t>EVCS-090001</t>
  </si>
  <si>
    <t>EVCS-090005</t>
  </si>
  <si>
    <t>EVCS-090006</t>
  </si>
  <si>
    <t>EVCS-090007</t>
  </si>
  <si>
    <t>EVCS-090008</t>
  </si>
  <si>
    <t>EVCS-090009</t>
  </si>
  <si>
    <t>EVCS-070004</t>
  </si>
  <si>
    <t>EVCS-070007</t>
  </si>
  <si>
    <t>EVCS-070008</t>
  </si>
  <si>
    <t>EVCS-070009</t>
  </si>
  <si>
    <t>EVCS-070010</t>
  </si>
  <si>
    <t>EVCS-070011</t>
  </si>
  <si>
    <t>EVCS-070012</t>
  </si>
  <si>
    <t>EVCS-070013</t>
  </si>
  <si>
    <t>EVCS-070014</t>
  </si>
  <si>
    <t>EVCS-070015</t>
  </si>
  <si>
    <t>EVCS-070016</t>
  </si>
  <si>
    <t>EVCS-070017</t>
  </si>
  <si>
    <t>EVCS-070020</t>
  </si>
  <si>
    <t>EVCS-070022</t>
  </si>
  <si>
    <t>EVCS-070023</t>
  </si>
  <si>
    <t>EVCS-070025</t>
  </si>
  <si>
    <t>EVCS-070042</t>
  </si>
  <si>
    <t>EVCS-070049</t>
  </si>
  <si>
    <t>EVCS-070054</t>
  </si>
  <si>
    <t>EVCS-070055</t>
  </si>
  <si>
    <t>EVCS-070056</t>
  </si>
  <si>
    <t>EVCS-070057</t>
  </si>
  <si>
    <t>EVCS-070058</t>
  </si>
  <si>
    <t>EVCS-070059</t>
  </si>
  <si>
    <t>EVCS-070060</t>
  </si>
  <si>
    <t>EVCS-070061</t>
  </si>
  <si>
    <t>EVCS-070062</t>
  </si>
  <si>
    <t>EVCS-100002</t>
  </si>
  <si>
    <t>EVCS-330003</t>
  </si>
  <si>
    <t>EVCS-270010</t>
  </si>
  <si>
    <t>EVCS-240004</t>
  </si>
  <si>
    <t>EVCS-070063</t>
  </si>
  <si>
    <t>EVCS-070002</t>
  </si>
  <si>
    <t>Sum of 02-12-2024</t>
  </si>
  <si>
    <t>Sum of 01-12-2024</t>
  </si>
  <si>
    <t>Sum of 03-12-2024</t>
  </si>
  <si>
    <t>Sum of 04-12-2024</t>
  </si>
  <si>
    <t>Sum of 05-12-2024</t>
  </si>
  <si>
    <t xml:space="preserve"> Jabalpur</t>
  </si>
  <si>
    <t>EVCS-230001</t>
  </si>
  <si>
    <t>Sum of 06-12-2024</t>
  </si>
  <si>
    <t>Sum of 07-12-2024</t>
  </si>
  <si>
    <t>Sum of 08-12-2024</t>
  </si>
  <si>
    <t>EVCS-360065</t>
  </si>
  <si>
    <t>ThunderPlus EV Park &amp; Charge Hub, Saroornagar, Hyderabad</t>
  </si>
  <si>
    <t>Sum of 09-12-2024</t>
  </si>
  <si>
    <t>ETO, Airport south metro station, Nagpur</t>
  </si>
  <si>
    <t>ETO, Autonagar - Vijayawada</t>
  </si>
  <si>
    <t>ETO, Ayodhya, UP</t>
  </si>
  <si>
    <t>ETO, Azadpur Metro Station, Delhi</t>
  </si>
  <si>
    <t>ETO, Bluedart Balanagar, Hyderabad</t>
  </si>
  <si>
    <t>ETO, Bluedart Tellapur, Hyderabad</t>
  </si>
  <si>
    <t>ETO, Bluedart Madhapur, Hyderabad</t>
  </si>
  <si>
    <t>ETO, Cargo - Dwarka, Delhi</t>
  </si>
  <si>
    <t>ETO, Flipkart - Halasuru, Banglore</t>
  </si>
  <si>
    <t>ETO, Flipkart - Vijayawada</t>
  </si>
  <si>
    <t>ETO, Flipkart - Wadi, Nagpur</t>
  </si>
  <si>
    <t>ETO, Flipkart - Yeshwanthpur, Banglore</t>
  </si>
  <si>
    <t>ETO, GHMC - Moghalpura, Hyderabad</t>
  </si>
  <si>
    <t>ETO, Kachiguda, Hyderabad</t>
  </si>
  <si>
    <t xml:space="preserve">ETO, Kalkaji Metro Station, Delhi </t>
  </si>
  <si>
    <t>ETO, Kevadia</t>
  </si>
  <si>
    <t>ETO, Shahdara, Delhi</t>
  </si>
  <si>
    <t>Ev Charge Hub, BRPL Office,  Chittaranjan Park, Delhi</t>
  </si>
  <si>
    <t>EV Charge Hub, BYPL MCD Parking,Gazipur Gaushala</t>
  </si>
  <si>
    <t>EV Charge Hub, My Home Mangala, Hyderabad</t>
  </si>
  <si>
    <t>EV Charge Hub, Niharika Landmark, Hyderabad</t>
  </si>
  <si>
    <t>EV Charge Hub, Transport Department, Delhi</t>
  </si>
  <si>
    <t>EV Charging Hub, BYPL MCD Parking, Mandoli extn</t>
  </si>
  <si>
    <t>ThunderPlus EV Charge Hub, Amazon - Aramghar, Hyderabad</t>
  </si>
  <si>
    <t>ThunderPlus EV Charge Hub, Amazon - Gachibouli, Hyderabad</t>
  </si>
  <si>
    <t>ThunderPlus EV Charge Hub, Amazon - Moula Ali, Hyderabad</t>
  </si>
  <si>
    <t>ThunderPlus EV Charge Hub, Mettuguda, Hyderabad</t>
  </si>
  <si>
    <t>ThunderPlus EV Charge Hub, Post Offlice-Sainikpuri, Hyderabad</t>
  </si>
  <si>
    <t>ThunderPlus EV Charge Hub, Radhika Appartment,Delhi</t>
  </si>
  <si>
    <t>ThunderPlus EV Park &amp; Charge Hub Moula Ali, Hyderabad</t>
  </si>
  <si>
    <t>ThunderPlus EV Park &amp; Charge Hub Sitaphalmandi, Hyderabad</t>
  </si>
  <si>
    <t>ThunderPlus EV Park &amp; Charge Hub, Aramghar, Hyderabad</t>
  </si>
  <si>
    <t>ThunderPlus EV Park &amp; Charge Hub, Attapur , Hyderabad</t>
  </si>
  <si>
    <t>ThunderPlus EV Park &amp; Charge Hub, Auto Nagar - Visakhapatnam</t>
  </si>
  <si>
    <t>ThunderPlus EV Park &amp; Charge Hub, Bollaram, Hyderabad</t>
  </si>
  <si>
    <t>ThunderPlus EV Park &amp; Charge Hub, Dwaraka sector - 14, Delhi</t>
  </si>
  <si>
    <t>ThunderPlus EV Park &amp; Charge Hub, Gajularamaram, Hyderabad</t>
  </si>
  <si>
    <t>ThunderPlus EV Park &amp; Charge Hub, Gundla Pochampally, Hyderabad</t>
  </si>
  <si>
    <t>ThunderPlus EV Park &amp; Charge Hub, Guntur</t>
  </si>
  <si>
    <t>ThunderPlus EV Park &amp; Charge Hub, Hi-tec city, Hyderabad</t>
  </si>
  <si>
    <t>ThunderPlus EV Park &amp; Charge Hub, ITPL ,Bangalore</t>
  </si>
  <si>
    <t>ThunderPlus EV Park &amp; Charge Hub, Jamia Millia Islamia Metro Station, Delhi</t>
  </si>
  <si>
    <t>ThunderPlus EV Park &amp; Charge Hub, Kannur , Bangalore</t>
  </si>
  <si>
    <t>ThunderPlus EV Park &amp; Charge Hub, Kukatpally, Hyderabad</t>
  </si>
  <si>
    <t>ThunderPlus EV Park &amp; Charge Hub, Mettuguda, Hyderabad</t>
  </si>
  <si>
    <t>ThunderPlus EV Park &amp; Charge Hub, Miyapur, Hyderabad</t>
  </si>
  <si>
    <t>ThunderPlus EV Park &amp; Charge Hub, Nacharam, Hyderabad</t>
  </si>
  <si>
    <t>ThunderPlus EV Park &amp; Charge Hub, Peenya, Bangalore</t>
  </si>
  <si>
    <t>ThunderPlus EV Park &amp; Charge Hub, Prayagraj, UP</t>
  </si>
  <si>
    <t>ThunderPlus EV Park &amp; Charge Hub, Rajahmundry</t>
  </si>
  <si>
    <t>ThunderPlus EV Park &amp; Charge Hub, Rasoolpura, Hyderabad</t>
  </si>
  <si>
    <t>ThunderPlus EV Park &amp; Charge Hub, RR Nagar,Bangalore</t>
  </si>
  <si>
    <t>ThunderPlus EV Park &amp; Charge Hub, Uppal, Hyderabad</t>
  </si>
  <si>
    <t>ThunderPlus EV Park &amp; Charge Hub, Uttam Nagar,Delhi</t>
  </si>
  <si>
    <t>ThunderPlus EV Park &amp; Charge Hub, Yapral , Hyderabad</t>
  </si>
  <si>
    <t>ThunderPlus EV Charge Hub, Hi-tec city, Hyderabad</t>
  </si>
  <si>
    <t>ThunderPlus EV Charge Hub, Umdanagar, Hyderabad</t>
  </si>
  <si>
    <t>ThunderPlus EV Charge Hub, Lavish Electric Wheel Club, Shaikpet , Hyderabad</t>
  </si>
  <si>
    <t>EV Charging Hub, Dhuni Polymers, Kottur, Hyderabad</t>
  </si>
  <si>
    <t>EV Charge Hub, Hallmark Tranquil Apartment, Manikonda, Hyderabad</t>
  </si>
  <si>
    <t>ETO, Bachupally, Hyderabad</t>
  </si>
  <si>
    <t>EV Charge Hub, Sri Dattatreya Hostel, Hyderabad</t>
  </si>
  <si>
    <t>ETO, Mowo-Kukatpally , Hyderabad</t>
  </si>
  <si>
    <t>ETO, GMR Mahalakshmi Foundation,Shamshabad, Hyderabad</t>
  </si>
  <si>
    <t>EV Charge Hub, Niharika Sky Line, Hyderabad</t>
  </si>
  <si>
    <t>EV Charge Hub, Zevo-Chinthal , Hyderabad</t>
  </si>
  <si>
    <t>EV Charge Hub, Tejaswi Green Energy Pvt Ltd, Hyderabad</t>
  </si>
  <si>
    <t>ThunderPlus EV Charge Hub, Tata Geeta Auto Commercials,Warangal</t>
  </si>
  <si>
    <t>ThunderPlus EV Charge Hub, Tata Kaps Motors,Malappuram</t>
  </si>
  <si>
    <t>ETO, Gati -  Visakhapatnam</t>
  </si>
  <si>
    <t>ThunderPlus EV Park &amp; Charge Hub, Andrahalli ,Bangalore</t>
  </si>
  <si>
    <t>ThunderPlus EV Charge Hub, Flipkart - Madhavaram, Chennai</t>
  </si>
  <si>
    <t>ThunderPlus EV Charge Hub, Tata Jodhpur Trucks, Jodhpur</t>
  </si>
  <si>
    <t>ThunderPlus EV Charge Hub, Tata Chetan Motors,Kolhapur</t>
  </si>
  <si>
    <t>ThunderPlus EV Charge Hub, Tata Bajrang Auto,Nogaon</t>
  </si>
  <si>
    <t>ThunderPlus EV Charge Hub,Tata GNB Motors, Kolkata</t>
  </si>
  <si>
    <t>ThunderPlus EV Charge Hub, Tata Kamal Motors ,Vasai</t>
  </si>
  <si>
    <t>ThunderPlus EV Charge Hub,Tata Tejpal Motors, Vapi</t>
  </si>
  <si>
    <t>ThunderPlus EV Charge Hub,Tata Frontier Trucks, Jabalpur</t>
  </si>
  <si>
    <t>ETO, Electronic City, Noida</t>
  </si>
  <si>
    <t>ThunderPlus EV Charge Hub, Mahagun Sarovar Portico Suits, Ghaziabad</t>
  </si>
  <si>
    <t>ThunderPlus EV Charge Hub, BPCL 24X7 station, Ayodhya</t>
  </si>
  <si>
    <t>ThunderPlus EV Charge Hub, BPCL SD Yadav station, Ayodhya</t>
  </si>
  <si>
    <t>ThunderPlus EV Charge Hub, BPCL Saket station, Ayodhya</t>
  </si>
  <si>
    <t>ThunderPlus EV Charge Hub, Hindustan Times Appartment, Mayur Vihar, Delhi</t>
  </si>
  <si>
    <t>ThunderPlus EV Charge Hub, UNA Co-operative residence society, Mayur vihar, Delhi</t>
  </si>
  <si>
    <t>ThunderPlus EV Charge Hub, Press Enclave Society, Delhi</t>
  </si>
  <si>
    <t>EV Charge Hub, Trade and Tax Department, Delhi</t>
  </si>
  <si>
    <t>Ev Charge Hub, BYPL MCD Parking,Near Supreme Enclave</t>
  </si>
  <si>
    <t>Ev Charge Hub, BYPL MCD Parking,V3S Mall</t>
  </si>
  <si>
    <t>Ev Charge Hub, BYPL MCD Parking,Milan Vihar Appartment</t>
  </si>
  <si>
    <t>Ev Charge Hub, BYPL MCD Parking,Kalkaji Mandir</t>
  </si>
  <si>
    <t>EV Charging Hub, BYPL MCD Parking,Mangolpuri</t>
  </si>
  <si>
    <t xml:space="preserve">ThunderPlus EV Charge Hub, Flipkart - Danapur, Patna </t>
  </si>
  <si>
    <t>ThunderPlus EV Charge Hub, Flipkart - Kumrar, Patna</t>
  </si>
  <si>
    <t>EV Charge Hub, IIITD, Delhi</t>
  </si>
  <si>
    <t xml:space="preserve">
EV Charge Hub, PGDAV College, Nehru Nagar, Delhi
</t>
  </si>
  <si>
    <t>ThunderPlus EV Charge Hub, Palam,Delhi</t>
  </si>
  <si>
    <t>Sum of 10-12-2024</t>
  </si>
  <si>
    <t>ThunderPlus EV Charge Hub, Tata Mourya Motors , Patna</t>
  </si>
  <si>
    <t>ThunderPlus EV Park &amp; Charge Hub, Bannerghatta Road, Bangalore</t>
  </si>
  <si>
    <t>ThunderPlus EV Charge Hub, Qutub Vihar, Dwarka</t>
  </si>
  <si>
    <t>ETO, Usmanpur, Delhi</t>
  </si>
  <si>
    <t>Sum of 11-12-2024</t>
  </si>
  <si>
    <t xml:space="preserve">
EV Charge Hub, BRPL Office Okhla Phase 2, Delhi
</t>
  </si>
  <si>
    <t>Sum of 12-12-2024</t>
  </si>
  <si>
    <t>Kasargod</t>
  </si>
  <si>
    <t>EVCS-320002</t>
  </si>
  <si>
    <t>ThunderPlus EV Charge Hub, Tata Kaps Motors,Kasargod</t>
  </si>
  <si>
    <t>Sum of 13-12-2024</t>
  </si>
  <si>
    <t>Sum of 14-12-2024</t>
  </si>
  <si>
    <t>Sum of 15-12-2024</t>
  </si>
  <si>
    <t>Sum of 16-12-2024</t>
  </si>
  <si>
    <t>Thiruvarur</t>
  </si>
  <si>
    <t>ThunderPlus EV Charge Hub, Tata Vee Vee Motors, Thiruvarur</t>
  </si>
  <si>
    <t>EVCS-330004</t>
  </si>
  <si>
    <t>Alampur</t>
  </si>
  <si>
    <t>EVCS-190002</t>
  </si>
  <si>
    <t>ThunderPlus EV Charge Hub,Tata Bhandari Automobile Pvt Ltd, Alampur</t>
  </si>
  <si>
    <t>Sum of 17-12-2024</t>
  </si>
  <si>
    <t>Sum of 18-12-2024</t>
  </si>
  <si>
    <t>Sum of 19-12-2024</t>
  </si>
  <si>
    <t>Sum of 20-12-2024</t>
  </si>
  <si>
    <t>Sum of 21-12-2024</t>
  </si>
  <si>
    <t>Sum of 22-12-2024</t>
  </si>
  <si>
    <t>EV Charge Hub, BSES SCADA Control Center, Delhi</t>
  </si>
  <si>
    <t>Sum of 23-12-2024</t>
  </si>
  <si>
    <t>ThunderPlus EV Charge Hub, Tata Excel Vehicle ,Chakan Pune</t>
  </si>
  <si>
    <t>Chakan Pune</t>
  </si>
  <si>
    <t>EVCS-270011</t>
  </si>
  <si>
    <t>EVCS-070070</t>
  </si>
  <si>
    <t>Sum of 24-12-2024</t>
  </si>
  <si>
    <t>Sum of 25-12-2024</t>
  </si>
  <si>
    <t>Sum of 26-12-2024</t>
  </si>
  <si>
    <t>Sum of 27-12-2024</t>
  </si>
  <si>
    <t>Sum of 28-12-2024</t>
  </si>
  <si>
    <t>Sum of 29-12-2024</t>
  </si>
  <si>
    <t>Sum of 30-12-2024</t>
  </si>
  <si>
    <t>Sum of 31-12-2024</t>
  </si>
  <si>
    <t>Sum of 01-01-2025</t>
  </si>
  <si>
    <t>EV Charge Hub, NMDC Office, Hyderabad</t>
  </si>
  <si>
    <t>EVCS-360072</t>
  </si>
  <si>
    <t>Sum of 02-01-2025</t>
  </si>
  <si>
    <t>Sum of 03-01-2025</t>
  </si>
  <si>
    <t>Sum of 04-01-2025</t>
  </si>
  <si>
    <t>Sum of 05-01-2025</t>
  </si>
  <si>
    <t>Gotanagar</t>
  </si>
  <si>
    <t>ThunderPlus EV Charge Hub, Tata Veerprabhu Auto, Gotanagar</t>
  </si>
  <si>
    <t>EVCS-180002</t>
  </si>
  <si>
    <t>Sum of 06-01-2025</t>
  </si>
  <si>
    <t>Kattupakkum</t>
  </si>
  <si>
    <t>ThunderPlus EV Charge Hub, Tata Popular Mega Motors, Kattupakkum</t>
  </si>
  <si>
    <t>Sum of 07-01-2025</t>
  </si>
  <si>
    <t>Sum of 08-01-2025</t>
  </si>
  <si>
    <t>Sum of 09-01-2025</t>
  </si>
  <si>
    <t xml:space="preserve">
EV Charge Hub, Alekya Earth Song, Hyderabad</t>
  </si>
  <si>
    <t>Sum of 10-01-2025</t>
  </si>
  <si>
    <t>Sum of 11-01-2025</t>
  </si>
  <si>
    <t>Sum of 12-01-2025</t>
  </si>
  <si>
    <t>Sum of 13-01-2025</t>
  </si>
  <si>
    <t>Sum of 14-01-2025</t>
  </si>
  <si>
    <t>Sum of 15-01-2025</t>
  </si>
  <si>
    <t>Sum of 16-01-2025</t>
  </si>
  <si>
    <t>Sum of 17-01-2025</t>
  </si>
  <si>
    <t>Sum of 18-01-2025</t>
  </si>
  <si>
    <t>Sum of 19-01-2025</t>
  </si>
  <si>
    <t>Raipur</t>
  </si>
  <si>
    <t>ThunderPlus EV Charge Hub, Tata Jaika Automobiles, Raipur</t>
  </si>
  <si>
    <t>EVCS-220001</t>
  </si>
  <si>
    <t>Boisar</t>
  </si>
  <si>
    <t>ThunderPlus EV Charge Hub, Tata PD industry, Boisar</t>
  </si>
  <si>
    <t>EVCS-270012</t>
  </si>
  <si>
    <t>Sum of 20-01-2025</t>
  </si>
  <si>
    <t>Sum of 21-01-2025</t>
  </si>
  <si>
    <t>Sum of 22-01-2025</t>
  </si>
  <si>
    <t>Sum of 23-01-2025</t>
  </si>
  <si>
    <t>Ernakulam</t>
  </si>
  <si>
    <t>ThunderPlus EV Charge Hub, Tata Popular Mega Motors, Ernakulam</t>
  </si>
  <si>
    <t>Sum of 24-01-2025</t>
  </si>
  <si>
    <t>Poonamallee</t>
  </si>
  <si>
    <t>ThunderPlus EV Charge Hub, Tata VST Motors, Poonamallee</t>
  </si>
  <si>
    <t>Sum of 25-01-2025</t>
  </si>
  <si>
    <t>Sum of 26-01-2025</t>
  </si>
  <si>
    <t>Sum of 27-01-2025</t>
  </si>
  <si>
    <t>Sum of 28-01-2025</t>
  </si>
  <si>
    <t>Sum of 29-01-2025</t>
  </si>
  <si>
    <t>Sum of 30-01-2025</t>
  </si>
  <si>
    <t>Sum of 31-01-2025</t>
  </si>
  <si>
    <t>ThunderPlus EV Park &amp; Charge Hub, Kalkaji metro station, Delhi</t>
  </si>
  <si>
    <t>Allied</t>
  </si>
  <si>
    <t>EV Charge Hub, Allied Engineering Developers, Dibrugarh</t>
  </si>
  <si>
    <t>Sum of 01-02-2025</t>
  </si>
  <si>
    <t>Sum of 02-02-2025</t>
  </si>
  <si>
    <t>Sum of 03-02-2025</t>
  </si>
  <si>
    <t>Sum of 04-02-2025</t>
  </si>
  <si>
    <t>Sum of 05-02-2025</t>
  </si>
  <si>
    <t>ThunderPlus EV Charge Hub, Prayagraj, UP</t>
  </si>
  <si>
    <t>ThunderPlus EV Charge Hub, Tata Bajrang Auto, Nogaon</t>
  </si>
  <si>
    <t>ThunderPlus EV Hub Sitaphalmandi, Hyderabad</t>
  </si>
  <si>
    <t>Sum of 06-02-2025</t>
  </si>
  <si>
    <t>Sum of 07-02-2025</t>
  </si>
  <si>
    <t>EV Charge Hub, Choudhary Garments, Bagepalli</t>
  </si>
  <si>
    <t>EV Charge Hub, Myscape Sanctuary, Hyderabad</t>
  </si>
  <si>
    <t>Dhanbad</t>
  </si>
  <si>
    <t>Sum of 08-02-2025</t>
  </si>
  <si>
    <t>Sum of 09-02-2025</t>
  </si>
  <si>
    <t>ThunderPlus EV Charge Hub, Kalkaji metro station, Delhi</t>
  </si>
  <si>
    <t>Sum of 10-02-2025</t>
  </si>
  <si>
    <t>Sum of 11-02-2025</t>
  </si>
  <si>
    <t>Sum of 12-02-2025</t>
  </si>
  <si>
    <t>EV Charge Hub, BYPL MCD Parking, V3S Mall</t>
  </si>
  <si>
    <t>EV Charge Hub, BYPL MCD Parking, Near Supreme Enclave</t>
  </si>
  <si>
    <t>EV Charge Hub, BYPL MCD Parking, Milan Vihar Appartment</t>
  </si>
  <si>
    <t>EV Charge Hub, BYPL MCD Parking, Mandoli extn</t>
  </si>
  <si>
    <t>EV Charge Hub, BYPL MCD Parking, Kalkaji Mandir</t>
  </si>
  <si>
    <t>EV Charge Hub, BYPL MCD Parking, Mangolpuri</t>
  </si>
  <si>
    <t>EV Charge Hub, BRPL Office, Chittaranjan Park, Delhi</t>
  </si>
  <si>
    <t>EV Charge Hub, PGDAV College, Nehru Nagar, Delhi</t>
  </si>
  <si>
    <t>EV Charge Hub, BRPL Office Okhla Phase 2,Delhi</t>
  </si>
  <si>
    <t>EV Charge Hub, Sachivalay,Delhi</t>
  </si>
  <si>
    <t>EV Charge Hub, BSES Yumana power LTD,Delhi</t>
  </si>
  <si>
    <t>ThunderPlus EV Park &amp; Charge Hub, Palam,Delhi</t>
  </si>
  <si>
    <t>ETO, Qutub Vihar, Delhi</t>
  </si>
  <si>
    <t>EVCS-070064</t>
  </si>
  <si>
    <t>ThunderPlus EV Charge Hub, Palam, Delhi</t>
  </si>
  <si>
    <t>EVCS-070065</t>
  </si>
  <si>
    <t>EVCS-070066</t>
  </si>
  <si>
    <t>EVCS-070067</t>
  </si>
  <si>
    <t>ThunderPlus EV Charge Hub, Jamia Millia Islamia Metro Station, Delhi</t>
  </si>
  <si>
    <t>EVCS-070068</t>
  </si>
  <si>
    <t>ThunderPlus EV Charge Hub, Dwarka sector - 14, Delhi</t>
  </si>
  <si>
    <t>EVCS-070069</t>
  </si>
  <si>
    <t>ThunderPlus EV Charge Hub, Uttam Nagar,Delhi</t>
  </si>
  <si>
    <t>EVCS-100001</t>
  </si>
  <si>
    <t>ThunderPlus EV Charge Hub, Flipkart - Danapur, Patna</t>
  </si>
  <si>
    <t>ThunderPlus EV Charge Hub, Tata Mourya Motors, Patna</t>
  </si>
  <si>
    <t>ThunderPlus EV Charge Hub, Tata Veerprabhu Auto,Gotanagar</t>
  </si>
  <si>
    <t>ThunderPlus EV Park &amp; Charge Hub, Bannerghatta Road,Bangalore</t>
  </si>
  <si>
    <t>EVCS-320003</t>
  </si>
  <si>
    <t>ThunderPlus EV Charge Hub, Flipkart - Patalam, Chennai</t>
  </si>
  <si>
    <t>EV Charge Hub, Swiss Cafe, Coimbatore</t>
  </si>
  <si>
    <t>EVCS-330005</t>
  </si>
  <si>
    <t>EV Charge Hub, Dhuni Polymers, Kottur, Hyderabad</t>
  </si>
  <si>
    <t>EVCS-360058</t>
  </si>
  <si>
    <t>EVCS-360066</t>
  </si>
  <si>
    <t>EVCS-360067</t>
  </si>
  <si>
    <t>EVCS-360068</t>
  </si>
  <si>
    <t>ThunderPlus EV Charge Hub, Nacharam, Hyderabad</t>
  </si>
  <si>
    <t>EVCS-360069</t>
  </si>
  <si>
    <t>EVCS-360070</t>
  </si>
  <si>
    <t>EVCS-360071</t>
  </si>
  <si>
    <t>ThunderPlus EV Charge Hub, Yapral , Hyderabad</t>
  </si>
  <si>
    <t>EVCS-360076</t>
  </si>
  <si>
    <t>EV Charge Hub, Alekya Earth Song, Hyderabad</t>
  </si>
  <si>
    <t>ETO, Gati - Visakhapatnam</t>
  </si>
  <si>
    <t>12KW</t>
  </si>
  <si>
    <t>120KW</t>
  </si>
  <si>
    <t>15KW</t>
  </si>
  <si>
    <t>22KW</t>
  </si>
  <si>
    <t>25KW</t>
  </si>
  <si>
    <t>3.3KW</t>
  </si>
  <si>
    <t>30KW</t>
  </si>
  <si>
    <t>6KW</t>
  </si>
  <si>
    <t>7.4KW</t>
  </si>
  <si>
    <t xml:space="preserve"> ThunderPlus EV Charge Hub, Mettuguda, Hyderabad</t>
  </si>
  <si>
    <t xml:space="preserve"> ThunderPlus EV Charge Hub, Hi-tec city, Hyderabad</t>
  </si>
  <si>
    <t xml:space="preserve"> ThunderPlus EV Charge Hub, Aramghar, Hyderabad</t>
  </si>
  <si>
    <t xml:space="preserve"> ThunderPlus EV Charge Hub, Miyapur, Hyderabad</t>
  </si>
  <si>
    <t xml:space="preserve"> ThunderPlus EV Charge Hub, Umdanagar, Hyderabad</t>
  </si>
  <si>
    <t xml:space="preserve"> ThunderPlus EV Charge Hub, Moula Ali, Hyderabad</t>
  </si>
  <si>
    <t xml:space="preserve"> ThunderPlus EV Hub Sitaphalmandi, Hyderabad</t>
  </si>
  <si>
    <t xml:space="preserve"> EV Charge Hub, Hallmark Tranquil Apartment, Manikonda, Hyderabad</t>
  </si>
  <si>
    <t xml:space="preserve"> ThunderPlus EV Charge Hub, Lavish Electric Wheel Club, Shaikpet , Hyderabad</t>
  </si>
  <si>
    <t xml:space="preserve"> EV Charge Hub, Ramiz Indane Gramin Vitrak, Dhanbad</t>
  </si>
  <si>
    <t xml:space="preserve"> ThunderPlus EV Charge Hub, Press Enclave Society, New Delhi</t>
  </si>
  <si>
    <t>EV Charge Hub, Preston Prime Association, Hyderabad</t>
  </si>
  <si>
    <t>Sum of 13-02-2025</t>
  </si>
  <si>
    <t>Sum of 14-02-2025</t>
  </si>
  <si>
    <t>Sum of 15-02-2025</t>
  </si>
  <si>
    <t>Sum of 16-02-2025</t>
  </si>
  <si>
    <t>Sum of 17-02-2025</t>
  </si>
  <si>
    <t>Sum of 18-02-2025</t>
  </si>
  <si>
    <t>Sum of 19-02-2025</t>
  </si>
  <si>
    <t>Sum of 20-02-2025</t>
  </si>
  <si>
    <t>Sum of 21-02-2025</t>
  </si>
  <si>
    <t>Sum of 22-02-2025</t>
  </si>
  <si>
    <t>Sum of 23-02-2025</t>
  </si>
  <si>
    <t>Sum of 24-02-2025</t>
  </si>
  <si>
    <t>240kw</t>
  </si>
  <si>
    <t>Sum of 25-02-2025</t>
  </si>
  <si>
    <t>Sum of 26-02-2025</t>
  </si>
  <si>
    <t>EV Charge Hub, TUV SUD Bangalore Campus, Singahalli</t>
  </si>
  <si>
    <t>Panikoli</t>
  </si>
  <si>
    <t>ThunderPlus EV Charge Hub, Tata Trupti Automobiles, Panikoli</t>
  </si>
  <si>
    <t>Sum of 27-02-2025</t>
  </si>
  <si>
    <t>Sum of 28-02-2025</t>
  </si>
  <si>
    <t>ETO, Rohini, Delhi</t>
  </si>
  <si>
    <t>ThunderPlus EV Charge Hub, Tata Trupti Automobiles, Angul</t>
  </si>
  <si>
    <t>Angul</t>
  </si>
  <si>
    <t>Sum of 01-03-2025</t>
  </si>
  <si>
    <t>Sum of 02-03-2025</t>
  </si>
  <si>
    <t>Sum of 03-03-2025</t>
  </si>
  <si>
    <t>30  KW</t>
  </si>
  <si>
    <t>Sum of 04-03-2025</t>
  </si>
  <si>
    <t>Sum of 05-03-2025</t>
  </si>
  <si>
    <t>Sum of 06-03-2025</t>
  </si>
  <si>
    <t>ThunderPlus EV Charge Hub, Suryapet</t>
  </si>
  <si>
    <t>240 kw</t>
  </si>
  <si>
    <t>Suryapet</t>
  </si>
  <si>
    <t>Sum of 07-03-2025</t>
  </si>
  <si>
    <t>Sum of 08-03-2025</t>
  </si>
  <si>
    <t>Sum of 09-03-2025</t>
  </si>
  <si>
    <t>Sum of 10-03-2025</t>
  </si>
  <si>
    <t>Sum of 11-03-2025</t>
  </si>
  <si>
    <t>Sum of 12-03-2025</t>
  </si>
  <si>
    <t>ThunderPlus EV Charge Hub, HMRL-Secunderabad, Hyderabad</t>
  </si>
  <si>
    <t>Sum of 13-03-2025</t>
  </si>
  <si>
    <t>Sum of 14-03-2025</t>
  </si>
  <si>
    <t>Sum of 15-03-2025</t>
  </si>
  <si>
    <t>Sum of 16-03-2025</t>
  </si>
  <si>
    <t>Sum of 17-03-2025</t>
  </si>
  <si>
    <t>EV Charge Hub, Sai Life Sciences, Bidar</t>
  </si>
  <si>
    <t>4.7 kw</t>
  </si>
  <si>
    <t>Sum of 18-03-2025</t>
  </si>
  <si>
    <t>Sum of 19-03-2025</t>
  </si>
  <si>
    <t>Sum of 20-03-2025</t>
  </si>
  <si>
    <t>Sum of 21-03-2025</t>
  </si>
  <si>
    <t>Sum of 22-03-2025</t>
  </si>
  <si>
    <t>Sum of 23-03-2025</t>
  </si>
  <si>
    <t>EV Charge Hub, Sree Karpagamoorthy Automobiles, Karaikudi</t>
  </si>
  <si>
    <t xml:space="preserve">
EV Charge Hub, Chavan Motors, Pandharpur</t>
  </si>
  <si>
    <t>Karaikudi</t>
  </si>
  <si>
    <t>Pandharpur</t>
  </si>
  <si>
    <t>EV Charge Hub, Sai Life Sciences, Turkaplly</t>
  </si>
  <si>
    <t>Turkaplly</t>
  </si>
  <si>
    <t>Sum of 24-03-2025</t>
  </si>
  <si>
    <t xml:space="preserve">30 kw </t>
  </si>
  <si>
    <t>Sum of 25-03-2025</t>
  </si>
  <si>
    <t>Sum of 26-03-2025</t>
  </si>
  <si>
    <t>Sum of 27-03-2025</t>
  </si>
  <si>
    <t>ThunderPlus EV Charge Hub, Vijayawada</t>
  </si>
  <si>
    <t>Sum of 28-03-2025</t>
  </si>
  <si>
    <t>Sum of 29-03-2025</t>
  </si>
  <si>
    <t>Sum of 30-03-2025</t>
  </si>
  <si>
    <t>Sum of 31-03-2025</t>
  </si>
  <si>
    <t>ThunderPlus EV Charge Hub, Iskcon-Secunderabad, Hyderabad</t>
  </si>
  <si>
    <t>ThunderPlus EV Charge Hub, Jhandewalan, Delhi</t>
  </si>
  <si>
    <t>ThunderPlus EV Charge Hub, Arjangarh Metro, Delhi</t>
  </si>
  <si>
    <t>ThunderPlus EV Charge Hub, Kalra Hospital, Delhi</t>
  </si>
  <si>
    <t>ThunderPlus EV Charge Hub, Vasant kunj, Delhi</t>
  </si>
  <si>
    <t>ThunderPlus EV Charge Hub, Mohan Dev building, Delhi</t>
  </si>
  <si>
    <t>ThunderPlus EV Charge Hub, Okhla NSIC Metro, Delhi</t>
  </si>
  <si>
    <t>ThunderPlus EV Park &amp; Charge Hub, LB Nagar, Hyderabad</t>
  </si>
  <si>
    <t>ThunderPlus EV Charge Hub, Shyam Lal College, Delhi</t>
  </si>
  <si>
    <t>ThunderPlus EV Charge Hub, Abdul Salam Masjid, Delhi</t>
  </si>
  <si>
    <t>ThunderPlus EV Charge Hub, Jeevan bharti building, Delhi</t>
  </si>
  <si>
    <t>ThunderPlus EV Charge Hub, Andheria Mod, Delhi</t>
  </si>
  <si>
    <t>ThunderPlus EV Charge Hub, Charjkaro, Panchsheel Park, Delhi</t>
  </si>
  <si>
    <t>ThunderPlus EV Charge Hub, Charjkaro, Qutub Minar, Delhi</t>
  </si>
  <si>
    <t>ThunderPlus EV Charge Hub, Charjkaro, Seelampur, Delhi</t>
  </si>
  <si>
    <t>ThunderPlus EV Charge Hub, Charjkaro, Near IT Park, Dehradun</t>
  </si>
  <si>
    <t>Dehradun</t>
  </si>
  <si>
    <t>EV Charge Hub, Inspiredge IT Solutions Pvt Ltd, Visakhapatnam</t>
  </si>
  <si>
    <t>ThunderPlus EV Charge Hub, Charjkaro, Sector-20-C, Chandigarh</t>
  </si>
  <si>
    <t>Chandigarh</t>
  </si>
  <si>
    <t>ThunderPlus EV Charge Hub, Charjkaro, Piccadilly Maltiplex-2, Chandigarh</t>
  </si>
  <si>
    <t>ThunderPlus EV Charge Hub, Charjkaro, MG Road, Delhi</t>
  </si>
  <si>
    <t>ThunderPlus EV Charge Hub, Charjkaro, Delhi Cantt 1, Delhi</t>
  </si>
  <si>
    <t>ThunderPlus EV Charge Hub, Charjkaro, Delhi Cantt 2, Delhi</t>
  </si>
  <si>
    <t>ThunderPlus EV Charge Hub, Charjkaro, ESI Punjabi Bagh, Delhi</t>
  </si>
  <si>
    <t>ThunderPlus EV Charge Hub, Charjkaro, IIT FOB, Delhi</t>
  </si>
  <si>
    <t>ThunderPlus EV Charge Hub, Charjkaro, Lajpat Nagar, Delhi</t>
  </si>
  <si>
    <t>ThunderPlus EV Charge Hub, Charjkaro, Vasant Gaon, Delhi</t>
  </si>
  <si>
    <t>ThunderPlus EV Charge Hub, Charjkaro, Yusuf Sarai, Delhi</t>
  </si>
  <si>
    <t>ThunderPlus EV Charge Hub, Charjkaro, South Extension-1, Delhi</t>
  </si>
  <si>
    <t>Sum of 01-05-2025</t>
  </si>
  <si>
    <t>Sum of 02-05-2025</t>
  </si>
  <si>
    <t>Sum of 03-05-2025</t>
  </si>
  <si>
    <t>Sum of 04-05-2025</t>
  </si>
  <si>
    <t>Sum of 05-05-2025</t>
  </si>
  <si>
    <t>Sum of 06-05-2025</t>
  </si>
  <si>
    <t>Sum of 07-05-2025</t>
  </si>
  <si>
    <t>Sum of 08-05-2025</t>
  </si>
  <si>
    <t>Sum of 09-05-2025</t>
  </si>
  <si>
    <t>Sum of 10-05-2025</t>
  </si>
  <si>
    <t>Sum of 11-05-2025</t>
  </si>
  <si>
    <t>Sum of 12-05-2025</t>
  </si>
  <si>
    <t>Sum of 13-05-2025</t>
  </si>
  <si>
    <t>Sum of 14-05-2025</t>
  </si>
  <si>
    <t>Sum of 15-05-2025</t>
  </si>
  <si>
    <t>Sum of 16-05-2025</t>
  </si>
  <si>
    <t>Sum of 17-05-2025</t>
  </si>
  <si>
    <t>Sum of 18-05-2025</t>
  </si>
  <si>
    <t>Sum of 19-05-2025</t>
  </si>
  <si>
    <t>17.317562, 78.45881</t>
  </si>
  <si>
    <t>17.423457, 78.327282</t>
  </si>
  <si>
    <t>17.450754, 78.554548</t>
  </si>
  <si>
    <t>17.569269, 78.485945</t>
  </si>
  <si>
    <t>EVCS-360075</t>
  </si>
  <si>
    <t>17.35708, 78.52301</t>
  </si>
  <si>
    <t>EVCS-360078</t>
  </si>
  <si>
    <t>17.475718, 78.376204</t>
  </si>
  <si>
    <t>EVCS-360077</t>
  </si>
  <si>
    <t>17.430887, 78.373594</t>
  </si>
  <si>
    <t>EVCS-360079</t>
  </si>
  <si>
    <t>17.150245, 79.57585</t>
  </si>
  <si>
    <t>EVCS-360074</t>
  </si>
  <si>
    <t>17.442271, 78.505052</t>
  </si>
  <si>
    <t>EVCS-360080</t>
  </si>
  <si>
    <t>17.664679, 78.614404</t>
  </si>
  <si>
    <t>EVCS-370008</t>
  </si>
  <si>
    <t>16.56108, 80.56154</t>
  </si>
  <si>
    <t>EVCS-370009</t>
  </si>
  <si>
    <t>17.80562, 83.39144</t>
  </si>
  <si>
    <t>EVCS-290017</t>
  </si>
  <si>
    <t>17.90884, 77.46216</t>
  </si>
  <si>
    <t>EVCS-290015</t>
  </si>
  <si>
    <t>13.792105, 77.764447</t>
  </si>
  <si>
    <t>EVCS-290016</t>
  </si>
  <si>
    <t>13.173141, 77.715616</t>
  </si>
  <si>
    <t>EVCS-330006</t>
  </si>
  <si>
    <t>13.057071, 80.095362</t>
  </si>
  <si>
    <t>EVCS-330007</t>
  </si>
  <si>
    <t>10.070467, 78.727317</t>
  </si>
  <si>
    <t>EVCS-270013</t>
  </si>
  <si>
    <t>17.683744, 75.297586</t>
  </si>
  <si>
    <t>EVCS-210002</t>
  </si>
  <si>
    <t>20.83207, 85.24185</t>
  </si>
  <si>
    <t>EVCS-180003</t>
  </si>
  <si>
    <t>27.489341, 94.912978</t>
  </si>
  <si>
    <t>EVCS-200001</t>
  </si>
  <si>
    <t>23.728769, 86.706831</t>
  </si>
  <si>
    <t>EVCS-210001</t>
  </si>
  <si>
    <t>20.919006, 86.216712</t>
  </si>
  <si>
    <t>EVCS-070104</t>
  </si>
  <si>
    <t>28.745579, 77.11549</t>
  </si>
  <si>
    <t>EVCS-070091</t>
  </si>
  <si>
    <t>28.644742, 77.203854</t>
  </si>
  <si>
    <t>EVCS-070093</t>
  </si>
  <si>
    <t>28.482408, 77.128233</t>
  </si>
  <si>
    <t>EVCS-070095</t>
  </si>
  <si>
    <t>28.655182, 77.138092</t>
  </si>
  <si>
    <t>EVCS-070100</t>
  </si>
  <si>
    <t>28.627149, 77.221226</t>
  </si>
  <si>
    <t>EVCS-070096</t>
  </si>
  <si>
    <t>28.531499, 77.15018</t>
  </si>
  <si>
    <t>EVCS-070079</t>
  </si>
  <si>
    <t>28.554709, 77.265326</t>
  </si>
  <si>
    <t>EVCS-070085</t>
  </si>
  <si>
    <t>28.673634, 77.283798</t>
  </si>
  <si>
    <t>EVCS-070102</t>
  </si>
  <si>
    <t>28.633591, 77.216527</t>
  </si>
  <si>
    <t>EVCS-070101</t>
  </si>
  <si>
    <t>28.629122, 77.21832</t>
  </si>
  <si>
    <t>EVCS-070071</t>
  </si>
  <si>
    <t>28.508982, 77.17743</t>
  </si>
  <si>
    <t>EVCS-070073</t>
  </si>
  <si>
    <t>28.542312, 77.222073</t>
  </si>
  <si>
    <t>EVCS-070072</t>
  </si>
  <si>
    <t>28.526684, 77.186278</t>
  </si>
  <si>
    <t>EVCS-070086</t>
  </si>
  <si>
    <t>28.672012, 77.273094</t>
  </si>
  <si>
    <t>EVCS-070080</t>
  </si>
  <si>
    <t>28.568895, 77.221629</t>
  </si>
  <si>
    <t>EVCS-050002</t>
  </si>
  <si>
    <t>30.355852, 78.0851</t>
  </si>
  <si>
    <t>EVCS-040002</t>
  </si>
  <si>
    <t>30.719113, 76.782929</t>
  </si>
  <si>
    <t>EVCS-070097</t>
  </si>
  <si>
    <t>28.489981, 77.139559</t>
  </si>
  <si>
    <t>EVCS-040005</t>
  </si>
  <si>
    <t>30.72389, 76.76767</t>
  </si>
  <si>
    <t>EVCS-070094</t>
  </si>
  <si>
    <t>28.605577, 77.146056</t>
  </si>
  <si>
    <t>EVCS-070092</t>
  </si>
  <si>
    <t>28.60506, 77.150078</t>
  </si>
  <si>
    <t>EVCS-070090</t>
  </si>
  <si>
    <t>28.659244, 77.128699</t>
  </si>
  <si>
    <t>EVCS-070081</t>
  </si>
  <si>
    <t>28.548025, 77.190643</t>
  </si>
  <si>
    <t>EVCS-070098</t>
  </si>
  <si>
    <t>28.569782, 77.238144</t>
  </si>
  <si>
    <t>EVCS-070088</t>
  </si>
  <si>
    <t>28.569618, 77.164032</t>
  </si>
  <si>
    <t>EVCS-070075</t>
  </si>
  <si>
    <t>28.55888, 77.206978</t>
  </si>
  <si>
    <t>17.497468, 78.375312</t>
  </si>
  <si>
    <t>17.52039, 78.51249</t>
  </si>
  <si>
    <t>17.358244, 78.477117</t>
  </si>
  <si>
    <t>17.159675739608108, 78.29271449564584</t>
  </si>
  <si>
    <t>17.262372, 78.393635</t>
  </si>
  <si>
    <t>17.46889, 78.56083</t>
  </si>
  <si>
    <t>17.4269, 78.52092</t>
  </si>
  <si>
    <t>17.31597, 78.45896</t>
  </si>
  <si>
    <t>17.47081, 78.38444</t>
  </si>
  <si>
    <t>17.43472, 78.520414</t>
  </si>
  <si>
    <t>17.43453, 78.52049</t>
  </si>
  <si>
    <t>17.50091, 78.53945</t>
  </si>
  <si>
    <t>17.370641, 78.41948</t>
  </si>
  <si>
    <t>17.448705, 78.387865</t>
  </si>
  <si>
    <t>17.446508, 78.572428</t>
  </si>
  <si>
    <t>17.4866025, 78.3148136</t>
  </si>
  <si>
    <t>17.399751891957763, 78.54097646688686</t>
  </si>
  <si>
    <t>17.44889, 78.47956</t>
  </si>
  <si>
    <t>17.398522, 78.363589</t>
  </si>
  <si>
    <t>17.51995, 78.41477</t>
  </si>
  <si>
    <t>17.534823, 78.365643</t>
  </si>
  <si>
    <t>17.491546, 78.39842</t>
  </si>
  <si>
    <t>17.500087, 78.412841</t>
  </si>
  <si>
    <t>17.256184, 78.429848</t>
  </si>
  <si>
    <t>17.408171, 78.39342</t>
  </si>
  <si>
    <t>17.476041, 78.346123</t>
  </si>
  <si>
    <t>17.418549, 78.374563</t>
  </si>
  <si>
    <t>17.489964, 78.541402</t>
  </si>
  <si>
    <t>17.516999, 78.455004</t>
  </si>
  <si>
    <t>17.471069, 78.591679</t>
  </si>
  <si>
    <t>17.924647, 79.449604</t>
  </si>
  <si>
    <t>17.469678, 78.437476</t>
  </si>
  <si>
    <t>17.455865, 78.298716</t>
  </si>
  <si>
    <t>17.489475, 78.420011</t>
  </si>
  <si>
    <t>17.353618, 78.535244</t>
  </si>
  <si>
    <t>17.434295, 78.312427</t>
  </si>
  <si>
    <t>11.12153, 76.09902</t>
  </si>
  <si>
    <t>16.499481, 80.682319</t>
  </si>
  <si>
    <t>16.549768, 80.691818</t>
  </si>
  <si>
    <t>17.702158, 83.214019</t>
  </si>
  <si>
    <t>17.68901, 83.187646</t>
  </si>
  <si>
    <t>16.313397, 80.361697</t>
  </si>
  <si>
    <t>16.994049, 81.801815</t>
  </si>
  <si>
    <t>12.976824, 77.626633</t>
  </si>
  <si>
    <t>13.028607, 77.545752</t>
  </si>
  <si>
    <t>13.033909, 77.526089</t>
  </si>
  <si>
    <t>12.92585, 77.52046</t>
  </si>
  <si>
    <t>13.089848, 77.626858</t>
  </si>
  <si>
    <t>12.992299, 77.709469</t>
  </si>
  <si>
    <t>12.989433787784137, 77.48579015063079</t>
  </si>
  <si>
    <t>12.833298, 77.589716</t>
  </si>
  <si>
    <t>10.658505, 77.058538</t>
  </si>
  <si>
    <t>13.13914682, 80.22536596</t>
  </si>
  <si>
    <t>10.760392, 79.643534</t>
  </si>
  <si>
    <t>13.042164, 80.125485</t>
  </si>
  <si>
    <t>10.04978, 76.31889</t>
  </si>
  <si>
    <t>18.730387, 73.85675</t>
  </si>
  <si>
    <t>21.080062876774992, 79.06111041033097</t>
  </si>
  <si>
    <t>21.147167, 79.005972</t>
  </si>
  <si>
    <t>25.571936, 85.242866</t>
  </si>
  <si>
    <t>26.179696, 73.050353</t>
  </si>
  <si>
    <t>16.688173, 74.290037</t>
  </si>
  <si>
    <t>26.289095, 92.625101</t>
  </si>
  <si>
    <t>26.121542, 92.209386</t>
  </si>
  <si>
    <t>22.68857, 88.418861</t>
  </si>
  <si>
    <t>22.591142, 88.21978</t>
  </si>
  <si>
    <t>19.443433, 72.879996</t>
  </si>
  <si>
    <t>19.795349, 72.753436</t>
  </si>
  <si>
    <t>20.390414, 72.911743</t>
  </si>
  <si>
    <t>23.209145, 79.902671</t>
  </si>
  <si>
    <t>12.411591, 75.09212</t>
  </si>
  <si>
    <t>21.238124, 81.584628</t>
  </si>
  <si>
    <t>21.883077, 73.689955</t>
  </si>
  <si>
    <t>28.627362, 77.374662</t>
  </si>
  <si>
    <t>28.6445144, 77.33536</t>
  </si>
  <si>
    <t>26.7893081, 82.2293649</t>
  </si>
  <si>
    <t>26.8000044, 82.220685</t>
  </si>
  <si>
    <t>26.758337, 82.126506</t>
  </si>
  <si>
    <t>26.763723, 82.090308</t>
  </si>
  <si>
    <t>25.450571, 81.828261</t>
  </si>
  <si>
    <t>28.677423, 77.293197</t>
  </si>
  <si>
    <t>28.543388, 77.046913</t>
  </si>
  <si>
    <t>28.705257, 77.311553</t>
  </si>
  <si>
    <t>28.70468208439481, 77.18052038930671</t>
  </si>
  <si>
    <t>28.55058, 77.258121</t>
  </si>
  <si>
    <t>28.606683, 77.289685</t>
  </si>
  <si>
    <t>28.611614, 77.288642</t>
  </si>
  <si>
    <t>28.526358, 77.207706</t>
  </si>
  <si>
    <t>28.629398, 77.243827</t>
  </si>
  <si>
    <t>28.679462, 77.219232</t>
  </si>
  <si>
    <t>28.61038, 77.022041</t>
  </si>
  <si>
    <t>28.569861, 77.028925</t>
  </si>
  <si>
    <t>28.562467114558274, 77.28736745305525</t>
  </si>
  <si>
    <t>28.56246, 77.28736</t>
  </si>
  <si>
    <t>28.604009, 77.029785</t>
  </si>
  <si>
    <t>28.619914752558, 77.28006943</t>
  </si>
  <si>
    <t>28.606078166085577, 77.29316709612652</t>
  </si>
  <si>
    <t>28.6373328067253, 77.2862109512611</t>
  </si>
  <si>
    <t>28.6327572662026, 77.3058692290455</t>
  </si>
  <si>
    <t>28.702179590136, 77.3099812890489</t>
  </si>
  <si>
    <t>28.5403927938251, 77.2612979990781</t>
  </si>
  <si>
    <t>28.6967111415284, 77.0852869274945</t>
  </si>
  <si>
    <t>28.5155977, 77.2593052</t>
  </si>
  <si>
    <t>28.62365, 77.04815</t>
  </si>
  <si>
    <t>28.537501, 77.248083</t>
  </si>
  <si>
    <t>28.567191, 77.2521</t>
  </si>
  <si>
    <t>28.532594, 77.276989</t>
  </si>
  <si>
    <t>28.629863, 77.251184</t>
  </si>
  <si>
    <t>28.662296, 77.29759</t>
  </si>
  <si>
    <t>28.542145, 77.260545</t>
  </si>
  <si>
    <t>28.59138, 77.079303</t>
  </si>
  <si>
    <t>25.620626, 85.031555</t>
  </si>
  <si>
    <t>25.5633800330351, 85.1862382675498</t>
  </si>
  <si>
    <t>Sum of 20-05-2025</t>
  </si>
  <si>
    <t>Sum of 21-05-2025</t>
  </si>
  <si>
    <t>Sum of 22-05-2025</t>
  </si>
  <si>
    <t>Sum of 23-05-2025</t>
  </si>
  <si>
    <t>Sum of 24-05-2025</t>
  </si>
  <si>
    <t>Total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</si>
</sst>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.000"/>
    <numFmt numFmtId="166" formatCode="_(* #,##0_);_(* \(#,##0\);_(* &quot;-&quot;??_);_(@_)"/>
    <numFmt numFmtId="167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B4B4B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1F1F1F"/>
      <name val="Calibri"/>
      <family val="2"/>
      <scheme val="minor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5" fillId="0" borderId="0"/>
  </cellStyleXfs>
  <cellXfs count="140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2" fontId="0" fillId="0" borderId="1" xfId="0" applyNumberFormat="1" applyBorder="1"/>
    <xf numFmtId="0" fontId="0" fillId="2" borderId="1" xfId="0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2" fontId="2" fillId="0" borderId="1" xfId="0" applyNumberFormat="1" applyFont="1" applyBorder="1"/>
    <xf numFmtId="1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Border="1"/>
    <xf numFmtId="4" fontId="0" fillId="0" borderId="0" xfId="0" applyNumberFormat="1" applyAlignment="1">
      <alignment horizontal="center"/>
    </xf>
    <xf numFmtId="4" fontId="0" fillId="0" borderId="2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4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1" xfId="0" pivotButton="1" applyBorder="1"/>
    <xf numFmtId="164" fontId="0" fillId="0" borderId="1" xfId="0" applyNumberFormat="1" applyBorder="1"/>
    <xf numFmtId="2" fontId="0" fillId="0" borderId="1" xfId="0" applyNumberFormat="1" applyBorder="1" applyAlignment="1">
      <alignment horizontal="right" vertical="center"/>
    </xf>
    <xf numFmtId="2" fontId="0" fillId="0" borderId="1" xfId="0" applyNumberFormat="1" applyBorder="1" applyAlignment="1">
      <alignment horizontal="right"/>
    </xf>
    <xf numFmtId="2" fontId="3" fillId="0" borderId="1" xfId="0" applyNumberFormat="1" applyFont="1" applyBorder="1" applyAlignment="1">
      <alignment horizontal="right" vertical="center"/>
    </xf>
    <xf numFmtId="2" fontId="0" fillId="0" borderId="1" xfId="1" applyNumberFormat="1" applyFont="1" applyBorder="1" applyAlignment="1">
      <alignment horizontal="right" vertical="center"/>
    </xf>
    <xf numFmtId="2" fontId="0" fillId="0" borderId="1" xfId="1" applyNumberFormat="1" applyFont="1" applyBorder="1" applyAlignment="1">
      <alignment horizontal="right"/>
    </xf>
    <xf numFmtId="0" fontId="4" fillId="0" borderId="1" xfId="0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4" xfId="0" applyBorder="1"/>
    <xf numFmtId="2" fontId="2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4" fontId="0" fillId="0" borderId="0" xfId="0" applyNumberFormat="1"/>
    <xf numFmtId="2" fontId="4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4" fontId="2" fillId="0" borderId="3" xfId="0" applyNumberFormat="1" applyFont="1" applyBorder="1" applyAlignment="1">
      <alignment horizontal="center" vertical="center" wrapText="1"/>
    </xf>
    <xf numFmtId="2" fontId="0" fillId="0" borderId="1" xfId="0" applyNumberFormat="1" applyBorder="1" applyAlignment="1">
      <alignment horizontal="right" wrapText="1"/>
    </xf>
    <xf numFmtId="0" fontId="0" fillId="0" borderId="3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1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 wrapText="1"/>
    </xf>
    <xf numFmtId="2" fontId="0" fillId="0" borderId="2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1" xfId="0" applyBorder="1" applyAlignment="1">
      <alignment wrapText="1"/>
    </xf>
    <xf numFmtId="165" fontId="0" fillId="0" borderId="1" xfId="0" applyNumberFormat="1" applyBorder="1"/>
    <xf numFmtId="164" fontId="0" fillId="0" borderId="1" xfId="0" pivotButton="1" applyNumberFormat="1" applyBorder="1"/>
    <xf numFmtId="166" fontId="0" fillId="0" borderId="1" xfId="0" applyNumberFormat="1" applyBorder="1"/>
    <xf numFmtId="0" fontId="0" fillId="0" borderId="9" xfId="0" applyBorder="1" applyAlignment="1">
      <alignment horizontal="left"/>
    </xf>
    <xf numFmtId="0" fontId="0" fillId="0" borderId="7" xfId="0" applyBorder="1" applyAlignment="1">
      <alignment horizontal="left"/>
    </xf>
    <xf numFmtId="2" fontId="0" fillId="0" borderId="0" xfId="0" applyNumberFormat="1" applyAlignment="1">
      <alignment horizontal="center"/>
    </xf>
    <xf numFmtId="2" fontId="0" fillId="0" borderId="6" xfId="0" applyNumberFormat="1" applyBorder="1" applyAlignment="1">
      <alignment horizontal="center" wrapText="1"/>
    </xf>
    <xf numFmtId="0" fontId="5" fillId="0" borderId="1" xfId="0" applyFont="1" applyBorder="1" applyAlignment="1">
      <alignment vertical="center"/>
    </xf>
    <xf numFmtId="2" fontId="0" fillId="0" borderId="2" xfId="0" applyNumberFormat="1" applyBorder="1" applyAlignment="1">
      <alignment horizontal="center" vertical="center"/>
    </xf>
    <xf numFmtId="164" fontId="0" fillId="0" borderId="1" xfId="0" applyNumberFormat="1" applyBorder="1" applyAlignment="1">
      <alignment wrapText="1"/>
    </xf>
    <xf numFmtId="0" fontId="2" fillId="0" borderId="1" xfId="0" applyFont="1" applyBorder="1"/>
    <xf numFmtId="2" fontId="0" fillId="0" borderId="0" xfId="0" applyNumberFormat="1" applyAlignment="1">
      <alignment horizontal="center" vertical="center"/>
    </xf>
    <xf numFmtId="2" fontId="0" fillId="0" borderId="10" xfId="0" applyNumberFormat="1" applyBorder="1" applyAlignment="1">
      <alignment horizontal="center"/>
    </xf>
    <xf numFmtId="166" fontId="0" fillId="0" borderId="1" xfId="0" pivotButton="1" applyNumberFormat="1" applyBorder="1"/>
    <xf numFmtId="2" fontId="0" fillId="0" borderId="0" xfId="0" applyNumberFormat="1"/>
    <xf numFmtId="164" fontId="0" fillId="0" borderId="0" xfId="0" applyNumberFormat="1"/>
    <xf numFmtId="164" fontId="0" fillId="0" borderId="1" xfId="0" applyNumberFormat="1" applyBorder="1" applyAlignment="1">
      <alignment horizontal="left"/>
    </xf>
    <xf numFmtId="0" fontId="0" fillId="0" borderId="3" xfId="0" applyBorder="1"/>
    <xf numFmtId="166" fontId="0" fillId="0" borderId="0" xfId="0" applyNumberFormat="1"/>
    <xf numFmtId="0" fontId="0" fillId="0" borderId="2" xfId="0" applyBorder="1"/>
    <xf numFmtId="0" fontId="6" fillId="0" borderId="1" xfId="0" applyFont="1" applyBorder="1"/>
    <xf numFmtId="167" fontId="0" fillId="0" borderId="0" xfId="0" applyNumberFormat="1"/>
    <xf numFmtId="0" fontId="2" fillId="0" borderId="4" xfId="0" applyFont="1" applyBorder="1" applyAlignment="1">
      <alignment horizontal="left" vertical="center"/>
    </xf>
    <xf numFmtId="0" fontId="2" fillId="0" borderId="4" xfId="0" applyFont="1" applyBorder="1"/>
    <xf numFmtId="167" fontId="2" fillId="0" borderId="4" xfId="0" applyNumberFormat="1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167" fontId="0" fillId="0" borderId="6" xfId="0" applyNumberForma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5" xfId="0" applyBorder="1" applyAlignment="1">
      <alignment horizontal="left"/>
    </xf>
    <xf numFmtId="0" fontId="0" fillId="2" borderId="1" xfId="0" applyFill="1" applyBorder="1"/>
    <xf numFmtId="0" fontId="6" fillId="0" borderId="1" xfId="0" applyFont="1" applyBorder="1" applyAlignment="1">
      <alignment horizontal="center"/>
    </xf>
    <xf numFmtId="0" fontId="0" fillId="3" borderId="1" xfId="0" applyFill="1" applyBorder="1" applyAlignment="1">
      <alignment horizontal="left"/>
    </xf>
    <xf numFmtId="14" fontId="2" fillId="0" borderId="1" xfId="0" applyNumberFormat="1" applyFont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0" fillId="2" borderId="1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5" xfId="0" applyBorder="1" applyAlignment="1">
      <alignment horizontal="left" vertical="center"/>
    </xf>
    <xf numFmtId="0" fontId="0" fillId="0" borderId="5" xfId="0" applyBorder="1"/>
    <xf numFmtId="0" fontId="6" fillId="0" borderId="5" xfId="0" applyFont="1" applyBorder="1"/>
    <xf numFmtId="0" fontId="0" fillId="0" borderId="6" xfId="0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9" fillId="0" borderId="1" xfId="0" applyFont="1" applyBorder="1"/>
    <xf numFmtId="0" fontId="9" fillId="0" borderId="1" xfId="0" applyFont="1" applyBorder="1" applyAlignment="1">
      <alignment vertical="top"/>
    </xf>
    <xf numFmtId="0" fontId="10" fillId="0" borderId="1" xfId="0" applyFont="1" applyBorder="1"/>
    <xf numFmtId="0" fontId="7" fillId="0" borderId="1" xfId="0" applyFont="1" applyBorder="1"/>
    <xf numFmtId="0" fontId="0" fillId="0" borderId="5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1" applyFont="1"/>
    <xf numFmtId="167" fontId="0" fillId="0" borderId="0" xfId="0" applyNumberFormat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7" fillId="0" borderId="5" xfId="0" applyFont="1" applyBorder="1"/>
    <xf numFmtId="0" fontId="9" fillId="0" borderId="5" xfId="0" applyFont="1" applyBorder="1"/>
    <xf numFmtId="0" fontId="0" fillId="0" borderId="0" xfId="0" applyBorder="1" applyAlignment="1">
      <alignment horizontal="left" vertical="center"/>
    </xf>
    <xf numFmtId="0" fontId="0" fillId="0" borderId="0" xfId="0" applyNumberFormat="1"/>
    <xf numFmtId="0" fontId="0" fillId="0" borderId="1" xfId="0" applyNumberFormat="1" applyBorder="1"/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left"/>
    </xf>
  </cellXfs>
  <cellStyles count="3">
    <cellStyle name="Comma" xfId="1" builtinId="3"/>
    <cellStyle name="Normal" xfId="0" builtinId="0"/>
    <cellStyle name="Normal 2" xfId="2" xr:uid="{F90A1F43-0FA9-451D-8DCA-5FF3EA7A49CE}"/>
  </cellStyles>
  <dxfs count="674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* #,##0_);_(* \(#,##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6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alignment wrapText="1" readingOrder="0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</border>
    </dxf>
    <dxf>
      <border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* #,##0_);_(* \(#,##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0.000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pivotCacheDefinition" Target="pivotCache/pivotCacheDefinition13.xml"/><Relationship Id="rId89" Type="http://schemas.openxmlformats.org/officeDocument/2006/relationships/pivotCacheDefinition" Target="pivotCache/pivotCacheDefinition1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pivotCacheDefinition" Target="pivotCache/pivotCacheDefinition3.xml"/><Relationship Id="rId79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19.xml"/><Relationship Id="rId95" Type="http://schemas.openxmlformats.org/officeDocument/2006/relationships/pivotCacheDefinition" Target="pivotCache/pivotCacheDefinition2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pivotCacheDefinition" Target="pivotCache/pivotCacheDefinition9.xml"/><Relationship Id="rId85" Type="http://schemas.openxmlformats.org/officeDocument/2006/relationships/pivotCacheDefinition" Target="pivotCache/pivotCacheDefinition1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pivotCacheDefinition" Target="pivotCache/pivotCacheDefinition4.xml"/><Relationship Id="rId83" Type="http://schemas.openxmlformats.org/officeDocument/2006/relationships/pivotCacheDefinition" Target="pivotCache/pivotCacheDefinition12.xml"/><Relationship Id="rId88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20.xml"/><Relationship Id="rId96" Type="http://schemas.openxmlformats.org/officeDocument/2006/relationships/pivotCacheDefinition" Target="pivotCache/pivotCacheDefinition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pivotCacheDefinition" Target="pivotCache/pivotCacheDefinition2.xml"/><Relationship Id="rId78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10.xml"/><Relationship Id="rId86" Type="http://schemas.openxmlformats.org/officeDocument/2006/relationships/pivotCacheDefinition" Target="pivotCache/pivotCacheDefinition15.xml"/><Relationship Id="rId94" Type="http://schemas.openxmlformats.org/officeDocument/2006/relationships/pivotCacheDefinition" Target="pivotCache/pivotCacheDefinition23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pivotCacheDefinition" Target="pivotCache/pivotCacheDefinition5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2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16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1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pivotCacheDefinition" Target="pivotCache/pivotCacheDefinition6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1.xml"/><Relationship Id="rId93" Type="http://schemas.openxmlformats.org/officeDocument/2006/relationships/pivotCacheDefinition" Target="pivotCache/pivotCacheDefinition22.xml"/><Relationship Id="rId9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Consumption.xlsx]Sep 2023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436416"/>
        <c:axId val="375281712"/>
      </c:barChart>
      <c:catAx>
        <c:axId val="38143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81712"/>
        <c:crosses val="autoZero"/>
        <c:auto val="1"/>
        <c:lblAlgn val="ctr"/>
        <c:lblOffset val="100"/>
        <c:noMultiLvlLbl val="0"/>
      </c:catAx>
      <c:valAx>
        <c:axId val="3752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3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Consumption.xlsx]Oct 2023 Graph!PivotTable4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88968"/>
        <c:axId val="455291320"/>
      </c:barChart>
      <c:catAx>
        <c:axId val="45528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1320"/>
        <c:crosses val="autoZero"/>
        <c:auto val="1"/>
        <c:lblAlgn val="ctr"/>
        <c:lblOffset val="100"/>
        <c:noMultiLvlLbl val="0"/>
      </c:catAx>
      <c:valAx>
        <c:axId val="45529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8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Consumption.xlsx]Nov 2023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89360"/>
        <c:axId val="455291712"/>
      </c:barChart>
      <c:catAx>
        <c:axId val="45528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1712"/>
        <c:crosses val="autoZero"/>
        <c:auto val="1"/>
        <c:lblAlgn val="ctr"/>
        <c:lblOffset val="100"/>
        <c:noMultiLvlLbl val="0"/>
      </c:catAx>
      <c:valAx>
        <c:axId val="4552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Consumption.xlsx]dec 2023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87400"/>
        <c:axId val="463240312"/>
      </c:barChart>
      <c:catAx>
        <c:axId val="45528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40312"/>
        <c:crosses val="autoZero"/>
        <c:auto val="1"/>
        <c:lblAlgn val="ctr"/>
        <c:lblOffset val="100"/>
        <c:noMultiLvlLbl val="0"/>
      </c:catAx>
      <c:valAx>
        <c:axId val="46324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8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Consumption.xlsx]Jan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'Jan Graph'!$B$3:$B$4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Graph'!$B$5:$B$35</c:f>
              <c:numCache>
                <c:formatCode>General</c:formatCode>
                <c:ptCount val="31"/>
                <c:pt idx="0">
                  <c:v>415.4</c:v>
                </c:pt>
                <c:pt idx="1">
                  <c:v>433.64</c:v>
                </c:pt>
                <c:pt idx="2">
                  <c:v>462.03999999999996</c:v>
                </c:pt>
                <c:pt idx="3">
                  <c:v>455.78000000000003</c:v>
                </c:pt>
                <c:pt idx="4">
                  <c:v>415.72</c:v>
                </c:pt>
                <c:pt idx="5">
                  <c:v>396.56000000000006</c:v>
                </c:pt>
                <c:pt idx="6">
                  <c:v>461.65999999999997</c:v>
                </c:pt>
                <c:pt idx="7">
                  <c:v>425.62</c:v>
                </c:pt>
                <c:pt idx="8">
                  <c:v>457.41</c:v>
                </c:pt>
                <c:pt idx="9">
                  <c:v>433.49</c:v>
                </c:pt>
                <c:pt idx="10">
                  <c:v>421.91999999999996</c:v>
                </c:pt>
                <c:pt idx="11">
                  <c:v>466.27000000000004</c:v>
                </c:pt>
                <c:pt idx="12">
                  <c:v>457.33000000000004</c:v>
                </c:pt>
                <c:pt idx="13">
                  <c:v>478.78</c:v>
                </c:pt>
                <c:pt idx="14">
                  <c:v>485.07</c:v>
                </c:pt>
                <c:pt idx="15">
                  <c:v>386.96</c:v>
                </c:pt>
                <c:pt idx="16">
                  <c:v>370.25</c:v>
                </c:pt>
                <c:pt idx="17">
                  <c:v>385.89</c:v>
                </c:pt>
                <c:pt idx="18">
                  <c:v>396.85</c:v>
                </c:pt>
                <c:pt idx="19">
                  <c:v>367.75</c:v>
                </c:pt>
                <c:pt idx="20">
                  <c:v>408.13</c:v>
                </c:pt>
                <c:pt idx="21">
                  <c:v>359.12</c:v>
                </c:pt>
                <c:pt idx="22">
                  <c:v>371.65</c:v>
                </c:pt>
                <c:pt idx="23">
                  <c:v>352.32100000000003</c:v>
                </c:pt>
                <c:pt idx="24">
                  <c:v>353.44</c:v>
                </c:pt>
                <c:pt idx="25">
                  <c:v>353.54</c:v>
                </c:pt>
                <c:pt idx="26">
                  <c:v>348.53999999999996</c:v>
                </c:pt>
                <c:pt idx="27">
                  <c:v>433.78</c:v>
                </c:pt>
                <c:pt idx="28">
                  <c:v>379.03</c:v>
                </c:pt>
                <c:pt idx="29">
                  <c:v>354.43</c:v>
                </c:pt>
                <c:pt idx="30">
                  <c:v>388.82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9-4B49-9243-B9DBC171FAD3}"/>
            </c:ext>
          </c:extLst>
        </c:ser>
        <c:ser>
          <c:idx val="1"/>
          <c:order val="1"/>
          <c:tx>
            <c:strRef>
              <c:f>'Jan Graph'!$C$3:$C$4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Graph'!$C$5:$C$35</c:f>
              <c:numCache>
                <c:formatCode>General</c:formatCode>
                <c:ptCount val="31"/>
                <c:pt idx="0">
                  <c:v>371.089</c:v>
                </c:pt>
                <c:pt idx="1">
                  <c:v>458.86</c:v>
                </c:pt>
                <c:pt idx="2">
                  <c:v>441.79500000000002</c:v>
                </c:pt>
                <c:pt idx="3">
                  <c:v>466.09799999999996</c:v>
                </c:pt>
                <c:pt idx="4">
                  <c:v>469.27300000000002</c:v>
                </c:pt>
                <c:pt idx="5">
                  <c:v>325.53100000000001</c:v>
                </c:pt>
                <c:pt idx="6">
                  <c:v>264.53999999999996</c:v>
                </c:pt>
                <c:pt idx="7">
                  <c:v>424.87</c:v>
                </c:pt>
                <c:pt idx="8">
                  <c:v>430.58</c:v>
                </c:pt>
                <c:pt idx="9">
                  <c:v>510.01500000000004</c:v>
                </c:pt>
                <c:pt idx="10">
                  <c:v>430.46199999999999</c:v>
                </c:pt>
                <c:pt idx="11">
                  <c:v>417.2240000000001</c:v>
                </c:pt>
                <c:pt idx="12">
                  <c:v>271.11</c:v>
                </c:pt>
                <c:pt idx="13">
                  <c:v>308.59700000000004</c:v>
                </c:pt>
                <c:pt idx="14">
                  <c:v>283.07399999999996</c:v>
                </c:pt>
                <c:pt idx="15">
                  <c:v>400.077</c:v>
                </c:pt>
                <c:pt idx="16">
                  <c:v>374.64800000000008</c:v>
                </c:pt>
                <c:pt idx="17">
                  <c:v>361.33</c:v>
                </c:pt>
                <c:pt idx="18">
                  <c:v>375.88500000000005</c:v>
                </c:pt>
                <c:pt idx="19">
                  <c:v>273.36</c:v>
                </c:pt>
                <c:pt idx="20">
                  <c:v>191.62</c:v>
                </c:pt>
                <c:pt idx="21">
                  <c:v>320.327</c:v>
                </c:pt>
                <c:pt idx="22">
                  <c:v>332.80099999999999</c:v>
                </c:pt>
                <c:pt idx="23">
                  <c:v>355.596</c:v>
                </c:pt>
                <c:pt idx="24">
                  <c:v>351.46299999999997</c:v>
                </c:pt>
                <c:pt idx="25">
                  <c:v>230.93</c:v>
                </c:pt>
                <c:pt idx="26">
                  <c:v>260.02300000000002</c:v>
                </c:pt>
                <c:pt idx="27">
                  <c:v>247.84</c:v>
                </c:pt>
                <c:pt idx="28">
                  <c:v>336.46700000000004</c:v>
                </c:pt>
                <c:pt idx="29">
                  <c:v>339.697</c:v>
                </c:pt>
                <c:pt idx="30">
                  <c:v>300.34000000000003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9-4B49-9243-B9DBC171FAD3}"/>
            </c:ext>
          </c:extLst>
        </c:ser>
        <c:ser>
          <c:idx val="2"/>
          <c:order val="2"/>
          <c:tx>
            <c:strRef>
              <c:f>'Jan Graph'!$D$3:$D$4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Graph'!$D$5:$D$35</c:f>
              <c:numCache>
                <c:formatCode>General</c:formatCode>
                <c:ptCount val="31"/>
                <c:pt idx="0">
                  <c:v>40.619999999999997</c:v>
                </c:pt>
                <c:pt idx="1">
                  <c:v>25.23</c:v>
                </c:pt>
                <c:pt idx="2">
                  <c:v>42.99</c:v>
                </c:pt>
                <c:pt idx="3">
                  <c:v>33.270000000000003</c:v>
                </c:pt>
                <c:pt idx="4">
                  <c:v>34.39</c:v>
                </c:pt>
                <c:pt idx="5">
                  <c:v>42.07</c:v>
                </c:pt>
                <c:pt idx="6">
                  <c:v>29.81</c:v>
                </c:pt>
                <c:pt idx="7">
                  <c:v>45.5</c:v>
                </c:pt>
                <c:pt idx="8">
                  <c:v>22.7</c:v>
                </c:pt>
                <c:pt idx="9">
                  <c:v>34.06</c:v>
                </c:pt>
                <c:pt idx="10">
                  <c:v>20.74</c:v>
                </c:pt>
                <c:pt idx="11">
                  <c:v>25.83</c:v>
                </c:pt>
                <c:pt idx="12">
                  <c:v>17.489999999999998</c:v>
                </c:pt>
                <c:pt idx="13">
                  <c:v>38.479999999999997</c:v>
                </c:pt>
                <c:pt idx="14">
                  <c:v>26.57</c:v>
                </c:pt>
                <c:pt idx="15">
                  <c:v>31.43</c:v>
                </c:pt>
                <c:pt idx="16">
                  <c:v>32.94</c:v>
                </c:pt>
                <c:pt idx="17">
                  <c:v>31.14</c:v>
                </c:pt>
                <c:pt idx="18">
                  <c:v>29.17</c:v>
                </c:pt>
                <c:pt idx="19">
                  <c:v>16.920000000000002</c:v>
                </c:pt>
                <c:pt idx="20">
                  <c:v>35.26</c:v>
                </c:pt>
                <c:pt idx="21">
                  <c:v>28.53</c:v>
                </c:pt>
                <c:pt idx="22">
                  <c:v>17.34</c:v>
                </c:pt>
                <c:pt idx="23">
                  <c:v>22.7</c:v>
                </c:pt>
                <c:pt idx="24">
                  <c:v>26.66</c:v>
                </c:pt>
                <c:pt idx="25">
                  <c:v>44.92</c:v>
                </c:pt>
                <c:pt idx="26">
                  <c:v>24.37</c:v>
                </c:pt>
                <c:pt idx="27">
                  <c:v>44.61</c:v>
                </c:pt>
                <c:pt idx="28">
                  <c:v>25.59</c:v>
                </c:pt>
                <c:pt idx="29">
                  <c:v>30.57</c:v>
                </c:pt>
                <c:pt idx="30">
                  <c:v>34.76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9-4B49-9243-B9DBC171FAD3}"/>
            </c:ext>
          </c:extLst>
        </c:ser>
        <c:ser>
          <c:idx val="3"/>
          <c:order val="3"/>
          <c:tx>
            <c:strRef>
              <c:f>'Jan Graph'!$E$3:$E$4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Graph'!$E$5:$E$35</c:f>
              <c:numCache>
                <c:formatCode>General</c:formatCode>
                <c:ptCount val="31"/>
                <c:pt idx="0">
                  <c:v>486.02</c:v>
                </c:pt>
                <c:pt idx="1">
                  <c:v>497.51100000000002</c:v>
                </c:pt>
                <c:pt idx="2">
                  <c:v>647.04</c:v>
                </c:pt>
                <c:pt idx="3">
                  <c:v>584.26</c:v>
                </c:pt>
                <c:pt idx="4">
                  <c:v>629.17999999999995</c:v>
                </c:pt>
                <c:pt idx="5">
                  <c:v>609.33999999999992</c:v>
                </c:pt>
                <c:pt idx="6">
                  <c:v>637.45000000000005</c:v>
                </c:pt>
                <c:pt idx="7">
                  <c:v>754.70999999999992</c:v>
                </c:pt>
                <c:pt idx="8">
                  <c:v>694.07899999999995</c:v>
                </c:pt>
                <c:pt idx="9">
                  <c:v>761.452</c:v>
                </c:pt>
                <c:pt idx="10">
                  <c:v>685.98</c:v>
                </c:pt>
                <c:pt idx="11">
                  <c:v>735.8900000000001</c:v>
                </c:pt>
                <c:pt idx="12">
                  <c:v>596.66</c:v>
                </c:pt>
                <c:pt idx="13">
                  <c:v>526.05999999999995</c:v>
                </c:pt>
                <c:pt idx="14">
                  <c:v>461.62000000000006</c:v>
                </c:pt>
                <c:pt idx="15">
                  <c:v>564.51299999999992</c:v>
                </c:pt>
                <c:pt idx="16">
                  <c:v>681.11099999999999</c:v>
                </c:pt>
                <c:pt idx="17">
                  <c:v>761.06999999999994</c:v>
                </c:pt>
                <c:pt idx="18">
                  <c:v>657.27099999999996</c:v>
                </c:pt>
                <c:pt idx="19">
                  <c:v>679.96</c:v>
                </c:pt>
                <c:pt idx="20">
                  <c:v>675.04200000000003</c:v>
                </c:pt>
                <c:pt idx="21">
                  <c:v>639.80000000000007</c:v>
                </c:pt>
                <c:pt idx="22">
                  <c:v>567.16599999999994</c:v>
                </c:pt>
                <c:pt idx="23">
                  <c:v>605.92999999999995</c:v>
                </c:pt>
                <c:pt idx="24">
                  <c:v>662.06999999999994</c:v>
                </c:pt>
                <c:pt idx="25">
                  <c:v>604.8900000000001</c:v>
                </c:pt>
                <c:pt idx="26">
                  <c:v>508.88599999999997</c:v>
                </c:pt>
                <c:pt idx="27">
                  <c:v>447.79</c:v>
                </c:pt>
                <c:pt idx="28">
                  <c:v>670.09500000000003</c:v>
                </c:pt>
                <c:pt idx="29">
                  <c:v>651.41</c:v>
                </c:pt>
                <c:pt idx="30">
                  <c:v>601.41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9-4B49-9243-B9DBC171FAD3}"/>
            </c:ext>
          </c:extLst>
        </c:ser>
        <c:ser>
          <c:idx val="4"/>
          <c:order val="4"/>
          <c:tx>
            <c:strRef>
              <c:f>'Jan Graph'!$F$3:$F$4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Graph'!$F$5:$F$35</c:f>
              <c:numCache>
                <c:formatCode>General</c:formatCode>
                <c:ptCount val="31"/>
                <c:pt idx="0">
                  <c:v>270.33999999999997</c:v>
                </c:pt>
                <c:pt idx="1">
                  <c:v>364.5</c:v>
                </c:pt>
                <c:pt idx="2">
                  <c:v>538.82000000000005</c:v>
                </c:pt>
                <c:pt idx="3">
                  <c:v>537.36</c:v>
                </c:pt>
                <c:pt idx="4">
                  <c:v>501.22</c:v>
                </c:pt>
                <c:pt idx="5">
                  <c:v>514.70000000000005</c:v>
                </c:pt>
                <c:pt idx="6">
                  <c:v>540.13</c:v>
                </c:pt>
                <c:pt idx="7">
                  <c:v>379.31</c:v>
                </c:pt>
                <c:pt idx="8">
                  <c:v>171.21</c:v>
                </c:pt>
                <c:pt idx="9">
                  <c:v>478.4</c:v>
                </c:pt>
                <c:pt idx="10">
                  <c:v>498.15</c:v>
                </c:pt>
                <c:pt idx="11">
                  <c:v>467.71</c:v>
                </c:pt>
                <c:pt idx="12">
                  <c:v>548.26</c:v>
                </c:pt>
                <c:pt idx="13">
                  <c:v>504.88</c:v>
                </c:pt>
                <c:pt idx="14">
                  <c:v>195.85</c:v>
                </c:pt>
                <c:pt idx="15">
                  <c:v>364.75</c:v>
                </c:pt>
                <c:pt idx="16">
                  <c:v>530.98</c:v>
                </c:pt>
                <c:pt idx="17">
                  <c:v>485.39</c:v>
                </c:pt>
                <c:pt idx="18">
                  <c:v>418.34</c:v>
                </c:pt>
                <c:pt idx="19">
                  <c:v>491.2</c:v>
                </c:pt>
                <c:pt idx="20">
                  <c:v>361.57</c:v>
                </c:pt>
                <c:pt idx="21">
                  <c:v>530.82000000000005</c:v>
                </c:pt>
                <c:pt idx="22">
                  <c:v>161.81</c:v>
                </c:pt>
                <c:pt idx="23">
                  <c:v>509.65</c:v>
                </c:pt>
                <c:pt idx="24">
                  <c:v>495.03</c:v>
                </c:pt>
                <c:pt idx="25">
                  <c:v>528.30999999999995</c:v>
                </c:pt>
                <c:pt idx="26">
                  <c:v>610.86</c:v>
                </c:pt>
                <c:pt idx="27">
                  <c:v>597.49</c:v>
                </c:pt>
                <c:pt idx="28">
                  <c:v>234.19</c:v>
                </c:pt>
                <c:pt idx="29">
                  <c:v>278.01</c:v>
                </c:pt>
                <c:pt idx="30">
                  <c:v>490.85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69-4B49-9243-B9DBC171FAD3}"/>
            </c:ext>
          </c:extLst>
        </c:ser>
        <c:ser>
          <c:idx val="5"/>
          <c:order val="5"/>
          <c:tx>
            <c:strRef>
              <c:f>'Jan Graph'!$G$3:$G$4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Graph'!$G$5:$G$35</c:f>
              <c:numCache>
                <c:formatCode>General</c:formatCode>
                <c:ptCount val="31"/>
                <c:pt idx="0">
                  <c:v>54.51</c:v>
                </c:pt>
                <c:pt idx="1">
                  <c:v>82.17</c:v>
                </c:pt>
                <c:pt idx="2">
                  <c:v>94.68</c:v>
                </c:pt>
                <c:pt idx="3">
                  <c:v>117.02</c:v>
                </c:pt>
                <c:pt idx="4">
                  <c:v>92.01</c:v>
                </c:pt>
                <c:pt idx="5">
                  <c:v>62.3</c:v>
                </c:pt>
                <c:pt idx="6">
                  <c:v>53.98</c:v>
                </c:pt>
                <c:pt idx="7">
                  <c:v>77.649999999999991</c:v>
                </c:pt>
                <c:pt idx="8">
                  <c:v>69.31</c:v>
                </c:pt>
                <c:pt idx="9">
                  <c:v>73.569999999999993</c:v>
                </c:pt>
                <c:pt idx="10">
                  <c:v>86.25</c:v>
                </c:pt>
                <c:pt idx="11">
                  <c:v>90.44</c:v>
                </c:pt>
                <c:pt idx="12">
                  <c:v>62.9</c:v>
                </c:pt>
                <c:pt idx="13">
                  <c:v>39.92</c:v>
                </c:pt>
                <c:pt idx="14">
                  <c:v>41.56</c:v>
                </c:pt>
                <c:pt idx="15">
                  <c:v>50.45</c:v>
                </c:pt>
                <c:pt idx="16">
                  <c:v>58.059999999999995</c:v>
                </c:pt>
                <c:pt idx="17">
                  <c:v>65.67</c:v>
                </c:pt>
                <c:pt idx="18">
                  <c:v>69.709999999999994</c:v>
                </c:pt>
                <c:pt idx="19">
                  <c:v>64.239999999999995</c:v>
                </c:pt>
                <c:pt idx="20">
                  <c:v>46.99</c:v>
                </c:pt>
                <c:pt idx="21">
                  <c:v>19.41</c:v>
                </c:pt>
                <c:pt idx="22">
                  <c:v>44.25</c:v>
                </c:pt>
                <c:pt idx="23">
                  <c:v>64.87</c:v>
                </c:pt>
                <c:pt idx="24">
                  <c:v>93.600000000000009</c:v>
                </c:pt>
                <c:pt idx="25">
                  <c:v>32.450000000000003</c:v>
                </c:pt>
                <c:pt idx="26">
                  <c:v>36.119999999999997</c:v>
                </c:pt>
                <c:pt idx="27">
                  <c:v>34.21</c:v>
                </c:pt>
                <c:pt idx="28">
                  <c:v>45.78</c:v>
                </c:pt>
                <c:pt idx="29">
                  <c:v>36.299999999999997</c:v>
                </c:pt>
                <c:pt idx="30">
                  <c:v>30.72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69-4B49-9243-B9DBC171FAD3}"/>
            </c:ext>
          </c:extLst>
        </c:ser>
        <c:ser>
          <c:idx val="6"/>
          <c:order val="6"/>
          <c:tx>
            <c:strRef>
              <c:f>'Jan Graph'!$H$3:$H$4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Graph'!$H$5:$H$35</c:f>
              <c:numCache>
                <c:formatCode>General</c:formatCode>
                <c:ptCount val="31"/>
                <c:pt idx="0">
                  <c:v>70.739999999999995</c:v>
                </c:pt>
                <c:pt idx="1">
                  <c:v>73.099999999999994</c:v>
                </c:pt>
                <c:pt idx="2">
                  <c:v>114.52000000000001</c:v>
                </c:pt>
                <c:pt idx="3">
                  <c:v>95.97</c:v>
                </c:pt>
                <c:pt idx="4">
                  <c:v>88.919999999999987</c:v>
                </c:pt>
                <c:pt idx="5">
                  <c:v>101</c:v>
                </c:pt>
                <c:pt idx="6">
                  <c:v>78.040000000000006</c:v>
                </c:pt>
                <c:pt idx="7">
                  <c:v>93.800000000000011</c:v>
                </c:pt>
                <c:pt idx="8">
                  <c:v>86.45</c:v>
                </c:pt>
                <c:pt idx="9">
                  <c:v>58.32</c:v>
                </c:pt>
                <c:pt idx="10">
                  <c:v>86.76</c:v>
                </c:pt>
                <c:pt idx="11">
                  <c:v>84.25</c:v>
                </c:pt>
                <c:pt idx="12">
                  <c:v>86.509999999999991</c:v>
                </c:pt>
                <c:pt idx="13">
                  <c:v>63.48</c:v>
                </c:pt>
                <c:pt idx="14">
                  <c:v>73.569999999999993</c:v>
                </c:pt>
                <c:pt idx="15">
                  <c:v>91.14</c:v>
                </c:pt>
                <c:pt idx="16">
                  <c:v>86.580000000000013</c:v>
                </c:pt>
                <c:pt idx="17">
                  <c:v>70.34</c:v>
                </c:pt>
                <c:pt idx="18">
                  <c:v>96.56</c:v>
                </c:pt>
                <c:pt idx="19">
                  <c:v>77.86999999999999</c:v>
                </c:pt>
                <c:pt idx="20">
                  <c:v>81.81</c:v>
                </c:pt>
                <c:pt idx="21">
                  <c:v>81.64</c:v>
                </c:pt>
                <c:pt idx="22">
                  <c:v>75.23</c:v>
                </c:pt>
                <c:pt idx="23">
                  <c:v>48.79</c:v>
                </c:pt>
                <c:pt idx="24">
                  <c:v>121.94</c:v>
                </c:pt>
                <c:pt idx="25">
                  <c:v>107.64999999999999</c:v>
                </c:pt>
                <c:pt idx="26">
                  <c:v>91.28</c:v>
                </c:pt>
                <c:pt idx="27">
                  <c:v>86.85</c:v>
                </c:pt>
                <c:pt idx="28">
                  <c:v>92.4</c:v>
                </c:pt>
                <c:pt idx="29">
                  <c:v>93.190000000000012</c:v>
                </c:pt>
                <c:pt idx="30">
                  <c:v>92.449999999999989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69-4B49-9243-B9DBC171FAD3}"/>
            </c:ext>
          </c:extLst>
        </c:ser>
        <c:ser>
          <c:idx val="7"/>
          <c:order val="7"/>
          <c:tx>
            <c:strRef>
              <c:f>'Jan Graph'!$I$3:$I$4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Graph'!$I$5:$I$35</c:f>
              <c:numCache>
                <c:formatCode>General</c:formatCode>
                <c:ptCount val="31"/>
                <c:pt idx="0">
                  <c:v>13.67</c:v>
                </c:pt>
                <c:pt idx="1">
                  <c:v>14.83</c:v>
                </c:pt>
                <c:pt idx="2">
                  <c:v>8.93</c:v>
                </c:pt>
                <c:pt idx="3">
                  <c:v>24.63</c:v>
                </c:pt>
                <c:pt idx="4">
                  <c:v>21.97</c:v>
                </c:pt>
                <c:pt idx="5">
                  <c:v>17.239999999999998</c:v>
                </c:pt>
                <c:pt idx="6">
                  <c:v>0</c:v>
                </c:pt>
                <c:pt idx="7">
                  <c:v>20.43</c:v>
                </c:pt>
                <c:pt idx="8">
                  <c:v>26.93</c:v>
                </c:pt>
                <c:pt idx="9">
                  <c:v>11.7</c:v>
                </c:pt>
                <c:pt idx="10">
                  <c:v>20.58</c:v>
                </c:pt>
                <c:pt idx="11">
                  <c:v>10.17</c:v>
                </c:pt>
                <c:pt idx="12">
                  <c:v>11</c:v>
                </c:pt>
                <c:pt idx="13">
                  <c:v>8.02</c:v>
                </c:pt>
                <c:pt idx="14">
                  <c:v>0</c:v>
                </c:pt>
                <c:pt idx="15">
                  <c:v>6.36</c:v>
                </c:pt>
                <c:pt idx="16">
                  <c:v>0</c:v>
                </c:pt>
                <c:pt idx="17">
                  <c:v>18.829999999999998</c:v>
                </c:pt>
                <c:pt idx="18">
                  <c:v>13.06</c:v>
                </c:pt>
                <c:pt idx="19">
                  <c:v>7.87</c:v>
                </c:pt>
                <c:pt idx="20">
                  <c:v>0</c:v>
                </c:pt>
                <c:pt idx="21">
                  <c:v>14.03</c:v>
                </c:pt>
                <c:pt idx="22">
                  <c:v>13.11</c:v>
                </c:pt>
                <c:pt idx="23">
                  <c:v>7.73</c:v>
                </c:pt>
                <c:pt idx="24">
                  <c:v>13.66</c:v>
                </c:pt>
                <c:pt idx="25">
                  <c:v>0</c:v>
                </c:pt>
                <c:pt idx="26">
                  <c:v>17.07</c:v>
                </c:pt>
                <c:pt idx="27">
                  <c:v>0</c:v>
                </c:pt>
                <c:pt idx="28">
                  <c:v>19.57</c:v>
                </c:pt>
                <c:pt idx="29">
                  <c:v>22.64</c:v>
                </c:pt>
                <c:pt idx="30">
                  <c:v>12.46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69-4B49-9243-B9DBC171FAD3}"/>
            </c:ext>
          </c:extLst>
        </c:ser>
        <c:ser>
          <c:idx val="8"/>
          <c:order val="8"/>
          <c:tx>
            <c:strRef>
              <c:f>'Jan Graph'!$J$3:$J$4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Graph'!$A$5:$A$35</c:f>
              <c:strCache>
                <c:ptCount val="31"/>
                <c:pt idx="0">
                  <c:v>Sum of 01-01-24</c:v>
                </c:pt>
                <c:pt idx="1">
                  <c:v>Sum of 02-01-24</c:v>
                </c:pt>
                <c:pt idx="2">
                  <c:v>Sum of 03-01-24</c:v>
                </c:pt>
                <c:pt idx="3">
                  <c:v>Sum of 04-01-24</c:v>
                </c:pt>
                <c:pt idx="4">
                  <c:v>Sum of 05-01-24</c:v>
                </c:pt>
                <c:pt idx="5">
                  <c:v>Sum of 06-01-24</c:v>
                </c:pt>
                <c:pt idx="6">
                  <c:v>Sum of 07-01-24</c:v>
                </c:pt>
                <c:pt idx="7">
                  <c:v>Sum of 08-01-24</c:v>
                </c:pt>
                <c:pt idx="8">
                  <c:v>Sum of 09-01-24</c:v>
                </c:pt>
                <c:pt idx="9">
                  <c:v>Sum of 10-01-24</c:v>
                </c:pt>
                <c:pt idx="10">
                  <c:v>Sum of 11-01-24</c:v>
                </c:pt>
                <c:pt idx="11">
                  <c:v>Sum of 12-01-24</c:v>
                </c:pt>
                <c:pt idx="12">
                  <c:v>Sum of 13-01-24</c:v>
                </c:pt>
                <c:pt idx="13">
                  <c:v>Sum of 14-01-24</c:v>
                </c:pt>
                <c:pt idx="14">
                  <c:v>Sum of 15-01-24</c:v>
                </c:pt>
                <c:pt idx="15">
                  <c:v>Sum of 16-01-24</c:v>
                </c:pt>
                <c:pt idx="16">
                  <c:v>Sum of 17-01-24</c:v>
                </c:pt>
                <c:pt idx="17">
                  <c:v>Sum of 18-01-24</c:v>
                </c:pt>
                <c:pt idx="18">
                  <c:v>Sum of 19-01-24</c:v>
                </c:pt>
                <c:pt idx="19">
                  <c:v>Sum of 20-01-24</c:v>
                </c:pt>
                <c:pt idx="20">
                  <c:v>Sum of 21-01-24</c:v>
                </c:pt>
                <c:pt idx="21">
                  <c:v>Sum of 22-01-24</c:v>
                </c:pt>
                <c:pt idx="22">
                  <c:v>Sum of 23-01-24</c:v>
                </c:pt>
                <c:pt idx="23">
                  <c:v>Sum of 24-01-24</c:v>
                </c:pt>
                <c:pt idx="24">
                  <c:v>Sum of 25-01-24</c:v>
                </c:pt>
                <c:pt idx="25">
                  <c:v>Sum of 26-01-24</c:v>
                </c:pt>
                <c:pt idx="26">
                  <c:v>Sum of 27-01-24</c:v>
                </c:pt>
                <c:pt idx="27">
                  <c:v>Sum of 28-01-24</c:v>
                </c:pt>
                <c:pt idx="28">
                  <c:v>Sum of 29-01-24</c:v>
                </c:pt>
                <c:pt idx="29">
                  <c:v>Sum of 30-01-24</c:v>
                </c:pt>
                <c:pt idx="30">
                  <c:v>Sum of 31-01-24</c:v>
                </c:pt>
              </c:strCache>
            </c:strRef>
          </c:cat>
          <c:val>
            <c:numRef>
              <c:f>'Jan Graph'!$J$5:$J$35</c:f>
              <c:numCache>
                <c:formatCode>General</c:formatCode>
                <c:ptCount val="31"/>
                <c:pt idx="9">
                  <c:v>0.78</c:v>
                </c:pt>
                <c:pt idx="10">
                  <c:v>0.39</c:v>
                </c:pt>
                <c:pt idx="11">
                  <c:v>3.7600000000000002</c:v>
                </c:pt>
                <c:pt idx="12">
                  <c:v>1.1399999999999997</c:v>
                </c:pt>
                <c:pt idx="13">
                  <c:v>14.18</c:v>
                </c:pt>
                <c:pt idx="14">
                  <c:v>50.019999999999996</c:v>
                </c:pt>
                <c:pt idx="15">
                  <c:v>79.25</c:v>
                </c:pt>
                <c:pt idx="16">
                  <c:v>140.51</c:v>
                </c:pt>
                <c:pt idx="17">
                  <c:v>100.55</c:v>
                </c:pt>
                <c:pt idx="18">
                  <c:v>144.85</c:v>
                </c:pt>
                <c:pt idx="19">
                  <c:v>139.59</c:v>
                </c:pt>
                <c:pt idx="20">
                  <c:v>66.900000000000006</c:v>
                </c:pt>
                <c:pt idx="21">
                  <c:v>0</c:v>
                </c:pt>
                <c:pt idx="22">
                  <c:v>40.25</c:v>
                </c:pt>
                <c:pt idx="23">
                  <c:v>73.8</c:v>
                </c:pt>
                <c:pt idx="24">
                  <c:v>46.39</c:v>
                </c:pt>
                <c:pt idx="25">
                  <c:v>25.98</c:v>
                </c:pt>
                <c:pt idx="26">
                  <c:v>41.98</c:v>
                </c:pt>
                <c:pt idx="27">
                  <c:v>40.39</c:v>
                </c:pt>
                <c:pt idx="28">
                  <c:v>64.13</c:v>
                </c:pt>
                <c:pt idx="29">
                  <c:v>51.92</c:v>
                </c:pt>
                <c:pt idx="30">
                  <c:v>29.83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69-4B49-9243-B9DBC171F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37960"/>
        <c:axId val="463236392"/>
      </c:barChart>
      <c:catAx>
        <c:axId val="46323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6392"/>
        <c:crosses val="autoZero"/>
        <c:auto val="1"/>
        <c:lblAlgn val="ctr"/>
        <c:lblOffset val="100"/>
        <c:noMultiLvlLbl val="0"/>
      </c:catAx>
      <c:valAx>
        <c:axId val="46323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Consumption.xlsx]Feb graph!PivotTable4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36784"/>
        <c:axId val="463235216"/>
      </c:barChart>
      <c:catAx>
        <c:axId val="46323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5216"/>
        <c:crosses val="autoZero"/>
        <c:auto val="1"/>
        <c:lblAlgn val="ctr"/>
        <c:lblOffset val="100"/>
        <c:noMultiLvlLbl val="0"/>
      </c:catAx>
      <c:valAx>
        <c:axId val="463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Consumption.xlsx]March graph!PivotTable7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90144"/>
        <c:axId val="455288576"/>
      </c:barChart>
      <c:catAx>
        <c:axId val="45529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88576"/>
        <c:crosses val="autoZero"/>
        <c:auto val="1"/>
        <c:lblAlgn val="ctr"/>
        <c:lblOffset val="100"/>
        <c:noMultiLvlLbl val="0"/>
      </c:catAx>
      <c:valAx>
        <c:axId val="4552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Consumption.xlsx]April graph!PivotTable5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'April graph'!$B$1:$B$2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graph'!$B$3:$B$32</c:f>
              <c:numCache>
                <c:formatCode>General</c:formatCode>
                <c:ptCount val="30"/>
                <c:pt idx="0">
                  <c:v>98.53</c:v>
                </c:pt>
                <c:pt idx="1">
                  <c:v>43.57</c:v>
                </c:pt>
                <c:pt idx="2">
                  <c:v>22.46</c:v>
                </c:pt>
                <c:pt idx="3">
                  <c:v>96.35</c:v>
                </c:pt>
                <c:pt idx="4">
                  <c:v>113.97999999999999</c:v>
                </c:pt>
                <c:pt idx="5">
                  <c:v>115.45</c:v>
                </c:pt>
                <c:pt idx="6">
                  <c:v>52.68</c:v>
                </c:pt>
                <c:pt idx="7">
                  <c:v>77.900000000000006</c:v>
                </c:pt>
                <c:pt idx="8">
                  <c:v>83.99</c:v>
                </c:pt>
                <c:pt idx="9">
                  <c:v>93.43</c:v>
                </c:pt>
                <c:pt idx="10">
                  <c:v>96.23</c:v>
                </c:pt>
                <c:pt idx="11">
                  <c:v>136.57</c:v>
                </c:pt>
                <c:pt idx="12">
                  <c:v>115.01</c:v>
                </c:pt>
                <c:pt idx="13">
                  <c:v>102.78</c:v>
                </c:pt>
                <c:pt idx="14">
                  <c:v>110.89</c:v>
                </c:pt>
                <c:pt idx="15">
                  <c:v>73.12</c:v>
                </c:pt>
                <c:pt idx="16">
                  <c:v>18.02</c:v>
                </c:pt>
                <c:pt idx="17">
                  <c:v>75.350000000000009</c:v>
                </c:pt>
                <c:pt idx="18">
                  <c:v>108.63</c:v>
                </c:pt>
                <c:pt idx="19">
                  <c:v>151.77000000000001</c:v>
                </c:pt>
                <c:pt idx="20">
                  <c:v>90.32</c:v>
                </c:pt>
                <c:pt idx="21">
                  <c:v>78.61</c:v>
                </c:pt>
                <c:pt idx="22">
                  <c:v>114.15</c:v>
                </c:pt>
                <c:pt idx="23">
                  <c:v>115.66</c:v>
                </c:pt>
                <c:pt idx="24">
                  <c:v>53.29</c:v>
                </c:pt>
                <c:pt idx="25">
                  <c:v>63.12</c:v>
                </c:pt>
                <c:pt idx="26">
                  <c:v>110.36</c:v>
                </c:pt>
                <c:pt idx="27">
                  <c:v>99.35</c:v>
                </c:pt>
                <c:pt idx="28">
                  <c:v>98.85</c:v>
                </c:pt>
                <c:pt idx="29">
                  <c:v>88.54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4-4A41-BCEA-0688EF912C58}"/>
            </c:ext>
          </c:extLst>
        </c:ser>
        <c:ser>
          <c:idx val="1"/>
          <c:order val="1"/>
          <c:tx>
            <c:strRef>
              <c:f>'April graph'!$C$1:$C$2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graph'!$C$3:$C$32</c:f>
              <c:numCache>
                <c:formatCode>General</c:formatCode>
                <c:ptCount val="30"/>
                <c:pt idx="0">
                  <c:v>541.17000000000007</c:v>
                </c:pt>
                <c:pt idx="1">
                  <c:v>442.91999999999996</c:v>
                </c:pt>
                <c:pt idx="2">
                  <c:v>558.89</c:v>
                </c:pt>
                <c:pt idx="3">
                  <c:v>541.34</c:v>
                </c:pt>
                <c:pt idx="4">
                  <c:v>547.18999999999994</c:v>
                </c:pt>
                <c:pt idx="5">
                  <c:v>570.02</c:v>
                </c:pt>
                <c:pt idx="6">
                  <c:v>677.39</c:v>
                </c:pt>
                <c:pt idx="7">
                  <c:v>614.83999999999992</c:v>
                </c:pt>
                <c:pt idx="8">
                  <c:v>569.84</c:v>
                </c:pt>
                <c:pt idx="9">
                  <c:v>382.47</c:v>
                </c:pt>
                <c:pt idx="10">
                  <c:v>468.86999999999995</c:v>
                </c:pt>
                <c:pt idx="11">
                  <c:v>471.78</c:v>
                </c:pt>
                <c:pt idx="12">
                  <c:v>503.54</c:v>
                </c:pt>
                <c:pt idx="13">
                  <c:v>508.65000000000003</c:v>
                </c:pt>
                <c:pt idx="14">
                  <c:v>426.60999999999996</c:v>
                </c:pt>
                <c:pt idx="15">
                  <c:v>644.38</c:v>
                </c:pt>
                <c:pt idx="16">
                  <c:v>451.09999999999997</c:v>
                </c:pt>
                <c:pt idx="17">
                  <c:v>440.82</c:v>
                </c:pt>
                <c:pt idx="18">
                  <c:v>480.54</c:v>
                </c:pt>
                <c:pt idx="19">
                  <c:v>431.84999999999997</c:v>
                </c:pt>
                <c:pt idx="20">
                  <c:v>416.53999999999996</c:v>
                </c:pt>
                <c:pt idx="21">
                  <c:v>482.72999999999996</c:v>
                </c:pt>
                <c:pt idx="22">
                  <c:v>385.04</c:v>
                </c:pt>
                <c:pt idx="23">
                  <c:v>408.37999999999994</c:v>
                </c:pt>
                <c:pt idx="24">
                  <c:v>389.93</c:v>
                </c:pt>
                <c:pt idx="25">
                  <c:v>248.00999999999996</c:v>
                </c:pt>
                <c:pt idx="26">
                  <c:v>275.34000000000003</c:v>
                </c:pt>
                <c:pt idx="27">
                  <c:v>448.18000000000006</c:v>
                </c:pt>
                <c:pt idx="28">
                  <c:v>504.03</c:v>
                </c:pt>
                <c:pt idx="29">
                  <c:v>505.15000000000003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04-4A41-BCEA-0688EF912C58}"/>
            </c:ext>
          </c:extLst>
        </c:ser>
        <c:ser>
          <c:idx val="2"/>
          <c:order val="2"/>
          <c:tx>
            <c:strRef>
              <c:f>'April graph'!$D$1:$D$2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graph'!$D$3:$D$32</c:f>
              <c:numCache>
                <c:formatCode>General</c:formatCode>
                <c:ptCount val="30"/>
                <c:pt idx="0">
                  <c:v>244.72000000000003</c:v>
                </c:pt>
                <c:pt idx="1">
                  <c:v>330.54699999999997</c:v>
                </c:pt>
                <c:pt idx="2">
                  <c:v>319.09100000000001</c:v>
                </c:pt>
                <c:pt idx="3">
                  <c:v>319.53899999999999</c:v>
                </c:pt>
                <c:pt idx="4">
                  <c:v>315.14600000000007</c:v>
                </c:pt>
                <c:pt idx="5">
                  <c:v>234.27999999999997</c:v>
                </c:pt>
                <c:pt idx="6">
                  <c:v>174.68</c:v>
                </c:pt>
                <c:pt idx="7">
                  <c:v>271.57300000000004</c:v>
                </c:pt>
                <c:pt idx="8">
                  <c:v>250.78000000000003</c:v>
                </c:pt>
                <c:pt idx="9">
                  <c:v>266.15999999999997</c:v>
                </c:pt>
                <c:pt idx="10">
                  <c:v>172.584</c:v>
                </c:pt>
                <c:pt idx="11">
                  <c:v>220.58</c:v>
                </c:pt>
                <c:pt idx="12">
                  <c:v>161.07399999999998</c:v>
                </c:pt>
                <c:pt idx="13">
                  <c:v>185.16999999999996</c:v>
                </c:pt>
                <c:pt idx="14">
                  <c:v>204.59999999999997</c:v>
                </c:pt>
                <c:pt idx="15">
                  <c:v>275.31000000000006</c:v>
                </c:pt>
                <c:pt idx="16">
                  <c:v>164.08</c:v>
                </c:pt>
                <c:pt idx="17">
                  <c:v>213.22000000000003</c:v>
                </c:pt>
                <c:pt idx="18">
                  <c:v>275.79900000000009</c:v>
                </c:pt>
                <c:pt idx="19">
                  <c:v>263.20000000000005</c:v>
                </c:pt>
                <c:pt idx="20">
                  <c:v>161.24</c:v>
                </c:pt>
                <c:pt idx="21">
                  <c:v>240.18899999999999</c:v>
                </c:pt>
                <c:pt idx="22">
                  <c:v>176.47000000000003</c:v>
                </c:pt>
                <c:pt idx="23">
                  <c:v>253.10499999999999</c:v>
                </c:pt>
                <c:pt idx="24">
                  <c:v>221.845</c:v>
                </c:pt>
                <c:pt idx="25">
                  <c:v>279.04699999999997</c:v>
                </c:pt>
                <c:pt idx="26">
                  <c:v>203.43</c:v>
                </c:pt>
                <c:pt idx="27">
                  <c:v>177.24999999999997</c:v>
                </c:pt>
                <c:pt idx="28">
                  <c:v>311.56200000000001</c:v>
                </c:pt>
                <c:pt idx="29">
                  <c:v>273.48099999999999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04-4A41-BCEA-0688EF912C58}"/>
            </c:ext>
          </c:extLst>
        </c:ser>
        <c:ser>
          <c:idx val="3"/>
          <c:order val="3"/>
          <c:tx>
            <c:strRef>
              <c:f>'April graph'!$E$1:$E$2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graph'!$E$3:$E$32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04-4A41-BCEA-0688EF912C58}"/>
            </c:ext>
          </c:extLst>
        </c:ser>
        <c:ser>
          <c:idx val="4"/>
          <c:order val="4"/>
          <c:tx>
            <c:strRef>
              <c:f>'April graph'!$F$1:$F$2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graph'!$F$3:$F$32</c:f>
              <c:numCache>
                <c:formatCode>General</c:formatCode>
                <c:ptCount val="30"/>
                <c:pt idx="0">
                  <c:v>45.69</c:v>
                </c:pt>
                <c:pt idx="1">
                  <c:v>35.26</c:v>
                </c:pt>
                <c:pt idx="2">
                  <c:v>31.73</c:v>
                </c:pt>
                <c:pt idx="3">
                  <c:v>52.17</c:v>
                </c:pt>
                <c:pt idx="4">
                  <c:v>35.85</c:v>
                </c:pt>
                <c:pt idx="5">
                  <c:v>38.01</c:v>
                </c:pt>
                <c:pt idx="6">
                  <c:v>45.15</c:v>
                </c:pt>
                <c:pt idx="7">
                  <c:v>52.23</c:v>
                </c:pt>
                <c:pt idx="8">
                  <c:v>34.76</c:v>
                </c:pt>
                <c:pt idx="9">
                  <c:v>37.53</c:v>
                </c:pt>
                <c:pt idx="10">
                  <c:v>34.39</c:v>
                </c:pt>
                <c:pt idx="11">
                  <c:v>39.57</c:v>
                </c:pt>
                <c:pt idx="12">
                  <c:v>33.229999999999997</c:v>
                </c:pt>
                <c:pt idx="13">
                  <c:v>48.82</c:v>
                </c:pt>
                <c:pt idx="14">
                  <c:v>32.409999999999997</c:v>
                </c:pt>
                <c:pt idx="15">
                  <c:v>27.82</c:v>
                </c:pt>
                <c:pt idx="16">
                  <c:v>57.34</c:v>
                </c:pt>
                <c:pt idx="17">
                  <c:v>28.01</c:v>
                </c:pt>
                <c:pt idx="18">
                  <c:v>44.88</c:v>
                </c:pt>
                <c:pt idx="19">
                  <c:v>37.479999999999997</c:v>
                </c:pt>
                <c:pt idx="20">
                  <c:v>36.72</c:v>
                </c:pt>
                <c:pt idx="21">
                  <c:v>49.56</c:v>
                </c:pt>
                <c:pt idx="22">
                  <c:v>53.71</c:v>
                </c:pt>
                <c:pt idx="23">
                  <c:v>30.88</c:v>
                </c:pt>
                <c:pt idx="24">
                  <c:v>43.36</c:v>
                </c:pt>
                <c:pt idx="25">
                  <c:v>39.630000000000003</c:v>
                </c:pt>
                <c:pt idx="26">
                  <c:v>38.299999999999997</c:v>
                </c:pt>
                <c:pt idx="27">
                  <c:v>28.77</c:v>
                </c:pt>
                <c:pt idx="28">
                  <c:v>61.46</c:v>
                </c:pt>
                <c:pt idx="29">
                  <c:v>52.85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04-4A41-BCEA-0688EF912C58}"/>
            </c:ext>
          </c:extLst>
        </c:ser>
        <c:ser>
          <c:idx val="5"/>
          <c:order val="5"/>
          <c:tx>
            <c:strRef>
              <c:f>'April graph'!$G$1:$G$2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graph'!$G$3:$G$32</c:f>
              <c:numCache>
                <c:formatCode>General</c:formatCode>
                <c:ptCount val="30"/>
                <c:pt idx="0">
                  <c:v>609.67999999999995</c:v>
                </c:pt>
                <c:pt idx="1">
                  <c:v>727.6099999999999</c:v>
                </c:pt>
                <c:pt idx="2">
                  <c:v>664.66</c:v>
                </c:pt>
                <c:pt idx="3">
                  <c:v>653.89</c:v>
                </c:pt>
                <c:pt idx="4">
                  <c:v>737.07999999999993</c:v>
                </c:pt>
                <c:pt idx="5">
                  <c:v>928.2</c:v>
                </c:pt>
                <c:pt idx="6">
                  <c:v>806.3</c:v>
                </c:pt>
                <c:pt idx="7">
                  <c:v>926</c:v>
                </c:pt>
                <c:pt idx="8">
                  <c:v>844.31</c:v>
                </c:pt>
                <c:pt idx="9">
                  <c:v>792.80000000000007</c:v>
                </c:pt>
                <c:pt idx="10">
                  <c:v>802.57</c:v>
                </c:pt>
                <c:pt idx="11">
                  <c:v>910.74</c:v>
                </c:pt>
                <c:pt idx="12">
                  <c:v>883.61000000000013</c:v>
                </c:pt>
                <c:pt idx="13">
                  <c:v>920.79000000000008</c:v>
                </c:pt>
                <c:pt idx="14">
                  <c:v>929.18999999999994</c:v>
                </c:pt>
                <c:pt idx="15">
                  <c:v>914.68999999999983</c:v>
                </c:pt>
                <c:pt idx="16">
                  <c:v>922.90000000000009</c:v>
                </c:pt>
                <c:pt idx="17">
                  <c:v>1058.6199999999999</c:v>
                </c:pt>
                <c:pt idx="18">
                  <c:v>1138.6999999999998</c:v>
                </c:pt>
                <c:pt idx="19">
                  <c:v>1095.8100000000002</c:v>
                </c:pt>
                <c:pt idx="20">
                  <c:v>986.03000000000009</c:v>
                </c:pt>
                <c:pt idx="21">
                  <c:v>1123.76</c:v>
                </c:pt>
                <c:pt idx="22">
                  <c:v>1078.06</c:v>
                </c:pt>
                <c:pt idx="23">
                  <c:v>1063.4399999999998</c:v>
                </c:pt>
                <c:pt idx="24">
                  <c:v>1038.3399999999999</c:v>
                </c:pt>
                <c:pt idx="25">
                  <c:v>1062.3800000000001</c:v>
                </c:pt>
                <c:pt idx="26">
                  <c:v>1049.67</c:v>
                </c:pt>
                <c:pt idx="27">
                  <c:v>880.85000000000014</c:v>
                </c:pt>
                <c:pt idx="28">
                  <c:v>1071.6500000000001</c:v>
                </c:pt>
                <c:pt idx="29">
                  <c:v>1068.5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04-4A41-BCEA-0688EF912C58}"/>
            </c:ext>
          </c:extLst>
        </c:ser>
        <c:ser>
          <c:idx val="6"/>
          <c:order val="6"/>
          <c:tx>
            <c:strRef>
              <c:f>'April graph'!$H$1:$H$2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graph'!$H$3:$H$32</c:f>
              <c:numCache>
                <c:formatCode>General</c:formatCode>
                <c:ptCount val="30"/>
                <c:pt idx="0">
                  <c:v>187.15</c:v>
                </c:pt>
                <c:pt idx="1">
                  <c:v>264.02999999999997</c:v>
                </c:pt>
                <c:pt idx="2">
                  <c:v>309.14999999999998</c:v>
                </c:pt>
                <c:pt idx="3">
                  <c:v>238.86</c:v>
                </c:pt>
                <c:pt idx="4">
                  <c:v>241.89</c:v>
                </c:pt>
                <c:pt idx="5">
                  <c:v>281.08</c:v>
                </c:pt>
                <c:pt idx="6">
                  <c:v>340.89</c:v>
                </c:pt>
                <c:pt idx="7">
                  <c:v>165.75</c:v>
                </c:pt>
                <c:pt idx="8">
                  <c:v>145.07</c:v>
                </c:pt>
                <c:pt idx="9">
                  <c:v>272.7</c:v>
                </c:pt>
                <c:pt idx="10">
                  <c:v>310.39999999999998</c:v>
                </c:pt>
                <c:pt idx="11">
                  <c:v>316.13</c:v>
                </c:pt>
                <c:pt idx="12">
                  <c:v>363.25</c:v>
                </c:pt>
                <c:pt idx="13">
                  <c:v>416.82</c:v>
                </c:pt>
                <c:pt idx="14">
                  <c:v>197.2</c:v>
                </c:pt>
                <c:pt idx="15">
                  <c:v>179</c:v>
                </c:pt>
                <c:pt idx="16">
                  <c:v>177.66</c:v>
                </c:pt>
                <c:pt idx="17">
                  <c:v>166.07</c:v>
                </c:pt>
                <c:pt idx="18">
                  <c:v>171.64</c:v>
                </c:pt>
                <c:pt idx="19">
                  <c:v>182.14</c:v>
                </c:pt>
                <c:pt idx="20">
                  <c:v>191.9</c:v>
                </c:pt>
                <c:pt idx="21">
                  <c:v>192.7</c:v>
                </c:pt>
                <c:pt idx="22">
                  <c:v>103.03</c:v>
                </c:pt>
                <c:pt idx="23">
                  <c:v>197.64</c:v>
                </c:pt>
                <c:pt idx="24">
                  <c:v>175.68</c:v>
                </c:pt>
                <c:pt idx="25">
                  <c:v>209.57</c:v>
                </c:pt>
                <c:pt idx="26">
                  <c:v>211.78</c:v>
                </c:pt>
                <c:pt idx="27">
                  <c:v>390.9</c:v>
                </c:pt>
                <c:pt idx="28">
                  <c:v>195.68</c:v>
                </c:pt>
                <c:pt idx="29">
                  <c:v>174.04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04-4A41-BCEA-0688EF912C58}"/>
            </c:ext>
          </c:extLst>
        </c:ser>
        <c:ser>
          <c:idx val="7"/>
          <c:order val="7"/>
          <c:tx>
            <c:strRef>
              <c:f>'April graph'!$I$1:$I$2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graph'!$I$3:$I$32</c:f>
              <c:numCache>
                <c:formatCode>General</c:formatCode>
                <c:ptCount val="30"/>
                <c:pt idx="0">
                  <c:v>64.94</c:v>
                </c:pt>
                <c:pt idx="1">
                  <c:v>101.47</c:v>
                </c:pt>
                <c:pt idx="2">
                  <c:v>92.97</c:v>
                </c:pt>
                <c:pt idx="3">
                  <c:v>84.4</c:v>
                </c:pt>
                <c:pt idx="4">
                  <c:v>90.62</c:v>
                </c:pt>
                <c:pt idx="5">
                  <c:v>81.59</c:v>
                </c:pt>
                <c:pt idx="6">
                  <c:v>52.81</c:v>
                </c:pt>
                <c:pt idx="7">
                  <c:v>61.11</c:v>
                </c:pt>
                <c:pt idx="8">
                  <c:v>64.72</c:v>
                </c:pt>
                <c:pt idx="9">
                  <c:v>81.510000000000005</c:v>
                </c:pt>
                <c:pt idx="10">
                  <c:v>52.38</c:v>
                </c:pt>
                <c:pt idx="11">
                  <c:v>36.770000000000003</c:v>
                </c:pt>
                <c:pt idx="12">
                  <c:v>64.05</c:v>
                </c:pt>
                <c:pt idx="13">
                  <c:v>50.63</c:v>
                </c:pt>
                <c:pt idx="14">
                  <c:v>56.89</c:v>
                </c:pt>
                <c:pt idx="15">
                  <c:v>77.75</c:v>
                </c:pt>
                <c:pt idx="16">
                  <c:v>79.06</c:v>
                </c:pt>
                <c:pt idx="17">
                  <c:v>82.58</c:v>
                </c:pt>
                <c:pt idx="18">
                  <c:v>34.9</c:v>
                </c:pt>
                <c:pt idx="19">
                  <c:v>42.64</c:v>
                </c:pt>
                <c:pt idx="20">
                  <c:v>44.78</c:v>
                </c:pt>
                <c:pt idx="21">
                  <c:v>52.28</c:v>
                </c:pt>
                <c:pt idx="22">
                  <c:v>63.29</c:v>
                </c:pt>
                <c:pt idx="23">
                  <c:v>77.790000000000006</c:v>
                </c:pt>
                <c:pt idx="24">
                  <c:v>81.209999999999994</c:v>
                </c:pt>
                <c:pt idx="25">
                  <c:v>76.83</c:v>
                </c:pt>
                <c:pt idx="26">
                  <c:v>77.98</c:v>
                </c:pt>
                <c:pt idx="27">
                  <c:v>34.35</c:v>
                </c:pt>
                <c:pt idx="28">
                  <c:v>47.95</c:v>
                </c:pt>
                <c:pt idx="29">
                  <c:v>71.42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04-4A41-BCEA-0688EF912C58}"/>
            </c:ext>
          </c:extLst>
        </c:ser>
        <c:ser>
          <c:idx val="8"/>
          <c:order val="8"/>
          <c:tx>
            <c:strRef>
              <c:f>'April graph'!$J$1:$J$2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graph'!$J$3:$J$32</c:f>
              <c:numCache>
                <c:formatCode>General</c:formatCode>
                <c:ptCount val="30"/>
                <c:pt idx="0">
                  <c:v>27.97</c:v>
                </c:pt>
                <c:pt idx="1">
                  <c:v>22.16</c:v>
                </c:pt>
                <c:pt idx="2">
                  <c:v>26.97</c:v>
                </c:pt>
                <c:pt idx="3">
                  <c:v>23.7</c:v>
                </c:pt>
                <c:pt idx="4">
                  <c:v>28.46</c:v>
                </c:pt>
                <c:pt idx="5">
                  <c:v>27.64</c:v>
                </c:pt>
                <c:pt idx="6">
                  <c:v>19.32</c:v>
                </c:pt>
                <c:pt idx="7">
                  <c:v>20.34</c:v>
                </c:pt>
                <c:pt idx="8">
                  <c:v>28.05</c:v>
                </c:pt>
                <c:pt idx="9">
                  <c:v>32.11</c:v>
                </c:pt>
                <c:pt idx="10">
                  <c:v>23.8</c:v>
                </c:pt>
                <c:pt idx="11">
                  <c:v>30.58</c:v>
                </c:pt>
                <c:pt idx="12">
                  <c:v>32.99</c:v>
                </c:pt>
                <c:pt idx="13">
                  <c:v>22.51</c:v>
                </c:pt>
                <c:pt idx="14">
                  <c:v>32.86</c:v>
                </c:pt>
                <c:pt idx="15">
                  <c:v>39.39</c:v>
                </c:pt>
                <c:pt idx="16">
                  <c:v>19.28</c:v>
                </c:pt>
                <c:pt idx="17">
                  <c:v>29.57</c:v>
                </c:pt>
                <c:pt idx="18">
                  <c:v>39.56</c:v>
                </c:pt>
                <c:pt idx="19">
                  <c:v>33.03</c:v>
                </c:pt>
                <c:pt idx="20">
                  <c:v>28.64</c:v>
                </c:pt>
                <c:pt idx="21">
                  <c:v>19.690000000000001</c:v>
                </c:pt>
                <c:pt idx="22">
                  <c:v>23.19</c:v>
                </c:pt>
                <c:pt idx="23">
                  <c:v>23.8</c:v>
                </c:pt>
                <c:pt idx="24">
                  <c:v>8.31</c:v>
                </c:pt>
                <c:pt idx="25">
                  <c:v>11.05</c:v>
                </c:pt>
                <c:pt idx="26">
                  <c:v>28.04</c:v>
                </c:pt>
                <c:pt idx="27">
                  <c:v>18.23</c:v>
                </c:pt>
                <c:pt idx="28">
                  <c:v>26.9</c:v>
                </c:pt>
                <c:pt idx="29">
                  <c:v>21.46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04-4A41-BCEA-0688EF912C58}"/>
            </c:ext>
          </c:extLst>
        </c:ser>
        <c:ser>
          <c:idx val="9"/>
          <c:order val="9"/>
          <c:tx>
            <c:strRef>
              <c:f>'April graph'!$K$1:$K$2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7D04-4A41-BCEA-0688EF912C58}"/>
              </c:ext>
            </c:extLst>
          </c:dPt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D04-4A41-BCEA-0688EF912C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graph'!$K$3:$K$32</c:f>
              <c:numCache>
                <c:formatCode>General</c:formatCode>
                <c:ptCount val="30"/>
                <c:pt idx="0">
                  <c:v>61.36</c:v>
                </c:pt>
                <c:pt idx="1">
                  <c:v>25.37</c:v>
                </c:pt>
                <c:pt idx="2">
                  <c:v>24.34</c:v>
                </c:pt>
                <c:pt idx="3">
                  <c:v>32.82</c:v>
                </c:pt>
                <c:pt idx="4">
                  <c:v>34.130000000000003</c:v>
                </c:pt>
                <c:pt idx="5">
                  <c:v>6.51</c:v>
                </c:pt>
                <c:pt idx="6">
                  <c:v>44.5</c:v>
                </c:pt>
                <c:pt idx="7">
                  <c:v>36.07</c:v>
                </c:pt>
                <c:pt idx="8">
                  <c:v>40.270000000000003</c:v>
                </c:pt>
                <c:pt idx="9">
                  <c:v>16.53</c:v>
                </c:pt>
                <c:pt idx="10">
                  <c:v>38.69</c:v>
                </c:pt>
                <c:pt idx="11">
                  <c:v>18.05</c:v>
                </c:pt>
                <c:pt idx="12">
                  <c:v>25.17</c:v>
                </c:pt>
                <c:pt idx="13">
                  <c:v>31.23</c:v>
                </c:pt>
                <c:pt idx="14">
                  <c:v>16.64</c:v>
                </c:pt>
                <c:pt idx="15">
                  <c:v>32.340000000000003</c:v>
                </c:pt>
                <c:pt idx="16">
                  <c:v>0.4</c:v>
                </c:pt>
                <c:pt idx="17">
                  <c:v>41.78</c:v>
                </c:pt>
                <c:pt idx="18">
                  <c:v>25.29</c:v>
                </c:pt>
                <c:pt idx="19">
                  <c:v>16.079999999999998</c:v>
                </c:pt>
                <c:pt idx="20">
                  <c:v>22.35</c:v>
                </c:pt>
                <c:pt idx="21">
                  <c:v>17.64</c:v>
                </c:pt>
                <c:pt idx="22">
                  <c:v>17.54</c:v>
                </c:pt>
                <c:pt idx="23">
                  <c:v>19.71</c:v>
                </c:pt>
                <c:pt idx="24">
                  <c:v>22.14</c:v>
                </c:pt>
                <c:pt idx="25">
                  <c:v>19.46</c:v>
                </c:pt>
                <c:pt idx="26">
                  <c:v>22.52</c:v>
                </c:pt>
                <c:pt idx="27">
                  <c:v>23.58</c:v>
                </c:pt>
                <c:pt idx="28">
                  <c:v>23.61</c:v>
                </c:pt>
                <c:pt idx="29">
                  <c:v>20.9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04-4A41-BCEA-0688EF912C58}"/>
            </c:ext>
          </c:extLst>
        </c:ser>
        <c:ser>
          <c:idx val="10"/>
          <c:order val="10"/>
          <c:tx>
            <c:strRef>
              <c:f>'April graph'!$L$1:$L$2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graph'!$L$3:$L$32</c:f>
              <c:numCache>
                <c:formatCode>General</c:formatCode>
                <c:ptCount val="30"/>
                <c:pt idx="0">
                  <c:v>119.54</c:v>
                </c:pt>
                <c:pt idx="1">
                  <c:v>109.32</c:v>
                </c:pt>
                <c:pt idx="2">
                  <c:v>99.35</c:v>
                </c:pt>
                <c:pt idx="3">
                  <c:v>113.92999999999999</c:v>
                </c:pt>
                <c:pt idx="4">
                  <c:v>123.17</c:v>
                </c:pt>
                <c:pt idx="5">
                  <c:v>102.89</c:v>
                </c:pt>
                <c:pt idx="6">
                  <c:v>99.72</c:v>
                </c:pt>
                <c:pt idx="7">
                  <c:v>79.81</c:v>
                </c:pt>
                <c:pt idx="8">
                  <c:v>122.78</c:v>
                </c:pt>
                <c:pt idx="9">
                  <c:v>75.73</c:v>
                </c:pt>
                <c:pt idx="10">
                  <c:v>122.72</c:v>
                </c:pt>
                <c:pt idx="11">
                  <c:v>106.52</c:v>
                </c:pt>
                <c:pt idx="12">
                  <c:v>98.77</c:v>
                </c:pt>
                <c:pt idx="13">
                  <c:v>112.49</c:v>
                </c:pt>
                <c:pt idx="14">
                  <c:v>104.16</c:v>
                </c:pt>
                <c:pt idx="15">
                  <c:v>67.89</c:v>
                </c:pt>
                <c:pt idx="16">
                  <c:v>97.77000000000001</c:v>
                </c:pt>
                <c:pt idx="17">
                  <c:v>105.82</c:v>
                </c:pt>
                <c:pt idx="18">
                  <c:v>114.84</c:v>
                </c:pt>
                <c:pt idx="19">
                  <c:v>87.08</c:v>
                </c:pt>
                <c:pt idx="20">
                  <c:v>80.900000000000006</c:v>
                </c:pt>
                <c:pt idx="21">
                  <c:v>101.43</c:v>
                </c:pt>
                <c:pt idx="22">
                  <c:v>109.23</c:v>
                </c:pt>
                <c:pt idx="23">
                  <c:v>104.85</c:v>
                </c:pt>
                <c:pt idx="24">
                  <c:v>122.77</c:v>
                </c:pt>
                <c:pt idx="25">
                  <c:v>103.78</c:v>
                </c:pt>
                <c:pt idx="26">
                  <c:v>94.18</c:v>
                </c:pt>
                <c:pt idx="27">
                  <c:v>103.94</c:v>
                </c:pt>
                <c:pt idx="28">
                  <c:v>111.74000000000001</c:v>
                </c:pt>
                <c:pt idx="29">
                  <c:v>109.55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04-4A41-BCEA-0688EF912C58}"/>
            </c:ext>
          </c:extLst>
        </c:ser>
        <c:ser>
          <c:idx val="11"/>
          <c:order val="11"/>
          <c:tx>
            <c:strRef>
              <c:f>'April graph'!$M$1:$M$2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2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D04-4A41-BCEA-0688EF912C58}"/>
              </c:ext>
            </c:extLst>
          </c:dPt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D04-4A41-BCEA-0688EF912C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'April graph'!$A$3:$A$32</c:f>
              <c:strCache>
                <c:ptCount val="30"/>
                <c:pt idx="0">
                  <c:v>Sum of 01-04-24</c:v>
                </c:pt>
                <c:pt idx="1">
                  <c:v>Sum of 02-04-24</c:v>
                </c:pt>
                <c:pt idx="2">
                  <c:v>Sum of 03-04-24</c:v>
                </c:pt>
                <c:pt idx="3">
                  <c:v>Sum of 04-04-24</c:v>
                </c:pt>
                <c:pt idx="4">
                  <c:v>Sum of 05-04-24</c:v>
                </c:pt>
                <c:pt idx="5">
                  <c:v>Sum of 06-04-24</c:v>
                </c:pt>
                <c:pt idx="6">
                  <c:v>Sum of 07-04-24</c:v>
                </c:pt>
                <c:pt idx="7">
                  <c:v>Sum of 08-04-24</c:v>
                </c:pt>
                <c:pt idx="8">
                  <c:v>Sum of 09-04-24</c:v>
                </c:pt>
                <c:pt idx="9">
                  <c:v>Sum of 10-04-24</c:v>
                </c:pt>
                <c:pt idx="10">
                  <c:v>Sum of 11-04-24</c:v>
                </c:pt>
                <c:pt idx="11">
                  <c:v>Sum of 12-04-24</c:v>
                </c:pt>
                <c:pt idx="12">
                  <c:v>Sum of 13-04-24</c:v>
                </c:pt>
                <c:pt idx="13">
                  <c:v>Sum of 14-04-24</c:v>
                </c:pt>
                <c:pt idx="14">
                  <c:v>Sum of 15-04-24</c:v>
                </c:pt>
                <c:pt idx="15">
                  <c:v>Sum of 16-04-24</c:v>
                </c:pt>
                <c:pt idx="16">
                  <c:v>Sum of 17-04-24</c:v>
                </c:pt>
                <c:pt idx="17">
                  <c:v>Sum of 18-04-24</c:v>
                </c:pt>
                <c:pt idx="18">
                  <c:v>Sum of 19-04-24</c:v>
                </c:pt>
                <c:pt idx="19">
                  <c:v>Sum of 20-04-24</c:v>
                </c:pt>
                <c:pt idx="20">
                  <c:v>Sum of 21-04-24</c:v>
                </c:pt>
                <c:pt idx="21">
                  <c:v>Sum of 22-04-24</c:v>
                </c:pt>
                <c:pt idx="22">
                  <c:v>Sum of 23-04-24</c:v>
                </c:pt>
                <c:pt idx="23">
                  <c:v>Sum of 24-04-24</c:v>
                </c:pt>
                <c:pt idx="24">
                  <c:v>Sum of 25-04-24</c:v>
                </c:pt>
                <c:pt idx="25">
                  <c:v>Sum of 26-04-24</c:v>
                </c:pt>
                <c:pt idx="26">
                  <c:v>Sum of 27-04-24</c:v>
                </c:pt>
                <c:pt idx="27">
                  <c:v>Sum of 28-04-24</c:v>
                </c:pt>
                <c:pt idx="28">
                  <c:v>Sum of 29-04-24</c:v>
                </c:pt>
                <c:pt idx="29">
                  <c:v>Sum of 30-04-24</c:v>
                </c:pt>
              </c:strCache>
            </c:strRef>
          </c:cat>
          <c:val>
            <c:numRef>
              <c:f>'April graph'!$M$3:$M$32</c:f>
              <c:numCache>
                <c:formatCode>General</c:formatCode>
                <c:ptCount val="30"/>
                <c:pt idx="0">
                  <c:v>117.88</c:v>
                </c:pt>
                <c:pt idx="1">
                  <c:v>96.56</c:v>
                </c:pt>
                <c:pt idx="2">
                  <c:v>107.73</c:v>
                </c:pt>
                <c:pt idx="3">
                  <c:v>102.48</c:v>
                </c:pt>
                <c:pt idx="4">
                  <c:v>108.64</c:v>
                </c:pt>
                <c:pt idx="5">
                  <c:v>110.29</c:v>
                </c:pt>
                <c:pt idx="6">
                  <c:v>80.790000000000006</c:v>
                </c:pt>
                <c:pt idx="7">
                  <c:v>135.13</c:v>
                </c:pt>
                <c:pt idx="8">
                  <c:v>35.630000000000003</c:v>
                </c:pt>
                <c:pt idx="9">
                  <c:v>79.53</c:v>
                </c:pt>
                <c:pt idx="10">
                  <c:v>90.52000000000001</c:v>
                </c:pt>
                <c:pt idx="11">
                  <c:v>106.83</c:v>
                </c:pt>
                <c:pt idx="12">
                  <c:v>126.96</c:v>
                </c:pt>
                <c:pt idx="13">
                  <c:v>91.37</c:v>
                </c:pt>
                <c:pt idx="14">
                  <c:v>84.050000000000011</c:v>
                </c:pt>
                <c:pt idx="15">
                  <c:v>142.9</c:v>
                </c:pt>
                <c:pt idx="16">
                  <c:v>113.08999999999999</c:v>
                </c:pt>
                <c:pt idx="17">
                  <c:v>102.07000000000001</c:v>
                </c:pt>
                <c:pt idx="18">
                  <c:v>88.94</c:v>
                </c:pt>
                <c:pt idx="19">
                  <c:v>145.58000000000001</c:v>
                </c:pt>
                <c:pt idx="20">
                  <c:v>88.2</c:v>
                </c:pt>
                <c:pt idx="21">
                  <c:v>75.34</c:v>
                </c:pt>
                <c:pt idx="22">
                  <c:v>142.62</c:v>
                </c:pt>
                <c:pt idx="23">
                  <c:v>175.41</c:v>
                </c:pt>
                <c:pt idx="24">
                  <c:v>98.550000000000011</c:v>
                </c:pt>
                <c:pt idx="25">
                  <c:v>114.44</c:v>
                </c:pt>
                <c:pt idx="26">
                  <c:v>121.19</c:v>
                </c:pt>
                <c:pt idx="27">
                  <c:v>101.53</c:v>
                </c:pt>
                <c:pt idx="28">
                  <c:v>89.44</c:v>
                </c:pt>
                <c:pt idx="29">
                  <c:v>179.25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04-4A41-BCEA-0688EF91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90536"/>
        <c:axId val="455290928"/>
      </c:barChart>
      <c:catAx>
        <c:axId val="45529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0928"/>
        <c:crosses val="autoZero"/>
        <c:auto val="1"/>
        <c:lblAlgn val="ctr"/>
        <c:lblOffset val="100"/>
        <c:noMultiLvlLbl val="0"/>
      </c:catAx>
      <c:valAx>
        <c:axId val="4552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Consumption.xlsx]May Graph!PivotTable7</c:name>
    <c:fmtId val="4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Graph'!$B$5:$B$35</c:f>
              <c:numCache>
                <c:formatCode>General</c:formatCode>
                <c:ptCount val="31"/>
                <c:pt idx="0">
                  <c:v>56.81</c:v>
                </c:pt>
                <c:pt idx="1">
                  <c:v>53.44</c:v>
                </c:pt>
                <c:pt idx="2">
                  <c:v>85.51</c:v>
                </c:pt>
                <c:pt idx="3">
                  <c:v>40.35</c:v>
                </c:pt>
                <c:pt idx="4">
                  <c:v>0</c:v>
                </c:pt>
                <c:pt idx="5">
                  <c:v>15.77</c:v>
                </c:pt>
                <c:pt idx="6">
                  <c:v>131.88</c:v>
                </c:pt>
                <c:pt idx="7">
                  <c:v>128.66</c:v>
                </c:pt>
                <c:pt idx="8">
                  <c:v>95.63</c:v>
                </c:pt>
                <c:pt idx="9">
                  <c:v>33.840000000000003</c:v>
                </c:pt>
                <c:pt idx="10">
                  <c:v>74.98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9.19</c:v>
                </c:pt>
                <c:pt idx="20">
                  <c:v>30.78</c:v>
                </c:pt>
                <c:pt idx="21">
                  <c:v>56.71</c:v>
                </c:pt>
                <c:pt idx="22">
                  <c:v>67.17</c:v>
                </c:pt>
                <c:pt idx="23">
                  <c:v>33.590000000000003</c:v>
                </c:pt>
                <c:pt idx="24">
                  <c:v>79.14</c:v>
                </c:pt>
                <c:pt idx="25">
                  <c:v>84.39</c:v>
                </c:pt>
                <c:pt idx="26">
                  <c:v>92.98</c:v>
                </c:pt>
                <c:pt idx="27">
                  <c:v>75.89</c:v>
                </c:pt>
                <c:pt idx="28">
                  <c:v>99.862000000000009</c:v>
                </c:pt>
                <c:pt idx="29">
                  <c:v>72.068999999999988</c:v>
                </c:pt>
                <c:pt idx="30">
                  <c:v>53.724999999999994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6-46E6-B6B4-0BE2103E7E61}"/>
            </c:ext>
          </c:extLst>
        </c:ser>
        <c:ser>
          <c:idx val="1"/>
          <c:order val="1"/>
          <c:tx>
            <c:strRef>
              <c:f>'May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Graph'!$C$5:$C$35</c:f>
              <c:numCache>
                <c:formatCode>General</c:formatCode>
                <c:ptCount val="31"/>
                <c:pt idx="0">
                  <c:v>445.36</c:v>
                </c:pt>
                <c:pt idx="1">
                  <c:v>585.64</c:v>
                </c:pt>
                <c:pt idx="2">
                  <c:v>689.55</c:v>
                </c:pt>
                <c:pt idx="3">
                  <c:v>652.04</c:v>
                </c:pt>
                <c:pt idx="4">
                  <c:v>684.1</c:v>
                </c:pt>
                <c:pt idx="5">
                  <c:v>582.20999999999992</c:v>
                </c:pt>
                <c:pt idx="6">
                  <c:v>680.81999999999994</c:v>
                </c:pt>
                <c:pt idx="7">
                  <c:v>580.84</c:v>
                </c:pt>
                <c:pt idx="8">
                  <c:v>548.29</c:v>
                </c:pt>
                <c:pt idx="9">
                  <c:v>593.91</c:v>
                </c:pt>
                <c:pt idx="10">
                  <c:v>723.79</c:v>
                </c:pt>
                <c:pt idx="11">
                  <c:v>620.97</c:v>
                </c:pt>
                <c:pt idx="12">
                  <c:v>642.25</c:v>
                </c:pt>
                <c:pt idx="13">
                  <c:v>559.79</c:v>
                </c:pt>
                <c:pt idx="14">
                  <c:v>537.08999999999992</c:v>
                </c:pt>
                <c:pt idx="15">
                  <c:v>595.8900000000001</c:v>
                </c:pt>
                <c:pt idx="16">
                  <c:v>563.73</c:v>
                </c:pt>
                <c:pt idx="17">
                  <c:v>564.66</c:v>
                </c:pt>
                <c:pt idx="18">
                  <c:v>615.28</c:v>
                </c:pt>
                <c:pt idx="19">
                  <c:v>590.23</c:v>
                </c:pt>
                <c:pt idx="20">
                  <c:v>577.01</c:v>
                </c:pt>
                <c:pt idx="21">
                  <c:v>551.05000000000007</c:v>
                </c:pt>
                <c:pt idx="22">
                  <c:v>604.68999999999994</c:v>
                </c:pt>
                <c:pt idx="23">
                  <c:v>582.05999999999995</c:v>
                </c:pt>
                <c:pt idx="24">
                  <c:v>584.94000000000005</c:v>
                </c:pt>
                <c:pt idx="25">
                  <c:v>686.63</c:v>
                </c:pt>
                <c:pt idx="26">
                  <c:v>996.79699999999991</c:v>
                </c:pt>
                <c:pt idx="27">
                  <c:v>720.32100000000014</c:v>
                </c:pt>
                <c:pt idx="28">
                  <c:v>446.79800000000012</c:v>
                </c:pt>
                <c:pt idx="29">
                  <c:v>536.952</c:v>
                </c:pt>
                <c:pt idx="30">
                  <c:v>599.08900000000006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6-46E6-B6B4-0BE2103E7E61}"/>
            </c:ext>
          </c:extLst>
        </c:ser>
        <c:ser>
          <c:idx val="2"/>
          <c:order val="2"/>
          <c:tx>
            <c:strRef>
              <c:f>'May Graph'!$D$3:$D$4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Graph'!$D$5:$D$35</c:f>
              <c:numCache>
                <c:formatCode>General</c:formatCode>
                <c:ptCount val="31"/>
                <c:pt idx="0">
                  <c:v>205.24</c:v>
                </c:pt>
                <c:pt idx="1">
                  <c:v>227.03000000000003</c:v>
                </c:pt>
                <c:pt idx="2">
                  <c:v>316.42999999999995</c:v>
                </c:pt>
                <c:pt idx="3">
                  <c:v>206.18</c:v>
                </c:pt>
                <c:pt idx="4">
                  <c:v>171.48</c:v>
                </c:pt>
                <c:pt idx="5">
                  <c:v>208.14</c:v>
                </c:pt>
                <c:pt idx="6">
                  <c:v>267.78999999999996</c:v>
                </c:pt>
                <c:pt idx="7">
                  <c:v>255.9</c:v>
                </c:pt>
                <c:pt idx="8">
                  <c:v>272.08</c:v>
                </c:pt>
                <c:pt idx="9">
                  <c:v>218.06</c:v>
                </c:pt>
                <c:pt idx="10">
                  <c:v>237.95999999999995</c:v>
                </c:pt>
                <c:pt idx="11">
                  <c:v>183.76</c:v>
                </c:pt>
                <c:pt idx="12">
                  <c:v>212.78000000000003</c:v>
                </c:pt>
                <c:pt idx="13">
                  <c:v>304.48000000000008</c:v>
                </c:pt>
                <c:pt idx="14">
                  <c:v>222.78000000000003</c:v>
                </c:pt>
                <c:pt idx="15">
                  <c:v>262.94999999999993</c:v>
                </c:pt>
                <c:pt idx="16">
                  <c:v>297.75</c:v>
                </c:pt>
                <c:pt idx="17">
                  <c:v>240.38</c:v>
                </c:pt>
                <c:pt idx="18">
                  <c:v>167.55</c:v>
                </c:pt>
                <c:pt idx="19">
                  <c:v>221.82999999999998</c:v>
                </c:pt>
                <c:pt idx="20">
                  <c:v>287.51999999999992</c:v>
                </c:pt>
                <c:pt idx="21">
                  <c:v>273</c:v>
                </c:pt>
                <c:pt idx="22">
                  <c:v>205.93999999999997</c:v>
                </c:pt>
                <c:pt idx="23">
                  <c:v>289.81</c:v>
                </c:pt>
                <c:pt idx="24">
                  <c:v>194</c:v>
                </c:pt>
                <c:pt idx="25">
                  <c:v>118.88000000000001</c:v>
                </c:pt>
                <c:pt idx="26">
                  <c:v>281.17900000000003</c:v>
                </c:pt>
                <c:pt idx="27">
                  <c:v>306.88</c:v>
                </c:pt>
                <c:pt idx="28">
                  <c:v>295.37500000000006</c:v>
                </c:pt>
                <c:pt idx="29">
                  <c:v>335.09799999999996</c:v>
                </c:pt>
                <c:pt idx="30">
                  <c:v>294.70999999999998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6-46E6-B6B4-0BE2103E7E61}"/>
            </c:ext>
          </c:extLst>
        </c:ser>
        <c:ser>
          <c:idx val="3"/>
          <c:order val="3"/>
          <c:tx>
            <c:strRef>
              <c:f>'May Graph'!$E$3:$E$4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Graph'!$E$5:$E$35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6-46E6-B6B4-0BE2103E7E61}"/>
            </c:ext>
          </c:extLst>
        </c:ser>
        <c:ser>
          <c:idx val="4"/>
          <c:order val="4"/>
          <c:tx>
            <c:strRef>
              <c:f>'May Graph'!$F$3:$F$4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Graph'!$F$5:$F$35</c:f>
              <c:numCache>
                <c:formatCode>General</c:formatCode>
                <c:ptCount val="31"/>
                <c:pt idx="0">
                  <c:v>25.28</c:v>
                </c:pt>
                <c:pt idx="1">
                  <c:v>36.479999999999997</c:v>
                </c:pt>
                <c:pt idx="2">
                  <c:v>37.119999999999997</c:v>
                </c:pt>
                <c:pt idx="3">
                  <c:v>46.85</c:v>
                </c:pt>
                <c:pt idx="4">
                  <c:v>53.74</c:v>
                </c:pt>
                <c:pt idx="5">
                  <c:v>41.65</c:v>
                </c:pt>
                <c:pt idx="6">
                  <c:v>25.54</c:v>
                </c:pt>
                <c:pt idx="7">
                  <c:v>60.31</c:v>
                </c:pt>
                <c:pt idx="8">
                  <c:v>59.73</c:v>
                </c:pt>
                <c:pt idx="9">
                  <c:v>48.25</c:v>
                </c:pt>
                <c:pt idx="10">
                  <c:v>45.18</c:v>
                </c:pt>
                <c:pt idx="11">
                  <c:v>44.15</c:v>
                </c:pt>
                <c:pt idx="12">
                  <c:v>9.8699999999999992</c:v>
                </c:pt>
                <c:pt idx="13">
                  <c:v>47.49</c:v>
                </c:pt>
                <c:pt idx="14">
                  <c:v>38.24</c:v>
                </c:pt>
                <c:pt idx="15">
                  <c:v>39.96</c:v>
                </c:pt>
                <c:pt idx="16">
                  <c:v>37.79</c:v>
                </c:pt>
                <c:pt idx="17">
                  <c:v>70.95</c:v>
                </c:pt>
                <c:pt idx="18">
                  <c:v>46.78</c:v>
                </c:pt>
                <c:pt idx="19">
                  <c:v>47.13</c:v>
                </c:pt>
                <c:pt idx="20">
                  <c:v>47.08</c:v>
                </c:pt>
                <c:pt idx="21">
                  <c:v>49</c:v>
                </c:pt>
                <c:pt idx="22">
                  <c:v>40.450000000000003</c:v>
                </c:pt>
                <c:pt idx="23">
                  <c:v>41.45</c:v>
                </c:pt>
                <c:pt idx="24">
                  <c:v>38.94</c:v>
                </c:pt>
                <c:pt idx="25">
                  <c:v>34.25</c:v>
                </c:pt>
                <c:pt idx="26">
                  <c:v>34.162999999999997</c:v>
                </c:pt>
                <c:pt idx="27">
                  <c:v>51.056000000000012</c:v>
                </c:pt>
                <c:pt idx="28">
                  <c:v>48.771000000000001</c:v>
                </c:pt>
                <c:pt idx="29">
                  <c:v>24.532</c:v>
                </c:pt>
                <c:pt idx="30">
                  <c:v>32.591999999999999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A6-46E6-B6B4-0BE2103E7E61}"/>
            </c:ext>
          </c:extLst>
        </c:ser>
        <c:ser>
          <c:idx val="5"/>
          <c:order val="5"/>
          <c:tx>
            <c:strRef>
              <c:f>'May Graph'!$G$3:$G$4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Graph'!$G$5:$G$35</c:f>
              <c:numCache>
                <c:formatCode>General</c:formatCode>
                <c:ptCount val="31"/>
                <c:pt idx="0">
                  <c:v>1121.6200000000001</c:v>
                </c:pt>
                <c:pt idx="1">
                  <c:v>1112.08</c:v>
                </c:pt>
                <c:pt idx="2">
                  <c:v>1263.8000000000002</c:v>
                </c:pt>
                <c:pt idx="3">
                  <c:v>1162.2399999999998</c:v>
                </c:pt>
                <c:pt idx="4">
                  <c:v>1168.7</c:v>
                </c:pt>
                <c:pt idx="5">
                  <c:v>1269.53</c:v>
                </c:pt>
                <c:pt idx="6">
                  <c:v>1092.3599999999999</c:v>
                </c:pt>
                <c:pt idx="7">
                  <c:v>1441.15</c:v>
                </c:pt>
                <c:pt idx="8">
                  <c:v>1403.36</c:v>
                </c:pt>
                <c:pt idx="9">
                  <c:v>1160.1400000000001</c:v>
                </c:pt>
                <c:pt idx="10">
                  <c:v>1328.93</c:v>
                </c:pt>
                <c:pt idx="11">
                  <c:v>1117.98</c:v>
                </c:pt>
                <c:pt idx="12">
                  <c:v>912.89</c:v>
                </c:pt>
                <c:pt idx="13">
                  <c:v>758.34999999999991</c:v>
                </c:pt>
                <c:pt idx="14">
                  <c:v>1265.0900000000001</c:v>
                </c:pt>
                <c:pt idx="15">
                  <c:v>1091.45</c:v>
                </c:pt>
                <c:pt idx="16">
                  <c:v>1398.36</c:v>
                </c:pt>
                <c:pt idx="17">
                  <c:v>1179.3499999999999</c:v>
                </c:pt>
                <c:pt idx="18">
                  <c:v>1211.0959999999998</c:v>
                </c:pt>
                <c:pt idx="19">
                  <c:v>1459.5</c:v>
                </c:pt>
                <c:pt idx="20">
                  <c:v>1353.9300000000003</c:v>
                </c:pt>
                <c:pt idx="21">
                  <c:v>1440.02</c:v>
                </c:pt>
                <c:pt idx="22">
                  <c:v>1384.18</c:v>
                </c:pt>
                <c:pt idx="23">
                  <c:v>1565.24</c:v>
                </c:pt>
                <c:pt idx="24">
                  <c:v>1424.3400000000001</c:v>
                </c:pt>
                <c:pt idx="25">
                  <c:v>1230.1100000000001</c:v>
                </c:pt>
                <c:pt idx="26">
                  <c:v>1410.6309999999999</c:v>
                </c:pt>
                <c:pt idx="27">
                  <c:v>1476.8629999999998</c:v>
                </c:pt>
                <c:pt idx="28">
                  <c:v>1506.201</c:v>
                </c:pt>
                <c:pt idx="29">
                  <c:v>1557.9430000000002</c:v>
                </c:pt>
                <c:pt idx="30">
                  <c:v>1454.8899999999996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A6-46E6-B6B4-0BE2103E7E61}"/>
            </c:ext>
          </c:extLst>
        </c:ser>
        <c:ser>
          <c:idx val="6"/>
          <c:order val="6"/>
          <c:tx>
            <c:strRef>
              <c:f>'May Graph'!$H$3:$H$4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Graph'!$H$5:$H$35</c:f>
              <c:numCache>
                <c:formatCode>General</c:formatCode>
                <c:ptCount val="31"/>
                <c:pt idx="0">
                  <c:v>180.24</c:v>
                </c:pt>
                <c:pt idx="1">
                  <c:v>218.83</c:v>
                </c:pt>
                <c:pt idx="2">
                  <c:v>171.16</c:v>
                </c:pt>
                <c:pt idx="3">
                  <c:v>251.78</c:v>
                </c:pt>
                <c:pt idx="4">
                  <c:v>361.17</c:v>
                </c:pt>
                <c:pt idx="5">
                  <c:v>258.5</c:v>
                </c:pt>
                <c:pt idx="6">
                  <c:v>125.07</c:v>
                </c:pt>
                <c:pt idx="7">
                  <c:v>141.03</c:v>
                </c:pt>
                <c:pt idx="8">
                  <c:v>319.42</c:v>
                </c:pt>
                <c:pt idx="9">
                  <c:v>249.84</c:v>
                </c:pt>
                <c:pt idx="10">
                  <c:v>307.58</c:v>
                </c:pt>
                <c:pt idx="11">
                  <c:v>485.45</c:v>
                </c:pt>
                <c:pt idx="12">
                  <c:v>128.13</c:v>
                </c:pt>
                <c:pt idx="13">
                  <c:v>363.58</c:v>
                </c:pt>
                <c:pt idx="14">
                  <c:v>367.01</c:v>
                </c:pt>
                <c:pt idx="15">
                  <c:v>316.85000000000002</c:v>
                </c:pt>
                <c:pt idx="16">
                  <c:v>354.09</c:v>
                </c:pt>
                <c:pt idx="17">
                  <c:v>390.47</c:v>
                </c:pt>
                <c:pt idx="18">
                  <c:v>450.48</c:v>
                </c:pt>
                <c:pt idx="19">
                  <c:v>373.42</c:v>
                </c:pt>
                <c:pt idx="20">
                  <c:v>132.88999999999999</c:v>
                </c:pt>
                <c:pt idx="21">
                  <c:v>420.78</c:v>
                </c:pt>
                <c:pt idx="22">
                  <c:v>234.82</c:v>
                </c:pt>
                <c:pt idx="23">
                  <c:v>389.47</c:v>
                </c:pt>
                <c:pt idx="24">
                  <c:v>370.66</c:v>
                </c:pt>
                <c:pt idx="25">
                  <c:v>430.36</c:v>
                </c:pt>
                <c:pt idx="26">
                  <c:v>327.93699999999995</c:v>
                </c:pt>
                <c:pt idx="27">
                  <c:v>235.381</c:v>
                </c:pt>
                <c:pt idx="28">
                  <c:v>408.7759999999999</c:v>
                </c:pt>
                <c:pt idx="29">
                  <c:v>344.95500000000004</c:v>
                </c:pt>
                <c:pt idx="30">
                  <c:v>405.61800000000011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A6-46E6-B6B4-0BE2103E7E61}"/>
            </c:ext>
          </c:extLst>
        </c:ser>
        <c:ser>
          <c:idx val="7"/>
          <c:order val="7"/>
          <c:tx>
            <c:strRef>
              <c:f>'May Graph'!$I$3:$I$4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Graph'!$I$5:$I$35</c:f>
              <c:numCache>
                <c:formatCode>General</c:formatCode>
                <c:ptCount val="31"/>
                <c:pt idx="0">
                  <c:v>85.56</c:v>
                </c:pt>
                <c:pt idx="1">
                  <c:v>52.2</c:v>
                </c:pt>
                <c:pt idx="2">
                  <c:v>89.46</c:v>
                </c:pt>
                <c:pt idx="3">
                  <c:v>81.92</c:v>
                </c:pt>
                <c:pt idx="4">
                  <c:v>53.38</c:v>
                </c:pt>
                <c:pt idx="5">
                  <c:v>53.18</c:v>
                </c:pt>
                <c:pt idx="6">
                  <c:v>78.760000000000005</c:v>
                </c:pt>
                <c:pt idx="7">
                  <c:v>97.24</c:v>
                </c:pt>
                <c:pt idx="8">
                  <c:v>50.519999999999996</c:v>
                </c:pt>
                <c:pt idx="9">
                  <c:v>42.94</c:v>
                </c:pt>
                <c:pt idx="10">
                  <c:v>56.31</c:v>
                </c:pt>
                <c:pt idx="11">
                  <c:v>34.700000000000003</c:v>
                </c:pt>
                <c:pt idx="12">
                  <c:v>74.239999999999995</c:v>
                </c:pt>
                <c:pt idx="13">
                  <c:v>81.81</c:v>
                </c:pt>
                <c:pt idx="14">
                  <c:v>82.240000000000009</c:v>
                </c:pt>
                <c:pt idx="15">
                  <c:v>94.36</c:v>
                </c:pt>
                <c:pt idx="16">
                  <c:v>88.22</c:v>
                </c:pt>
                <c:pt idx="17">
                  <c:v>85.06</c:v>
                </c:pt>
                <c:pt idx="18">
                  <c:v>47.7</c:v>
                </c:pt>
                <c:pt idx="19">
                  <c:v>63.78</c:v>
                </c:pt>
                <c:pt idx="20">
                  <c:v>81.27</c:v>
                </c:pt>
                <c:pt idx="21">
                  <c:v>76.260000000000005</c:v>
                </c:pt>
                <c:pt idx="22">
                  <c:v>76.16</c:v>
                </c:pt>
                <c:pt idx="23">
                  <c:v>88.76</c:v>
                </c:pt>
                <c:pt idx="24">
                  <c:v>61.45</c:v>
                </c:pt>
                <c:pt idx="25">
                  <c:v>35.17</c:v>
                </c:pt>
                <c:pt idx="26">
                  <c:v>53.18</c:v>
                </c:pt>
                <c:pt idx="27">
                  <c:v>57.586999999999982</c:v>
                </c:pt>
                <c:pt idx="28">
                  <c:v>90.632999999999981</c:v>
                </c:pt>
                <c:pt idx="29">
                  <c:v>91.524000000000001</c:v>
                </c:pt>
                <c:pt idx="30">
                  <c:v>100.57699999999997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A6-46E6-B6B4-0BE2103E7E61}"/>
            </c:ext>
          </c:extLst>
        </c:ser>
        <c:ser>
          <c:idx val="8"/>
          <c:order val="8"/>
          <c:tx>
            <c:strRef>
              <c:f>'May Graph'!$J$3:$J$4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Graph'!$J$5:$J$35</c:f>
              <c:numCache>
                <c:formatCode>General</c:formatCode>
                <c:ptCount val="31"/>
                <c:pt idx="0">
                  <c:v>20</c:v>
                </c:pt>
                <c:pt idx="1">
                  <c:v>26</c:v>
                </c:pt>
                <c:pt idx="2">
                  <c:v>30.54</c:v>
                </c:pt>
                <c:pt idx="3">
                  <c:v>34.96</c:v>
                </c:pt>
                <c:pt idx="4">
                  <c:v>24.06</c:v>
                </c:pt>
                <c:pt idx="5">
                  <c:v>24.84</c:v>
                </c:pt>
                <c:pt idx="6">
                  <c:v>18.989999999999998</c:v>
                </c:pt>
                <c:pt idx="7">
                  <c:v>23.73</c:v>
                </c:pt>
                <c:pt idx="8">
                  <c:v>22.45</c:v>
                </c:pt>
                <c:pt idx="9">
                  <c:v>31.18</c:v>
                </c:pt>
                <c:pt idx="10">
                  <c:v>35.229999999999997</c:v>
                </c:pt>
                <c:pt idx="11">
                  <c:v>14.3</c:v>
                </c:pt>
                <c:pt idx="12">
                  <c:v>20.5</c:v>
                </c:pt>
                <c:pt idx="13">
                  <c:v>20.239999999999998</c:v>
                </c:pt>
                <c:pt idx="14">
                  <c:v>20.92</c:v>
                </c:pt>
                <c:pt idx="15">
                  <c:v>27.29</c:v>
                </c:pt>
                <c:pt idx="16">
                  <c:v>24.71</c:v>
                </c:pt>
                <c:pt idx="17">
                  <c:v>17.29</c:v>
                </c:pt>
                <c:pt idx="18">
                  <c:v>16.78</c:v>
                </c:pt>
                <c:pt idx="19">
                  <c:v>11.01</c:v>
                </c:pt>
                <c:pt idx="20">
                  <c:v>17.899999999999999</c:v>
                </c:pt>
                <c:pt idx="21">
                  <c:v>19.84</c:v>
                </c:pt>
                <c:pt idx="22">
                  <c:v>22.33</c:v>
                </c:pt>
                <c:pt idx="23">
                  <c:v>11.24</c:v>
                </c:pt>
                <c:pt idx="24">
                  <c:v>12.96</c:v>
                </c:pt>
                <c:pt idx="25">
                  <c:v>5.65</c:v>
                </c:pt>
                <c:pt idx="26">
                  <c:v>23.329000000000001</c:v>
                </c:pt>
                <c:pt idx="27">
                  <c:v>16.751999999999999</c:v>
                </c:pt>
                <c:pt idx="28">
                  <c:v>15.953999999999997</c:v>
                </c:pt>
                <c:pt idx="29">
                  <c:v>15.282</c:v>
                </c:pt>
                <c:pt idx="30">
                  <c:v>15.963000000000001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A6-46E6-B6B4-0BE2103E7E61}"/>
            </c:ext>
          </c:extLst>
        </c:ser>
        <c:ser>
          <c:idx val="9"/>
          <c:order val="9"/>
          <c:tx>
            <c:strRef>
              <c:f>'May Graph'!$K$3:$K$4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Graph'!$K$5:$K$35</c:f>
              <c:numCache>
                <c:formatCode>General</c:formatCode>
                <c:ptCount val="31"/>
                <c:pt idx="0">
                  <c:v>24.95</c:v>
                </c:pt>
                <c:pt idx="1">
                  <c:v>38.369999999999997</c:v>
                </c:pt>
                <c:pt idx="2">
                  <c:v>17.23</c:v>
                </c:pt>
                <c:pt idx="3">
                  <c:v>31.14</c:v>
                </c:pt>
                <c:pt idx="4">
                  <c:v>14.26</c:v>
                </c:pt>
                <c:pt idx="5">
                  <c:v>52.53</c:v>
                </c:pt>
                <c:pt idx="6">
                  <c:v>15.69</c:v>
                </c:pt>
                <c:pt idx="7">
                  <c:v>53.55</c:v>
                </c:pt>
                <c:pt idx="8">
                  <c:v>39.18</c:v>
                </c:pt>
                <c:pt idx="9">
                  <c:v>28.79</c:v>
                </c:pt>
                <c:pt idx="10">
                  <c:v>21.45</c:v>
                </c:pt>
                <c:pt idx="11">
                  <c:v>37.14</c:v>
                </c:pt>
                <c:pt idx="12">
                  <c:v>2.1</c:v>
                </c:pt>
                <c:pt idx="13">
                  <c:v>23.32</c:v>
                </c:pt>
                <c:pt idx="14">
                  <c:v>10.73</c:v>
                </c:pt>
                <c:pt idx="15">
                  <c:v>49.8</c:v>
                </c:pt>
                <c:pt idx="16">
                  <c:v>41.24</c:v>
                </c:pt>
                <c:pt idx="17">
                  <c:v>28.23</c:v>
                </c:pt>
                <c:pt idx="18">
                  <c:v>25.15</c:v>
                </c:pt>
                <c:pt idx="19">
                  <c:v>5.53</c:v>
                </c:pt>
                <c:pt idx="20">
                  <c:v>49.76</c:v>
                </c:pt>
                <c:pt idx="21">
                  <c:v>11.87</c:v>
                </c:pt>
                <c:pt idx="22">
                  <c:v>36.96</c:v>
                </c:pt>
                <c:pt idx="23">
                  <c:v>38.130000000000003</c:v>
                </c:pt>
                <c:pt idx="24">
                  <c:v>19.75</c:v>
                </c:pt>
                <c:pt idx="25">
                  <c:v>41.24</c:v>
                </c:pt>
                <c:pt idx="26">
                  <c:v>22.509999999999998</c:v>
                </c:pt>
                <c:pt idx="27">
                  <c:v>28.387</c:v>
                </c:pt>
                <c:pt idx="28">
                  <c:v>32.741</c:v>
                </c:pt>
                <c:pt idx="29">
                  <c:v>32.274000000000001</c:v>
                </c:pt>
                <c:pt idx="30">
                  <c:v>14.530000000000001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A6-46E6-B6B4-0BE2103E7E61}"/>
            </c:ext>
          </c:extLst>
        </c:ser>
        <c:ser>
          <c:idx val="10"/>
          <c:order val="10"/>
          <c:tx>
            <c:strRef>
              <c:f>'May Graph'!$L$3:$L$4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Graph'!$L$5:$L$35</c:f>
              <c:numCache>
                <c:formatCode>General</c:formatCode>
                <c:ptCount val="31"/>
                <c:pt idx="0">
                  <c:v>98.77</c:v>
                </c:pt>
                <c:pt idx="1">
                  <c:v>111.97</c:v>
                </c:pt>
                <c:pt idx="2">
                  <c:v>72.290000000000006</c:v>
                </c:pt>
                <c:pt idx="3">
                  <c:v>101.42</c:v>
                </c:pt>
                <c:pt idx="4">
                  <c:v>128.21</c:v>
                </c:pt>
                <c:pt idx="5">
                  <c:v>116.27000000000001</c:v>
                </c:pt>
                <c:pt idx="6">
                  <c:v>105.85000000000001</c:v>
                </c:pt>
                <c:pt idx="7">
                  <c:v>142.1</c:v>
                </c:pt>
                <c:pt idx="8">
                  <c:v>146.65</c:v>
                </c:pt>
                <c:pt idx="9">
                  <c:v>81.759999999999991</c:v>
                </c:pt>
                <c:pt idx="10">
                  <c:v>178.94</c:v>
                </c:pt>
                <c:pt idx="11">
                  <c:v>103.13</c:v>
                </c:pt>
                <c:pt idx="12">
                  <c:v>0</c:v>
                </c:pt>
                <c:pt idx="13">
                  <c:v>93.3</c:v>
                </c:pt>
                <c:pt idx="14">
                  <c:v>63.540000000000006</c:v>
                </c:pt>
                <c:pt idx="15">
                  <c:v>112.07</c:v>
                </c:pt>
                <c:pt idx="16">
                  <c:v>124.66</c:v>
                </c:pt>
                <c:pt idx="17">
                  <c:v>102.61</c:v>
                </c:pt>
                <c:pt idx="18">
                  <c:v>129.07</c:v>
                </c:pt>
                <c:pt idx="19">
                  <c:v>122.97</c:v>
                </c:pt>
                <c:pt idx="20">
                  <c:v>123.27000000000001</c:v>
                </c:pt>
                <c:pt idx="21">
                  <c:v>141.66</c:v>
                </c:pt>
                <c:pt idx="22">
                  <c:v>104.41</c:v>
                </c:pt>
                <c:pt idx="23">
                  <c:v>74.930000000000007</c:v>
                </c:pt>
                <c:pt idx="24">
                  <c:v>126.92</c:v>
                </c:pt>
                <c:pt idx="25">
                  <c:v>161.88999999999999</c:v>
                </c:pt>
                <c:pt idx="26">
                  <c:v>92.843000000000018</c:v>
                </c:pt>
                <c:pt idx="27">
                  <c:v>127.095</c:v>
                </c:pt>
                <c:pt idx="28">
                  <c:v>100.089</c:v>
                </c:pt>
                <c:pt idx="29">
                  <c:v>116.50900000000004</c:v>
                </c:pt>
                <c:pt idx="30">
                  <c:v>124.62700000000001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A6-46E6-B6B4-0BE2103E7E61}"/>
            </c:ext>
          </c:extLst>
        </c:ser>
        <c:ser>
          <c:idx val="11"/>
          <c:order val="11"/>
          <c:tx>
            <c:strRef>
              <c:f>'May Graph'!$M$3:$M$4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Graph'!$M$5:$M$35</c:f>
              <c:numCache>
                <c:formatCode>General</c:formatCode>
                <c:ptCount val="31"/>
                <c:pt idx="0">
                  <c:v>69.62</c:v>
                </c:pt>
                <c:pt idx="1">
                  <c:v>159.13</c:v>
                </c:pt>
                <c:pt idx="2">
                  <c:v>185.88</c:v>
                </c:pt>
                <c:pt idx="3">
                  <c:v>155.91</c:v>
                </c:pt>
                <c:pt idx="4">
                  <c:v>182.89</c:v>
                </c:pt>
                <c:pt idx="5">
                  <c:v>125.64</c:v>
                </c:pt>
                <c:pt idx="6">
                  <c:v>159.41999999999999</c:v>
                </c:pt>
                <c:pt idx="7">
                  <c:v>162.69999999999999</c:v>
                </c:pt>
                <c:pt idx="8">
                  <c:v>134.53</c:v>
                </c:pt>
                <c:pt idx="9">
                  <c:v>177.6</c:v>
                </c:pt>
                <c:pt idx="10">
                  <c:v>148.39000000000001</c:v>
                </c:pt>
                <c:pt idx="11">
                  <c:v>77.72</c:v>
                </c:pt>
                <c:pt idx="12">
                  <c:v>76.98</c:v>
                </c:pt>
                <c:pt idx="13">
                  <c:v>71.100000000000009</c:v>
                </c:pt>
                <c:pt idx="14">
                  <c:v>115.24</c:v>
                </c:pt>
                <c:pt idx="15">
                  <c:v>140.79</c:v>
                </c:pt>
                <c:pt idx="16">
                  <c:v>138.08000000000001</c:v>
                </c:pt>
                <c:pt idx="17">
                  <c:v>148.93</c:v>
                </c:pt>
                <c:pt idx="18">
                  <c:v>178.34</c:v>
                </c:pt>
                <c:pt idx="19">
                  <c:v>95.34</c:v>
                </c:pt>
                <c:pt idx="20">
                  <c:v>199.31</c:v>
                </c:pt>
                <c:pt idx="21">
                  <c:v>125.6</c:v>
                </c:pt>
                <c:pt idx="22">
                  <c:v>158.76</c:v>
                </c:pt>
                <c:pt idx="23">
                  <c:v>133.27000000000001</c:v>
                </c:pt>
                <c:pt idx="24">
                  <c:v>139.36000000000001</c:v>
                </c:pt>
                <c:pt idx="25">
                  <c:v>143.88</c:v>
                </c:pt>
                <c:pt idx="26">
                  <c:v>171.26300000000001</c:v>
                </c:pt>
                <c:pt idx="27">
                  <c:v>94.734000000000009</c:v>
                </c:pt>
                <c:pt idx="28">
                  <c:v>189.14600000000002</c:v>
                </c:pt>
                <c:pt idx="29">
                  <c:v>121.96499999999997</c:v>
                </c:pt>
                <c:pt idx="30">
                  <c:v>149.41999999999999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A6-46E6-B6B4-0BE2103E7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34040"/>
        <c:axId val="463239920"/>
      </c:barChart>
      <c:catAx>
        <c:axId val="46323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9920"/>
        <c:crosses val="autoZero"/>
        <c:auto val="1"/>
        <c:lblAlgn val="ctr"/>
        <c:lblOffset val="100"/>
        <c:noMultiLvlLbl val="0"/>
      </c:catAx>
      <c:valAx>
        <c:axId val="4632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Consumption.xlsx]May Graph!PivotTable7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Graph'!$B$5:$B$35</c:f>
              <c:numCache>
                <c:formatCode>General</c:formatCode>
                <c:ptCount val="31"/>
                <c:pt idx="0">
                  <c:v>56.81</c:v>
                </c:pt>
                <c:pt idx="1">
                  <c:v>53.44</c:v>
                </c:pt>
                <c:pt idx="2">
                  <c:v>85.51</c:v>
                </c:pt>
                <c:pt idx="3">
                  <c:v>40.35</c:v>
                </c:pt>
                <c:pt idx="4">
                  <c:v>0</c:v>
                </c:pt>
                <c:pt idx="5">
                  <c:v>15.77</c:v>
                </c:pt>
                <c:pt idx="6">
                  <c:v>131.88</c:v>
                </c:pt>
                <c:pt idx="7">
                  <c:v>128.66</c:v>
                </c:pt>
                <c:pt idx="8">
                  <c:v>95.63</c:v>
                </c:pt>
                <c:pt idx="9">
                  <c:v>33.840000000000003</c:v>
                </c:pt>
                <c:pt idx="10">
                  <c:v>74.98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9.19</c:v>
                </c:pt>
                <c:pt idx="20">
                  <c:v>30.78</c:v>
                </c:pt>
                <c:pt idx="21">
                  <c:v>56.71</c:v>
                </c:pt>
                <c:pt idx="22">
                  <c:v>67.17</c:v>
                </c:pt>
                <c:pt idx="23">
                  <c:v>33.590000000000003</c:v>
                </c:pt>
                <c:pt idx="24">
                  <c:v>79.14</c:v>
                </c:pt>
                <c:pt idx="25">
                  <c:v>84.39</c:v>
                </c:pt>
                <c:pt idx="26">
                  <c:v>92.98</c:v>
                </c:pt>
                <c:pt idx="27">
                  <c:v>75.89</c:v>
                </c:pt>
                <c:pt idx="28">
                  <c:v>99.862000000000009</c:v>
                </c:pt>
                <c:pt idx="29">
                  <c:v>72.068999999999988</c:v>
                </c:pt>
                <c:pt idx="30">
                  <c:v>53.724999999999994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5-460E-9B72-8799B756A779}"/>
            </c:ext>
          </c:extLst>
        </c:ser>
        <c:ser>
          <c:idx val="1"/>
          <c:order val="1"/>
          <c:tx>
            <c:strRef>
              <c:f>'May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Graph'!$C$5:$C$35</c:f>
              <c:numCache>
                <c:formatCode>General</c:formatCode>
                <c:ptCount val="31"/>
                <c:pt idx="0">
                  <c:v>445.36</c:v>
                </c:pt>
                <c:pt idx="1">
                  <c:v>585.64</c:v>
                </c:pt>
                <c:pt idx="2">
                  <c:v>689.55</c:v>
                </c:pt>
                <c:pt idx="3">
                  <c:v>652.04</c:v>
                </c:pt>
                <c:pt idx="4">
                  <c:v>684.1</c:v>
                </c:pt>
                <c:pt idx="5">
                  <c:v>582.20999999999992</c:v>
                </c:pt>
                <c:pt idx="6">
                  <c:v>680.81999999999994</c:v>
                </c:pt>
                <c:pt idx="7">
                  <c:v>580.84</c:v>
                </c:pt>
                <c:pt idx="8">
                  <c:v>548.29</c:v>
                </c:pt>
                <c:pt idx="9">
                  <c:v>593.91</c:v>
                </c:pt>
                <c:pt idx="10">
                  <c:v>723.79</c:v>
                </c:pt>
                <c:pt idx="11">
                  <c:v>620.97</c:v>
                </c:pt>
                <c:pt idx="12">
                  <c:v>642.25</c:v>
                </c:pt>
                <c:pt idx="13">
                  <c:v>559.79</c:v>
                </c:pt>
                <c:pt idx="14">
                  <c:v>537.08999999999992</c:v>
                </c:pt>
                <c:pt idx="15">
                  <c:v>595.8900000000001</c:v>
                </c:pt>
                <c:pt idx="16">
                  <c:v>563.73</c:v>
                </c:pt>
                <c:pt idx="17">
                  <c:v>564.66</c:v>
                </c:pt>
                <c:pt idx="18">
                  <c:v>615.28</c:v>
                </c:pt>
                <c:pt idx="19">
                  <c:v>590.23</c:v>
                </c:pt>
                <c:pt idx="20">
                  <c:v>577.01</c:v>
                </c:pt>
                <c:pt idx="21">
                  <c:v>551.05000000000007</c:v>
                </c:pt>
                <c:pt idx="22">
                  <c:v>604.68999999999994</c:v>
                </c:pt>
                <c:pt idx="23">
                  <c:v>582.05999999999995</c:v>
                </c:pt>
                <c:pt idx="24">
                  <c:v>584.94000000000005</c:v>
                </c:pt>
                <c:pt idx="25">
                  <c:v>686.63</c:v>
                </c:pt>
                <c:pt idx="26">
                  <c:v>996.79699999999991</c:v>
                </c:pt>
                <c:pt idx="27">
                  <c:v>720.32100000000014</c:v>
                </c:pt>
                <c:pt idx="28">
                  <c:v>446.79800000000012</c:v>
                </c:pt>
                <c:pt idx="29">
                  <c:v>536.952</c:v>
                </c:pt>
                <c:pt idx="30">
                  <c:v>599.08900000000006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5-460E-9B72-8799B756A779}"/>
            </c:ext>
          </c:extLst>
        </c:ser>
        <c:ser>
          <c:idx val="2"/>
          <c:order val="2"/>
          <c:tx>
            <c:strRef>
              <c:f>'May Graph'!$D$3:$D$4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Graph'!$D$5:$D$35</c:f>
              <c:numCache>
                <c:formatCode>General</c:formatCode>
                <c:ptCount val="31"/>
                <c:pt idx="0">
                  <c:v>205.24</c:v>
                </c:pt>
                <c:pt idx="1">
                  <c:v>227.03000000000003</c:v>
                </c:pt>
                <c:pt idx="2">
                  <c:v>316.42999999999995</c:v>
                </c:pt>
                <c:pt idx="3">
                  <c:v>206.18</c:v>
                </c:pt>
                <c:pt idx="4">
                  <c:v>171.48</c:v>
                </c:pt>
                <c:pt idx="5">
                  <c:v>208.14</c:v>
                </c:pt>
                <c:pt idx="6">
                  <c:v>267.78999999999996</c:v>
                </c:pt>
                <c:pt idx="7">
                  <c:v>255.9</c:v>
                </c:pt>
                <c:pt idx="8">
                  <c:v>272.08</c:v>
                </c:pt>
                <c:pt idx="9">
                  <c:v>218.06</c:v>
                </c:pt>
                <c:pt idx="10">
                  <c:v>237.95999999999995</c:v>
                </c:pt>
                <c:pt idx="11">
                  <c:v>183.76</c:v>
                </c:pt>
                <c:pt idx="12">
                  <c:v>212.78000000000003</c:v>
                </c:pt>
                <c:pt idx="13">
                  <c:v>304.48000000000008</c:v>
                </c:pt>
                <c:pt idx="14">
                  <c:v>222.78000000000003</c:v>
                </c:pt>
                <c:pt idx="15">
                  <c:v>262.94999999999993</c:v>
                </c:pt>
                <c:pt idx="16">
                  <c:v>297.75</c:v>
                </c:pt>
                <c:pt idx="17">
                  <c:v>240.38</c:v>
                </c:pt>
                <c:pt idx="18">
                  <c:v>167.55</c:v>
                </c:pt>
                <c:pt idx="19">
                  <c:v>221.82999999999998</c:v>
                </c:pt>
                <c:pt idx="20">
                  <c:v>287.51999999999992</c:v>
                </c:pt>
                <c:pt idx="21">
                  <c:v>273</c:v>
                </c:pt>
                <c:pt idx="22">
                  <c:v>205.93999999999997</c:v>
                </c:pt>
                <c:pt idx="23">
                  <c:v>289.81</c:v>
                </c:pt>
                <c:pt idx="24">
                  <c:v>194</c:v>
                </c:pt>
                <c:pt idx="25">
                  <c:v>118.88000000000001</c:v>
                </c:pt>
                <c:pt idx="26">
                  <c:v>281.17900000000003</c:v>
                </c:pt>
                <c:pt idx="27">
                  <c:v>306.88</c:v>
                </c:pt>
                <c:pt idx="28">
                  <c:v>295.37500000000006</c:v>
                </c:pt>
                <c:pt idx="29">
                  <c:v>335.09799999999996</c:v>
                </c:pt>
                <c:pt idx="30">
                  <c:v>294.70999999999998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5-460E-9B72-8799B756A779}"/>
            </c:ext>
          </c:extLst>
        </c:ser>
        <c:ser>
          <c:idx val="3"/>
          <c:order val="3"/>
          <c:tx>
            <c:strRef>
              <c:f>'May Graph'!$E$3:$E$4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Graph'!$E$5:$E$35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65-460E-9B72-8799B756A779}"/>
            </c:ext>
          </c:extLst>
        </c:ser>
        <c:ser>
          <c:idx val="4"/>
          <c:order val="4"/>
          <c:tx>
            <c:strRef>
              <c:f>'May Graph'!$F$3:$F$4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Graph'!$F$5:$F$35</c:f>
              <c:numCache>
                <c:formatCode>General</c:formatCode>
                <c:ptCount val="31"/>
                <c:pt idx="0">
                  <c:v>25.28</c:v>
                </c:pt>
                <c:pt idx="1">
                  <c:v>36.479999999999997</c:v>
                </c:pt>
                <c:pt idx="2">
                  <c:v>37.119999999999997</c:v>
                </c:pt>
                <c:pt idx="3">
                  <c:v>46.85</c:v>
                </c:pt>
                <c:pt idx="4">
                  <c:v>53.74</c:v>
                </c:pt>
                <c:pt idx="5">
                  <c:v>41.65</c:v>
                </c:pt>
                <c:pt idx="6">
                  <c:v>25.54</c:v>
                </c:pt>
                <c:pt idx="7">
                  <c:v>60.31</c:v>
                </c:pt>
                <c:pt idx="8">
                  <c:v>59.73</c:v>
                </c:pt>
                <c:pt idx="9">
                  <c:v>48.25</c:v>
                </c:pt>
                <c:pt idx="10">
                  <c:v>45.18</c:v>
                </c:pt>
                <c:pt idx="11">
                  <c:v>44.15</c:v>
                </c:pt>
                <c:pt idx="12">
                  <c:v>9.8699999999999992</c:v>
                </c:pt>
                <c:pt idx="13">
                  <c:v>47.49</c:v>
                </c:pt>
                <c:pt idx="14">
                  <c:v>38.24</c:v>
                </c:pt>
                <c:pt idx="15">
                  <c:v>39.96</c:v>
                </c:pt>
                <c:pt idx="16">
                  <c:v>37.79</c:v>
                </c:pt>
                <c:pt idx="17">
                  <c:v>70.95</c:v>
                </c:pt>
                <c:pt idx="18">
                  <c:v>46.78</c:v>
                </c:pt>
                <c:pt idx="19">
                  <c:v>47.13</c:v>
                </c:pt>
                <c:pt idx="20">
                  <c:v>47.08</c:v>
                </c:pt>
                <c:pt idx="21">
                  <c:v>49</c:v>
                </c:pt>
                <c:pt idx="22">
                  <c:v>40.450000000000003</c:v>
                </c:pt>
                <c:pt idx="23">
                  <c:v>41.45</c:v>
                </c:pt>
                <c:pt idx="24">
                  <c:v>38.94</c:v>
                </c:pt>
                <c:pt idx="25">
                  <c:v>34.25</c:v>
                </c:pt>
                <c:pt idx="26">
                  <c:v>34.162999999999997</c:v>
                </c:pt>
                <c:pt idx="27">
                  <c:v>51.056000000000012</c:v>
                </c:pt>
                <c:pt idx="28">
                  <c:v>48.771000000000001</c:v>
                </c:pt>
                <c:pt idx="29">
                  <c:v>24.532</c:v>
                </c:pt>
                <c:pt idx="30">
                  <c:v>32.591999999999999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65-460E-9B72-8799B756A779}"/>
            </c:ext>
          </c:extLst>
        </c:ser>
        <c:ser>
          <c:idx val="5"/>
          <c:order val="5"/>
          <c:tx>
            <c:strRef>
              <c:f>'May Graph'!$G$3:$G$4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Graph'!$G$5:$G$35</c:f>
              <c:numCache>
                <c:formatCode>General</c:formatCode>
                <c:ptCount val="31"/>
                <c:pt idx="0">
                  <c:v>1121.6200000000001</c:v>
                </c:pt>
                <c:pt idx="1">
                  <c:v>1112.08</c:v>
                </c:pt>
                <c:pt idx="2">
                  <c:v>1263.8000000000002</c:v>
                </c:pt>
                <c:pt idx="3">
                  <c:v>1162.2399999999998</c:v>
                </c:pt>
                <c:pt idx="4">
                  <c:v>1168.7</c:v>
                </c:pt>
                <c:pt idx="5">
                  <c:v>1269.53</c:v>
                </c:pt>
                <c:pt idx="6">
                  <c:v>1092.3599999999999</c:v>
                </c:pt>
                <c:pt idx="7">
                  <c:v>1441.15</c:v>
                </c:pt>
                <c:pt idx="8">
                  <c:v>1403.36</c:v>
                </c:pt>
                <c:pt idx="9">
                  <c:v>1160.1400000000001</c:v>
                </c:pt>
                <c:pt idx="10">
                  <c:v>1328.93</c:v>
                </c:pt>
                <c:pt idx="11">
                  <c:v>1117.98</c:v>
                </c:pt>
                <c:pt idx="12">
                  <c:v>912.89</c:v>
                </c:pt>
                <c:pt idx="13">
                  <c:v>758.34999999999991</c:v>
                </c:pt>
                <c:pt idx="14">
                  <c:v>1265.0900000000001</c:v>
                </c:pt>
                <c:pt idx="15">
                  <c:v>1091.45</c:v>
                </c:pt>
                <c:pt idx="16">
                  <c:v>1398.36</c:v>
                </c:pt>
                <c:pt idx="17">
                  <c:v>1179.3499999999999</c:v>
                </c:pt>
                <c:pt idx="18">
                  <c:v>1211.0959999999998</c:v>
                </c:pt>
                <c:pt idx="19">
                  <c:v>1459.5</c:v>
                </c:pt>
                <c:pt idx="20">
                  <c:v>1353.9300000000003</c:v>
                </c:pt>
                <c:pt idx="21">
                  <c:v>1440.02</c:v>
                </c:pt>
                <c:pt idx="22">
                  <c:v>1384.18</c:v>
                </c:pt>
                <c:pt idx="23">
                  <c:v>1565.24</c:v>
                </c:pt>
                <c:pt idx="24">
                  <c:v>1424.3400000000001</c:v>
                </c:pt>
                <c:pt idx="25">
                  <c:v>1230.1100000000001</c:v>
                </c:pt>
                <c:pt idx="26">
                  <c:v>1410.6309999999999</c:v>
                </c:pt>
                <c:pt idx="27">
                  <c:v>1476.8629999999998</c:v>
                </c:pt>
                <c:pt idx="28">
                  <c:v>1506.201</c:v>
                </c:pt>
                <c:pt idx="29">
                  <c:v>1557.9430000000002</c:v>
                </c:pt>
                <c:pt idx="30">
                  <c:v>1454.8899999999996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65-460E-9B72-8799B756A779}"/>
            </c:ext>
          </c:extLst>
        </c:ser>
        <c:ser>
          <c:idx val="6"/>
          <c:order val="6"/>
          <c:tx>
            <c:strRef>
              <c:f>'May Graph'!$H$3:$H$4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Graph'!$H$5:$H$35</c:f>
              <c:numCache>
                <c:formatCode>General</c:formatCode>
                <c:ptCount val="31"/>
                <c:pt idx="0">
                  <c:v>180.24</c:v>
                </c:pt>
                <c:pt idx="1">
                  <c:v>218.83</c:v>
                </c:pt>
                <c:pt idx="2">
                  <c:v>171.16</c:v>
                </c:pt>
                <c:pt idx="3">
                  <c:v>251.78</c:v>
                </c:pt>
                <c:pt idx="4">
                  <c:v>361.17</c:v>
                </c:pt>
                <c:pt idx="5">
                  <c:v>258.5</c:v>
                </c:pt>
                <c:pt idx="6">
                  <c:v>125.07</c:v>
                </c:pt>
                <c:pt idx="7">
                  <c:v>141.03</c:v>
                </c:pt>
                <c:pt idx="8">
                  <c:v>319.42</c:v>
                </c:pt>
                <c:pt idx="9">
                  <c:v>249.84</c:v>
                </c:pt>
                <c:pt idx="10">
                  <c:v>307.58</c:v>
                </c:pt>
                <c:pt idx="11">
                  <c:v>485.45</c:v>
                </c:pt>
                <c:pt idx="12">
                  <c:v>128.13</c:v>
                </c:pt>
                <c:pt idx="13">
                  <c:v>363.58</c:v>
                </c:pt>
                <c:pt idx="14">
                  <c:v>367.01</c:v>
                </c:pt>
                <c:pt idx="15">
                  <c:v>316.85000000000002</c:v>
                </c:pt>
                <c:pt idx="16">
                  <c:v>354.09</c:v>
                </c:pt>
                <c:pt idx="17">
                  <c:v>390.47</c:v>
                </c:pt>
                <c:pt idx="18">
                  <c:v>450.48</c:v>
                </c:pt>
                <c:pt idx="19">
                  <c:v>373.42</c:v>
                </c:pt>
                <c:pt idx="20">
                  <c:v>132.88999999999999</c:v>
                </c:pt>
                <c:pt idx="21">
                  <c:v>420.78</c:v>
                </c:pt>
                <c:pt idx="22">
                  <c:v>234.82</c:v>
                </c:pt>
                <c:pt idx="23">
                  <c:v>389.47</c:v>
                </c:pt>
                <c:pt idx="24">
                  <c:v>370.66</c:v>
                </c:pt>
                <c:pt idx="25">
                  <c:v>430.36</c:v>
                </c:pt>
                <c:pt idx="26">
                  <c:v>327.93699999999995</c:v>
                </c:pt>
                <c:pt idx="27">
                  <c:v>235.381</c:v>
                </c:pt>
                <c:pt idx="28">
                  <c:v>408.7759999999999</c:v>
                </c:pt>
                <c:pt idx="29">
                  <c:v>344.95500000000004</c:v>
                </c:pt>
                <c:pt idx="30">
                  <c:v>405.61800000000011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65-460E-9B72-8799B756A779}"/>
            </c:ext>
          </c:extLst>
        </c:ser>
        <c:ser>
          <c:idx val="7"/>
          <c:order val="7"/>
          <c:tx>
            <c:strRef>
              <c:f>'May Graph'!$I$3:$I$4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Graph'!$I$5:$I$35</c:f>
              <c:numCache>
                <c:formatCode>General</c:formatCode>
                <c:ptCount val="31"/>
                <c:pt idx="0">
                  <c:v>85.56</c:v>
                </c:pt>
                <c:pt idx="1">
                  <c:v>52.2</c:v>
                </c:pt>
                <c:pt idx="2">
                  <c:v>89.46</c:v>
                </c:pt>
                <c:pt idx="3">
                  <c:v>81.92</c:v>
                </c:pt>
                <c:pt idx="4">
                  <c:v>53.38</c:v>
                </c:pt>
                <c:pt idx="5">
                  <c:v>53.18</c:v>
                </c:pt>
                <c:pt idx="6">
                  <c:v>78.760000000000005</c:v>
                </c:pt>
                <c:pt idx="7">
                  <c:v>97.24</c:v>
                </c:pt>
                <c:pt idx="8">
                  <c:v>50.519999999999996</c:v>
                </c:pt>
                <c:pt idx="9">
                  <c:v>42.94</c:v>
                </c:pt>
                <c:pt idx="10">
                  <c:v>56.31</c:v>
                </c:pt>
                <c:pt idx="11">
                  <c:v>34.700000000000003</c:v>
                </c:pt>
                <c:pt idx="12">
                  <c:v>74.239999999999995</c:v>
                </c:pt>
                <c:pt idx="13">
                  <c:v>81.81</c:v>
                </c:pt>
                <c:pt idx="14">
                  <c:v>82.240000000000009</c:v>
                </c:pt>
                <c:pt idx="15">
                  <c:v>94.36</c:v>
                </c:pt>
                <c:pt idx="16">
                  <c:v>88.22</c:v>
                </c:pt>
                <c:pt idx="17">
                  <c:v>85.06</c:v>
                </c:pt>
                <c:pt idx="18">
                  <c:v>47.7</c:v>
                </c:pt>
                <c:pt idx="19">
                  <c:v>63.78</c:v>
                </c:pt>
                <c:pt idx="20">
                  <c:v>81.27</c:v>
                </c:pt>
                <c:pt idx="21">
                  <c:v>76.260000000000005</c:v>
                </c:pt>
                <c:pt idx="22">
                  <c:v>76.16</c:v>
                </c:pt>
                <c:pt idx="23">
                  <c:v>88.76</c:v>
                </c:pt>
                <c:pt idx="24">
                  <c:v>61.45</c:v>
                </c:pt>
                <c:pt idx="25">
                  <c:v>35.17</c:v>
                </c:pt>
                <c:pt idx="26">
                  <c:v>53.18</c:v>
                </c:pt>
                <c:pt idx="27">
                  <c:v>57.586999999999982</c:v>
                </c:pt>
                <c:pt idx="28">
                  <c:v>90.632999999999981</c:v>
                </c:pt>
                <c:pt idx="29">
                  <c:v>91.524000000000001</c:v>
                </c:pt>
                <c:pt idx="30">
                  <c:v>100.57699999999997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65-460E-9B72-8799B756A779}"/>
            </c:ext>
          </c:extLst>
        </c:ser>
        <c:ser>
          <c:idx val="8"/>
          <c:order val="8"/>
          <c:tx>
            <c:strRef>
              <c:f>'May Graph'!$J$3:$J$4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Graph'!$J$5:$J$35</c:f>
              <c:numCache>
                <c:formatCode>General</c:formatCode>
                <c:ptCount val="31"/>
                <c:pt idx="0">
                  <c:v>20</c:v>
                </c:pt>
                <c:pt idx="1">
                  <c:v>26</c:v>
                </c:pt>
                <c:pt idx="2">
                  <c:v>30.54</c:v>
                </c:pt>
                <c:pt idx="3">
                  <c:v>34.96</c:v>
                </c:pt>
                <c:pt idx="4">
                  <c:v>24.06</c:v>
                </c:pt>
                <c:pt idx="5">
                  <c:v>24.84</c:v>
                </c:pt>
                <c:pt idx="6">
                  <c:v>18.989999999999998</c:v>
                </c:pt>
                <c:pt idx="7">
                  <c:v>23.73</c:v>
                </c:pt>
                <c:pt idx="8">
                  <c:v>22.45</c:v>
                </c:pt>
                <c:pt idx="9">
                  <c:v>31.18</c:v>
                </c:pt>
                <c:pt idx="10">
                  <c:v>35.229999999999997</c:v>
                </c:pt>
                <c:pt idx="11">
                  <c:v>14.3</c:v>
                </c:pt>
                <c:pt idx="12">
                  <c:v>20.5</c:v>
                </c:pt>
                <c:pt idx="13">
                  <c:v>20.239999999999998</c:v>
                </c:pt>
                <c:pt idx="14">
                  <c:v>20.92</c:v>
                </c:pt>
                <c:pt idx="15">
                  <c:v>27.29</c:v>
                </c:pt>
                <c:pt idx="16">
                  <c:v>24.71</c:v>
                </c:pt>
                <c:pt idx="17">
                  <c:v>17.29</c:v>
                </c:pt>
                <c:pt idx="18">
                  <c:v>16.78</c:v>
                </c:pt>
                <c:pt idx="19">
                  <c:v>11.01</c:v>
                </c:pt>
                <c:pt idx="20">
                  <c:v>17.899999999999999</c:v>
                </c:pt>
                <c:pt idx="21">
                  <c:v>19.84</c:v>
                </c:pt>
                <c:pt idx="22">
                  <c:v>22.33</c:v>
                </c:pt>
                <c:pt idx="23">
                  <c:v>11.24</c:v>
                </c:pt>
                <c:pt idx="24">
                  <c:v>12.96</c:v>
                </c:pt>
                <c:pt idx="25">
                  <c:v>5.65</c:v>
                </c:pt>
                <c:pt idx="26">
                  <c:v>23.329000000000001</c:v>
                </c:pt>
                <c:pt idx="27">
                  <c:v>16.751999999999999</c:v>
                </c:pt>
                <c:pt idx="28">
                  <c:v>15.953999999999997</c:v>
                </c:pt>
                <c:pt idx="29">
                  <c:v>15.282</c:v>
                </c:pt>
                <c:pt idx="30">
                  <c:v>15.963000000000001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65-460E-9B72-8799B756A779}"/>
            </c:ext>
          </c:extLst>
        </c:ser>
        <c:ser>
          <c:idx val="9"/>
          <c:order val="9"/>
          <c:tx>
            <c:strRef>
              <c:f>'May Graph'!$K$3:$K$4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Graph'!$K$5:$K$35</c:f>
              <c:numCache>
                <c:formatCode>General</c:formatCode>
                <c:ptCount val="31"/>
                <c:pt idx="0">
                  <c:v>24.95</c:v>
                </c:pt>
                <c:pt idx="1">
                  <c:v>38.369999999999997</c:v>
                </c:pt>
                <c:pt idx="2">
                  <c:v>17.23</c:v>
                </c:pt>
                <c:pt idx="3">
                  <c:v>31.14</c:v>
                </c:pt>
                <c:pt idx="4">
                  <c:v>14.26</c:v>
                </c:pt>
                <c:pt idx="5">
                  <c:v>52.53</c:v>
                </c:pt>
                <c:pt idx="6">
                  <c:v>15.69</c:v>
                </c:pt>
                <c:pt idx="7">
                  <c:v>53.55</c:v>
                </c:pt>
                <c:pt idx="8">
                  <c:v>39.18</c:v>
                </c:pt>
                <c:pt idx="9">
                  <c:v>28.79</c:v>
                </c:pt>
                <c:pt idx="10">
                  <c:v>21.45</c:v>
                </c:pt>
                <c:pt idx="11">
                  <c:v>37.14</c:v>
                </c:pt>
                <c:pt idx="12">
                  <c:v>2.1</c:v>
                </c:pt>
                <c:pt idx="13">
                  <c:v>23.32</c:v>
                </c:pt>
                <c:pt idx="14">
                  <c:v>10.73</c:v>
                </c:pt>
                <c:pt idx="15">
                  <c:v>49.8</c:v>
                </c:pt>
                <c:pt idx="16">
                  <c:v>41.24</c:v>
                </c:pt>
                <c:pt idx="17">
                  <c:v>28.23</c:v>
                </c:pt>
                <c:pt idx="18">
                  <c:v>25.15</c:v>
                </c:pt>
                <c:pt idx="19">
                  <c:v>5.53</c:v>
                </c:pt>
                <c:pt idx="20">
                  <c:v>49.76</c:v>
                </c:pt>
                <c:pt idx="21">
                  <c:v>11.87</c:v>
                </c:pt>
                <c:pt idx="22">
                  <c:v>36.96</c:v>
                </c:pt>
                <c:pt idx="23">
                  <c:v>38.130000000000003</c:v>
                </c:pt>
                <c:pt idx="24">
                  <c:v>19.75</c:v>
                </c:pt>
                <c:pt idx="25">
                  <c:v>41.24</c:v>
                </c:pt>
                <c:pt idx="26">
                  <c:v>22.509999999999998</c:v>
                </c:pt>
                <c:pt idx="27">
                  <c:v>28.387</c:v>
                </c:pt>
                <c:pt idx="28">
                  <c:v>32.741</c:v>
                </c:pt>
                <c:pt idx="29">
                  <c:v>32.274000000000001</c:v>
                </c:pt>
                <c:pt idx="30">
                  <c:v>14.530000000000001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365-460E-9B72-8799B756A779}"/>
            </c:ext>
          </c:extLst>
        </c:ser>
        <c:ser>
          <c:idx val="10"/>
          <c:order val="10"/>
          <c:tx>
            <c:strRef>
              <c:f>'May Graph'!$L$3:$L$4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Graph'!$L$5:$L$35</c:f>
              <c:numCache>
                <c:formatCode>General</c:formatCode>
                <c:ptCount val="31"/>
                <c:pt idx="0">
                  <c:v>98.77</c:v>
                </c:pt>
                <c:pt idx="1">
                  <c:v>111.97</c:v>
                </c:pt>
                <c:pt idx="2">
                  <c:v>72.290000000000006</c:v>
                </c:pt>
                <c:pt idx="3">
                  <c:v>101.42</c:v>
                </c:pt>
                <c:pt idx="4">
                  <c:v>128.21</c:v>
                </c:pt>
                <c:pt idx="5">
                  <c:v>116.27000000000001</c:v>
                </c:pt>
                <c:pt idx="6">
                  <c:v>105.85000000000001</c:v>
                </c:pt>
                <c:pt idx="7">
                  <c:v>142.1</c:v>
                </c:pt>
                <c:pt idx="8">
                  <c:v>146.65</c:v>
                </c:pt>
                <c:pt idx="9">
                  <c:v>81.759999999999991</c:v>
                </c:pt>
                <c:pt idx="10">
                  <c:v>178.94</c:v>
                </c:pt>
                <c:pt idx="11">
                  <c:v>103.13</c:v>
                </c:pt>
                <c:pt idx="12">
                  <c:v>0</c:v>
                </c:pt>
                <c:pt idx="13">
                  <c:v>93.3</c:v>
                </c:pt>
                <c:pt idx="14">
                  <c:v>63.540000000000006</c:v>
                </c:pt>
                <c:pt idx="15">
                  <c:v>112.07</c:v>
                </c:pt>
                <c:pt idx="16">
                  <c:v>124.66</c:v>
                </c:pt>
                <c:pt idx="17">
                  <c:v>102.61</c:v>
                </c:pt>
                <c:pt idx="18">
                  <c:v>129.07</c:v>
                </c:pt>
                <c:pt idx="19">
                  <c:v>122.97</c:v>
                </c:pt>
                <c:pt idx="20">
                  <c:v>123.27000000000001</c:v>
                </c:pt>
                <c:pt idx="21">
                  <c:v>141.66</c:v>
                </c:pt>
                <c:pt idx="22">
                  <c:v>104.41</c:v>
                </c:pt>
                <c:pt idx="23">
                  <c:v>74.930000000000007</c:v>
                </c:pt>
                <c:pt idx="24">
                  <c:v>126.92</c:v>
                </c:pt>
                <c:pt idx="25">
                  <c:v>161.88999999999999</c:v>
                </c:pt>
                <c:pt idx="26">
                  <c:v>92.843000000000018</c:v>
                </c:pt>
                <c:pt idx="27">
                  <c:v>127.095</c:v>
                </c:pt>
                <c:pt idx="28">
                  <c:v>100.089</c:v>
                </c:pt>
                <c:pt idx="29">
                  <c:v>116.50900000000004</c:v>
                </c:pt>
                <c:pt idx="30">
                  <c:v>124.62700000000001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365-460E-9B72-8799B756A779}"/>
            </c:ext>
          </c:extLst>
        </c:ser>
        <c:ser>
          <c:idx val="11"/>
          <c:order val="11"/>
          <c:tx>
            <c:strRef>
              <c:f>'May Graph'!$M$3:$M$4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 Graph'!$A$5:$A$35</c:f>
              <c:strCache>
                <c:ptCount val="31"/>
                <c:pt idx="0">
                  <c:v>Sum of 01-05-2024</c:v>
                </c:pt>
                <c:pt idx="1">
                  <c:v>Sum of 02-05-2024</c:v>
                </c:pt>
                <c:pt idx="2">
                  <c:v>Sum of 03-05-2024</c:v>
                </c:pt>
                <c:pt idx="3">
                  <c:v>Sum of 04-05-2024</c:v>
                </c:pt>
                <c:pt idx="4">
                  <c:v>Sum of 05-05-2024</c:v>
                </c:pt>
                <c:pt idx="5">
                  <c:v>Sum of 06-05-2024</c:v>
                </c:pt>
                <c:pt idx="6">
                  <c:v>Sum of 07-05-2024</c:v>
                </c:pt>
                <c:pt idx="7">
                  <c:v>Sum of 08-05-2024</c:v>
                </c:pt>
                <c:pt idx="8">
                  <c:v>Sum of 09-05-2024</c:v>
                </c:pt>
                <c:pt idx="9">
                  <c:v>Sum of 10-05-2024</c:v>
                </c:pt>
                <c:pt idx="10">
                  <c:v>Sum of 11-05-2024</c:v>
                </c:pt>
                <c:pt idx="11">
                  <c:v>Sum of 12-05-2024</c:v>
                </c:pt>
                <c:pt idx="12">
                  <c:v>Sum of 13-05-2024</c:v>
                </c:pt>
                <c:pt idx="13">
                  <c:v>Sum of 14-05-2024</c:v>
                </c:pt>
                <c:pt idx="14">
                  <c:v>Sum of 15-05-2024</c:v>
                </c:pt>
                <c:pt idx="15">
                  <c:v>Sum of 16-05-2024</c:v>
                </c:pt>
                <c:pt idx="16">
                  <c:v>Sum of 17-05-2024</c:v>
                </c:pt>
                <c:pt idx="17">
                  <c:v>Sum of 18-05-2024</c:v>
                </c:pt>
                <c:pt idx="18">
                  <c:v>Sum of 19-05-2024</c:v>
                </c:pt>
                <c:pt idx="19">
                  <c:v>Sum of 20-05-2024</c:v>
                </c:pt>
                <c:pt idx="20">
                  <c:v>Sum of 21-05-2024</c:v>
                </c:pt>
                <c:pt idx="21">
                  <c:v>Sum of 22-05-2024</c:v>
                </c:pt>
                <c:pt idx="22">
                  <c:v>Sum of 23-05-2024</c:v>
                </c:pt>
                <c:pt idx="23">
                  <c:v>Sum of 24-05-2024</c:v>
                </c:pt>
                <c:pt idx="24">
                  <c:v>Sum of 25-05-2024</c:v>
                </c:pt>
                <c:pt idx="25">
                  <c:v>Sum of 26-05-2024</c:v>
                </c:pt>
                <c:pt idx="26">
                  <c:v>Sum of 27-05-2024</c:v>
                </c:pt>
                <c:pt idx="27">
                  <c:v>Sum of 28-05-2024</c:v>
                </c:pt>
                <c:pt idx="28">
                  <c:v>Sum of 29-05-2024</c:v>
                </c:pt>
                <c:pt idx="29">
                  <c:v>Sum of 30-05-2024</c:v>
                </c:pt>
                <c:pt idx="30">
                  <c:v>Sum of 31-05-2024</c:v>
                </c:pt>
              </c:strCache>
            </c:strRef>
          </c:cat>
          <c:val>
            <c:numRef>
              <c:f>'May Graph'!$M$5:$M$35</c:f>
              <c:numCache>
                <c:formatCode>General</c:formatCode>
                <c:ptCount val="31"/>
                <c:pt idx="0">
                  <c:v>69.62</c:v>
                </c:pt>
                <c:pt idx="1">
                  <c:v>159.13</c:v>
                </c:pt>
                <c:pt idx="2">
                  <c:v>185.88</c:v>
                </c:pt>
                <c:pt idx="3">
                  <c:v>155.91</c:v>
                </c:pt>
                <c:pt idx="4">
                  <c:v>182.89</c:v>
                </c:pt>
                <c:pt idx="5">
                  <c:v>125.64</c:v>
                </c:pt>
                <c:pt idx="6">
                  <c:v>159.41999999999999</c:v>
                </c:pt>
                <c:pt idx="7">
                  <c:v>162.69999999999999</c:v>
                </c:pt>
                <c:pt idx="8">
                  <c:v>134.53</c:v>
                </c:pt>
                <c:pt idx="9">
                  <c:v>177.6</c:v>
                </c:pt>
                <c:pt idx="10">
                  <c:v>148.39000000000001</c:v>
                </c:pt>
                <c:pt idx="11">
                  <c:v>77.72</c:v>
                </c:pt>
                <c:pt idx="12">
                  <c:v>76.98</c:v>
                </c:pt>
                <c:pt idx="13">
                  <c:v>71.100000000000009</c:v>
                </c:pt>
                <c:pt idx="14">
                  <c:v>115.24</c:v>
                </c:pt>
                <c:pt idx="15">
                  <c:v>140.79</c:v>
                </c:pt>
                <c:pt idx="16">
                  <c:v>138.08000000000001</c:v>
                </c:pt>
                <c:pt idx="17">
                  <c:v>148.93</c:v>
                </c:pt>
                <c:pt idx="18">
                  <c:v>178.34</c:v>
                </c:pt>
                <c:pt idx="19">
                  <c:v>95.34</c:v>
                </c:pt>
                <c:pt idx="20">
                  <c:v>199.31</c:v>
                </c:pt>
                <c:pt idx="21">
                  <c:v>125.6</c:v>
                </c:pt>
                <c:pt idx="22">
                  <c:v>158.76</c:v>
                </c:pt>
                <c:pt idx="23">
                  <c:v>133.27000000000001</c:v>
                </c:pt>
                <c:pt idx="24">
                  <c:v>139.36000000000001</c:v>
                </c:pt>
                <c:pt idx="25">
                  <c:v>143.88</c:v>
                </c:pt>
                <c:pt idx="26">
                  <c:v>171.26300000000001</c:v>
                </c:pt>
                <c:pt idx="27">
                  <c:v>94.734000000000009</c:v>
                </c:pt>
                <c:pt idx="28">
                  <c:v>189.14600000000002</c:v>
                </c:pt>
                <c:pt idx="29">
                  <c:v>121.96499999999997</c:v>
                </c:pt>
                <c:pt idx="30">
                  <c:v>149.41999999999999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365-460E-9B72-8799B756A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94064"/>
        <c:axId val="455287792"/>
      </c:barChart>
      <c:catAx>
        <c:axId val="45529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87792"/>
        <c:crosses val="autoZero"/>
        <c:auto val="1"/>
        <c:lblAlgn val="ctr"/>
        <c:lblOffset val="100"/>
        <c:noMultiLvlLbl val="0"/>
      </c:catAx>
      <c:valAx>
        <c:axId val="4552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Consumption.xlsx]June Graph!PivotTable9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'June Graph'!$B$2:$B$3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C9C-40C1-A61B-F30C03DFFBAB}"/>
              </c:ext>
            </c:extLst>
          </c:dPt>
          <c:dLbls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9C-40C1-A61B-F30C03DFFB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Graph'!$B$4:$B$33</c:f>
              <c:numCache>
                <c:formatCode>_(* #,##0.00_);_(* \(#,##0.00\);_(* "-"??_);_(@_)</c:formatCode>
                <c:ptCount val="30"/>
                <c:pt idx="0">
                  <c:v>60.704999999999977</c:v>
                </c:pt>
                <c:pt idx="1">
                  <c:v>85.320000000000022</c:v>
                </c:pt>
                <c:pt idx="2">
                  <c:v>60.126000000000005</c:v>
                </c:pt>
                <c:pt idx="3">
                  <c:v>90.430999999999997</c:v>
                </c:pt>
                <c:pt idx="4">
                  <c:v>46.073000000000008</c:v>
                </c:pt>
                <c:pt idx="5">
                  <c:v>18.837</c:v>
                </c:pt>
                <c:pt idx="6">
                  <c:v>18.059999999999999</c:v>
                </c:pt>
                <c:pt idx="7">
                  <c:v>43.782999999999994</c:v>
                </c:pt>
                <c:pt idx="8">
                  <c:v>35.062000000000005</c:v>
                </c:pt>
                <c:pt idx="9">
                  <c:v>48.127000000000002</c:v>
                </c:pt>
                <c:pt idx="10">
                  <c:v>30.368999999999996</c:v>
                </c:pt>
                <c:pt idx="11">
                  <c:v>19.170000000000002</c:v>
                </c:pt>
                <c:pt idx="12">
                  <c:v>18.917000000000002</c:v>
                </c:pt>
                <c:pt idx="13">
                  <c:v>18.794</c:v>
                </c:pt>
                <c:pt idx="14">
                  <c:v>56.327999999999996</c:v>
                </c:pt>
                <c:pt idx="15">
                  <c:v>22.396000000000001</c:v>
                </c:pt>
                <c:pt idx="16">
                  <c:v>36.854999999999997</c:v>
                </c:pt>
                <c:pt idx="17">
                  <c:v>84.38</c:v>
                </c:pt>
                <c:pt idx="18">
                  <c:v>30.019999999999996</c:v>
                </c:pt>
                <c:pt idx="19">
                  <c:v>90.72999999999999</c:v>
                </c:pt>
                <c:pt idx="20">
                  <c:v>34.589999999999996</c:v>
                </c:pt>
                <c:pt idx="21">
                  <c:v>82.01</c:v>
                </c:pt>
                <c:pt idx="22">
                  <c:v>46.01</c:v>
                </c:pt>
                <c:pt idx="23">
                  <c:v>29.82</c:v>
                </c:pt>
                <c:pt idx="24">
                  <c:v>93.143000000000043</c:v>
                </c:pt>
                <c:pt idx="25">
                  <c:v>47.01400000000001</c:v>
                </c:pt>
                <c:pt idx="26">
                  <c:v>55.326999999999998</c:v>
                </c:pt>
                <c:pt idx="27">
                  <c:v>45.110000000000007</c:v>
                </c:pt>
                <c:pt idx="28">
                  <c:v>26.015999999999998</c:v>
                </c:pt>
                <c:pt idx="29">
                  <c:v>40.719000000000001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C-40C1-A61B-F30C03DFFBAB}"/>
            </c:ext>
          </c:extLst>
        </c:ser>
        <c:ser>
          <c:idx val="1"/>
          <c:order val="1"/>
          <c:tx>
            <c:strRef>
              <c:f>'June Graph'!$C$2:$C$3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Graph'!$C$4:$C$33</c:f>
              <c:numCache>
                <c:formatCode>_(* #,##0.00_);_(* \(#,##0.00\);_(* "-"??_);_(@_)</c:formatCode>
                <c:ptCount val="30"/>
                <c:pt idx="0">
                  <c:v>678.83899999999994</c:v>
                </c:pt>
                <c:pt idx="1">
                  <c:v>640.13600000000008</c:v>
                </c:pt>
                <c:pt idx="2">
                  <c:v>744.56799999999998</c:v>
                </c:pt>
                <c:pt idx="3">
                  <c:v>606.42200000000003</c:v>
                </c:pt>
                <c:pt idx="4">
                  <c:v>559.60799999999995</c:v>
                </c:pt>
                <c:pt idx="5">
                  <c:v>621.88400000000001</c:v>
                </c:pt>
                <c:pt idx="6">
                  <c:v>746.82300000000009</c:v>
                </c:pt>
                <c:pt idx="7">
                  <c:v>702.96500000000003</c:v>
                </c:pt>
                <c:pt idx="8">
                  <c:v>559.82500000000005</c:v>
                </c:pt>
                <c:pt idx="9">
                  <c:v>663.30300000000011</c:v>
                </c:pt>
                <c:pt idx="10">
                  <c:v>717.90200000000004</c:v>
                </c:pt>
                <c:pt idx="11">
                  <c:v>671.02700000000004</c:v>
                </c:pt>
                <c:pt idx="12">
                  <c:v>633.36400000000003</c:v>
                </c:pt>
                <c:pt idx="13">
                  <c:v>630.68899999999996</c:v>
                </c:pt>
                <c:pt idx="14">
                  <c:v>664.2650000000001</c:v>
                </c:pt>
                <c:pt idx="15">
                  <c:v>662.94</c:v>
                </c:pt>
                <c:pt idx="16">
                  <c:v>543.77699999999993</c:v>
                </c:pt>
                <c:pt idx="17">
                  <c:v>583.10200000000009</c:v>
                </c:pt>
                <c:pt idx="18">
                  <c:v>498.86199999999997</c:v>
                </c:pt>
                <c:pt idx="19">
                  <c:v>516.80499999999984</c:v>
                </c:pt>
                <c:pt idx="20">
                  <c:v>515.98200000000008</c:v>
                </c:pt>
                <c:pt idx="21">
                  <c:v>582.85299999999995</c:v>
                </c:pt>
                <c:pt idx="22">
                  <c:v>693.38900000000001</c:v>
                </c:pt>
                <c:pt idx="23">
                  <c:v>615.70900000000006</c:v>
                </c:pt>
                <c:pt idx="24">
                  <c:v>616.12499999999989</c:v>
                </c:pt>
                <c:pt idx="25">
                  <c:v>649.29199999999992</c:v>
                </c:pt>
                <c:pt idx="26">
                  <c:v>595.79100000000005</c:v>
                </c:pt>
                <c:pt idx="27">
                  <c:v>640.27</c:v>
                </c:pt>
                <c:pt idx="28">
                  <c:v>613.77199999999993</c:v>
                </c:pt>
                <c:pt idx="29">
                  <c:v>831.07299999999998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C-40C1-A61B-F30C03DFFBAB}"/>
            </c:ext>
          </c:extLst>
        </c:ser>
        <c:ser>
          <c:idx val="2"/>
          <c:order val="2"/>
          <c:tx>
            <c:strRef>
              <c:f>'June Graph'!$D$2:$D$3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Graph'!$D$4:$D$33</c:f>
              <c:numCache>
                <c:formatCode>_(* #,##0.00_);_(* \(#,##0.00\);_(* "-"??_);_(@_)</c:formatCode>
                <c:ptCount val="30"/>
                <c:pt idx="0">
                  <c:v>289.54599999999999</c:v>
                </c:pt>
                <c:pt idx="1">
                  <c:v>197.74499999999998</c:v>
                </c:pt>
                <c:pt idx="2">
                  <c:v>211.435</c:v>
                </c:pt>
                <c:pt idx="3">
                  <c:v>305.29300000000001</c:v>
                </c:pt>
                <c:pt idx="4">
                  <c:v>250.137</c:v>
                </c:pt>
                <c:pt idx="5">
                  <c:v>302</c:v>
                </c:pt>
                <c:pt idx="6">
                  <c:v>430.22400000000005</c:v>
                </c:pt>
                <c:pt idx="7">
                  <c:v>380.55900000000003</c:v>
                </c:pt>
                <c:pt idx="8">
                  <c:v>386.48199999999997</c:v>
                </c:pt>
                <c:pt idx="9">
                  <c:v>454.45400000000001</c:v>
                </c:pt>
                <c:pt idx="10">
                  <c:v>429.34600000000006</c:v>
                </c:pt>
                <c:pt idx="11">
                  <c:v>441.64200000000005</c:v>
                </c:pt>
                <c:pt idx="12">
                  <c:v>582.52399999999989</c:v>
                </c:pt>
                <c:pt idx="13">
                  <c:v>482.20100000000002</c:v>
                </c:pt>
                <c:pt idx="14">
                  <c:v>502.20600000000002</c:v>
                </c:pt>
                <c:pt idx="15">
                  <c:v>472.06600000000003</c:v>
                </c:pt>
                <c:pt idx="16">
                  <c:v>311.166</c:v>
                </c:pt>
                <c:pt idx="17">
                  <c:v>446.23199999999997</c:v>
                </c:pt>
                <c:pt idx="18">
                  <c:v>542.68100000000004</c:v>
                </c:pt>
                <c:pt idx="19">
                  <c:v>601.24000000000012</c:v>
                </c:pt>
                <c:pt idx="20">
                  <c:v>460.49300000000005</c:v>
                </c:pt>
                <c:pt idx="21">
                  <c:v>381.73700000000002</c:v>
                </c:pt>
                <c:pt idx="22">
                  <c:v>449.70500000000015</c:v>
                </c:pt>
                <c:pt idx="23">
                  <c:v>465.6749999999999</c:v>
                </c:pt>
                <c:pt idx="24">
                  <c:v>409.78899999999993</c:v>
                </c:pt>
                <c:pt idx="25">
                  <c:v>574.12300000000016</c:v>
                </c:pt>
                <c:pt idx="26">
                  <c:v>471.88399999999996</c:v>
                </c:pt>
                <c:pt idx="27">
                  <c:v>511.23800000000006</c:v>
                </c:pt>
                <c:pt idx="28">
                  <c:v>561.89899999999989</c:v>
                </c:pt>
                <c:pt idx="29">
                  <c:v>539.69000000000005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C-40C1-A61B-F30C03DFFBAB}"/>
            </c:ext>
          </c:extLst>
        </c:ser>
        <c:ser>
          <c:idx val="3"/>
          <c:order val="3"/>
          <c:tx>
            <c:strRef>
              <c:f>'June Graph'!$E$2:$E$3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Graph'!$E$4:$E$33</c:f>
              <c:numCache>
                <c:formatCode>_(* #,##0.00_);_(* \(#,##0.00\);_(* "-"??_);_(@_)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C-40C1-A61B-F30C03DFFBAB}"/>
            </c:ext>
          </c:extLst>
        </c:ser>
        <c:ser>
          <c:idx val="4"/>
          <c:order val="4"/>
          <c:tx>
            <c:strRef>
              <c:f>'June Graph'!$F$2:$F$3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Graph'!$F$4:$F$33</c:f>
              <c:numCache>
                <c:formatCode>_(* #,##0.00_);_(* \(#,##0.00\);_(* "-"??_);_(@_)</c:formatCode>
                <c:ptCount val="30"/>
                <c:pt idx="0">
                  <c:v>60.66899999999999</c:v>
                </c:pt>
                <c:pt idx="1">
                  <c:v>55.521000000000001</c:v>
                </c:pt>
                <c:pt idx="2">
                  <c:v>41.25500000000001</c:v>
                </c:pt>
                <c:pt idx="3">
                  <c:v>54.172000000000004</c:v>
                </c:pt>
                <c:pt idx="4">
                  <c:v>35.952999999999996</c:v>
                </c:pt>
                <c:pt idx="5">
                  <c:v>31.808</c:v>
                </c:pt>
                <c:pt idx="6">
                  <c:v>42.978999999999999</c:v>
                </c:pt>
                <c:pt idx="7">
                  <c:v>21.312000000000001</c:v>
                </c:pt>
                <c:pt idx="8">
                  <c:v>38.313000000000002</c:v>
                </c:pt>
                <c:pt idx="9">
                  <c:v>37.042000000000002</c:v>
                </c:pt>
                <c:pt idx="10">
                  <c:v>54.891999999999996</c:v>
                </c:pt>
                <c:pt idx="11">
                  <c:v>34.973999999999997</c:v>
                </c:pt>
                <c:pt idx="12">
                  <c:v>33.332000000000001</c:v>
                </c:pt>
                <c:pt idx="13">
                  <c:v>46.652000000000001</c:v>
                </c:pt>
                <c:pt idx="14">
                  <c:v>48.308</c:v>
                </c:pt>
                <c:pt idx="15">
                  <c:v>33.067999999999998</c:v>
                </c:pt>
                <c:pt idx="16">
                  <c:v>60.353999999999992</c:v>
                </c:pt>
                <c:pt idx="17">
                  <c:v>35.170999999999999</c:v>
                </c:pt>
                <c:pt idx="18">
                  <c:v>52.855999999999995</c:v>
                </c:pt>
                <c:pt idx="19">
                  <c:v>38.616999999999997</c:v>
                </c:pt>
                <c:pt idx="20">
                  <c:v>36.939</c:v>
                </c:pt>
                <c:pt idx="21">
                  <c:v>38.615000000000002</c:v>
                </c:pt>
                <c:pt idx="22">
                  <c:v>60.556999999999988</c:v>
                </c:pt>
                <c:pt idx="23">
                  <c:v>30.625</c:v>
                </c:pt>
                <c:pt idx="24">
                  <c:v>47.486000000000004</c:v>
                </c:pt>
                <c:pt idx="25">
                  <c:v>28.314999999999998</c:v>
                </c:pt>
                <c:pt idx="26">
                  <c:v>60.355999999999995</c:v>
                </c:pt>
                <c:pt idx="27">
                  <c:v>56.737999999999992</c:v>
                </c:pt>
                <c:pt idx="28">
                  <c:v>39.556000000000004</c:v>
                </c:pt>
                <c:pt idx="29">
                  <c:v>45.502000000000002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C-40C1-A61B-F30C03DFFBAB}"/>
            </c:ext>
          </c:extLst>
        </c:ser>
        <c:ser>
          <c:idx val="5"/>
          <c:order val="5"/>
          <c:tx>
            <c:strRef>
              <c:f>'June Graph'!$G$2:$G$3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Graph'!$G$4:$G$33</c:f>
              <c:numCache>
                <c:formatCode>_(* #,##0.00_);_(* \(#,##0.00\);_(* "-"??_);_(@_)</c:formatCode>
                <c:ptCount val="30"/>
                <c:pt idx="0">
                  <c:v>1406.3639999999996</c:v>
                </c:pt>
                <c:pt idx="1">
                  <c:v>1376.5440000000001</c:v>
                </c:pt>
                <c:pt idx="2">
                  <c:v>1314.4260000000002</c:v>
                </c:pt>
                <c:pt idx="3">
                  <c:v>1506.6990000000003</c:v>
                </c:pt>
                <c:pt idx="4">
                  <c:v>1295.3570000000002</c:v>
                </c:pt>
                <c:pt idx="5">
                  <c:v>1595.4060000000006</c:v>
                </c:pt>
                <c:pt idx="6">
                  <c:v>1480.3019999999999</c:v>
                </c:pt>
                <c:pt idx="7">
                  <c:v>1334.0520000000001</c:v>
                </c:pt>
                <c:pt idx="8">
                  <c:v>1330.9760000000001</c:v>
                </c:pt>
                <c:pt idx="9">
                  <c:v>1390.4579999999999</c:v>
                </c:pt>
                <c:pt idx="10">
                  <c:v>1452.7090000000003</c:v>
                </c:pt>
                <c:pt idx="11">
                  <c:v>1410.691</c:v>
                </c:pt>
                <c:pt idx="12">
                  <c:v>1443.8769999999995</c:v>
                </c:pt>
                <c:pt idx="13">
                  <c:v>1508.3409999999999</c:v>
                </c:pt>
                <c:pt idx="14">
                  <c:v>1596.9080000000001</c:v>
                </c:pt>
                <c:pt idx="15">
                  <c:v>1519.8519999999994</c:v>
                </c:pt>
                <c:pt idx="16">
                  <c:v>1211.9160000000002</c:v>
                </c:pt>
                <c:pt idx="17">
                  <c:v>1631.0689999999997</c:v>
                </c:pt>
                <c:pt idx="18">
                  <c:v>1427.8099999999997</c:v>
                </c:pt>
                <c:pt idx="19">
                  <c:v>1635.0059999999999</c:v>
                </c:pt>
                <c:pt idx="20">
                  <c:v>1703.8880000000001</c:v>
                </c:pt>
                <c:pt idx="21">
                  <c:v>1446.7630000000004</c:v>
                </c:pt>
                <c:pt idx="22">
                  <c:v>1512.0040000000004</c:v>
                </c:pt>
                <c:pt idx="23">
                  <c:v>1590.3880000000004</c:v>
                </c:pt>
                <c:pt idx="24">
                  <c:v>1755.8050000000001</c:v>
                </c:pt>
                <c:pt idx="25">
                  <c:v>1643.2749999999996</c:v>
                </c:pt>
                <c:pt idx="26">
                  <c:v>1583.6780000000001</c:v>
                </c:pt>
                <c:pt idx="27">
                  <c:v>1420.855</c:v>
                </c:pt>
                <c:pt idx="28">
                  <c:v>1547.4019999999998</c:v>
                </c:pt>
                <c:pt idx="29">
                  <c:v>1374.6200000000001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C-40C1-A61B-F30C03DFFBAB}"/>
            </c:ext>
          </c:extLst>
        </c:ser>
        <c:ser>
          <c:idx val="6"/>
          <c:order val="6"/>
          <c:tx>
            <c:strRef>
              <c:f>'June Graph'!$H$2:$H$3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Graph'!$H$4:$H$33</c:f>
              <c:numCache>
                <c:formatCode>_(* #,##0.00_);_(* \(#,##0.00\);_(* "-"??_);_(@_)</c:formatCode>
                <c:ptCount val="30"/>
                <c:pt idx="0">
                  <c:v>362.46300000000014</c:v>
                </c:pt>
                <c:pt idx="1">
                  <c:v>452.41100000000012</c:v>
                </c:pt>
                <c:pt idx="2">
                  <c:v>298.70900000000006</c:v>
                </c:pt>
                <c:pt idx="3">
                  <c:v>225.67100000000005</c:v>
                </c:pt>
                <c:pt idx="4">
                  <c:v>374.2609999999998</c:v>
                </c:pt>
                <c:pt idx="5">
                  <c:v>368.7639999999999</c:v>
                </c:pt>
                <c:pt idx="6">
                  <c:v>340.53700000000009</c:v>
                </c:pt>
                <c:pt idx="7">
                  <c:v>494.35799999999978</c:v>
                </c:pt>
                <c:pt idx="8">
                  <c:v>441.25200000000007</c:v>
                </c:pt>
                <c:pt idx="9">
                  <c:v>342.89299999999992</c:v>
                </c:pt>
                <c:pt idx="10">
                  <c:v>331.24899999999997</c:v>
                </c:pt>
                <c:pt idx="11">
                  <c:v>367.21699999999976</c:v>
                </c:pt>
                <c:pt idx="12">
                  <c:v>325.6819999999999</c:v>
                </c:pt>
                <c:pt idx="13">
                  <c:v>337.17999999999972</c:v>
                </c:pt>
                <c:pt idx="14">
                  <c:v>400.59800000000007</c:v>
                </c:pt>
                <c:pt idx="15">
                  <c:v>552.97999999999979</c:v>
                </c:pt>
                <c:pt idx="16">
                  <c:v>494.17200000000014</c:v>
                </c:pt>
                <c:pt idx="17">
                  <c:v>300.8180000000001</c:v>
                </c:pt>
                <c:pt idx="18">
                  <c:v>164.72900000000001</c:v>
                </c:pt>
                <c:pt idx="19">
                  <c:v>428.42599999999987</c:v>
                </c:pt>
                <c:pt idx="20">
                  <c:v>320.75099999999986</c:v>
                </c:pt>
                <c:pt idx="21">
                  <c:v>347.24999999999983</c:v>
                </c:pt>
                <c:pt idx="22">
                  <c:v>505.13100000000009</c:v>
                </c:pt>
                <c:pt idx="23">
                  <c:v>338.87099999999992</c:v>
                </c:pt>
                <c:pt idx="24">
                  <c:v>200.49999999999994</c:v>
                </c:pt>
                <c:pt idx="25">
                  <c:v>342.94599999999997</c:v>
                </c:pt>
                <c:pt idx="26">
                  <c:v>360.89100000000008</c:v>
                </c:pt>
                <c:pt idx="27">
                  <c:v>359.50299999999993</c:v>
                </c:pt>
                <c:pt idx="28">
                  <c:v>445.67899999999992</c:v>
                </c:pt>
                <c:pt idx="29">
                  <c:v>437.28000000000003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9C-40C1-A61B-F30C03DFFBAB}"/>
            </c:ext>
          </c:extLst>
        </c:ser>
        <c:ser>
          <c:idx val="7"/>
          <c:order val="7"/>
          <c:tx>
            <c:strRef>
              <c:f>'June Graph'!$I$2:$I$3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Graph'!$I$4:$I$33</c:f>
              <c:numCache>
                <c:formatCode>_(* #,##0.00_);_(* \(#,##0.00\);_(* "-"??_);_(@_)</c:formatCode>
                <c:ptCount val="30"/>
                <c:pt idx="0">
                  <c:v>81.986999999999981</c:v>
                </c:pt>
                <c:pt idx="1">
                  <c:v>32.458000000000006</c:v>
                </c:pt>
                <c:pt idx="2">
                  <c:v>56.978999999999999</c:v>
                </c:pt>
                <c:pt idx="3">
                  <c:v>86.382000000000019</c:v>
                </c:pt>
                <c:pt idx="4">
                  <c:v>63.963000000000008</c:v>
                </c:pt>
                <c:pt idx="5">
                  <c:v>105.02900000000004</c:v>
                </c:pt>
                <c:pt idx="6">
                  <c:v>89.885999999999996</c:v>
                </c:pt>
                <c:pt idx="7">
                  <c:v>85.858000000000018</c:v>
                </c:pt>
                <c:pt idx="8">
                  <c:v>37.676999999999985</c:v>
                </c:pt>
                <c:pt idx="9">
                  <c:v>0</c:v>
                </c:pt>
                <c:pt idx="10">
                  <c:v>18.732000000000003</c:v>
                </c:pt>
                <c:pt idx="11">
                  <c:v>82.834000000000017</c:v>
                </c:pt>
                <c:pt idx="12">
                  <c:v>74.2</c:v>
                </c:pt>
                <c:pt idx="13">
                  <c:v>53.854000000000006</c:v>
                </c:pt>
                <c:pt idx="14">
                  <c:v>46.592999999999989</c:v>
                </c:pt>
                <c:pt idx="15">
                  <c:v>38.385999999999996</c:v>
                </c:pt>
                <c:pt idx="16">
                  <c:v>30.018000000000004</c:v>
                </c:pt>
                <c:pt idx="17">
                  <c:v>61.083000000000013</c:v>
                </c:pt>
                <c:pt idx="18">
                  <c:v>61.657000000000011</c:v>
                </c:pt>
                <c:pt idx="19">
                  <c:v>57.29999999999999</c:v>
                </c:pt>
                <c:pt idx="20">
                  <c:v>49.615000000000009</c:v>
                </c:pt>
                <c:pt idx="21">
                  <c:v>68.853000000000009</c:v>
                </c:pt>
                <c:pt idx="22">
                  <c:v>18.622999999999998</c:v>
                </c:pt>
                <c:pt idx="23">
                  <c:v>58.523999999999994</c:v>
                </c:pt>
                <c:pt idx="24">
                  <c:v>83.000000000000028</c:v>
                </c:pt>
                <c:pt idx="25">
                  <c:v>68.045000000000002</c:v>
                </c:pt>
                <c:pt idx="26">
                  <c:v>75.736000000000018</c:v>
                </c:pt>
                <c:pt idx="27">
                  <c:v>58.998999999999995</c:v>
                </c:pt>
                <c:pt idx="28">
                  <c:v>21.266999999999999</c:v>
                </c:pt>
                <c:pt idx="29">
                  <c:v>2.09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9C-40C1-A61B-F30C03DFFBAB}"/>
            </c:ext>
          </c:extLst>
        </c:ser>
        <c:ser>
          <c:idx val="8"/>
          <c:order val="8"/>
          <c:tx>
            <c:strRef>
              <c:f>'June Graph'!$J$2:$J$3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Graph'!$J$4:$J$33</c:f>
              <c:numCache>
                <c:formatCode>_(* #,##0.00_);_(* \(#,##0.00\);_(* "-"??_);_(@_)</c:formatCode>
                <c:ptCount val="30"/>
                <c:pt idx="0">
                  <c:v>17.426000000000002</c:v>
                </c:pt>
                <c:pt idx="1">
                  <c:v>14.012999999999998</c:v>
                </c:pt>
                <c:pt idx="2">
                  <c:v>10.543999999999999</c:v>
                </c:pt>
                <c:pt idx="3">
                  <c:v>10.267999999999999</c:v>
                </c:pt>
                <c:pt idx="4">
                  <c:v>9.5830000000000002</c:v>
                </c:pt>
                <c:pt idx="5">
                  <c:v>4.6909999999999998</c:v>
                </c:pt>
                <c:pt idx="6">
                  <c:v>7.6910000000000007</c:v>
                </c:pt>
                <c:pt idx="7">
                  <c:v>10.602</c:v>
                </c:pt>
                <c:pt idx="8">
                  <c:v>8.9789999999999992</c:v>
                </c:pt>
                <c:pt idx="9">
                  <c:v>12.777999999999999</c:v>
                </c:pt>
                <c:pt idx="10">
                  <c:v>12.969000000000001</c:v>
                </c:pt>
                <c:pt idx="11">
                  <c:v>22.423000000000002</c:v>
                </c:pt>
                <c:pt idx="12">
                  <c:v>30.951000000000004</c:v>
                </c:pt>
                <c:pt idx="13">
                  <c:v>23.697000000000003</c:v>
                </c:pt>
                <c:pt idx="14">
                  <c:v>12.286000000000001</c:v>
                </c:pt>
                <c:pt idx="15">
                  <c:v>9.3330000000000002</c:v>
                </c:pt>
                <c:pt idx="16">
                  <c:v>6.7469999999999999</c:v>
                </c:pt>
                <c:pt idx="17">
                  <c:v>18.266000000000002</c:v>
                </c:pt>
                <c:pt idx="18">
                  <c:v>12.381</c:v>
                </c:pt>
                <c:pt idx="19">
                  <c:v>9.9280000000000008</c:v>
                </c:pt>
                <c:pt idx="20">
                  <c:v>12.982000000000001</c:v>
                </c:pt>
                <c:pt idx="21">
                  <c:v>10.141999999999999</c:v>
                </c:pt>
                <c:pt idx="22">
                  <c:v>13.483000000000001</c:v>
                </c:pt>
                <c:pt idx="23">
                  <c:v>12.562999999999999</c:v>
                </c:pt>
                <c:pt idx="24">
                  <c:v>12.133000000000001</c:v>
                </c:pt>
                <c:pt idx="25">
                  <c:v>10.643000000000001</c:v>
                </c:pt>
                <c:pt idx="26">
                  <c:v>11.326000000000001</c:v>
                </c:pt>
                <c:pt idx="27">
                  <c:v>9.9439999999999991</c:v>
                </c:pt>
                <c:pt idx="28">
                  <c:v>4.8479999999999999</c:v>
                </c:pt>
                <c:pt idx="29">
                  <c:v>16.393000000000001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9C-40C1-A61B-F30C03DFFBAB}"/>
            </c:ext>
          </c:extLst>
        </c:ser>
        <c:ser>
          <c:idx val="9"/>
          <c:order val="9"/>
          <c:tx>
            <c:strRef>
              <c:f>'June Graph'!$K$2:$K$3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Graph'!$K$4:$K$33</c:f>
              <c:numCache>
                <c:formatCode>_(* #,##0.00_);_(* \(#,##0.00\);_(* "-"??_);_(@_)</c:formatCode>
                <c:ptCount val="30"/>
                <c:pt idx="0">
                  <c:v>45.093000000000004</c:v>
                </c:pt>
                <c:pt idx="1">
                  <c:v>25.456</c:v>
                </c:pt>
                <c:pt idx="2">
                  <c:v>19.960999999999999</c:v>
                </c:pt>
                <c:pt idx="3">
                  <c:v>65.483999999999995</c:v>
                </c:pt>
                <c:pt idx="4">
                  <c:v>35.512</c:v>
                </c:pt>
                <c:pt idx="5">
                  <c:v>35.408000000000001</c:v>
                </c:pt>
                <c:pt idx="6">
                  <c:v>17.722999999999999</c:v>
                </c:pt>
                <c:pt idx="7">
                  <c:v>37.375999999999998</c:v>
                </c:pt>
                <c:pt idx="8">
                  <c:v>31.4</c:v>
                </c:pt>
                <c:pt idx="9">
                  <c:v>22.916</c:v>
                </c:pt>
                <c:pt idx="10">
                  <c:v>18.177999999999997</c:v>
                </c:pt>
                <c:pt idx="11">
                  <c:v>58.491999999999997</c:v>
                </c:pt>
                <c:pt idx="12">
                  <c:v>20.175000000000001</c:v>
                </c:pt>
                <c:pt idx="13">
                  <c:v>27.845000000000002</c:v>
                </c:pt>
                <c:pt idx="14">
                  <c:v>29.877000000000002</c:v>
                </c:pt>
                <c:pt idx="15">
                  <c:v>52.015999999999998</c:v>
                </c:pt>
                <c:pt idx="16">
                  <c:v>42.652000000000001</c:v>
                </c:pt>
                <c:pt idx="17">
                  <c:v>23.265999999999998</c:v>
                </c:pt>
                <c:pt idx="18">
                  <c:v>47.512999999999998</c:v>
                </c:pt>
                <c:pt idx="19">
                  <c:v>11.891999999999999</c:v>
                </c:pt>
                <c:pt idx="20">
                  <c:v>37.894000000000005</c:v>
                </c:pt>
                <c:pt idx="21">
                  <c:v>38.787000000000006</c:v>
                </c:pt>
                <c:pt idx="22">
                  <c:v>11.366000000000001</c:v>
                </c:pt>
                <c:pt idx="23">
                  <c:v>35.331000000000003</c:v>
                </c:pt>
                <c:pt idx="24">
                  <c:v>35.659999999999997</c:v>
                </c:pt>
                <c:pt idx="25">
                  <c:v>27.433</c:v>
                </c:pt>
                <c:pt idx="26">
                  <c:v>29.887</c:v>
                </c:pt>
                <c:pt idx="27">
                  <c:v>36.596999999999994</c:v>
                </c:pt>
                <c:pt idx="28">
                  <c:v>30.191000000000003</c:v>
                </c:pt>
                <c:pt idx="29">
                  <c:v>37.707999999999998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9C-40C1-A61B-F30C03DFFBAB}"/>
            </c:ext>
          </c:extLst>
        </c:ser>
        <c:ser>
          <c:idx val="10"/>
          <c:order val="10"/>
          <c:tx>
            <c:strRef>
              <c:f>'June Graph'!$L$2:$L$3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Graph'!$L$4:$L$33</c:f>
              <c:numCache>
                <c:formatCode>_(* #,##0.00_);_(* \(#,##0.00\);_(* "-"??_);_(@_)</c:formatCode>
                <c:ptCount val="30"/>
                <c:pt idx="0">
                  <c:v>92.290999999999997</c:v>
                </c:pt>
                <c:pt idx="1">
                  <c:v>104.59599999999999</c:v>
                </c:pt>
                <c:pt idx="2">
                  <c:v>101.748</c:v>
                </c:pt>
                <c:pt idx="3">
                  <c:v>122.43599999999998</c:v>
                </c:pt>
                <c:pt idx="4">
                  <c:v>121.33099999999999</c:v>
                </c:pt>
                <c:pt idx="5">
                  <c:v>118.55200000000002</c:v>
                </c:pt>
                <c:pt idx="6">
                  <c:v>99.055000000000007</c:v>
                </c:pt>
                <c:pt idx="7">
                  <c:v>84.874000000000009</c:v>
                </c:pt>
                <c:pt idx="8">
                  <c:v>127.626</c:v>
                </c:pt>
                <c:pt idx="9">
                  <c:v>98.676999999999992</c:v>
                </c:pt>
                <c:pt idx="10">
                  <c:v>113.413</c:v>
                </c:pt>
                <c:pt idx="11">
                  <c:v>51.018999999999998</c:v>
                </c:pt>
                <c:pt idx="12">
                  <c:v>76.39800000000001</c:v>
                </c:pt>
                <c:pt idx="13">
                  <c:v>104.03099999999999</c:v>
                </c:pt>
                <c:pt idx="14">
                  <c:v>109.398</c:v>
                </c:pt>
                <c:pt idx="15">
                  <c:v>85.664000000000016</c:v>
                </c:pt>
                <c:pt idx="16">
                  <c:v>121.72400000000003</c:v>
                </c:pt>
                <c:pt idx="17">
                  <c:v>108.831</c:v>
                </c:pt>
                <c:pt idx="18">
                  <c:v>109.00599999999997</c:v>
                </c:pt>
                <c:pt idx="19">
                  <c:v>116.15699999999998</c:v>
                </c:pt>
                <c:pt idx="20">
                  <c:v>105.85399999999998</c:v>
                </c:pt>
                <c:pt idx="21">
                  <c:v>133.036</c:v>
                </c:pt>
                <c:pt idx="22">
                  <c:v>79.697000000000003</c:v>
                </c:pt>
                <c:pt idx="23">
                  <c:v>137.226</c:v>
                </c:pt>
                <c:pt idx="24">
                  <c:v>119.58000000000001</c:v>
                </c:pt>
                <c:pt idx="25">
                  <c:v>136.34300000000002</c:v>
                </c:pt>
                <c:pt idx="26">
                  <c:v>109.80999999999999</c:v>
                </c:pt>
                <c:pt idx="27">
                  <c:v>100.71000000000002</c:v>
                </c:pt>
                <c:pt idx="28">
                  <c:v>120.57499999999999</c:v>
                </c:pt>
                <c:pt idx="29">
                  <c:v>41.192999999999998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9C-40C1-A61B-F30C03DFFBAB}"/>
            </c:ext>
          </c:extLst>
        </c:ser>
        <c:ser>
          <c:idx val="11"/>
          <c:order val="11"/>
          <c:tx>
            <c:strRef>
              <c:f>'June Graph'!$M$2:$M$3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Graph'!$M$4:$M$33</c:f>
              <c:numCache>
                <c:formatCode>_(* #,##0.00_);_(* \(#,##0.00\);_(* "-"??_);_(@_)</c:formatCode>
                <c:ptCount val="30"/>
                <c:pt idx="0">
                  <c:v>63.72999999999999</c:v>
                </c:pt>
                <c:pt idx="1">
                  <c:v>107.74200000000002</c:v>
                </c:pt>
                <c:pt idx="2">
                  <c:v>126.226</c:v>
                </c:pt>
                <c:pt idx="3">
                  <c:v>154.80100000000002</c:v>
                </c:pt>
                <c:pt idx="4">
                  <c:v>141.79500000000002</c:v>
                </c:pt>
                <c:pt idx="5">
                  <c:v>109.30099999999999</c:v>
                </c:pt>
                <c:pt idx="6">
                  <c:v>133.29599999999999</c:v>
                </c:pt>
                <c:pt idx="7">
                  <c:v>124.03700000000002</c:v>
                </c:pt>
                <c:pt idx="8">
                  <c:v>127.74</c:v>
                </c:pt>
                <c:pt idx="9">
                  <c:v>148.28900000000002</c:v>
                </c:pt>
                <c:pt idx="10">
                  <c:v>118.59400000000002</c:v>
                </c:pt>
                <c:pt idx="11">
                  <c:v>126.20699999999999</c:v>
                </c:pt>
                <c:pt idx="12">
                  <c:v>112.46299999999999</c:v>
                </c:pt>
                <c:pt idx="13">
                  <c:v>155.16999999999999</c:v>
                </c:pt>
                <c:pt idx="14">
                  <c:v>109.97900000000001</c:v>
                </c:pt>
                <c:pt idx="15">
                  <c:v>113.64100000000001</c:v>
                </c:pt>
                <c:pt idx="16">
                  <c:v>136.548</c:v>
                </c:pt>
                <c:pt idx="17">
                  <c:v>140.02499999999998</c:v>
                </c:pt>
                <c:pt idx="18">
                  <c:v>86.346999999999994</c:v>
                </c:pt>
                <c:pt idx="19">
                  <c:v>113.98700000000002</c:v>
                </c:pt>
                <c:pt idx="20">
                  <c:v>155.77199999999999</c:v>
                </c:pt>
                <c:pt idx="21">
                  <c:v>87.789999999999992</c:v>
                </c:pt>
                <c:pt idx="22">
                  <c:v>112.60800000000003</c:v>
                </c:pt>
                <c:pt idx="23">
                  <c:v>171.916</c:v>
                </c:pt>
                <c:pt idx="24">
                  <c:v>93.7</c:v>
                </c:pt>
                <c:pt idx="25">
                  <c:v>159.50000000000003</c:v>
                </c:pt>
                <c:pt idx="26">
                  <c:v>112.26899999999996</c:v>
                </c:pt>
                <c:pt idx="27">
                  <c:v>144.761</c:v>
                </c:pt>
                <c:pt idx="28">
                  <c:v>93.561000000000007</c:v>
                </c:pt>
                <c:pt idx="29">
                  <c:v>108.57599999999999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9C-40C1-A61B-F30C03DFF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93280"/>
        <c:axId val="455294456"/>
      </c:barChart>
      <c:catAx>
        <c:axId val="45529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4456"/>
        <c:crosses val="autoZero"/>
        <c:auto val="1"/>
        <c:lblAlgn val="ctr"/>
        <c:lblOffset val="100"/>
        <c:noMultiLvlLbl val="0"/>
      </c:catAx>
      <c:valAx>
        <c:axId val="45529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Consumption.xlsx]June Graph!PivotTable9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'June Graph'!$B$2:$B$3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4530-4E41-94C5-9828DB346019}"/>
              </c:ext>
            </c:extLst>
          </c:dPt>
          <c:dLbls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30-4E41-94C5-9828DB3460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Graph'!$B$4:$B$33</c:f>
              <c:numCache>
                <c:formatCode>_(* #,##0.00_);_(* \(#,##0.00\);_(* "-"??_);_(@_)</c:formatCode>
                <c:ptCount val="30"/>
                <c:pt idx="0">
                  <c:v>60.704999999999977</c:v>
                </c:pt>
                <c:pt idx="1">
                  <c:v>85.320000000000022</c:v>
                </c:pt>
                <c:pt idx="2">
                  <c:v>60.126000000000005</c:v>
                </c:pt>
                <c:pt idx="3">
                  <c:v>90.430999999999997</c:v>
                </c:pt>
                <c:pt idx="4">
                  <c:v>46.073000000000008</c:v>
                </c:pt>
                <c:pt idx="5">
                  <c:v>18.837</c:v>
                </c:pt>
                <c:pt idx="6">
                  <c:v>18.059999999999999</c:v>
                </c:pt>
                <c:pt idx="7">
                  <c:v>43.782999999999994</c:v>
                </c:pt>
                <c:pt idx="8">
                  <c:v>35.062000000000005</c:v>
                </c:pt>
                <c:pt idx="9">
                  <c:v>48.127000000000002</c:v>
                </c:pt>
                <c:pt idx="10">
                  <c:v>30.368999999999996</c:v>
                </c:pt>
                <c:pt idx="11">
                  <c:v>19.170000000000002</c:v>
                </c:pt>
                <c:pt idx="12">
                  <c:v>18.917000000000002</c:v>
                </c:pt>
                <c:pt idx="13">
                  <c:v>18.794</c:v>
                </c:pt>
                <c:pt idx="14">
                  <c:v>56.327999999999996</c:v>
                </c:pt>
                <c:pt idx="15">
                  <c:v>22.396000000000001</c:v>
                </c:pt>
                <c:pt idx="16">
                  <c:v>36.854999999999997</c:v>
                </c:pt>
                <c:pt idx="17">
                  <c:v>84.38</c:v>
                </c:pt>
                <c:pt idx="18">
                  <c:v>30.019999999999996</c:v>
                </c:pt>
                <c:pt idx="19">
                  <c:v>90.72999999999999</c:v>
                </c:pt>
                <c:pt idx="20">
                  <c:v>34.589999999999996</c:v>
                </c:pt>
                <c:pt idx="21">
                  <c:v>82.01</c:v>
                </c:pt>
                <c:pt idx="22">
                  <c:v>46.01</c:v>
                </c:pt>
                <c:pt idx="23">
                  <c:v>29.82</c:v>
                </c:pt>
                <c:pt idx="24">
                  <c:v>93.143000000000043</c:v>
                </c:pt>
                <c:pt idx="25">
                  <c:v>47.01400000000001</c:v>
                </c:pt>
                <c:pt idx="26">
                  <c:v>55.326999999999998</c:v>
                </c:pt>
                <c:pt idx="27">
                  <c:v>45.110000000000007</c:v>
                </c:pt>
                <c:pt idx="28">
                  <c:v>26.015999999999998</c:v>
                </c:pt>
                <c:pt idx="29">
                  <c:v>40.719000000000001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0-4E41-94C5-9828DB346019}"/>
            </c:ext>
          </c:extLst>
        </c:ser>
        <c:ser>
          <c:idx val="1"/>
          <c:order val="1"/>
          <c:tx>
            <c:strRef>
              <c:f>'June Graph'!$C$2:$C$3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Graph'!$C$4:$C$33</c:f>
              <c:numCache>
                <c:formatCode>_(* #,##0.00_);_(* \(#,##0.00\);_(* "-"??_);_(@_)</c:formatCode>
                <c:ptCount val="30"/>
                <c:pt idx="0">
                  <c:v>678.83899999999994</c:v>
                </c:pt>
                <c:pt idx="1">
                  <c:v>640.13600000000008</c:v>
                </c:pt>
                <c:pt idx="2">
                  <c:v>744.56799999999998</c:v>
                </c:pt>
                <c:pt idx="3">
                  <c:v>606.42200000000003</c:v>
                </c:pt>
                <c:pt idx="4">
                  <c:v>559.60799999999995</c:v>
                </c:pt>
                <c:pt idx="5">
                  <c:v>621.88400000000001</c:v>
                </c:pt>
                <c:pt idx="6">
                  <c:v>746.82300000000009</c:v>
                </c:pt>
                <c:pt idx="7">
                  <c:v>702.96500000000003</c:v>
                </c:pt>
                <c:pt idx="8">
                  <c:v>559.82500000000005</c:v>
                </c:pt>
                <c:pt idx="9">
                  <c:v>663.30300000000011</c:v>
                </c:pt>
                <c:pt idx="10">
                  <c:v>717.90200000000004</c:v>
                </c:pt>
                <c:pt idx="11">
                  <c:v>671.02700000000004</c:v>
                </c:pt>
                <c:pt idx="12">
                  <c:v>633.36400000000003</c:v>
                </c:pt>
                <c:pt idx="13">
                  <c:v>630.68899999999996</c:v>
                </c:pt>
                <c:pt idx="14">
                  <c:v>664.2650000000001</c:v>
                </c:pt>
                <c:pt idx="15">
                  <c:v>662.94</c:v>
                </c:pt>
                <c:pt idx="16">
                  <c:v>543.77699999999993</c:v>
                </c:pt>
                <c:pt idx="17">
                  <c:v>583.10200000000009</c:v>
                </c:pt>
                <c:pt idx="18">
                  <c:v>498.86199999999997</c:v>
                </c:pt>
                <c:pt idx="19">
                  <c:v>516.80499999999984</c:v>
                </c:pt>
                <c:pt idx="20">
                  <c:v>515.98200000000008</c:v>
                </c:pt>
                <c:pt idx="21">
                  <c:v>582.85299999999995</c:v>
                </c:pt>
                <c:pt idx="22">
                  <c:v>693.38900000000001</c:v>
                </c:pt>
                <c:pt idx="23">
                  <c:v>615.70900000000006</c:v>
                </c:pt>
                <c:pt idx="24">
                  <c:v>616.12499999999989</c:v>
                </c:pt>
                <c:pt idx="25">
                  <c:v>649.29199999999992</c:v>
                </c:pt>
                <c:pt idx="26">
                  <c:v>595.79100000000005</c:v>
                </c:pt>
                <c:pt idx="27">
                  <c:v>640.27</c:v>
                </c:pt>
                <c:pt idx="28">
                  <c:v>613.77199999999993</c:v>
                </c:pt>
                <c:pt idx="29">
                  <c:v>831.07299999999998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0-4E41-94C5-9828DB346019}"/>
            </c:ext>
          </c:extLst>
        </c:ser>
        <c:ser>
          <c:idx val="2"/>
          <c:order val="2"/>
          <c:tx>
            <c:strRef>
              <c:f>'June Graph'!$D$2:$D$3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Graph'!$D$4:$D$33</c:f>
              <c:numCache>
                <c:formatCode>_(* #,##0.00_);_(* \(#,##0.00\);_(* "-"??_);_(@_)</c:formatCode>
                <c:ptCount val="30"/>
                <c:pt idx="0">
                  <c:v>289.54599999999999</c:v>
                </c:pt>
                <c:pt idx="1">
                  <c:v>197.74499999999998</c:v>
                </c:pt>
                <c:pt idx="2">
                  <c:v>211.435</c:v>
                </c:pt>
                <c:pt idx="3">
                  <c:v>305.29300000000001</c:v>
                </c:pt>
                <c:pt idx="4">
                  <c:v>250.137</c:v>
                </c:pt>
                <c:pt idx="5">
                  <c:v>302</c:v>
                </c:pt>
                <c:pt idx="6">
                  <c:v>430.22400000000005</c:v>
                </c:pt>
                <c:pt idx="7">
                  <c:v>380.55900000000003</c:v>
                </c:pt>
                <c:pt idx="8">
                  <c:v>386.48199999999997</c:v>
                </c:pt>
                <c:pt idx="9">
                  <c:v>454.45400000000001</c:v>
                </c:pt>
                <c:pt idx="10">
                  <c:v>429.34600000000006</c:v>
                </c:pt>
                <c:pt idx="11">
                  <c:v>441.64200000000005</c:v>
                </c:pt>
                <c:pt idx="12">
                  <c:v>582.52399999999989</c:v>
                </c:pt>
                <c:pt idx="13">
                  <c:v>482.20100000000002</c:v>
                </c:pt>
                <c:pt idx="14">
                  <c:v>502.20600000000002</c:v>
                </c:pt>
                <c:pt idx="15">
                  <c:v>472.06600000000003</c:v>
                </c:pt>
                <c:pt idx="16">
                  <c:v>311.166</c:v>
                </c:pt>
                <c:pt idx="17">
                  <c:v>446.23199999999997</c:v>
                </c:pt>
                <c:pt idx="18">
                  <c:v>542.68100000000004</c:v>
                </c:pt>
                <c:pt idx="19">
                  <c:v>601.24000000000012</c:v>
                </c:pt>
                <c:pt idx="20">
                  <c:v>460.49300000000005</c:v>
                </c:pt>
                <c:pt idx="21">
                  <c:v>381.73700000000002</c:v>
                </c:pt>
                <c:pt idx="22">
                  <c:v>449.70500000000015</c:v>
                </c:pt>
                <c:pt idx="23">
                  <c:v>465.6749999999999</c:v>
                </c:pt>
                <c:pt idx="24">
                  <c:v>409.78899999999993</c:v>
                </c:pt>
                <c:pt idx="25">
                  <c:v>574.12300000000016</c:v>
                </c:pt>
                <c:pt idx="26">
                  <c:v>471.88399999999996</c:v>
                </c:pt>
                <c:pt idx="27">
                  <c:v>511.23800000000006</c:v>
                </c:pt>
                <c:pt idx="28">
                  <c:v>561.89899999999989</c:v>
                </c:pt>
                <c:pt idx="29">
                  <c:v>539.69000000000005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0-4E41-94C5-9828DB346019}"/>
            </c:ext>
          </c:extLst>
        </c:ser>
        <c:ser>
          <c:idx val="3"/>
          <c:order val="3"/>
          <c:tx>
            <c:strRef>
              <c:f>'June Graph'!$E$2:$E$3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Graph'!$E$4:$E$33</c:f>
              <c:numCache>
                <c:formatCode>_(* #,##0.00_);_(* \(#,##0.00\);_(* "-"??_);_(@_)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30-4E41-94C5-9828DB346019}"/>
            </c:ext>
          </c:extLst>
        </c:ser>
        <c:ser>
          <c:idx val="4"/>
          <c:order val="4"/>
          <c:tx>
            <c:strRef>
              <c:f>'June Graph'!$F$2:$F$3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Graph'!$F$4:$F$33</c:f>
              <c:numCache>
                <c:formatCode>_(* #,##0.00_);_(* \(#,##0.00\);_(* "-"??_);_(@_)</c:formatCode>
                <c:ptCount val="30"/>
                <c:pt idx="0">
                  <c:v>60.66899999999999</c:v>
                </c:pt>
                <c:pt idx="1">
                  <c:v>55.521000000000001</c:v>
                </c:pt>
                <c:pt idx="2">
                  <c:v>41.25500000000001</c:v>
                </c:pt>
                <c:pt idx="3">
                  <c:v>54.172000000000004</c:v>
                </c:pt>
                <c:pt idx="4">
                  <c:v>35.952999999999996</c:v>
                </c:pt>
                <c:pt idx="5">
                  <c:v>31.808</c:v>
                </c:pt>
                <c:pt idx="6">
                  <c:v>42.978999999999999</c:v>
                </c:pt>
                <c:pt idx="7">
                  <c:v>21.312000000000001</c:v>
                </c:pt>
                <c:pt idx="8">
                  <c:v>38.313000000000002</c:v>
                </c:pt>
                <c:pt idx="9">
                  <c:v>37.042000000000002</c:v>
                </c:pt>
                <c:pt idx="10">
                  <c:v>54.891999999999996</c:v>
                </c:pt>
                <c:pt idx="11">
                  <c:v>34.973999999999997</c:v>
                </c:pt>
                <c:pt idx="12">
                  <c:v>33.332000000000001</c:v>
                </c:pt>
                <c:pt idx="13">
                  <c:v>46.652000000000001</c:v>
                </c:pt>
                <c:pt idx="14">
                  <c:v>48.308</c:v>
                </c:pt>
                <c:pt idx="15">
                  <c:v>33.067999999999998</c:v>
                </c:pt>
                <c:pt idx="16">
                  <c:v>60.353999999999992</c:v>
                </c:pt>
                <c:pt idx="17">
                  <c:v>35.170999999999999</c:v>
                </c:pt>
                <c:pt idx="18">
                  <c:v>52.855999999999995</c:v>
                </c:pt>
                <c:pt idx="19">
                  <c:v>38.616999999999997</c:v>
                </c:pt>
                <c:pt idx="20">
                  <c:v>36.939</c:v>
                </c:pt>
                <c:pt idx="21">
                  <c:v>38.615000000000002</c:v>
                </c:pt>
                <c:pt idx="22">
                  <c:v>60.556999999999988</c:v>
                </c:pt>
                <c:pt idx="23">
                  <c:v>30.625</c:v>
                </c:pt>
                <c:pt idx="24">
                  <c:v>47.486000000000004</c:v>
                </c:pt>
                <c:pt idx="25">
                  <c:v>28.314999999999998</c:v>
                </c:pt>
                <c:pt idx="26">
                  <c:v>60.355999999999995</c:v>
                </c:pt>
                <c:pt idx="27">
                  <c:v>56.737999999999992</c:v>
                </c:pt>
                <c:pt idx="28">
                  <c:v>39.556000000000004</c:v>
                </c:pt>
                <c:pt idx="29">
                  <c:v>45.502000000000002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30-4E41-94C5-9828DB346019}"/>
            </c:ext>
          </c:extLst>
        </c:ser>
        <c:ser>
          <c:idx val="5"/>
          <c:order val="5"/>
          <c:tx>
            <c:strRef>
              <c:f>'June Graph'!$G$2:$G$3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Graph'!$G$4:$G$33</c:f>
              <c:numCache>
                <c:formatCode>_(* #,##0.00_);_(* \(#,##0.00\);_(* "-"??_);_(@_)</c:formatCode>
                <c:ptCount val="30"/>
                <c:pt idx="0">
                  <c:v>1406.3639999999996</c:v>
                </c:pt>
                <c:pt idx="1">
                  <c:v>1376.5440000000001</c:v>
                </c:pt>
                <c:pt idx="2">
                  <c:v>1314.4260000000002</c:v>
                </c:pt>
                <c:pt idx="3">
                  <c:v>1506.6990000000003</c:v>
                </c:pt>
                <c:pt idx="4">
                  <c:v>1295.3570000000002</c:v>
                </c:pt>
                <c:pt idx="5">
                  <c:v>1595.4060000000006</c:v>
                </c:pt>
                <c:pt idx="6">
                  <c:v>1480.3019999999999</c:v>
                </c:pt>
                <c:pt idx="7">
                  <c:v>1334.0520000000001</c:v>
                </c:pt>
                <c:pt idx="8">
                  <c:v>1330.9760000000001</c:v>
                </c:pt>
                <c:pt idx="9">
                  <c:v>1390.4579999999999</c:v>
                </c:pt>
                <c:pt idx="10">
                  <c:v>1452.7090000000003</c:v>
                </c:pt>
                <c:pt idx="11">
                  <c:v>1410.691</c:v>
                </c:pt>
                <c:pt idx="12">
                  <c:v>1443.8769999999995</c:v>
                </c:pt>
                <c:pt idx="13">
                  <c:v>1508.3409999999999</c:v>
                </c:pt>
                <c:pt idx="14">
                  <c:v>1596.9080000000001</c:v>
                </c:pt>
                <c:pt idx="15">
                  <c:v>1519.8519999999994</c:v>
                </c:pt>
                <c:pt idx="16">
                  <c:v>1211.9160000000002</c:v>
                </c:pt>
                <c:pt idx="17">
                  <c:v>1631.0689999999997</c:v>
                </c:pt>
                <c:pt idx="18">
                  <c:v>1427.8099999999997</c:v>
                </c:pt>
                <c:pt idx="19">
                  <c:v>1635.0059999999999</c:v>
                </c:pt>
                <c:pt idx="20">
                  <c:v>1703.8880000000001</c:v>
                </c:pt>
                <c:pt idx="21">
                  <c:v>1446.7630000000004</c:v>
                </c:pt>
                <c:pt idx="22">
                  <c:v>1512.0040000000004</c:v>
                </c:pt>
                <c:pt idx="23">
                  <c:v>1590.3880000000004</c:v>
                </c:pt>
                <c:pt idx="24">
                  <c:v>1755.8050000000001</c:v>
                </c:pt>
                <c:pt idx="25">
                  <c:v>1643.2749999999996</c:v>
                </c:pt>
                <c:pt idx="26">
                  <c:v>1583.6780000000001</c:v>
                </c:pt>
                <c:pt idx="27">
                  <c:v>1420.855</c:v>
                </c:pt>
                <c:pt idx="28">
                  <c:v>1547.4019999999998</c:v>
                </c:pt>
                <c:pt idx="29">
                  <c:v>1374.6200000000001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30-4E41-94C5-9828DB346019}"/>
            </c:ext>
          </c:extLst>
        </c:ser>
        <c:ser>
          <c:idx val="6"/>
          <c:order val="6"/>
          <c:tx>
            <c:strRef>
              <c:f>'June Graph'!$H$2:$H$3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Graph'!$H$4:$H$33</c:f>
              <c:numCache>
                <c:formatCode>_(* #,##0.00_);_(* \(#,##0.00\);_(* "-"??_);_(@_)</c:formatCode>
                <c:ptCount val="30"/>
                <c:pt idx="0">
                  <c:v>362.46300000000014</c:v>
                </c:pt>
                <c:pt idx="1">
                  <c:v>452.41100000000012</c:v>
                </c:pt>
                <c:pt idx="2">
                  <c:v>298.70900000000006</c:v>
                </c:pt>
                <c:pt idx="3">
                  <c:v>225.67100000000005</c:v>
                </c:pt>
                <c:pt idx="4">
                  <c:v>374.2609999999998</c:v>
                </c:pt>
                <c:pt idx="5">
                  <c:v>368.7639999999999</c:v>
                </c:pt>
                <c:pt idx="6">
                  <c:v>340.53700000000009</c:v>
                </c:pt>
                <c:pt idx="7">
                  <c:v>494.35799999999978</c:v>
                </c:pt>
                <c:pt idx="8">
                  <c:v>441.25200000000007</c:v>
                </c:pt>
                <c:pt idx="9">
                  <c:v>342.89299999999992</c:v>
                </c:pt>
                <c:pt idx="10">
                  <c:v>331.24899999999997</c:v>
                </c:pt>
                <c:pt idx="11">
                  <c:v>367.21699999999976</c:v>
                </c:pt>
                <c:pt idx="12">
                  <c:v>325.6819999999999</c:v>
                </c:pt>
                <c:pt idx="13">
                  <c:v>337.17999999999972</c:v>
                </c:pt>
                <c:pt idx="14">
                  <c:v>400.59800000000007</c:v>
                </c:pt>
                <c:pt idx="15">
                  <c:v>552.97999999999979</c:v>
                </c:pt>
                <c:pt idx="16">
                  <c:v>494.17200000000014</c:v>
                </c:pt>
                <c:pt idx="17">
                  <c:v>300.8180000000001</c:v>
                </c:pt>
                <c:pt idx="18">
                  <c:v>164.72900000000001</c:v>
                </c:pt>
                <c:pt idx="19">
                  <c:v>428.42599999999987</c:v>
                </c:pt>
                <c:pt idx="20">
                  <c:v>320.75099999999986</c:v>
                </c:pt>
                <c:pt idx="21">
                  <c:v>347.24999999999983</c:v>
                </c:pt>
                <c:pt idx="22">
                  <c:v>505.13100000000009</c:v>
                </c:pt>
                <c:pt idx="23">
                  <c:v>338.87099999999992</c:v>
                </c:pt>
                <c:pt idx="24">
                  <c:v>200.49999999999994</c:v>
                </c:pt>
                <c:pt idx="25">
                  <c:v>342.94599999999997</c:v>
                </c:pt>
                <c:pt idx="26">
                  <c:v>360.89100000000008</c:v>
                </c:pt>
                <c:pt idx="27">
                  <c:v>359.50299999999993</c:v>
                </c:pt>
                <c:pt idx="28">
                  <c:v>445.67899999999992</c:v>
                </c:pt>
                <c:pt idx="29">
                  <c:v>437.28000000000003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30-4E41-94C5-9828DB346019}"/>
            </c:ext>
          </c:extLst>
        </c:ser>
        <c:ser>
          <c:idx val="7"/>
          <c:order val="7"/>
          <c:tx>
            <c:strRef>
              <c:f>'June Graph'!$I$2:$I$3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Graph'!$I$4:$I$33</c:f>
              <c:numCache>
                <c:formatCode>_(* #,##0.00_);_(* \(#,##0.00\);_(* "-"??_);_(@_)</c:formatCode>
                <c:ptCount val="30"/>
                <c:pt idx="0">
                  <c:v>81.986999999999981</c:v>
                </c:pt>
                <c:pt idx="1">
                  <c:v>32.458000000000006</c:v>
                </c:pt>
                <c:pt idx="2">
                  <c:v>56.978999999999999</c:v>
                </c:pt>
                <c:pt idx="3">
                  <c:v>86.382000000000019</c:v>
                </c:pt>
                <c:pt idx="4">
                  <c:v>63.963000000000008</c:v>
                </c:pt>
                <c:pt idx="5">
                  <c:v>105.02900000000004</c:v>
                </c:pt>
                <c:pt idx="6">
                  <c:v>89.885999999999996</c:v>
                </c:pt>
                <c:pt idx="7">
                  <c:v>85.858000000000018</c:v>
                </c:pt>
                <c:pt idx="8">
                  <c:v>37.676999999999985</c:v>
                </c:pt>
                <c:pt idx="9">
                  <c:v>0</c:v>
                </c:pt>
                <c:pt idx="10">
                  <c:v>18.732000000000003</c:v>
                </c:pt>
                <c:pt idx="11">
                  <c:v>82.834000000000017</c:v>
                </c:pt>
                <c:pt idx="12">
                  <c:v>74.2</c:v>
                </c:pt>
                <c:pt idx="13">
                  <c:v>53.854000000000006</c:v>
                </c:pt>
                <c:pt idx="14">
                  <c:v>46.592999999999989</c:v>
                </c:pt>
                <c:pt idx="15">
                  <c:v>38.385999999999996</c:v>
                </c:pt>
                <c:pt idx="16">
                  <c:v>30.018000000000004</c:v>
                </c:pt>
                <c:pt idx="17">
                  <c:v>61.083000000000013</c:v>
                </c:pt>
                <c:pt idx="18">
                  <c:v>61.657000000000011</c:v>
                </c:pt>
                <c:pt idx="19">
                  <c:v>57.29999999999999</c:v>
                </c:pt>
                <c:pt idx="20">
                  <c:v>49.615000000000009</c:v>
                </c:pt>
                <c:pt idx="21">
                  <c:v>68.853000000000009</c:v>
                </c:pt>
                <c:pt idx="22">
                  <c:v>18.622999999999998</c:v>
                </c:pt>
                <c:pt idx="23">
                  <c:v>58.523999999999994</c:v>
                </c:pt>
                <c:pt idx="24">
                  <c:v>83.000000000000028</c:v>
                </c:pt>
                <c:pt idx="25">
                  <c:v>68.045000000000002</c:v>
                </c:pt>
                <c:pt idx="26">
                  <c:v>75.736000000000018</c:v>
                </c:pt>
                <c:pt idx="27">
                  <c:v>58.998999999999995</c:v>
                </c:pt>
                <c:pt idx="28">
                  <c:v>21.266999999999999</c:v>
                </c:pt>
                <c:pt idx="29">
                  <c:v>2.09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30-4E41-94C5-9828DB346019}"/>
            </c:ext>
          </c:extLst>
        </c:ser>
        <c:ser>
          <c:idx val="8"/>
          <c:order val="8"/>
          <c:tx>
            <c:strRef>
              <c:f>'June Graph'!$J$2:$J$3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Graph'!$J$4:$J$33</c:f>
              <c:numCache>
                <c:formatCode>_(* #,##0.00_);_(* \(#,##0.00\);_(* "-"??_);_(@_)</c:formatCode>
                <c:ptCount val="30"/>
                <c:pt idx="0">
                  <c:v>17.426000000000002</c:v>
                </c:pt>
                <c:pt idx="1">
                  <c:v>14.012999999999998</c:v>
                </c:pt>
                <c:pt idx="2">
                  <c:v>10.543999999999999</c:v>
                </c:pt>
                <c:pt idx="3">
                  <c:v>10.267999999999999</c:v>
                </c:pt>
                <c:pt idx="4">
                  <c:v>9.5830000000000002</c:v>
                </c:pt>
                <c:pt idx="5">
                  <c:v>4.6909999999999998</c:v>
                </c:pt>
                <c:pt idx="6">
                  <c:v>7.6910000000000007</c:v>
                </c:pt>
                <c:pt idx="7">
                  <c:v>10.602</c:v>
                </c:pt>
                <c:pt idx="8">
                  <c:v>8.9789999999999992</c:v>
                </c:pt>
                <c:pt idx="9">
                  <c:v>12.777999999999999</c:v>
                </c:pt>
                <c:pt idx="10">
                  <c:v>12.969000000000001</c:v>
                </c:pt>
                <c:pt idx="11">
                  <c:v>22.423000000000002</c:v>
                </c:pt>
                <c:pt idx="12">
                  <c:v>30.951000000000004</c:v>
                </c:pt>
                <c:pt idx="13">
                  <c:v>23.697000000000003</c:v>
                </c:pt>
                <c:pt idx="14">
                  <c:v>12.286000000000001</c:v>
                </c:pt>
                <c:pt idx="15">
                  <c:v>9.3330000000000002</c:v>
                </c:pt>
                <c:pt idx="16">
                  <c:v>6.7469999999999999</c:v>
                </c:pt>
                <c:pt idx="17">
                  <c:v>18.266000000000002</c:v>
                </c:pt>
                <c:pt idx="18">
                  <c:v>12.381</c:v>
                </c:pt>
                <c:pt idx="19">
                  <c:v>9.9280000000000008</c:v>
                </c:pt>
                <c:pt idx="20">
                  <c:v>12.982000000000001</c:v>
                </c:pt>
                <c:pt idx="21">
                  <c:v>10.141999999999999</c:v>
                </c:pt>
                <c:pt idx="22">
                  <c:v>13.483000000000001</c:v>
                </c:pt>
                <c:pt idx="23">
                  <c:v>12.562999999999999</c:v>
                </c:pt>
                <c:pt idx="24">
                  <c:v>12.133000000000001</c:v>
                </c:pt>
                <c:pt idx="25">
                  <c:v>10.643000000000001</c:v>
                </c:pt>
                <c:pt idx="26">
                  <c:v>11.326000000000001</c:v>
                </c:pt>
                <c:pt idx="27">
                  <c:v>9.9439999999999991</c:v>
                </c:pt>
                <c:pt idx="28">
                  <c:v>4.8479999999999999</c:v>
                </c:pt>
                <c:pt idx="29">
                  <c:v>16.393000000000001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30-4E41-94C5-9828DB346019}"/>
            </c:ext>
          </c:extLst>
        </c:ser>
        <c:ser>
          <c:idx val="9"/>
          <c:order val="9"/>
          <c:tx>
            <c:strRef>
              <c:f>'June Graph'!$K$2:$K$3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Graph'!$K$4:$K$33</c:f>
              <c:numCache>
                <c:formatCode>_(* #,##0.00_);_(* \(#,##0.00\);_(* "-"??_);_(@_)</c:formatCode>
                <c:ptCount val="30"/>
                <c:pt idx="0">
                  <c:v>45.093000000000004</c:v>
                </c:pt>
                <c:pt idx="1">
                  <c:v>25.456</c:v>
                </c:pt>
                <c:pt idx="2">
                  <c:v>19.960999999999999</c:v>
                </c:pt>
                <c:pt idx="3">
                  <c:v>65.483999999999995</c:v>
                </c:pt>
                <c:pt idx="4">
                  <c:v>35.512</c:v>
                </c:pt>
                <c:pt idx="5">
                  <c:v>35.408000000000001</c:v>
                </c:pt>
                <c:pt idx="6">
                  <c:v>17.722999999999999</c:v>
                </c:pt>
                <c:pt idx="7">
                  <c:v>37.375999999999998</c:v>
                </c:pt>
                <c:pt idx="8">
                  <c:v>31.4</c:v>
                </c:pt>
                <c:pt idx="9">
                  <c:v>22.916</c:v>
                </c:pt>
                <c:pt idx="10">
                  <c:v>18.177999999999997</c:v>
                </c:pt>
                <c:pt idx="11">
                  <c:v>58.491999999999997</c:v>
                </c:pt>
                <c:pt idx="12">
                  <c:v>20.175000000000001</c:v>
                </c:pt>
                <c:pt idx="13">
                  <c:v>27.845000000000002</c:v>
                </c:pt>
                <c:pt idx="14">
                  <c:v>29.877000000000002</c:v>
                </c:pt>
                <c:pt idx="15">
                  <c:v>52.015999999999998</c:v>
                </c:pt>
                <c:pt idx="16">
                  <c:v>42.652000000000001</c:v>
                </c:pt>
                <c:pt idx="17">
                  <c:v>23.265999999999998</c:v>
                </c:pt>
                <c:pt idx="18">
                  <c:v>47.512999999999998</c:v>
                </c:pt>
                <c:pt idx="19">
                  <c:v>11.891999999999999</c:v>
                </c:pt>
                <c:pt idx="20">
                  <c:v>37.894000000000005</c:v>
                </c:pt>
                <c:pt idx="21">
                  <c:v>38.787000000000006</c:v>
                </c:pt>
                <c:pt idx="22">
                  <c:v>11.366000000000001</c:v>
                </c:pt>
                <c:pt idx="23">
                  <c:v>35.331000000000003</c:v>
                </c:pt>
                <c:pt idx="24">
                  <c:v>35.659999999999997</c:v>
                </c:pt>
                <c:pt idx="25">
                  <c:v>27.433</c:v>
                </c:pt>
                <c:pt idx="26">
                  <c:v>29.887</c:v>
                </c:pt>
                <c:pt idx="27">
                  <c:v>36.596999999999994</c:v>
                </c:pt>
                <c:pt idx="28">
                  <c:v>30.191000000000003</c:v>
                </c:pt>
                <c:pt idx="29">
                  <c:v>37.707999999999998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30-4E41-94C5-9828DB346019}"/>
            </c:ext>
          </c:extLst>
        </c:ser>
        <c:ser>
          <c:idx val="10"/>
          <c:order val="10"/>
          <c:tx>
            <c:strRef>
              <c:f>'June Graph'!$L$2:$L$3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Graph'!$L$4:$L$33</c:f>
              <c:numCache>
                <c:formatCode>_(* #,##0.00_);_(* \(#,##0.00\);_(* "-"??_);_(@_)</c:formatCode>
                <c:ptCount val="30"/>
                <c:pt idx="0">
                  <c:v>92.290999999999997</c:v>
                </c:pt>
                <c:pt idx="1">
                  <c:v>104.59599999999999</c:v>
                </c:pt>
                <c:pt idx="2">
                  <c:v>101.748</c:v>
                </c:pt>
                <c:pt idx="3">
                  <c:v>122.43599999999998</c:v>
                </c:pt>
                <c:pt idx="4">
                  <c:v>121.33099999999999</c:v>
                </c:pt>
                <c:pt idx="5">
                  <c:v>118.55200000000002</c:v>
                </c:pt>
                <c:pt idx="6">
                  <c:v>99.055000000000007</c:v>
                </c:pt>
                <c:pt idx="7">
                  <c:v>84.874000000000009</c:v>
                </c:pt>
                <c:pt idx="8">
                  <c:v>127.626</c:v>
                </c:pt>
                <c:pt idx="9">
                  <c:v>98.676999999999992</c:v>
                </c:pt>
                <c:pt idx="10">
                  <c:v>113.413</c:v>
                </c:pt>
                <c:pt idx="11">
                  <c:v>51.018999999999998</c:v>
                </c:pt>
                <c:pt idx="12">
                  <c:v>76.39800000000001</c:v>
                </c:pt>
                <c:pt idx="13">
                  <c:v>104.03099999999999</c:v>
                </c:pt>
                <c:pt idx="14">
                  <c:v>109.398</c:v>
                </c:pt>
                <c:pt idx="15">
                  <c:v>85.664000000000016</c:v>
                </c:pt>
                <c:pt idx="16">
                  <c:v>121.72400000000003</c:v>
                </c:pt>
                <c:pt idx="17">
                  <c:v>108.831</c:v>
                </c:pt>
                <c:pt idx="18">
                  <c:v>109.00599999999997</c:v>
                </c:pt>
                <c:pt idx="19">
                  <c:v>116.15699999999998</c:v>
                </c:pt>
                <c:pt idx="20">
                  <c:v>105.85399999999998</c:v>
                </c:pt>
                <c:pt idx="21">
                  <c:v>133.036</c:v>
                </c:pt>
                <c:pt idx="22">
                  <c:v>79.697000000000003</c:v>
                </c:pt>
                <c:pt idx="23">
                  <c:v>137.226</c:v>
                </c:pt>
                <c:pt idx="24">
                  <c:v>119.58000000000001</c:v>
                </c:pt>
                <c:pt idx="25">
                  <c:v>136.34300000000002</c:v>
                </c:pt>
                <c:pt idx="26">
                  <c:v>109.80999999999999</c:v>
                </c:pt>
                <c:pt idx="27">
                  <c:v>100.71000000000002</c:v>
                </c:pt>
                <c:pt idx="28">
                  <c:v>120.57499999999999</c:v>
                </c:pt>
                <c:pt idx="29">
                  <c:v>41.192999999999998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530-4E41-94C5-9828DB346019}"/>
            </c:ext>
          </c:extLst>
        </c:ser>
        <c:ser>
          <c:idx val="11"/>
          <c:order val="11"/>
          <c:tx>
            <c:strRef>
              <c:f>'June Graph'!$M$2:$M$3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'June Graph'!$A$4:$A$33</c:f>
              <c:strCache>
                <c:ptCount val="30"/>
                <c:pt idx="0">
                  <c:v>Sum of 01-06-2024</c:v>
                </c:pt>
                <c:pt idx="1">
                  <c:v>Sum of 02-06-2024</c:v>
                </c:pt>
                <c:pt idx="2">
                  <c:v>Sum of 03-06-2024</c:v>
                </c:pt>
                <c:pt idx="3">
                  <c:v>Sum of 04-06-2024</c:v>
                </c:pt>
                <c:pt idx="4">
                  <c:v>Sum of 05-06-2024</c:v>
                </c:pt>
                <c:pt idx="5">
                  <c:v>Sum of 06-06-2024</c:v>
                </c:pt>
                <c:pt idx="6">
                  <c:v>Sum of 07-06-2024</c:v>
                </c:pt>
                <c:pt idx="7">
                  <c:v>Sum of 08-06-2024</c:v>
                </c:pt>
                <c:pt idx="8">
                  <c:v>Sum of 09-06-2024</c:v>
                </c:pt>
                <c:pt idx="9">
                  <c:v>Sum of 10-06-2024</c:v>
                </c:pt>
                <c:pt idx="10">
                  <c:v>Sum of 11-06-2024</c:v>
                </c:pt>
                <c:pt idx="11">
                  <c:v>Sum of 12-06-2024</c:v>
                </c:pt>
                <c:pt idx="12">
                  <c:v>Sum of 13-06-2024</c:v>
                </c:pt>
                <c:pt idx="13">
                  <c:v>Sum of 14-06-2024</c:v>
                </c:pt>
                <c:pt idx="14">
                  <c:v>Sum of 15-06-2024</c:v>
                </c:pt>
                <c:pt idx="15">
                  <c:v>Sum of 16-06-2024</c:v>
                </c:pt>
                <c:pt idx="16">
                  <c:v>Sum of 17-06-2024</c:v>
                </c:pt>
                <c:pt idx="17">
                  <c:v>Sum of 18-06-2024</c:v>
                </c:pt>
                <c:pt idx="18">
                  <c:v>Sum of 19-06-2024</c:v>
                </c:pt>
                <c:pt idx="19">
                  <c:v>Sum of 20-06-2024</c:v>
                </c:pt>
                <c:pt idx="20">
                  <c:v>Sum of 21-06-2024</c:v>
                </c:pt>
                <c:pt idx="21">
                  <c:v>Sum of 22-06-2024</c:v>
                </c:pt>
                <c:pt idx="22">
                  <c:v>Sum of 23-06-2024</c:v>
                </c:pt>
                <c:pt idx="23">
                  <c:v>Sum of 24-06-2024</c:v>
                </c:pt>
                <c:pt idx="24">
                  <c:v>Sum of 25-06-2024</c:v>
                </c:pt>
                <c:pt idx="25">
                  <c:v>Sum of 26-06-2024</c:v>
                </c:pt>
                <c:pt idx="26">
                  <c:v>Sum of 27-06-2024</c:v>
                </c:pt>
                <c:pt idx="27">
                  <c:v>Sum of 28-06-2024</c:v>
                </c:pt>
                <c:pt idx="28">
                  <c:v>Sum of 29-06-2024</c:v>
                </c:pt>
                <c:pt idx="29">
                  <c:v>Sum of 30-06-2024</c:v>
                </c:pt>
              </c:strCache>
            </c:strRef>
          </c:cat>
          <c:val>
            <c:numRef>
              <c:f>'June Graph'!$M$4:$M$33</c:f>
              <c:numCache>
                <c:formatCode>_(* #,##0.00_);_(* \(#,##0.00\);_(* "-"??_);_(@_)</c:formatCode>
                <c:ptCount val="30"/>
                <c:pt idx="0">
                  <c:v>63.72999999999999</c:v>
                </c:pt>
                <c:pt idx="1">
                  <c:v>107.74200000000002</c:v>
                </c:pt>
                <c:pt idx="2">
                  <c:v>126.226</c:v>
                </c:pt>
                <c:pt idx="3">
                  <c:v>154.80100000000002</c:v>
                </c:pt>
                <c:pt idx="4">
                  <c:v>141.79500000000002</c:v>
                </c:pt>
                <c:pt idx="5">
                  <c:v>109.30099999999999</c:v>
                </c:pt>
                <c:pt idx="6">
                  <c:v>133.29599999999999</c:v>
                </c:pt>
                <c:pt idx="7">
                  <c:v>124.03700000000002</c:v>
                </c:pt>
                <c:pt idx="8">
                  <c:v>127.74</c:v>
                </c:pt>
                <c:pt idx="9">
                  <c:v>148.28900000000002</c:v>
                </c:pt>
                <c:pt idx="10">
                  <c:v>118.59400000000002</c:v>
                </c:pt>
                <c:pt idx="11">
                  <c:v>126.20699999999999</c:v>
                </c:pt>
                <c:pt idx="12">
                  <c:v>112.46299999999999</c:v>
                </c:pt>
                <c:pt idx="13">
                  <c:v>155.16999999999999</c:v>
                </c:pt>
                <c:pt idx="14">
                  <c:v>109.97900000000001</c:v>
                </c:pt>
                <c:pt idx="15">
                  <c:v>113.64100000000001</c:v>
                </c:pt>
                <c:pt idx="16">
                  <c:v>136.548</c:v>
                </c:pt>
                <c:pt idx="17">
                  <c:v>140.02499999999998</c:v>
                </c:pt>
                <c:pt idx="18">
                  <c:v>86.346999999999994</c:v>
                </c:pt>
                <c:pt idx="19">
                  <c:v>113.98700000000002</c:v>
                </c:pt>
                <c:pt idx="20">
                  <c:v>155.77199999999999</c:v>
                </c:pt>
                <c:pt idx="21">
                  <c:v>87.789999999999992</c:v>
                </c:pt>
                <c:pt idx="22">
                  <c:v>112.60800000000003</c:v>
                </c:pt>
                <c:pt idx="23">
                  <c:v>171.916</c:v>
                </c:pt>
                <c:pt idx="24">
                  <c:v>93.7</c:v>
                </c:pt>
                <c:pt idx="25">
                  <c:v>159.50000000000003</c:v>
                </c:pt>
                <c:pt idx="26">
                  <c:v>112.26899999999996</c:v>
                </c:pt>
                <c:pt idx="27">
                  <c:v>144.761</c:v>
                </c:pt>
                <c:pt idx="28">
                  <c:v>93.561000000000007</c:v>
                </c:pt>
                <c:pt idx="29">
                  <c:v>108.57599999999999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30-4E41-94C5-9828DB346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294848"/>
        <c:axId val="463238744"/>
      </c:barChart>
      <c:catAx>
        <c:axId val="45529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8744"/>
        <c:crosses val="autoZero"/>
        <c:auto val="1"/>
        <c:lblAlgn val="ctr"/>
        <c:lblOffset val="100"/>
        <c:noMultiLvlLbl val="0"/>
      </c:catAx>
      <c:valAx>
        <c:axId val="46323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2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Consumption.xlsx]July 2024 graph!PivotTable3</c:name>
    <c:fmtId val="3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'July 2024 graph'!$B$2:$B$3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graph'!$B$4:$B$34</c:f>
              <c:numCache>
                <c:formatCode>General</c:formatCode>
                <c:ptCount val="31"/>
                <c:pt idx="0">
                  <c:v>44.506999999999998</c:v>
                </c:pt>
                <c:pt idx="1">
                  <c:v>47.745000000000005</c:v>
                </c:pt>
                <c:pt idx="2">
                  <c:v>24.2</c:v>
                </c:pt>
                <c:pt idx="3">
                  <c:v>31.025000000000002</c:v>
                </c:pt>
                <c:pt idx="4">
                  <c:v>66.147999999999996</c:v>
                </c:pt>
                <c:pt idx="5">
                  <c:v>68.472999999999985</c:v>
                </c:pt>
                <c:pt idx="6">
                  <c:v>52.144000000000005</c:v>
                </c:pt>
                <c:pt idx="7">
                  <c:v>25.207999999999998</c:v>
                </c:pt>
                <c:pt idx="8">
                  <c:v>36.438000000000002</c:v>
                </c:pt>
                <c:pt idx="9">
                  <c:v>47.656999999999989</c:v>
                </c:pt>
                <c:pt idx="10">
                  <c:v>43.002999999999993</c:v>
                </c:pt>
                <c:pt idx="11">
                  <c:v>76.819999999999993</c:v>
                </c:pt>
                <c:pt idx="12">
                  <c:v>83.289999999999992</c:v>
                </c:pt>
                <c:pt idx="13">
                  <c:v>49</c:v>
                </c:pt>
                <c:pt idx="14">
                  <c:v>107.22</c:v>
                </c:pt>
                <c:pt idx="15">
                  <c:v>109.48</c:v>
                </c:pt>
                <c:pt idx="16">
                  <c:v>40.540000000000006</c:v>
                </c:pt>
                <c:pt idx="17">
                  <c:v>142.74</c:v>
                </c:pt>
                <c:pt idx="18">
                  <c:v>93.94</c:v>
                </c:pt>
                <c:pt idx="19">
                  <c:v>67.790000000000006</c:v>
                </c:pt>
                <c:pt idx="20">
                  <c:v>88.460000000000008</c:v>
                </c:pt>
                <c:pt idx="21">
                  <c:v>141.809</c:v>
                </c:pt>
                <c:pt idx="22">
                  <c:v>128.31700000000006</c:v>
                </c:pt>
                <c:pt idx="23">
                  <c:v>119.12600000000002</c:v>
                </c:pt>
                <c:pt idx="24">
                  <c:v>149.99799999999999</c:v>
                </c:pt>
                <c:pt idx="25">
                  <c:v>139.928</c:v>
                </c:pt>
                <c:pt idx="26">
                  <c:v>180.37500000000003</c:v>
                </c:pt>
                <c:pt idx="27">
                  <c:v>169.6690000000001</c:v>
                </c:pt>
                <c:pt idx="28">
                  <c:v>115.64900000000002</c:v>
                </c:pt>
                <c:pt idx="29">
                  <c:v>60.107999999999997</c:v>
                </c:pt>
                <c:pt idx="30">
                  <c:v>51.664999999999999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7-4FBB-8065-F4DAB767966A}"/>
            </c:ext>
          </c:extLst>
        </c:ser>
        <c:ser>
          <c:idx val="1"/>
          <c:order val="1"/>
          <c:tx>
            <c:strRef>
              <c:f>'July 2024 graph'!$C$2:$C$3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graph'!$C$4:$C$34</c:f>
              <c:numCache>
                <c:formatCode>General</c:formatCode>
                <c:ptCount val="31"/>
                <c:pt idx="0">
                  <c:v>829.40199999999993</c:v>
                </c:pt>
                <c:pt idx="1">
                  <c:v>822.09199999999998</c:v>
                </c:pt>
                <c:pt idx="2">
                  <c:v>807.11500000000012</c:v>
                </c:pt>
                <c:pt idx="3">
                  <c:v>899.9770000000002</c:v>
                </c:pt>
                <c:pt idx="4">
                  <c:v>841.73800000000006</c:v>
                </c:pt>
                <c:pt idx="5">
                  <c:v>918.15699999999993</c:v>
                </c:pt>
                <c:pt idx="6">
                  <c:v>867.60399999999993</c:v>
                </c:pt>
                <c:pt idx="7">
                  <c:v>760.93500000000017</c:v>
                </c:pt>
                <c:pt idx="8">
                  <c:v>810.75699999999983</c:v>
                </c:pt>
                <c:pt idx="9">
                  <c:v>667.60299999999995</c:v>
                </c:pt>
                <c:pt idx="10">
                  <c:v>792.52600000000007</c:v>
                </c:pt>
                <c:pt idx="11">
                  <c:v>755.41100000000006</c:v>
                </c:pt>
                <c:pt idx="12">
                  <c:v>770.96499999999992</c:v>
                </c:pt>
                <c:pt idx="13">
                  <c:v>675.58000000000015</c:v>
                </c:pt>
                <c:pt idx="14">
                  <c:v>773.56399999999985</c:v>
                </c:pt>
                <c:pt idx="15">
                  <c:v>799.86900000000014</c:v>
                </c:pt>
                <c:pt idx="16">
                  <c:v>723.11900000000003</c:v>
                </c:pt>
                <c:pt idx="17">
                  <c:v>746.7399999999999</c:v>
                </c:pt>
                <c:pt idx="18">
                  <c:v>743.73500000000013</c:v>
                </c:pt>
                <c:pt idx="19">
                  <c:v>777.23699999999997</c:v>
                </c:pt>
                <c:pt idx="20">
                  <c:v>839.37099999999998</c:v>
                </c:pt>
                <c:pt idx="21">
                  <c:v>882.40200000000004</c:v>
                </c:pt>
                <c:pt idx="22">
                  <c:v>872.53300000000002</c:v>
                </c:pt>
                <c:pt idx="23">
                  <c:v>816.40999999999985</c:v>
                </c:pt>
                <c:pt idx="24">
                  <c:v>806.5619999999999</c:v>
                </c:pt>
                <c:pt idx="25">
                  <c:v>783.64499999999998</c:v>
                </c:pt>
                <c:pt idx="26">
                  <c:v>844.80200000000013</c:v>
                </c:pt>
                <c:pt idx="27">
                  <c:v>806.91700000000014</c:v>
                </c:pt>
                <c:pt idx="28">
                  <c:v>739.84500000000003</c:v>
                </c:pt>
                <c:pt idx="29">
                  <c:v>666.06299999999999</c:v>
                </c:pt>
                <c:pt idx="30">
                  <c:v>733.02700000000016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37-4FBB-8065-F4DAB767966A}"/>
            </c:ext>
          </c:extLst>
        </c:ser>
        <c:ser>
          <c:idx val="2"/>
          <c:order val="2"/>
          <c:tx>
            <c:strRef>
              <c:f>'July 2024 graph'!$D$2:$D$3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graph'!$D$4:$D$34</c:f>
              <c:numCache>
                <c:formatCode>General</c:formatCode>
                <c:ptCount val="31"/>
                <c:pt idx="0">
                  <c:v>642.3330000000002</c:v>
                </c:pt>
                <c:pt idx="1">
                  <c:v>652.71</c:v>
                </c:pt>
                <c:pt idx="2">
                  <c:v>630.0809999999999</c:v>
                </c:pt>
                <c:pt idx="3">
                  <c:v>627.43599999999992</c:v>
                </c:pt>
                <c:pt idx="4">
                  <c:v>647.70600000000013</c:v>
                </c:pt>
                <c:pt idx="5">
                  <c:v>613.96299999999985</c:v>
                </c:pt>
                <c:pt idx="6">
                  <c:v>681.35900000000015</c:v>
                </c:pt>
                <c:pt idx="7">
                  <c:v>556.6640000000001</c:v>
                </c:pt>
                <c:pt idx="8">
                  <c:v>648.048</c:v>
                </c:pt>
                <c:pt idx="9">
                  <c:v>690.71</c:v>
                </c:pt>
                <c:pt idx="10">
                  <c:v>668.40899999999999</c:v>
                </c:pt>
                <c:pt idx="11">
                  <c:v>707.44700000000012</c:v>
                </c:pt>
                <c:pt idx="12">
                  <c:v>715.80000000000007</c:v>
                </c:pt>
                <c:pt idx="13">
                  <c:v>636.80400000000009</c:v>
                </c:pt>
                <c:pt idx="14">
                  <c:v>654.48199999999997</c:v>
                </c:pt>
                <c:pt idx="15">
                  <c:v>719.76199999999994</c:v>
                </c:pt>
                <c:pt idx="16">
                  <c:v>647.88799999999969</c:v>
                </c:pt>
                <c:pt idx="17">
                  <c:v>841.06299999999999</c:v>
                </c:pt>
                <c:pt idx="18">
                  <c:v>792.44200000000012</c:v>
                </c:pt>
                <c:pt idx="19">
                  <c:v>736.05000000000007</c:v>
                </c:pt>
                <c:pt idx="20">
                  <c:v>657.91700000000003</c:v>
                </c:pt>
                <c:pt idx="21">
                  <c:v>822.87900000000013</c:v>
                </c:pt>
                <c:pt idx="22">
                  <c:v>761.2940000000001</c:v>
                </c:pt>
                <c:pt idx="23">
                  <c:v>766.79200000000003</c:v>
                </c:pt>
                <c:pt idx="24">
                  <c:v>830.92500000000007</c:v>
                </c:pt>
                <c:pt idx="25">
                  <c:v>803.27300000000014</c:v>
                </c:pt>
                <c:pt idx="26">
                  <c:v>807.63000000000011</c:v>
                </c:pt>
                <c:pt idx="27">
                  <c:v>803.904</c:v>
                </c:pt>
                <c:pt idx="28">
                  <c:v>963.96400000000017</c:v>
                </c:pt>
                <c:pt idx="29">
                  <c:v>748.02700000000004</c:v>
                </c:pt>
                <c:pt idx="30">
                  <c:v>767.91099999999994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37-4FBB-8065-F4DAB767966A}"/>
            </c:ext>
          </c:extLst>
        </c:ser>
        <c:ser>
          <c:idx val="3"/>
          <c:order val="3"/>
          <c:tx>
            <c:strRef>
              <c:f>'July 2024 graph'!$E$2:$E$3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graph'!$E$4:$E$34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37-4FBB-8065-F4DAB767966A}"/>
            </c:ext>
          </c:extLst>
        </c:ser>
        <c:ser>
          <c:idx val="4"/>
          <c:order val="4"/>
          <c:tx>
            <c:strRef>
              <c:f>'July 2024 graph'!$F$2:$F$3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graph'!$F$4:$F$34</c:f>
              <c:numCache>
                <c:formatCode>General</c:formatCode>
                <c:ptCount val="31"/>
                <c:pt idx="0">
                  <c:v>48.423999999999999</c:v>
                </c:pt>
                <c:pt idx="1">
                  <c:v>29.193000000000001</c:v>
                </c:pt>
                <c:pt idx="2">
                  <c:v>69.474999999999994</c:v>
                </c:pt>
                <c:pt idx="3">
                  <c:v>62.667000000000002</c:v>
                </c:pt>
                <c:pt idx="4">
                  <c:v>38.742999999999995</c:v>
                </c:pt>
                <c:pt idx="5">
                  <c:v>47.111000000000011</c:v>
                </c:pt>
                <c:pt idx="6">
                  <c:v>37.361000000000004</c:v>
                </c:pt>
                <c:pt idx="7">
                  <c:v>60.020999999999994</c:v>
                </c:pt>
                <c:pt idx="8">
                  <c:v>63.966000000000001</c:v>
                </c:pt>
                <c:pt idx="9">
                  <c:v>40.341999999999999</c:v>
                </c:pt>
                <c:pt idx="10">
                  <c:v>37.269999999999996</c:v>
                </c:pt>
                <c:pt idx="11">
                  <c:v>46.348000000000006</c:v>
                </c:pt>
                <c:pt idx="12">
                  <c:v>48.334000000000003</c:v>
                </c:pt>
                <c:pt idx="13">
                  <c:v>49.426999999999992</c:v>
                </c:pt>
                <c:pt idx="14">
                  <c:v>32.792000000000002</c:v>
                </c:pt>
                <c:pt idx="15">
                  <c:v>60.385000000000005</c:v>
                </c:pt>
                <c:pt idx="16">
                  <c:v>45.111000000000004</c:v>
                </c:pt>
                <c:pt idx="17">
                  <c:v>39.71</c:v>
                </c:pt>
                <c:pt idx="18">
                  <c:v>48.118000000000009</c:v>
                </c:pt>
                <c:pt idx="19">
                  <c:v>41.879999999999988</c:v>
                </c:pt>
                <c:pt idx="20">
                  <c:v>45.734999999999999</c:v>
                </c:pt>
                <c:pt idx="21">
                  <c:v>31.346000000000004</c:v>
                </c:pt>
                <c:pt idx="22">
                  <c:v>53.173999999999999</c:v>
                </c:pt>
                <c:pt idx="23">
                  <c:v>45.32</c:v>
                </c:pt>
                <c:pt idx="24">
                  <c:v>39.919000000000004</c:v>
                </c:pt>
                <c:pt idx="25">
                  <c:v>71.400000000000006</c:v>
                </c:pt>
                <c:pt idx="26">
                  <c:v>51.241999999999997</c:v>
                </c:pt>
                <c:pt idx="27">
                  <c:v>38.091000000000001</c:v>
                </c:pt>
                <c:pt idx="28">
                  <c:v>40.203999999999994</c:v>
                </c:pt>
                <c:pt idx="29">
                  <c:v>50.509</c:v>
                </c:pt>
                <c:pt idx="30">
                  <c:v>50.453999999999994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37-4FBB-8065-F4DAB767966A}"/>
            </c:ext>
          </c:extLst>
        </c:ser>
        <c:ser>
          <c:idx val="5"/>
          <c:order val="5"/>
          <c:tx>
            <c:strRef>
              <c:f>'July 2024 graph'!$G$2:$G$3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graph'!$G$4:$G$34</c:f>
              <c:numCache>
                <c:formatCode>General</c:formatCode>
                <c:ptCount val="31"/>
                <c:pt idx="0">
                  <c:v>1684.9159999999999</c:v>
                </c:pt>
                <c:pt idx="1">
                  <c:v>1583.2</c:v>
                </c:pt>
                <c:pt idx="2">
                  <c:v>1825.4240000000002</c:v>
                </c:pt>
                <c:pt idx="3">
                  <c:v>1737.4770000000003</c:v>
                </c:pt>
                <c:pt idx="4">
                  <c:v>1591.8519999999999</c:v>
                </c:pt>
                <c:pt idx="5">
                  <c:v>1849.9070000000006</c:v>
                </c:pt>
                <c:pt idx="6">
                  <c:v>1794.7580000000003</c:v>
                </c:pt>
                <c:pt idx="7">
                  <c:v>1749.4819999999997</c:v>
                </c:pt>
                <c:pt idx="8">
                  <c:v>1735.0229999999997</c:v>
                </c:pt>
                <c:pt idx="9">
                  <c:v>1736.1849999999999</c:v>
                </c:pt>
                <c:pt idx="10">
                  <c:v>1622.1910000000003</c:v>
                </c:pt>
                <c:pt idx="11">
                  <c:v>1752.1609999999996</c:v>
                </c:pt>
                <c:pt idx="12">
                  <c:v>1787.0809999999997</c:v>
                </c:pt>
                <c:pt idx="13">
                  <c:v>1561.5869999999998</c:v>
                </c:pt>
                <c:pt idx="14">
                  <c:v>1780.4189999999999</c:v>
                </c:pt>
                <c:pt idx="15">
                  <c:v>1821.6640000000004</c:v>
                </c:pt>
                <c:pt idx="16">
                  <c:v>1696.0729999999996</c:v>
                </c:pt>
                <c:pt idx="17">
                  <c:v>1747.587</c:v>
                </c:pt>
                <c:pt idx="18">
                  <c:v>1817.9179999999997</c:v>
                </c:pt>
                <c:pt idx="19">
                  <c:v>1867.3550000000002</c:v>
                </c:pt>
                <c:pt idx="20">
                  <c:v>1967.9239999999993</c:v>
                </c:pt>
                <c:pt idx="21">
                  <c:v>1943.7830000000001</c:v>
                </c:pt>
                <c:pt idx="22">
                  <c:v>1979.5429999999999</c:v>
                </c:pt>
                <c:pt idx="23">
                  <c:v>2198.9169999999999</c:v>
                </c:pt>
                <c:pt idx="24">
                  <c:v>2139.2280000000001</c:v>
                </c:pt>
                <c:pt idx="25">
                  <c:v>2379.7549999999997</c:v>
                </c:pt>
                <c:pt idx="26">
                  <c:v>2313.5229999999997</c:v>
                </c:pt>
                <c:pt idx="27">
                  <c:v>2052.7630000000004</c:v>
                </c:pt>
                <c:pt idx="28">
                  <c:v>1953.503999999999</c:v>
                </c:pt>
                <c:pt idx="29">
                  <c:v>2257.5220000000004</c:v>
                </c:pt>
                <c:pt idx="30">
                  <c:v>2555.5499999999993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37-4FBB-8065-F4DAB767966A}"/>
            </c:ext>
          </c:extLst>
        </c:ser>
        <c:ser>
          <c:idx val="6"/>
          <c:order val="6"/>
          <c:tx>
            <c:strRef>
              <c:f>'July 2024 graph'!$H$2:$H$3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graph'!$H$4:$H$34</c:f>
              <c:numCache>
                <c:formatCode>General</c:formatCode>
                <c:ptCount val="31"/>
                <c:pt idx="0">
                  <c:v>335.51700000000005</c:v>
                </c:pt>
                <c:pt idx="1">
                  <c:v>160.92900000000003</c:v>
                </c:pt>
                <c:pt idx="2">
                  <c:v>390.16400000000004</c:v>
                </c:pt>
                <c:pt idx="3">
                  <c:v>375.71499999999975</c:v>
                </c:pt>
                <c:pt idx="4">
                  <c:v>359.7580000000001</c:v>
                </c:pt>
                <c:pt idx="5">
                  <c:v>418.06799999999981</c:v>
                </c:pt>
                <c:pt idx="6">
                  <c:v>455.99400000000026</c:v>
                </c:pt>
                <c:pt idx="7">
                  <c:v>416.45100000000002</c:v>
                </c:pt>
                <c:pt idx="8">
                  <c:v>177.40400000000002</c:v>
                </c:pt>
                <c:pt idx="9">
                  <c:v>296.24599999999998</c:v>
                </c:pt>
                <c:pt idx="10">
                  <c:v>317.61099999999999</c:v>
                </c:pt>
                <c:pt idx="11">
                  <c:v>192.51600000000005</c:v>
                </c:pt>
                <c:pt idx="12">
                  <c:v>95.795999999999992</c:v>
                </c:pt>
                <c:pt idx="13">
                  <c:v>670.1129999999996</c:v>
                </c:pt>
                <c:pt idx="14">
                  <c:v>438.68799999999987</c:v>
                </c:pt>
                <c:pt idx="15">
                  <c:v>156.559</c:v>
                </c:pt>
                <c:pt idx="16">
                  <c:v>303.68600000000009</c:v>
                </c:pt>
                <c:pt idx="17">
                  <c:v>356.21699999999976</c:v>
                </c:pt>
                <c:pt idx="18">
                  <c:v>330.97700000000003</c:v>
                </c:pt>
                <c:pt idx="19">
                  <c:v>329.36399999999998</c:v>
                </c:pt>
                <c:pt idx="20">
                  <c:v>514.50700000000006</c:v>
                </c:pt>
                <c:pt idx="21">
                  <c:v>460.38799999999986</c:v>
                </c:pt>
                <c:pt idx="22">
                  <c:v>155.69399999999999</c:v>
                </c:pt>
                <c:pt idx="23">
                  <c:v>401.37999999999988</c:v>
                </c:pt>
                <c:pt idx="24">
                  <c:v>247.095</c:v>
                </c:pt>
                <c:pt idx="25">
                  <c:v>261.88999999999993</c:v>
                </c:pt>
                <c:pt idx="26">
                  <c:v>361.21599999999995</c:v>
                </c:pt>
                <c:pt idx="27">
                  <c:v>488.30500000000006</c:v>
                </c:pt>
                <c:pt idx="28">
                  <c:v>359.04300000000001</c:v>
                </c:pt>
                <c:pt idx="29">
                  <c:v>144.33299999999997</c:v>
                </c:pt>
                <c:pt idx="30">
                  <c:v>239.09999999999997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37-4FBB-8065-F4DAB767966A}"/>
            </c:ext>
          </c:extLst>
        </c:ser>
        <c:ser>
          <c:idx val="7"/>
          <c:order val="7"/>
          <c:tx>
            <c:strRef>
              <c:f>'July 2024 graph'!$I$2:$I$3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graph'!$I$4:$I$34</c:f>
              <c:numCache>
                <c:formatCode>General</c:formatCode>
                <c:ptCount val="31"/>
                <c:pt idx="0">
                  <c:v>31.96</c:v>
                </c:pt>
                <c:pt idx="1">
                  <c:v>51.247</c:v>
                </c:pt>
                <c:pt idx="2">
                  <c:v>71.463999999999999</c:v>
                </c:pt>
                <c:pt idx="3">
                  <c:v>40.513999999999996</c:v>
                </c:pt>
                <c:pt idx="4">
                  <c:v>70.257999999999981</c:v>
                </c:pt>
                <c:pt idx="5">
                  <c:v>57.393999999999998</c:v>
                </c:pt>
                <c:pt idx="6">
                  <c:v>21.036000000000001</c:v>
                </c:pt>
                <c:pt idx="7">
                  <c:v>28.948999999999998</c:v>
                </c:pt>
                <c:pt idx="8">
                  <c:v>48.158000000000008</c:v>
                </c:pt>
                <c:pt idx="9">
                  <c:v>62.499999999999993</c:v>
                </c:pt>
                <c:pt idx="10">
                  <c:v>59.642000000000031</c:v>
                </c:pt>
                <c:pt idx="11">
                  <c:v>77.081000000000017</c:v>
                </c:pt>
                <c:pt idx="12">
                  <c:v>59.504999999999981</c:v>
                </c:pt>
                <c:pt idx="13">
                  <c:v>44.715999999999994</c:v>
                </c:pt>
                <c:pt idx="14">
                  <c:v>49.831000000000003</c:v>
                </c:pt>
                <c:pt idx="15">
                  <c:v>35.036000000000001</c:v>
                </c:pt>
                <c:pt idx="16">
                  <c:v>42.072000000000003</c:v>
                </c:pt>
                <c:pt idx="17">
                  <c:v>44.003999999999991</c:v>
                </c:pt>
                <c:pt idx="18">
                  <c:v>44.073</c:v>
                </c:pt>
                <c:pt idx="19">
                  <c:v>17.753</c:v>
                </c:pt>
                <c:pt idx="20">
                  <c:v>3.8330000000000002</c:v>
                </c:pt>
                <c:pt idx="21">
                  <c:v>25.765000000000001</c:v>
                </c:pt>
                <c:pt idx="22">
                  <c:v>40.32</c:v>
                </c:pt>
                <c:pt idx="23">
                  <c:v>43.817</c:v>
                </c:pt>
                <c:pt idx="24">
                  <c:v>30.55599999999999</c:v>
                </c:pt>
                <c:pt idx="25">
                  <c:v>26.553000000000001</c:v>
                </c:pt>
                <c:pt idx="26">
                  <c:v>27.471</c:v>
                </c:pt>
                <c:pt idx="27">
                  <c:v>6.5620000000000003</c:v>
                </c:pt>
                <c:pt idx="28">
                  <c:v>39.253999999999998</c:v>
                </c:pt>
                <c:pt idx="29">
                  <c:v>49.692000000000007</c:v>
                </c:pt>
                <c:pt idx="30">
                  <c:v>26.573000000000004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37-4FBB-8065-F4DAB767966A}"/>
            </c:ext>
          </c:extLst>
        </c:ser>
        <c:ser>
          <c:idx val="8"/>
          <c:order val="8"/>
          <c:tx>
            <c:strRef>
              <c:f>'July 2024 graph'!$J$2:$J$3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graph'!$J$4:$J$34</c:f>
              <c:numCache>
                <c:formatCode>General</c:formatCode>
                <c:ptCount val="31"/>
                <c:pt idx="0">
                  <c:v>24.536999999999999</c:v>
                </c:pt>
                <c:pt idx="1">
                  <c:v>22.754000000000001</c:v>
                </c:pt>
                <c:pt idx="2">
                  <c:v>31.728999999999999</c:v>
                </c:pt>
                <c:pt idx="3">
                  <c:v>32.372000000000007</c:v>
                </c:pt>
                <c:pt idx="4">
                  <c:v>19.720000000000002</c:v>
                </c:pt>
                <c:pt idx="5">
                  <c:v>16.484999999999999</c:v>
                </c:pt>
                <c:pt idx="6">
                  <c:v>12.335999999999997</c:v>
                </c:pt>
                <c:pt idx="7">
                  <c:v>10.003</c:v>
                </c:pt>
                <c:pt idx="8">
                  <c:v>5.5720000000000001</c:v>
                </c:pt>
                <c:pt idx="9">
                  <c:v>4.5469999999999997</c:v>
                </c:pt>
                <c:pt idx="10">
                  <c:v>5.1020000000000003</c:v>
                </c:pt>
                <c:pt idx="11">
                  <c:v>7.173</c:v>
                </c:pt>
                <c:pt idx="12">
                  <c:v>6.5380000000000003</c:v>
                </c:pt>
                <c:pt idx="13">
                  <c:v>5.67</c:v>
                </c:pt>
                <c:pt idx="14">
                  <c:v>5.1239999999999997</c:v>
                </c:pt>
                <c:pt idx="15">
                  <c:v>5.16</c:v>
                </c:pt>
                <c:pt idx="16">
                  <c:v>9.8889999999999993</c:v>
                </c:pt>
                <c:pt idx="17">
                  <c:v>4.3860000000000001</c:v>
                </c:pt>
                <c:pt idx="18">
                  <c:v>5.6669999999999998</c:v>
                </c:pt>
                <c:pt idx="19">
                  <c:v>5.1639999999999997</c:v>
                </c:pt>
                <c:pt idx="20">
                  <c:v>6.1</c:v>
                </c:pt>
                <c:pt idx="21">
                  <c:v>5.3379999999999992</c:v>
                </c:pt>
                <c:pt idx="22">
                  <c:v>5.1130000000000004</c:v>
                </c:pt>
                <c:pt idx="23">
                  <c:v>5.3569999999999993</c:v>
                </c:pt>
                <c:pt idx="24">
                  <c:v>4.5919999999999996</c:v>
                </c:pt>
                <c:pt idx="25">
                  <c:v>5.4660000000000002</c:v>
                </c:pt>
                <c:pt idx="26">
                  <c:v>5.9639999999999995</c:v>
                </c:pt>
                <c:pt idx="27">
                  <c:v>6.6850000000000005</c:v>
                </c:pt>
                <c:pt idx="28">
                  <c:v>5.4819999999999993</c:v>
                </c:pt>
                <c:pt idx="29">
                  <c:v>3.2549999999999999</c:v>
                </c:pt>
                <c:pt idx="30">
                  <c:v>6.2389999999999999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37-4FBB-8065-F4DAB767966A}"/>
            </c:ext>
          </c:extLst>
        </c:ser>
        <c:ser>
          <c:idx val="9"/>
          <c:order val="9"/>
          <c:tx>
            <c:strRef>
              <c:f>'July 2024 graph'!$K$2:$K$3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graph'!$K$4:$K$34</c:f>
              <c:numCache>
                <c:formatCode>General</c:formatCode>
                <c:ptCount val="31"/>
                <c:pt idx="0">
                  <c:v>29.664000000000001</c:v>
                </c:pt>
                <c:pt idx="1">
                  <c:v>18.734999999999999</c:v>
                </c:pt>
                <c:pt idx="2">
                  <c:v>30.983000000000001</c:v>
                </c:pt>
                <c:pt idx="3">
                  <c:v>25.225999999999999</c:v>
                </c:pt>
                <c:pt idx="4">
                  <c:v>31.329000000000001</c:v>
                </c:pt>
                <c:pt idx="5">
                  <c:v>20.687999999999999</c:v>
                </c:pt>
                <c:pt idx="6">
                  <c:v>32.443000000000005</c:v>
                </c:pt>
                <c:pt idx="7">
                  <c:v>29.405000000000001</c:v>
                </c:pt>
                <c:pt idx="8">
                  <c:v>10.555999999999999</c:v>
                </c:pt>
                <c:pt idx="9">
                  <c:v>35.048000000000002</c:v>
                </c:pt>
                <c:pt idx="10">
                  <c:v>22.084999999999997</c:v>
                </c:pt>
                <c:pt idx="11">
                  <c:v>39.472000000000001</c:v>
                </c:pt>
                <c:pt idx="12">
                  <c:v>28.365000000000002</c:v>
                </c:pt>
                <c:pt idx="13">
                  <c:v>2.8029999999999999</c:v>
                </c:pt>
                <c:pt idx="14">
                  <c:v>33.518999999999998</c:v>
                </c:pt>
                <c:pt idx="15">
                  <c:v>15.016000000000002</c:v>
                </c:pt>
                <c:pt idx="16">
                  <c:v>19.844000000000001</c:v>
                </c:pt>
                <c:pt idx="17">
                  <c:v>9.722999999999999</c:v>
                </c:pt>
                <c:pt idx="18">
                  <c:v>35.493000000000002</c:v>
                </c:pt>
                <c:pt idx="19">
                  <c:v>21.315000000000001</c:v>
                </c:pt>
                <c:pt idx="20">
                  <c:v>31.713999999999999</c:v>
                </c:pt>
                <c:pt idx="21">
                  <c:v>35.149000000000001</c:v>
                </c:pt>
                <c:pt idx="22">
                  <c:v>23.233000000000001</c:v>
                </c:pt>
                <c:pt idx="23">
                  <c:v>37.960999999999999</c:v>
                </c:pt>
                <c:pt idx="24">
                  <c:v>30.901000000000007</c:v>
                </c:pt>
                <c:pt idx="25">
                  <c:v>23.336000000000002</c:v>
                </c:pt>
                <c:pt idx="26">
                  <c:v>36.009</c:v>
                </c:pt>
                <c:pt idx="27">
                  <c:v>26.538000000000004</c:v>
                </c:pt>
                <c:pt idx="28">
                  <c:v>23.116999999999997</c:v>
                </c:pt>
                <c:pt idx="29">
                  <c:v>29.276000000000003</c:v>
                </c:pt>
                <c:pt idx="30">
                  <c:v>33.174999999999997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37-4FBB-8065-F4DAB767966A}"/>
            </c:ext>
          </c:extLst>
        </c:ser>
        <c:ser>
          <c:idx val="10"/>
          <c:order val="10"/>
          <c:tx>
            <c:strRef>
              <c:f>'July 2024 graph'!$L$2:$L$3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graph'!$L$4:$L$34</c:f>
              <c:numCache>
                <c:formatCode>General</c:formatCode>
                <c:ptCount val="31"/>
                <c:pt idx="0">
                  <c:v>162.54299999999998</c:v>
                </c:pt>
                <c:pt idx="1">
                  <c:v>98.828999999999994</c:v>
                </c:pt>
                <c:pt idx="2">
                  <c:v>91.114999999999995</c:v>
                </c:pt>
                <c:pt idx="3">
                  <c:v>108.85300000000002</c:v>
                </c:pt>
                <c:pt idx="4">
                  <c:v>135.61499999999998</c:v>
                </c:pt>
                <c:pt idx="5">
                  <c:v>101.46700000000003</c:v>
                </c:pt>
                <c:pt idx="6">
                  <c:v>90.6</c:v>
                </c:pt>
                <c:pt idx="7">
                  <c:v>113.14100000000002</c:v>
                </c:pt>
                <c:pt idx="8">
                  <c:v>111.605</c:v>
                </c:pt>
                <c:pt idx="9">
                  <c:v>92.040999999999997</c:v>
                </c:pt>
                <c:pt idx="10">
                  <c:v>93.071000000000026</c:v>
                </c:pt>
                <c:pt idx="11">
                  <c:v>98.006</c:v>
                </c:pt>
                <c:pt idx="12">
                  <c:v>109.82599999999999</c:v>
                </c:pt>
                <c:pt idx="13">
                  <c:v>79.747999999999962</c:v>
                </c:pt>
                <c:pt idx="14">
                  <c:v>54.456000000000003</c:v>
                </c:pt>
                <c:pt idx="15">
                  <c:v>141.29300000000001</c:v>
                </c:pt>
                <c:pt idx="16">
                  <c:v>84.094999999999999</c:v>
                </c:pt>
                <c:pt idx="17">
                  <c:v>97.174999999999983</c:v>
                </c:pt>
                <c:pt idx="18">
                  <c:v>87.093000000000004</c:v>
                </c:pt>
                <c:pt idx="19">
                  <c:v>79.387</c:v>
                </c:pt>
                <c:pt idx="20">
                  <c:v>104.94500000000001</c:v>
                </c:pt>
                <c:pt idx="21">
                  <c:v>96.524999999999991</c:v>
                </c:pt>
                <c:pt idx="22">
                  <c:v>95.245999999999995</c:v>
                </c:pt>
                <c:pt idx="23">
                  <c:v>109.14900000000002</c:v>
                </c:pt>
                <c:pt idx="24">
                  <c:v>123.34799999999997</c:v>
                </c:pt>
                <c:pt idx="25">
                  <c:v>95.424999999999997</c:v>
                </c:pt>
                <c:pt idx="26">
                  <c:v>102</c:v>
                </c:pt>
                <c:pt idx="27">
                  <c:v>116.87899999999999</c:v>
                </c:pt>
                <c:pt idx="28">
                  <c:v>99.683999999999997</c:v>
                </c:pt>
                <c:pt idx="29">
                  <c:v>105.09799999999998</c:v>
                </c:pt>
                <c:pt idx="30">
                  <c:v>94.855999999999938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37-4FBB-8065-F4DAB767966A}"/>
            </c:ext>
          </c:extLst>
        </c:ser>
        <c:ser>
          <c:idx val="11"/>
          <c:order val="11"/>
          <c:tx>
            <c:strRef>
              <c:f>'July 2024 graph'!$M$2:$M$3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graph'!$M$4:$M$34</c:f>
              <c:numCache>
                <c:formatCode>General</c:formatCode>
                <c:ptCount val="31"/>
                <c:pt idx="0">
                  <c:v>112.25</c:v>
                </c:pt>
                <c:pt idx="1">
                  <c:v>112.42699999999998</c:v>
                </c:pt>
                <c:pt idx="2">
                  <c:v>122.82600000000002</c:v>
                </c:pt>
                <c:pt idx="3">
                  <c:v>119.65799999999999</c:v>
                </c:pt>
                <c:pt idx="4">
                  <c:v>122.27199999999999</c:v>
                </c:pt>
                <c:pt idx="5">
                  <c:v>127.58000000000001</c:v>
                </c:pt>
                <c:pt idx="6">
                  <c:v>92.13300000000001</c:v>
                </c:pt>
                <c:pt idx="7">
                  <c:v>94.224000000000004</c:v>
                </c:pt>
                <c:pt idx="8">
                  <c:v>140.791</c:v>
                </c:pt>
                <c:pt idx="9">
                  <c:v>131.679</c:v>
                </c:pt>
                <c:pt idx="10">
                  <c:v>116.956</c:v>
                </c:pt>
                <c:pt idx="11">
                  <c:v>75.304999999999993</c:v>
                </c:pt>
                <c:pt idx="12">
                  <c:v>88.61999999999999</c:v>
                </c:pt>
                <c:pt idx="13">
                  <c:v>99.972000000000023</c:v>
                </c:pt>
                <c:pt idx="14">
                  <c:v>123.71600000000001</c:v>
                </c:pt>
                <c:pt idx="15">
                  <c:v>106.51500000000001</c:v>
                </c:pt>
                <c:pt idx="16">
                  <c:v>141.56700000000004</c:v>
                </c:pt>
                <c:pt idx="17">
                  <c:v>91.933999999999997</c:v>
                </c:pt>
                <c:pt idx="18">
                  <c:v>102.068</c:v>
                </c:pt>
                <c:pt idx="19">
                  <c:v>139.70799999999997</c:v>
                </c:pt>
                <c:pt idx="20">
                  <c:v>62.396000000000001</c:v>
                </c:pt>
                <c:pt idx="21">
                  <c:v>130.577</c:v>
                </c:pt>
                <c:pt idx="22">
                  <c:v>111.67299999999999</c:v>
                </c:pt>
                <c:pt idx="23">
                  <c:v>122.67899999999997</c:v>
                </c:pt>
                <c:pt idx="24">
                  <c:v>138.99099999999999</c:v>
                </c:pt>
                <c:pt idx="25">
                  <c:v>115.12500000000003</c:v>
                </c:pt>
                <c:pt idx="26">
                  <c:v>124.352</c:v>
                </c:pt>
                <c:pt idx="27">
                  <c:v>112.20100000000002</c:v>
                </c:pt>
                <c:pt idx="28">
                  <c:v>88.004000000000005</c:v>
                </c:pt>
                <c:pt idx="29">
                  <c:v>162.75</c:v>
                </c:pt>
                <c:pt idx="30">
                  <c:v>115.041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A37-4FBB-8065-F4DAB7679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505912"/>
        <c:axId val="467501992"/>
      </c:barChart>
      <c:catAx>
        <c:axId val="46750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1992"/>
        <c:crosses val="autoZero"/>
        <c:auto val="1"/>
        <c:lblAlgn val="ctr"/>
        <c:lblOffset val="100"/>
        <c:noMultiLvlLbl val="0"/>
      </c:catAx>
      <c:valAx>
        <c:axId val="46750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Consumption.xlsx]July 2024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'July 2024 graph'!$B$2:$B$3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graph'!$B$4:$B$34</c:f>
              <c:numCache>
                <c:formatCode>General</c:formatCode>
                <c:ptCount val="31"/>
                <c:pt idx="0">
                  <c:v>44.506999999999998</c:v>
                </c:pt>
                <c:pt idx="1">
                  <c:v>47.745000000000005</c:v>
                </c:pt>
                <c:pt idx="2">
                  <c:v>24.2</c:v>
                </c:pt>
                <c:pt idx="3">
                  <c:v>31.025000000000002</c:v>
                </c:pt>
                <c:pt idx="4">
                  <c:v>66.147999999999996</c:v>
                </c:pt>
                <c:pt idx="5">
                  <c:v>68.472999999999985</c:v>
                </c:pt>
                <c:pt idx="6">
                  <c:v>52.144000000000005</c:v>
                </c:pt>
                <c:pt idx="7">
                  <c:v>25.207999999999998</c:v>
                </c:pt>
                <c:pt idx="8">
                  <c:v>36.438000000000002</c:v>
                </c:pt>
                <c:pt idx="9">
                  <c:v>47.656999999999989</c:v>
                </c:pt>
                <c:pt idx="10">
                  <c:v>43.002999999999993</c:v>
                </c:pt>
                <c:pt idx="11">
                  <c:v>76.819999999999993</c:v>
                </c:pt>
                <c:pt idx="12">
                  <c:v>83.289999999999992</c:v>
                </c:pt>
                <c:pt idx="13">
                  <c:v>49</c:v>
                </c:pt>
                <c:pt idx="14">
                  <c:v>107.22</c:v>
                </c:pt>
                <c:pt idx="15">
                  <c:v>109.48</c:v>
                </c:pt>
                <c:pt idx="16">
                  <c:v>40.540000000000006</c:v>
                </c:pt>
                <c:pt idx="17">
                  <c:v>142.74</c:v>
                </c:pt>
                <c:pt idx="18">
                  <c:v>93.94</c:v>
                </c:pt>
                <c:pt idx="19">
                  <c:v>67.790000000000006</c:v>
                </c:pt>
                <c:pt idx="20">
                  <c:v>88.460000000000008</c:v>
                </c:pt>
                <c:pt idx="21">
                  <c:v>141.809</c:v>
                </c:pt>
                <c:pt idx="22">
                  <c:v>128.31700000000006</c:v>
                </c:pt>
                <c:pt idx="23">
                  <c:v>119.12600000000002</c:v>
                </c:pt>
                <c:pt idx="24">
                  <c:v>149.99799999999999</c:v>
                </c:pt>
                <c:pt idx="25">
                  <c:v>139.928</c:v>
                </c:pt>
                <c:pt idx="26">
                  <c:v>180.37500000000003</c:v>
                </c:pt>
                <c:pt idx="27">
                  <c:v>169.6690000000001</c:v>
                </c:pt>
                <c:pt idx="28">
                  <c:v>115.64900000000002</c:v>
                </c:pt>
                <c:pt idx="29">
                  <c:v>60.107999999999997</c:v>
                </c:pt>
                <c:pt idx="30">
                  <c:v>51.664999999999999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F-4891-BB5A-FCD37CEFA36A}"/>
            </c:ext>
          </c:extLst>
        </c:ser>
        <c:ser>
          <c:idx val="1"/>
          <c:order val="1"/>
          <c:tx>
            <c:strRef>
              <c:f>'July 2024 graph'!$C$2:$C$3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graph'!$C$4:$C$34</c:f>
              <c:numCache>
                <c:formatCode>General</c:formatCode>
                <c:ptCount val="31"/>
                <c:pt idx="0">
                  <c:v>829.40199999999993</c:v>
                </c:pt>
                <c:pt idx="1">
                  <c:v>822.09199999999998</c:v>
                </c:pt>
                <c:pt idx="2">
                  <c:v>807.11500000000012</c:v>
                </c:pt>
                <c:pt idx="3">
                  <c:v>899.9770000000002</c:v>
                </c:pt>
                <c:pt idx="4">
                  <c:v>841.73800000000006</c:v>
                </c:pt>
                <c:pt idx="5">
                  <c:v>918.15699999999993</c:v>
                </c:pt>
                <c:pt idx="6">
                  <c:v>867.60399999999993</c:v>
                </c:pt>
                <c:pt idx="7">
                  <c:v>760.93500000000017</c:v>
                </c:pt>
                <c:pt idx="8">
                  <c:v>810.75699999999983</c:v>
                </c:pt>
                <c:pt idx="9">
                  <c:v>667.60299999999995</c:v>
                </c:pt>
                <c:pt idx="10">
                  <c:v>792.52600000000007</c:v>
                </c:pt>
                <c:pt idx="11">
                  <c:v>755.41100000000006</c:v>
                </c:pt>
                <c:pt idx="12">
                  <c:v>770.96499999999992</c:v>
                </c:pt>
                <c:pt idx="13">
                  <c:v>675.58000000000015</c:v>
                </c:pt>
                <c:pt idx="14">
                  <c:v>773.56399999999985</c:v>
                </c:pt>
                <c:pt idx="15">
                  <c:v>799.86900000000014</c:v>
                </c:pt>
                <c:pt idx="16">
                  <c:v>723.11900000000003</c:v>
                </c:pt>
                <c:pt idx="17">
                  <c:v>746.7399999999999</c:v>
                </c:pt>
                <c:pt idx="18">
                  <c:v>743.73500000000013</c:v>
                </c:pt>
                <c:pt idx="19">
                  <c:v>777.23699999999997</c:v>
                </c:pt>
                <c:pt idx="20">
                  <c:v>839.37099999999998</c:v>
                </c:pt>
                <c:pt idx="21">
                  <c:v>882.40200000000004</c:v>
                </c:pt>
                <c:pt idx="22">
                  <c:v>872.53300000000002</c:v>
                </c:pt>
                <c:pt idx="23">
                  <c:v>816.40999999999985</c:v>
                </c:pt>
                <c:pt idx="24">
                  <c:v>806.5619999999999</c:v>
                </c:pt>
                <c:pt idx="25">
                  <c:v>783.64499999999998</c:v>
                </c:pt>
                <c:pt idx="26">
                  <c:v>844.80200000000013</c:v>
                </c:pt>
                <c:pt idx="27">
                  <c:v>806.91700000000014</c:v>
                </c:pt>
                <c:pt idx="28">
                  <c:v>739.84500000000003</c:v>
                </c:pt>
                <c:pt idx="29">
                  <c:v>666.06299999999999</c:v>
                </c:pt>
                <c:pt idx="30">
                  <c:v>733.02700000000016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F-4891-BB5A-FCD37CEFA36A}"/>
            </c:ext>
          </c:extLst>
        </c:ser>
        <c:ser>
          <c:idx val="2"/>
          <c:order val="2"/>
          <c:tx>
            <c:strRef>
              <c:f>'July 2024 graph'!$D$2:$D$3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graph'!$D$4:$D$34</c:f>
              <c:numCache>
                <c:formatCode>General</c:formatCode>
                <c:ptCount val="31"/>
                <c:pt idx="0">
                  <c:v>642.3330000000002</c:v>
                </c:pt>
                <c:pt idx="1">
                  <c:v>652.71</c:v>
                </c:pt>
                <c:pt idx="2">
                  <c:v>630.0809999999999</c:v>
                </c:pt>
                <c:pt idx="3">
                  <c:v>627.43599999999992</c:v>
                </c:pt>
                <c:pt idx="4">
                  <c:v>647.70600000000013</c:v>
                </c:pt>
                <c:pt idx="5">
                  <c:v>613.96299999999985</c:v>
                </c:pt>
                <c:pt idx="6">
                  <c:v>681.35900000000015</c:v>
                </c:pt>
                <c:pt idx="7">
                  <c:v>556.6640000000001</c:v>
                </c:pt>
                <c:pt idx="8">
                  <c:v>648.048</c:v>
                </c:pt>
                <c:pt idx="9">
                  <c:v>690.71</c:v>
                </c:pt>
                <c:pt idx="10">
                  <c:v>668.40899999999999</c:v>
                </c:pt>
                <c:pt idx="11">
                  <c:v>707.44700000000012</c:v>
                </c:pt>
                <c:pt idx="12">
                  <c:v>715.80000000000007</c:v>
                </c:pt>
                <c:pt idx="13">
                  <c:v>636.80400000000009</c:v>
                </c:pt>
                <c:pt idx="14">
                  <c:v>654.48199999999997</c:v>
                </c:pt>
                <c:pt idx="15">
                  <c:v>719.76199999999994</c:v>
                </c:pt>
                <c:pt idx="16">
                  <c:v>647.88799999999969</c:v>
                </c:pt>
                <c:pt idx="17">
                  <c:v>841.06299999999999</c:v>
                </c:pt>
                <c:pt idx="18">
                  <c:v>792.44200000000012</c:v>
                </c:pt>
                <c:pt idx="19">
                  <c:v>736.05000000000007</c:v>
                </c:pt>
                <c:pt idx="20">
                  <c:v>657.91700000000003</c:v>
                </c:pt>
                <c:pt idx="21">
                  <c:v>822.87900000000013</c:v>
                </c:pt>
                <c:pt idx="22">
                  <c:v>761.2940000000001</c:v>
                </c:pt>
                <c:pt idx="23">
                  <c:v>766.79200000000003</c:v>
                </c:pt>
                <c:pt idx="24">
                  <c:v>830.92500000000007</c:v>
                </c:pt>
                <c:pt idx="25">
                  <c:v>803.27300000000014</c:v>
                </c:pt>
                <c:pt idx="26">
                  <c:v>807.63000000000011</c:v>
                </c:pt>
                <c:pt idx="27">
                  <c:v>803.904</c:v>
                </c:pt>
                <c:pt idx="28">
                  <c:v>963.96400000000017</c:v>
                </c:pt>
                <c:pt idx="29">
                  <c:v>748.02700000000004</c:v>
                </c:pt>
                <c:pt idx="30">
                  <c:v>767.91099999999994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EF-4891-BB5A-FCD37CEFA36A}"/>
            </c:ext>
          </c:extLst>
        </c:ser>
        <c:ser>
          <c:idx val="3"/>
          <c:order val="3"/>
          <c:tx>
            <c:strRef>
              <c:f>'July 2024 graph'!$E$2:$E$3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graph'!$E$4:$E$34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EF-4891-BB5A-FCD37CEFA36A}"/>
            </c:ext>
          </c:extLst>
        </c:ser>
        <c:ser>
          <c:idx val="4"/>
          <c:order val="4"/>
          <c:tx>
            <c:strRef>
              <c:f>'July 2024 graph'!$F$2:$F$3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graph'!$F$4:$F$34</c:f>
              <c:numCache>
                <c:formatCode>General</c:formatCode>
                <c:ptCount val="31"/>
                <c:pt idx="0">
                  <c:v>48.423999999999999</c:v>
                </c:pt>
                <c:pt idx="1">
                  <c:v>29.193000000000001</c:v>
                </c:pt>
                <c:pt idx="2">
                  <c:v>69.474999999999994</c:v>
                </c:pt>
                <c:pt idx="3">
                  <c:v>62.667000000000002</c:v>
                </c:pt>
                <c:pt idx="4">
                  <c:v>38.742999999999995</c:v>
                </c:pt>
                <c:pt idx="5">
                  <c:v>47.111000000000011</c:v>
                </c:pt>
                <c:pt idx="6">
                  <c:v>37.361000000000004</c:v>
                </c:pt>
                <c:pt idx="7">
                  <c:v>60.020999999999994</c:v>
                </c:pt>
                <c:pt idx="8">
                  <c:v>63.966000000000001</c:v>
                </c:pt>
                <c:pt idx="9">
                  <c:v>40.341999999999999</c:v>
                </c:pt>
                <c:pt idx="10">
                  <c:v>37.269999999999996</c:v>
                </c:pt>
                <c:pt idx="11">
                  <c:v>46.348000000000006</c:v>
                </c:pt>
                <c:pt idx="12">
                  <c:v>48.334000000000003</c:v>
                </c:pt>
                <c:pt idx="13">
                  <c:v>49.426999999999992</c:v>
                </c:pt>
                <c:pt idx="14">
                  <c:v>32.792000000000002</c:v>
                </c:pt>
                <c:pt idx="15">
                  <c:v>60.385000000000005</c:v>
                </c:pt>
                <c:pt idx="16">
                  <c:v>45.111000000000004</c:v>
                </c:pt>
                <c:pt idx="17">
                  <c:v>39.71</c:v>
                </c:pt>
                <c:pt idx="18">
                  <c:v>48.118000000000009</c:v>
                </c:pt>
                <c:pt idx="19">
                  <c:v>41.879999999999988</c:v>
                </c:pt>
                <c:pt idx="20">
                  <c:v>45.734999999999999</c:v>
                </c:pt>
                <c:pt idx="21">
                  <c:v>31.346000000000004</c:v>
                </c:pt>
                <c:pt idx="22">
                  <c:v>53.173999999999999</c:v>
                </c:pt>
                <c:pt idx="23">
                  <c:v>45.32</c:v>
                </c:pt>
                <c:pt idx="24">
                  <c:v>39.919000000000004</c:v>
                </c:pt>
                <c:pt idx="25">
                  <c:v>71.400000000000006</c:v>
                </c:pt>
                <c:pt idx="26">
                  <c:v>51.241999999999997</c:v>
                </c:pt>
                <c:pt idx="27">
                  <c:v>38.091000000000001</c:v>
                </c:pt>
                <c:pt idx="28">
                  <c:v>40.203999999999994</c:v>
                </c:pt>
                <c:pt idx="29">
                  <c:v>50.509</c:v>
                </c:pt>
                <c:pt idx="30">
                  <c:v>50.453999999999994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EF-4891-BB5A-FCD37CEFA36A}"/>
            </c:ext>
          </c:extLst>
        </c:ser>
        <c:ser>
          <c:idx val="5"/>
          <c:order val="5"/>
          <c:tx>
            <c:strRef>
              <c:f>'July 2024 graph'!$G$2:$G$3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graph'!$G$4:$G$34</c:f>
              <c:numCache>
                <c:formatCode>General</c:formatCode>
                <c:ptCount val="31"/>
                <c:pt idx="0">
                  <c:v>1684.9159999999999</c:v>
                </c:pt>
                <c:pt idx="1">
                  <c:v>1583.2</c:v>
                </c:pt>
                <c:pt idx="2">
                  <c:v>1825.4240000000002</c:v>
                </c:pt>
                <c:pt idx="3">
                  <c:v>1737.4770000000003</c:v>
                </c:pt>
                <c:pt idx="4">
                  <c:v>1591.8519999999999</c:v>
                </c:pt>
                <c:pt idx="5">
                  <c:v>1849.9070000000006</c:v>
                </c:pt>
                <c:pt idx="6">
                  <c:v>1794.7580000000003</c:v>
                </c:pt>
                <c:pt idx="7">
                  <c:v>1749.4819999999997</c:v>
                </c:pt>
                <c:pt idx="8">
                  <c:v>1735.0229999999997</c:v>
                </c:pt>
                <c:pt idx="9">
                  <c:v>1736.1849999999999</c:v>
                </c:pt>
                <c:pt idx="10">
                  <c:v>1622.1910000000003</c:v>
                </c:pt>
                <c:pt idx="11">
                  <c:v>1752.1609999999996</c:v>
                </c:pt>
                <c:pt idx="12">
                  <c:v>1787.0809999999997</c:v>
                </c:pt>
                <c:pt idx="13">
                  <c:v>1561.5869999999998</c:v>
                </c:pt>
                <c:pt idx="14">
                  <c:v>1780.4189999999999</c:v>
                </c:pt>
                <c:pt idx="15">
                  <c:v>1821.6640000000004</c:v>
                </c:pt>
                <c:pt idx="16">
                  <c:v>1696.0729999999996</c:v>
                </c:pt>
                <c:pt idx="17">
                  <c:v>1747.587</c:v>
                </c:pt>
                <c:pt idx="18">
                  <c:v>1817.9179999999997</c:v>
                </c:pt>
                <c:pt idx="19">
                  <c:v>1867.3550000000002</c:v>
                </c:pt>
                <c:pt idx="20">
                  <c:v>1967.9239999999993</c:v>
                </c:pt>
                <c:pt idx="21">
                  <c:v>1943.7830000000001</c:v>
                </c:pt>
                <c:pt idx="22">
                  <c:v>1979.5429999999999</c:v>
                </c:pt>
                <c:pt idx="23">
                  <c:v>2198.9169999999999</c:v>
                </c:pt>
                <c:pt idx="24">
                  <c:v>2139.2280000000001</c:v>
                </c:pt>
                <c:pt idx="25">
                  <c:v>2379.7549999999997</c:v>
                </c:pt>
                <c:pt idx="26">
                  <c:v>2313.5229999999997</c:v>
                </c:pt>
                <c:pt idx="27">
                  <c:v>2052.7630000000004</c:v>
                </c:pt>
                <c:pt idx="28">
                  <c:v>1953.503999999999</c:v>
                </c:pt>
                <c:pt idx="29">
                  <c:v>2257.5220000000004</c:v>
                </c:pt>
                <c:pt idx="30">
                  <c:v>2555.5499999999993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EF-4891-BB5A-FCD37CEFA36A}"/>
            </c:ext>
          </c:extLst>
        </c:ser>
        <c:ser>
          <c:idx val="6"/>
          <c:order val="6"/>
          <c:tx>
            <c:strRef>
              <c:f>'July 2024 graph'!$H$2:$H$3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graph'!$H$4:$H$34</c:f>
              <c:numCache>
                <c:formatCode>General</c:formatCode>
                <c:ptCount val="31"/>
                <c:pt idx="0">
                  <c:v>335.51700000000005</c:v>
                </c:pt>
                <c:pt idx="1">
                  <c:v>160.92900000000003</c:v>
                </c:pt>
                <c:pt idx="2">
                  <c:v>390.16400000000004</c:v>
                </c:pt>
                <c:pt idx="3">
                  <c:v>375.71499999999975</c:v>
                </c:pt>
                <c:pt idx="4">
                  <c:v>359.7580000000001</c:v>
                </c:pt>
                <c:pt idx="5">
                  <c:v>418.06799999999981</c:v>
                </c:pt>
                <c:pt idx="6">
                  <c:v>455.99400000000026</c:v>
                </c:pt>
                <c:pt idx="7">
                  <c:v>416.45100000000002</c:v>
                </c:pt>
                <c:pt idx="8">
                  <c:v>177.40400000000002</c:v>
                </c:pt>
                <c:pt idx="9">
                  <c:v>296.24599999999998</c:v>
                </c:pt>
                <c:pt idx="10">
                  <c:v>317.61099999999999</c:v>
                </c:pt>
                <c:pt idx="11">
                  <c:v>192.51600000000005</c:v>
                </c:pt>
                <c:pt idx="12">
                  <c:v>95.795999999999992</c:v>
                </c:pt>
                <c:pt idx="13">
                  <c:v>670.1129999999996</c:v>
                </c:pt>
                <c:pt idx="14">
                  <c:v>438.68799999999987</c:v>
                </c:pt>
                <c:pt idx="15">
                  <c:v>156.559</c:v>
                </c:pt>
                <c:pt idx="16">
                  <c:v>303.68600000000009</c:v>
                </c:pt>
                <c:pt idx="17">
                  <c:v>356.21699999999976</c:v>
                </c:pt>
                <c:pt idx="18">
                  <c:v>330.97700000000003</c:v>
                </c:pt>
                <c:pt idx="19">
                  <c:v>329.36399999999998</c:v>
                </c:pt>
                <c:pt idx="20">
                  <c:v>514.50700000000006</c:v>
                </c:pt>
                <c:pt idx="21">
                  <c:v>460.38799999999986</c:v>
                </c:pt>
                <c:pt idx="22">
                  <c:v>155.69399999999999</c:v>
                </c:pt>
                <c:pt idx="23">
                  <c:v>401.37999999999988</c:v>
                </c:pt>
                <c:pt idx="24">
                  <c:v>247.095</c:v>
                </c:pt>
                <c:pt idx="25">
                  <c:v>261.88999999999993</c:v>
                </c:pt>
                <c:pt idx="26">
                  <c:v>361.21599999999995</c:v>
                </c:pt>
                <c:pt idx="27">
                  <c:v>488.30500000000006</c:v>
                </c:pt>
                <c:pt idx="28">
                  <c:v>359.04300000000001</c:v>
                </c:pt>
                <c:pt idx="29">
                  <c:v>144.33299999999997</c:v>
                </c:pt>
                <c:pt idx="30">
                  <c:v>239.09999999999997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EF-4891-BB5A-FCD37CEFA36A}"/>
            </c:ext>
          </c:extLst>
        </c:ser>
        <c:ser>
          <c:idx val="7"/>
          <c:order val="7"/>
          <c:tx>
            <c:strRef>
              <c:f>'July 2024 graph'!$I$2:$I$3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graph'!$I$4:$I$34</c:f>
              <c:numCache>
                <c:formatCode>General</c:formatCode>
                <c:ptCount val="31"/>
                <c:pt idx="0">
                  <c:v>31.96</c:v>
                </c:pt>
                <c:pt idx="1">
                  <c:v>51.247</c:v>
                </c:pt>
                <c:pt idx="2">
                  <c:v>71.463999999999999</c:v>
                </c:pt>
                <c:pt idx="3">
                  <c:v>40.513999999999996</c:v>
                </c:pt>
                <c:pt idx="4">
                  <c:v>70.257999999999981</c:v>
                </c:pt>
                <c:pt idx="5">
                  <c:v>57.393999999999998</c:v>
                </c:pt>
                <c:pt idx="6">
                  <c:v>21.036000000000001</c:v>
                </c:pt>
                <c:pt idx="7">
                  <c:v>28.948999999999998</c:v>
                </c:pt>
                <c:pt idx="8">
                  <c:v>48.158000000000008</c:v>
                </c:pt>
                <c:pt idx="9">
                  <c:v>62.499999999999993</c:v>
                </c:pt>
                <c:pt idx="10">
                  <c:v>59.642000000000031</c:v>
                </c:pt>
                <c:pt idx="11">
                  <c:v>77.081000000000017</c:v>
                </c:pt>
                <c:pt idx="12">
                  <c:v>59.504999999999981</c:v>
                </c:pt>
                <c:pt idx="13">
                  <c:v>44.715999999999994</c:v>
                </c:pt>
                <c:pt idx="14">
                  <c:v>49.831000000000003</c:v>
                </c:pt>
                <c:pt idx="15">
                  <c:v>35.036000000000001</c:v>
                </c:pt>
                <c:pt idx="16">
                  <c:v>42.072000000000003</c:v>
                </c:pt>
                <c:pt idx="17">
                  <c:v>44.003999999999991</c:v>
                </c:pt>
                <c:pt idx="18">
                  <c:v>44.073</c:v>
                </c:pt>
                <c:pt idx="19">
                  <c:v>17.753</c:v>
                </c:pt>
                <c:pt idx="20">
                  <c:v>3.8330000000000002</c:v>
                </c:pt>
                <c:pt idx="21">
                  <c:v>25.765000000000001</c:v>
                </c:pt>
                <c:pt idx="22">
                  <c:v>40.32</c:v>
                </c:pt>
                <c:pt idx="23">
                  <c:v>43.817</c:v>
                </c:pt>
                <c:pt idx="24">
                  <c:v>30.55599999999999</c:v>
                </c:pt>
                <c:pt idx="25">
                  <c:v>26.553000000000001</c:v>
                </c:pt>
                <c:pt idx="26">
                  <c:v>27.471</c:v>
                </c:pt>
                <c:pt idx="27">
                  <c:v>6.5620000000000003</c:v>
                </c:pt>
                <c:pt idx="28">
                  <c:v>39.253999999999998</c:v>
                </c:pt>
                <c:pt idx="29">
                  <c:v>49.692000000000007</c:v>
                </c:pt>
                <c:pt idx="30">
                  <c:v>26.573000000000004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EF-4891-BB5A-FCD37CEFA36A}"/>
            </c:ext>
          </c:extLst>
        </c:ser>
        <c:ser>
          <c:idx val="8"/>
          <c:order val="8"/>
          <c:tx>
            <c:strRef>
              <c:f>'July 2024 graph'!$J$2:$J$3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graph'!$J$4:$J$34</c:f>
              <c:numCache>
                <c:formatCode>General</c:formatCode>
                <c:ptCount val="31"/>
                <c:pt idx="0">
                  <c:v>24.536999999999999</c:v>
                </c:pt>
                <c:pt idx="1">
                  <c:v>22.754000000000001</c:v>
                </c:pt>
                <c:pt idx="2">
                  <c:v>31.728999999999999</c:v>
                </c:pt>
                <c:pt idx="3">
                  <c:v>32.372000000000007</c:v>
                </c:pt>
                <c:pt idx="4">
                  <c:v>19.720000000000002</c:v>
                </c:pt>
                <c:pt idx="5">
                  <c:v>16.484999999999999</c:v>
                </c:pt>
                <c:pt idx="6">
                  <c:v>12.335999999999997</c:v>
                </c:pt>
                <c:pt idx="7">
                  <c:v>10.003</c:v>
                </c:pt>
                <c:pt idx="8">
                  <c:v>5.5720000000000001</c:v>
                </c:pt>
                <c:pt idx="9">
                  <c:v>4.5469999999999997</c:v>
                </c:pt>
                <c:pt idx="10">
                  <c:v>5.1020000000000003</c:v>
                </c:pt>
                <c:pt idx="11">
                  <c:v>7.173</c:v>
                </c:pt>
                <c:pt idx="12">
                  <c:v>6.5380000000000003</c:v>
                </c:pt>
                <c:pt idx="13">
                  <c:v>5.67</c:v>
                </c:pt>
                <c:pt idx="14">
                  <c:v>5.1239999999999997</c:v>
                </c:pt>
                <c:pt idx="15">
                  <c:v>5.16</c:v>
                </c:pt>
                <c:pt idx="16">
                  <c:v>9.8889999999999993</c:v>
                </c:pt>
                <c:pt idx="17">
                  <c:v>4.3860000000000001</c:v>
                </c:pt>
                <c:pt idx="18">
                  <c:v>5.6669999999999998</c:v>
                </c:pt>
                <c:pt idx="19">
                  <c:v>5.1639999999999997</c:v>
                </c:pt>
                <c:pt idx="20">
                  <c:v>6.1</c:v>
                </c:pt>
                <c:pt idx="21">
                  <c:v>5.3379999999999992</c:v>
                </c:pt>
                <c:pt idx="22">
                  <c:v>5.1130000000000004</c:v>
                </c:pt>
                <c:pt idx="23">
                  <c:v>5.3569999999999993</c:v>
                </c:pt>
                <c:pt idx="24">
                  <c:v>4.5919999999999996</c:v>
                </c:pt>
                <c:pt idx="25">
                  <c:v>5.4660000000000002</c:v>
                </c:pt>
                <c:pt idx="26">
                  <c:v>5.9639999999999995</c:v>
                </c:pt>
                <c:pt idx="27">
                  <c:v>6.6850000000000005</c:v>
                </c:pt>
                <c:pt idx="28">
                  <c:v>5.4819999999999993</c:v>
                </c:pt>
                <c:pt idx="29">
                  <c:v>3.2549999999999999</c:v>
                </c:pt>
                <c:pt idx="30">
                  <c:v>6.2389999999999999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EF-4891-BB5A-FCD37CEFA36A}"/>
            </c:ext>
          </c:extLst>
        </c:ser>
        <c:ser>
          <c:idx val="9"/>
          <c:order val="9"/>
          <c:tx>
            <c:strRef>
              <c:f>'July 2024 graph'!$K$2:$K$3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graph'!$K$4:$K$34</c:f>
              <c:numCache>
                <c:formatCode>General</c:formatCode>
                <c:ptCount val="31"/>
                <c:pt idx="0">
                  <c:v>29.664000000000001</c:v>
                </c:pt>
                <c:pt idx="1">
                  <c:v>18.734999999999999</c:v>
                </c:pt>
                <c:pt idx="2">
                  <c:v>30.983000000000001</c:v>
                </c:pt>
                <c:pt idx="3">
                  <c:v>25.225999999999999</c:v>
                </c:pt>
                <c:pt idx="4">
                  <c:v>31.329000000000001</c:v>
                </c:pt>
                <c:pt idx="5">
                  <c:v>20.687999999999999</c:v>
                </c:pt>
                <c:pt idx="6">
                  <c:v>32.443000000000005</c:v>
                </c:pt>
                <c:pt idx="7">
                  <c:v>29.405000000000001</c:v>
                </c:pt>
                <c:pt idx="8">
                  <c:v>10.555999999999999</c:v>
                </c:pt>
                <c:pt idx="9">
                  <c:v>35.048000000000002</c:v>
                </c:pt>
                <c:pt idx="10">
                  <c:v>22.084999999999997</c:v>
                </c:pt>
                <c:pt idx="11">
                  <c:v>39.472000000000001</c:v>
                </c:pt>
                <c:pt idx="12">
                  <c:v>28.365000000000002</c:v>
                </c:pt>
                <c:pt idx="13">
                  <c:v>2.8029999999999999</c:v>
                </c:pt>
                <c:pt idx="14">
                  <c:v>33.518999999999998</c:v>
                </c:pt>
                <c:pt idx="15">
                  <c:v>15.016000000000002</c:v>
                </c:pt>
                <c:pt idx="16">
                  <c:v>19.844000000000001</c:v>
                </c:pt>
                <c:pt idx="17">
                  <c:v>9.722999999999999</c:v>
                </c:pt>
                <c:pt idx="18">
                  <c:v>35.493000000000002</c:v>
                </c:pt>
                <c:pt idx="19">
                  <c:v>21.315000000000001</c:v>
                </c:pt>
                <c:pt idx="20">
                  <c:v>31.713999999999999</c:v>
                </c:pt>
                <c:pt idx="21">
                  <c:v>35.149000000000001</c:v>
                </c:pt>
                <c:pt idx="22">
                  <c:v>23.233000000000001</c:v>
                </c:pt>
                <c:pt idx="23">
                  <c:v>37.960999999999999</c:v>
                </c:pt>
                <c:pt idx="24">
                  <c:v>30.901000000000007</c:v>
                </c:pt>
                <c:pt idx="25">
                  <c:v>23.336000000000002</c:v>
                </c:pt>
                <c:pt idx="26">
                  <c:v>36.009</c:v>
                </c:pt>
                <c:pt idx="27">
                  <c:v>26.538000000000004</c:v>
                </c:pt>
                <c:pt idx="28">
                  <c:v>23.116999999999997</c:v>
                </c:pt>
                <c:pt idx="29">
                  <c:v>29.276000000000003</c:v>
                </c:pt>
                <c:pt idx="30">
                  <c:v>33.174999999999997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EF-4891-BB5A-FCD37CEFA36A}"/>
            </c:ext>
          </c:extLst>
        </c:ser>
        <c:ser>
          <c:idx val="10"/>
          <c:order val="10"/>
          <c:tx>
            <c:strRef>
              <c:f>'July 2024 graph'!$L$2:$L$3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graph'!$L$4:$L$34</c:f>
              <c:numCache>
                <c:formatCode>General</c:formatCode>
                <c:ptCount val="31"/>
                <c:pt idx="0">
                  <c:v>162.54299999999998</c:v>
                </c:pt>
                <c:pt idx="1">
                  <c:v>98.828999999999994</c:v>
                </c:pt>
                <c:pt idx="2">
                  <c:v>91.114999999999995</c:v>
                </c:pt>
                <c:pt idx="3">
                  <c:v>108.85300000000002</c:v>
                </c:pt>
                <c:pt idx="4">
                  <c:v>135.61499999999998</c:v>
                </c:pt>
                <c:pt idx="5">
                  <c:v>101.46700000000003</c:v>
                </c:pt>
                <c:pt idx="6">
                  <c:v>90.6</c:v>
                </c:pt>
                <c:pt idx="7">
                  <c:v>113.14100000000002</c:v>
                </c:pt>
                <c:pt idx="8">
                  <c:v>111.605</c:v>
                </c:pt>
                <c:pt idx="9">
                  <c:v>92.040999999999997</c:v>
                </c:pt>
                <c:pt idx="10">
                  <c:v>93.071000000000026</c:v>
                </c:pt>
                <c:pt idx="11">
                  <c:v>98.006</c:v>
                </c:pt>
                <c:pt idx="12">
                  <c:v>109.82599999999999</c:v>
                </c:pt>
                <c:pt idx="13">
                  <c:v>79.747999999999962</c:v>
                </c:pt>
                <c:pt idx="14">
                  <c:v>54.456000000000003</c:v>
                </c:pt>
                <c:pt idx="15">
                  <c:v>141.29300000000001</c:v>
                </c:pt>
                <c:pt idx="16">
                  <c:v>84.094999999999999</c:v>
                </c:pt>
                <c:pt idx="17">
                  <c:v>97.174999999999983</c:v>
                </c:pt>
                <c:pt idx="18">
                  <c:v>87.093000000000004</c:v>
                </c:pt>
                <c:pt idx="19">
                  <c:v>79.387</c:v>
                </c:pt>
                <c:pt idx="20">
                  <c:v>104.94500000000001</c:v>
                </c:pt>
                <c:pt idx="21">
                  <c:v>96.524999999999991</c:v>
                </c:pt>
                <c:pt idx="22">
                  <c:v>95.245999999999995</c:v>
                </c:pt>
                <c:pt idx="23">
                  <c:v>109.14900000000002</c:v>
                </c:pt>
                <c:pt idx="24">
                  <c:v>123.34799999999997</c:v>
                </c:pt>
                <c:pt idx="25">
                  <c:v>95.424999999999997</c:v>
                </c:pt>
                <c:pt idx="26">
                  <c:v>102</c:v>
                </c:pt>
                <c:pt idx="27">
                  <c:v>116.87899999999999</c:v>
                </c:pt>
                <c:pt idx="28">
                  <c:v>99.683999999999997</c:v>
                </c:pt>
                <c:pt idx="29">
                  <c:v>105.09799999999998</c:v>
                </c:pt>
                <c:pt idx="30">
                  <c:v>94.855999999999938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EF-4891-BB5A-FCD37CEFA36A}"/>
            </c:ext>
          </c:extLst>
        </c:ser>
        <c:ser>
          <c:idx val="11"/>
          <c:order val="11"/>
          <c:tx>
            <c:strRef>
              <c:f>'July 2024 graph'!$M$2:$M$3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'July 2024 graph'!$A$4:$A$34</c:f>
              <c:strCache>
                <c:ptCount val="31"/>
                <c:pt idx="0">
                  <c:v>Sum of 01-07-2024</c:v>
                </c:pt>
                <c:pt idx="1">
                  <c:v>Sum of 02-07-2024</c:v>
                </c:pt>
                <c:pt idx="2">
                  <c:v>Sum of 03-07-2024</c:v>
                </c:pt>
                <c:pt idx="3">
                  <c:v>Sum of 04-07-2024</c:v>
                </c:pt>
                <c:pt idx="4">
                  <c:v>Sum of 05-07-2024</c:v>
                </c:pt>
                <c:pt idx="5">
                  <c:v>Sum of 06-07-2024</c:v>
                </c:pt>
                <c:pt idx="6">
                  <c:v>Sum of 07-07-2024</c:v>
                </c:pt>
                <c:pt idx="7">
                  <c:v>Sum of 08-07-2024</c:v>
                </c:pt>
                <c:pt idx="8">
                  <c:v>Sum of 09-07-2024</c:v>
                </c:pt>
                <c:pt idx="9">
                  <c:v>Sum of 10-07-2024</c:v>
                </c:pt>
                <c:pt idx="10">
                  <c:v>Sum of 11-07-2024</c:v>
                </c:pt>
                <c:pt idx="11">
                  <c:v>Sum of 12-07-2024</c:v>
                </c:pt>
                <c:pt idx="12">
                  <c:v>Sum of 13-07-2024</c:v>
                </c:pt>
                <c:pt idx="13">
                  <c:v>Sum of 14-07-2024</c:v>
                </c:pt>
                <c:pt idx="14">
                  <c:v>Sum of 15-07-2024</c:v>
                </c:pt>
                <c:pt idx="15">
                  <c:v>Sum of 16-07-2024</c:v>
                </c:pt>
                <c:pt idx="16">
                  <c:v>Sum of 17-07-2024</c:v>
                </c:pt>
                <c:pt idx="17">
                  <c:v>Sum of 18-07-2024</c:v>
                </c:pt>
                <c:pt idx="18">
                  <c:v>Sum of 19-07-2024</c:v>
                </c:pt>
                <c:pt idx="19">
                  <c:v>Sum of 20-07-2024</c:v>
                </c:pt>
                <c:pt idx="20">
                  <c:v>Sum of 21-07-2024</c:v>
                </c:pt>
                <c:pt idx="21">
                  <c:v>Sum of 22-07-2024</c:v>
                </c:pt>
                <c:pt idx="22">
                  <c:v>Sum of 23-07-2024</c:v>
                </c:pt>
                <c:pt idx="23">
                  <c:v>Sum of 24-07-2024</c:v>
                </c:pt>
                <c:pt idx="24">
                  <c:v>Sum of 25-07-2024</c:v>
                </c:pt>
                <c:pt idx="25">
                  <c:v>Sum of 26-07-2024</c:v>
                </c:pt>
                <c:pt idx="26">
                  <c:v>Sum of 27-07-2024</c:v>
                </c:pt>
                <c:pt idx="27">
                  <c:v>Sum of 28-07-2024</c:v>
                </c:pt>
                <c:pt idx="28">
                  <c:v>Sum of 29-07-2024</c:v>
                </c:pt>
                <c:pt idx="29">
                  <c:v>Sum of 30-07-2024</c:v>
                </c:pt>
                <c:pt idx="30">
                  <c:v>Sum of 31-07-2024</c:v>
                </c:pt>
              </c:strCache>
            </c:strRef>
          </c:cat>
          <c:val>
            <c:numRef>
              <c:f>'July 2024 graph'!$M$4:$M$34</c:f>
              <c:numCache>
                <c:formatCode>General</c:formatCode>
                <c:ptCount val="31"/>
                <c:pt idx="0">
                  <c:v>112.25</c:v>
                </c:pt>
                <c:pt idx="1">
                  <c:v>112.42699999999998</c:v>
                </c:pt>
                <c:pt idx="2">
                  <c:v>122.82600000000002</c:v>
                </c:pt>
                <c:pt idx="3">
                  <c:v>119.65799999999999</c:v>
                </c:pt>
                <c:pt idx="4">
                  <c:v>122.27199999999999</c:v>
                </c:pt>
                <c:pt idx="5">
                  <c:v>127.58000000000001</c:v>
                </c:pt>
                <c:pt idx="6">
                  <c:v>92.13300000000001</c:v>
                </c:pt>
                <c:pt idx="7">
                  <c:v>94.224000000000004</c:v>
                </c:pt>
                <c:pt idx="8">
                  <c:v>140.791</c:v>
                </c:pt>
                <c:pt idx="9">
                  <c:v>131.679</c:v>
                </c:pt>
                <c:pt idx="10">
                  <c:v>116.956</c:v>
                </c:pt>
                <c:pt idx="11">
                  <c:v>75.304999999999993</c:v>
                </c:pt>
                <c:pt idx="12">
                  <c:v>88.61999999999999</c:v>
                </c:pt>
                <c:pt idx="13">
                  <c:v>99.972000000000023</c:v>
                </c:pt>
                <c:pt idx="14">
                  <c:v>123.71600000000001</c:v>
                </c:pt>
                <c:pt idx="15">
                  <c:v>106.51500000000001</c:v>
                </c:pt>
                <c:pt idx="16">
                  <c:v>141.56700000000004</c:v>
                </c:pt>
                <c:pt idx="17">
                  <c:v>91.933999999999997</c:v>
                </c:pt>
                <c:pt idx="18">
                  <c:v>102.068</c:v>
                </c:pt>
                <c:pt idx="19">
                  <c:v>139.70799999999997</c:v>
                </c:pt>
                <c:pt idx="20">
                  <c:v>62.396000000000001</c:v>
                </c:pt>
                <c:pt idx="21">
                  <c:v>130.577</c:v>
                </c:pt>
                <c:pt idx="22">
                  <c:v>111.67299999999999</c:v>
                </c:pt>
                <c:pt idx="23">
                  <c:v>122.67899999999997</c:v>
                </c:pt>
                <c:pt idx="24">
                  <c:v>138.99099999999999</c:v>
                </c:pt>
                <c:pt idx="25">
                  <c:v>115.12500000000003</c:v>
                </c:pt>
                <c:pt idx="26">
                  <c:v>124.352</c:v>
                </c:pt>
                <c:pt idx="27">
                  <c:v>112.20100000000002</c:v>
                </c:pt>
                <c:pt idx="28">
                  <c:v>88.004000000000005</c:v>
                </c:pt>
                <c:pt idx="29">
                  <c:v>162.75</c:v>
                </c:pt>
                <c:pt idx="30">
                  <c:v>115.041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EF-4891-BB5A-FCD37CEF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500816"/>
        <c:axId val="467502384"/>
      </c:barChart>
      <c:catAx>
        <c:axId val="4675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2384"/>
        <c:crosses val="autoZero"/>
        <c:auto val="1"/>
        <c:lblAlgn val="ctr"/>
        <c:lblOffset val="100"/>
        <c:noMultiLvlLbl val="0"/>
      </c:catAx>
      <c:valAx>
        <c:axId val="4675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Consumption.xlsx]Aug 24 Graph!PivotTable5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'Aug 24 Graph'!$B$2:$B$3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Graph'!$B$4:$B$34</c:f>
              <c:numCache>
                <c:formatCode>General</c:formatCode>
                <c:ptCount val="31"/>
                <c:pt idx="0">
                  <c:v>56.575999999999993</c:v>
                </c:pt>
                <c:pt idx="1">
                  <c:v>103.946</c:v>
                </c:pt>
                <c:pt idx="2">
                  <c:v>120.01200000000004</c:v>
                </c:pt>
                <c:pt idx="3">
                  <c:v>138.21799999999999</c:v>
                </c:pt>
                <c:pt idx="4">
                  <c:v>135.048</c:v>
                </c:pt>
                <c:pt idx="5">
                  <c:v>96.661000000000016</c:v>
                </c:pt>
                <c:pt idx="6">
                  <c:v>33.456000000000003</c:v>
                </c:pt>
                <c:pt idx="7">
                  <c:v>94.506999999999991</c:v>
                </c:pt>
                <c:pt idx="8">
                  <c:v>95.595999999999989</c:v>
                </c:pt>
                <c:pt idx="9">
                  <c:v>73.62700000000001</c:v>
                </c:pt>
                <c:pt idx="10">
                  <c:v>83.703000000000017</c:v>
                </c:pt>
                <c:pt idx="11">
                  <c:v>107.18400000000001</c:v>
                </c:pt>
                <c:pt idx="12">
                  <c:v>56.163999999999987</c:v>
                </c:pt>
                <c:pt idx="13">
                  <c:v>84.323999999999984</c:v>
                </c:pt>
                <c:pt idx="14">
                  <c:v>162.35000000000002</c:v>
                </c:pt>
                <c:pt idx="15">
                  <c:v>109.711</c:v>
                </c:pt>
                <c:pt idx="16">
                  <c:v>149.62700000000001</c:v>
                </c:pt>
                <c:pt idx="17">
                  <c:v>194.93399999999991</c:v>
                </c:pt>
                <c:pt idx="18">
                  <c:v>50.351999999999997</c:v>
                </c:pt>
                <c:pt idx="19">
                  <c:v>42.631999999999998</c:v>
                </c:pt>
                <c:pt idx="20">
                  <c:v>37.758000000000003</c:v>
                </c:pt>
                <c:pt idx="21">
                  <c:v>61.958000000000006</c:v>
                </c:pt>
                <c:pt idx="22">
                  <c:v>133.81799999999998</c:v>
                </c:pt>
                <c:pt idx="23">
                  <c:v>78.295000000000016</c:v>
                </c:pt>
                <c:pt idx="24">
                  <c:v>107.36100000000003</c:v>
                </c:pt>
                <c:pt idx="25">
                  <c:v>168.88900000000007</c:v>
                </c:pt>
                <c:pt idx="26">
                  <c:v>121.54599999999999</c:v>
                </c:pt>
                <c:pt idx="27">
                  <c:v>145.81299999999999</c:v>
                </c:pt>
                <c:pt idx="28">
                  <c:v>107.97199999999998</c:v>
                </c:pt>
                <c:pt idx="29">
                  <c:v>109.331</c:v>
                </c:pt>
                <c:pt idx="30">
                  <c:v>128.56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C-4445-AC7D-504C87BA3C51}"/>
            </c:ext>
          </c:extLst>
        </c:ser>
        <c:ser>
          <c:idx val="1"/>
          <c:order val="1"/>
          <c:tx>
            <c:strRef>
              <c:f>'Aug 24 Graph'!$C$2:$C$3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Graph'!$C$4:$C$34</c:f>
              <c:numCache>
                <c:formatCode>General</c:formatCode>
                <c:ptCount val="31"/>
                <c:pt idx="0">
                  <c:v>737.04700000000003</c:v>
                </c:pt>
                <c:pt idx="1">
                  <c:v>852.38599999999997</c:v>
                </c:pt>
                <c:pt idx="2">
                  <c:v>830.41699999999992</c:v>
                </c:pt>
                <c:pt idx="3">
                  <c:v>1003.996</c:v>
                </c:pt>
                <c:pt idx="4">
                  <c:v>773.16600000000005</c:v>
                </c:pt>
                <c:pt idx="5">
                  <c:v>903.59700000000009</c:v>
                </c:pt>
                <c:pt idx="6">
                  <c:v>822.75699999999995</c:v>
                </c:pt>
                <c:pt idx="7">
                  <c:v>967.79800000000012</c:v>
                </c:pt>
                <c:pt idx="8">
                  <c:v>848.6149999999999</c:v>
                </c:pt>
                <c:pt idx="9">
                  <c:v>908.49099999999999</c:v>
                </c:pt>
                <c:pt idx="10">
                  <c:v>914.11799999999994</c:v>
                </c:pt>
                <c:pt idx="11">
                  <c:v>765.91499999999985</c:v>
                </c:pt>
                <c:pt idx="12">
                  <c:v>749.99700000000018</c:v>
                </c:pt>
                <c:pt idx="13">
                  <c:v>921.13900000000012</c:v>
                </c:pt>
                <c:pt idx="14">
                  <c:v>835.92400000000021</c:v>
                </c:pt>
                <c:pt idx="15">
                  <c:v>744.13100000000009</c:v>
                </c:pt>
                <c:pt idx="16">
                  <c:v>676.846</c:v>
                </c:pt>
                <c:pt idx="17">
                  <c:v>695.51799999999992</c:v>
                </c:pt>
                <c:pt idx="18">
                  <c:v>762.84900000000016</c:v>
                </c:pt>
                <c:pt idx="19">
                  <c:v>726.68899999999996</c:v>
                </c:pt>
                <c:pt idx="20">
                  <c:v>514.20299999999986</c:v>
                </c:pt>
                <c:pt idx="21">
                  <c:v>727.404</c:v>
                </c:pt>
                <c:pt idx="22">
                  <c:v>644.55900000000008</c:v>
                </c:pt>
                <c:pt idx="23">
                  <c:v>713.20099999999991</c:v>
                </c:pt>
                <c:pt idx="24">
                  <c:v>748.30600000000004</c:v>
                </c:pt>
                <c:pt idx="25">
                  <c:v>749.9369999999999</c:v>
                </c:pt>
                <c:pt idx="26">
                  <c:v>870.81000000000006</c:v>
                </c:pt>
                <c:pt idx="27">
                  <c:v>697.86399999999992</c:v>
                </c:pt>
                <c:pt idx="28">
                  <c:v>795.52500000000009</c:v>
                </c:pt>
                <c:pt idx="29">
                  <c:v>748.10900000000004</c:v>
                </c:pt>
                <c:pt idx="30">
                  <c:v>789.5630000000001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C-4445-AC7D-504C87BA3C51}"/>
            </c:ext>
          </c:extLst>
        </c:ser>
        <c:ser>
          <c:idx val="2"/>
          <c:order val="2"/>
          <c:tx>
            <c:strRef>
              <c:f>'Aug 24 Graph'!$D$2:$D$3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Graph'!$D$4:$D$34</c:f>
              <c:numCache>
                <c:formatCode>General</c:formatCode>
                <c:ptCount val="31"/>
                <c:pt idx="0">
                  <c:v>782.30100000000004</c:v>
                </c:pt>
                <c:pt idx="1">
                  <c:v>917.38200000000006</c:v>
                </c:pt>
                <c:pt idx="2">
                  <c:v>791.80499999999995</c:v>
                </c:pt>
                <c:pt idx="3">
                  <c:v>872.02200000000005</c:v>
                </c:pt>
                <c:pt idx="4">
                  <c:v>933.41399999999987</c:v>
                </c:pt>
                <c:pt idx="5">
                  <c:v>868.43899999999996</c:v>
                </c:pt>
                <c:pt idx="6">
                  <c:v>1014.6519999999999</c:v>
                </c:pt>
                <c:pt idx="7">
                  <c:v>820.13499999999988</c:v>
                </c:pt>
                <c:pt idx="8">
                  <c:v>1002.7329999999999</c:v>
                </c:pt>
                <c:pt idx="9">
                  <c:v>920.98599999999999</c:v>
                </c:pt>
                <c:pt idx="10">
                  <c:v>827.03499999999997</c:v>
                </c:pt>
                <c:pt idx="11">
                  <c:v>670.59500000000003</c:v>
                </c:pt>
                <c:pt idx="12">
                  <c:v>857.96100000000001</c:v>
                </c:pt>
                <c:pt idx="13">
                  <c:v>885.30000000000007</c:v>
                </c:pt>
                <c:pt idx="14">
                  <c:v>762.97100000000012</c:v>
                </c:pt>
                <c:pt idx="15">
                  <c:v>851.92500000000007</c:v>
                </c:pt>
                <c:pt idx="16">
                  <c:v>841.36099999999988</c:v>
                </c:pt>
                <c:pt idx="17">
                  <c:v>867.39099999999996</c:v>
                </c:pt>
                <c:pt idx="18">
                  <c:v>949.40800000000013</c:v>
                </c:pt>
                <c:pt idx="19">
                  <c:v>822.06600000000003</c:v>
                </c:pt>
                <c:pt idx="20">
                  <c:v>747.19599999999991</c:v>
                </c:pt>
                <c:pt idx="21">
                  <c:v>575.02100000000007</c:v>
                </c:pt>
                <c:pt idx="22">
                  <c:v>829.42699999999991</c:v>
                </c:pt>
                <c:pt idx="23">
                  <c:v>655.57200000000012</c:v>
                </c:pt>
                <c:pt idx="24">
                  <c:v>914.29</c:v>
                </c:pt>
                <c:pt idx="25">
                  <c:v>905.67599999999993</c:v>
                </c:pt>
                <c:pt idx="26">
                  <c:v>935.2349999999999</c:v>
                </c:pt>
                <c:pt idx="27">
                  <c:v>839.38199999999995</c:v>
                </c:pt>
                <c:pt idx="28">
                  <c:v>963.88600000000008</c:v>
                </c:pt>
                <c:pt idx="29">
                  <c:v>927.17500000000018</c:v>
                </c:pt>
                <c:pt idx="30">
                  <c:v>886.45600000000002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C-4445-AC7D-504C87BA3C51}"/>
            </c:ext>
          </c:extLst>
        </c:ser>
        <c:ser>
          <c:idx val="3"/>
          <c:order val="3"/>
          <c:tx>
            <c:strRef>
              <c:f>'Aug 24 Graph'!$E$2:$E$3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Graph'!$E$4:$E$34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DC-4445-AC7D-504C87BA3C51}"/>
            </c:ext>
          </c:extLst>
        </c:ser>
        <c:ser>
          <c:idx val="4"/>
          <c:order val="4"/>
          <c:tx>
            <c:strRef>
              <c:f>'Aug 24 Graph'!$F$2:$F$3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Graph'!$F$4:$F$34</c:f>
              <c:numCache>
                <c:formatCode>General</c:formatCode>
                <c:ptCount val="31"/>
                <c:pt idx="0">
                  <c:v>35.177</c:v>
                </c:pt>
                <c:pt idx="1">
                  <c:v>38.345999999999997</c:v>
                </c:pt>
                <c:pt idx="2">
                  <c:v>36.516999999999996</c:v>
                </c:pt>
                <c:pt idx="3">
                  <c:v>60.861000000000004</c:v>
                </c:pt>
                <c:pt idx="4">
                  <c:v>59.561999999999991</c:v>
                </c:pt>
                <c:pt idx="5">
                  <c:v>64.585999999999984</c:v>
                </c:pt>
                <c:pt idx="6">
                  <c:v>45.600999999999999</c:v>
                </c:pt>
                <c:pt idx="7">
                  <c:v>41.819000000000003</c:v>
                </c:pt>
                <c:pt idx="8">
                  <c:v>47.211999999999996</c:v>
                </c:pt>
                <c:pt idx="9">
                  <c:v>54.986999999999995</c:v>
                </c:pt>
                <c:pt idx="10">
                  <c:v>41.596000000000004</c:v>
                </c:pt>
                <c:pt idx="11">
                  <c:v>42.855999999999995</c:v>
                </c:pt>
                <c:pt idx="12">
                  <c:v>46.579000000000001</c:v>
                </c:pt>
                <c:pt idx="13">
                  <c:v>49.238</c:v>
                </c:pt>
                <c:pt idx="14">
                  <c:v>61.342000000000006</c:v>
                </c:pt>
                <c:pt idx="15">
                  <c:v>41.117000000000004</c:v>
                </c:pt>
                <c:pt idx="16">
                  <c:v>71.191000000000003</c:v>
                </c:pt>
                <c:pt idx="17">
                  <c:v>27.116</c:v>
                </c:pt>
                <c:pt idx="18">
                  <c:v>58.966999999999999</c:v>
                </c:pt>
                <c:pt idx="19">
                  <c:v>32.49</c:v>
                </c:pt>
                <c:pt idx="20">
                  <c:v>25.012999999999998</c:v>
                </c:pt>
                <c:pt idx="21">
                  <c:v>74.47399999999999</c:v>
                </c:pt>
                <c:pt idx="22">
                  <c:v>35.055999999999997</c:v>
                </c:pt>
                <c:pt idx="23">
                  <c:v>39.896999999999998</c:v>
                </c:pt>
                <c:pt idx="24">
                  <c:v>20.783999999999999</c:v>
                </c:pt>
                <c:pt idx="25">
                  <c:v>52.638999999999996</c:v>
                </c:pt>
                <c:pt idx="26">
                  <c:v>57.324000000000005</c:v>
                </c:pt>
                <c:pt idx="27">
                  <c:v>61.163999999999987</c:v>
                </c:pt>
                <c:pt idx="28">
                  <c:v>39.232000000000006</c:v>
                </c:pt>
                <c:pt idx="29">
                  <c:v>60.659999999999989</c:v>
                </c:pt>
                <c:pt idx="30">
                  <c:v>2.6309999999999998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DC-4445-AC7D-504C87BA3C51}"/>
            </c:ext>
          </c:extLst>
        </c:ser>
        <c:ser>
          <c:idx val="5"/>
          <c:order val="5"/>
          <c:tx>
            <c:strRef>
              <c:f>'Aug 24 Graph'!$G$2:$G$3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Graph'!$G$4:$G$34</c:f>
              <c:numCache>
                <c:formatCode>General</c:formatCode>
                <c:ptCount val="31"/>
                <c:pt idx="0">
                  <c:v>2796.2459999999996</c:v>
                </c:pt>
                <c:pt idx="1">
                  <c:v>2682.0839999999989</c:v>
                </c:pt>
                <c:pt idx="2">
                  <c:v>2457.402</c:v>
                </c:pt>
                <c:pt idx="3">
                  <c:v>2459.2939999999994</c:v>
                </c:pt>
                <c:pt idx="4">
                  <c:v>2841.7350000000006</c:v>
                </c:pt>
                <c:pt idx="5">
                  <c:v>3089.3609999999999</c:v>
                </c:pt>
                <c:pt idx="6">
                  <c:v>3054.6810000000005</c:v>
                </c:pt>
                <c:pt idx="7">
                  <c:v>3161.989</c:v>
                </c:pt>
                <c:pt idx="8">
                  <c:v>3076.0900000000006</c:v>
                </c:pt>
                <c:pt idx="9">
                  <c:v>2962.6720000000005</c:v>
                </c:pt>
                <c:pt idx="10">
                  <c:v>2860.5210000000002</c:v>
                </c:pt>
                <c:pt idx="11">
                  <c:v>2482.3440000000014</c:v>
                </c:pt>
                <c:pt idx="12">
                  <c:v>3147.5419999999995</c:v>
                </c:pt>
                <c:pt idx="13">
                  <c:v>3074.505000000001</c:v>
                </c:pt>
                <c:pt idx="14">
                  <c:v>2860.2429999999995</c:v>
                </c:pt>
                <c:pt idx="15">
                  <c:v>3099.3760000000002</c:v>
                </c:pt>
                <c:pt idx="16">
                  <c:v>2699.5869999999991</c:v>
                </c:pt>
                <c:pt idx="17">
                  <c:v>2923.9990000000003</c:v>
                </c:pt>
                <c:pt idx="18">
                  <c:v>2833.5840000000017</c:v>
                </c:pt>
                <c:pt idx="19">
                  <c:v>2697.3390000000004</c:v>
                </c:pt>
                <c:pt idx="20">
                  <c:v>3011.7610000000004</c:v>
                </c:pt>
                <c:pt idx="21">
                  <c:v>2852.0369999999998</c:v>
                </c:pt>
                <c:pt idx="22">
                  <c:v>2725.0970000000002</c:v>
                </c:pt>
                <c:pt idx="23">
                  <c:v>2761.587</c:v>
                </c:pt>
                <c:pt idx="24">
                  <c:v>2934.9580000000001</c:v>
                </c:pt>
                <c:pt idx="25">
                  <c:v>2852.3730000000014</c:v>
                </c:pt>
                <c:pt idx="26">
                  <c:v>2841.4839999999999</c:v>
                </c:pt>
                <c:pt idx="27">
                  <c:v>3357.8680000000008</c:v>
                </c:pt>
                <c:pt idx="28">
                  <c:v>3123.3010000000004</c:v>
                </c:pt>
                <c:pt idx="29">
                  <c:v>2961.2169999999996</c:v>
                </c:pt>
                <c:pt idx="30">
                  <c:v>2802.3659999999995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DC-4445-AC7D-504C87BA3C51}"/>
            </c:ext>
          </c:extLst>
        </c:ser>
        <c:ser>
          <c:idx val="6"/>
          <c:order val="6"/>
          <c:tx>
            <c:strRef>
              <c:f>'Aug 24 Graph'!$H$2:$H$3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Graph'!$H$4:$H$34</c:f>
              <c:numCache>
                <c:formatCode>General</c:formatCode>
                <c:ptCount val="31"/>
                <c:pt idx="0">
                  <c:v>169.96299999999997</c:v>
                </c:pt>
                <c:pt idx="1">
                  <c:v>162.99899999999997</c:v>
                </c:pt>
                <c:pt idx="2">
                  <c:v>264.69500000000011</c:v>
                </c:pt>
                <c:pt idx="3">
                  <c:v>520.58799999999997</c:v>
                </c:pt>
                <c:pt idx="4">
                  <c:v>366.59599999999995</c:v>
                </c:pt>
                <c:pt idx="5">
                  <c:v>216.22899999999998</c:v>
                </c:pt>
                <c:pt idx="6">
                  <c:v>208.68800000000002</c:v>
                </c:pt>
                <c:pt idx="7">
                  <c:v>227.59299999999999</c:v>
                </c:pt>
                <c:pt idx="8">
                  <c:v>104.155</c:v>
                </c:pt>
                <c:pt idx="9">
                  <c:v>138.71099999999998</c:v>
                </c:pt>
                <c:pt idx="10">
                  <c:v>416.49199999999996</c:v>
                </c:pt>
                <c:pt idx="11">
                  <c:v>383.53600000000012</c:v>
                </c:pt>
                <c:pt idx="12">
                  <c:v>158.34400000000002</c:v>
                </c:pt>
                <c:pt idx="13">
                  <c:v>391.57400000000007</c:v>
                </c:pt>
                <c:pt idx="14">
                  <c:v>474.73700000000002</c:v>
                </c:pt>
                <c:pt idx="15">
                  <c:v>652.55500000000018</c:v>
                </c:pt>
                <c:pt idx="16">
                  <c:v>664.64300000000026</c:v>
                </c:pt>
                <c:pt idx="17">
                  <c:v>750.19699999999955</c:v>
                </c:pt>
                <c:pt idx="18">
                  <c:v>552.73399999999992</c:v>
                </c:pt>
                <c:pt idx="19">
                  <c:v>243.80400000000006</c:v>
                </c:pt>
                <c:pt idx="20">
                  <c:v>221.08199999999997</c:v>
                </c:pt>
                <c:pt idx="21">
                  <c:v>322.43399999999991</c:v>
                </c:pt>
                <c:pt idx="22">
                  <c:v>424.01199999999977</c:v>
                </c:pt>
                <c:pt idx="23">
                  <c:v>318.97399999999999</c:v>
                </c:pt>
                <c:pt idx="24">
                  <c:v>595.3159999999998</c:v>
                </c:pt>
                <c:pt idx="25">
                  <c:v>558.25399999999991</c:v>
                </c:pt>
                <c:pt idx="26">
                  <c:v>347.36100000000005</c:v>
                </c:pt>
                <c:pt idx="27">
                  <c:v>212.68099999999995</c:v>
                </c:pt>
                <c:pt idx="28">
                  <c:v>250.14</c:v>
                </c:pt>
                <c:pt idx="29">
                  <c:v>195.35599999999999</c:v>
                </c:pt>
                <c:pt idx="30">
                  <c:v>217.47200000000007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DC-4445-AC7D-504C87BA3C51}"/>
            </c:ext>
          </c:extLst>
        </c:ser>
        <c:ser>
          <c:idx val="7"/>
          <c:order val="7"/>
          <c:tx>
            <c:strRef>
              <c:f>'Aug 24 Graph'!$I$2:$I$3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Graph'!$I$4:$I$34</c:f>
              <c:numCache>
                <c:formatCode>General</c:formatCode>
                <c:ptCount val="31"/>
                <c:pt idx="0">
                  <c:v>23.722000000000001</c:v>
                </c:pt>
                <c:pt idx="1">
                  <c:v>18.992000000000004</c:v>
                </c:pt>
                <c:pt idx="2">
                  <c:v>22.082999999999998</c:v>
                </c:pt>
                <c:pt idx="3">
                  <c:v>2E-3</c:v>
                </c:pt>
                <c:pt idx="4">
                  <c:v>25.652000000000001</c:v>
                </c:pt>
                <c:pt idx="5">
                  <c:v>33.563000000000002</c:v>
                </c:pt>
                <c:pt idx="6">
                  <c:v>58.843999999999994</c:v>
                </c:pt>
                <c:pt idx="7">
                  <c:v>55.304999999999993</c:v>
                </c:pt>
                <c:pt idx="8">
                  <c:v>41.871000000000016</c:v>
                </c:pt>
                <c:pt idx="9">
                  <c:v>34.314</c:v>
                </c:pt>
                <c:pt idx="10">
                  <c:v>28.918000000000006</c:v>
                </c:pt>
                <c:pt idx="11">
                  <c:v>24.250000000000004</c:v>
                </c:pt>
                <c:pt idx="12">
                  <c:v>42.873999999999981</c:v>
                </c:pt>
                <c:pt idx="13">
                  <c:v>24.837000000000003</c:v>
                </c:pt>
                <c:pt idx="14">
                  <c:v>0.65700000000000003</c:v>
                </c:pt>
                <c:pt idx="15">
                  <c:v>31.404</c:v>
                </c:pt>
                <c:pt idx="16">
                  <c:v>24.006999999999998</c:v>
                </c:pt>
                <c:pt idx="17">
                  <c:v>8.3129999999999988</c:v>
                </c:pt>
                <c:pt idx="18">
                  <c:v>8.1389999999999993</c:v>
                </c:pt>
                <c:pt idx="19">
                  <c:v>13.872999999999998</c:v>
                </c:pt>
                <c:pt idx="20">
                  <c:v>2.359</c:v>
                </c:pt>
                <c:pt idx="21">
                  <c:v>3.9950000000000001</c:v>
                </c:pt>
                <c:pt idx="22">
                  <c:v>0</c:v>
                </c:pt>
                <c:pt idx="23">
                  <c:v>1.996</c:v>
                </c:pt>
                <c:pt idx="24">
                  <c:v>0</c:v>
                </c:pt>
                <c:pt idx="25">
                  <c:v>0</c:v>
                </c:pt>
                <c:pt idx="26">
                  <c:v>9.907</c:v>
                </c:pt>
                <c:pt idx="27">
                  <c:v>2.073</c:v>
                </c:pt>
                <c:pt idx="28">
                  <c:v>34.835000000000001</c:v>
                </c:pt>
                <c:pt idx="29">
                  <c:v>50.196999999999996</c:v>
                </c:pt>
                <c:pt idx="30">
                  <c:v>47.801999999999992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DC-4445-AC7D-504C87BA3C51}"/>
            </c:ext>
          </c:extLst>
        </c:ser>
        <c:ser>
          <c:idx val="8"/>
          <c:order val="8"/>
          <c:tx>
            <c:strRef>
              <c:f>'Aug 24 Graph'!$J$2:$J$3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Graph'!$J$4:$J$34</c:f>
              <c:numCache>
                <c:formatCode>General</c:formatCode>
                <c:ptCount val="31"/>
                <c:pt idx="0">
                  <c:v>4.1669999999999998</c:v>
                </c:pt>
                <c:pt idx="1">
                  <c:v>5.4580000000000002</c:v>
                </c:pt>
                <c:pt idx="2">
                  <c:v>5.3109999999999999</c:v>
                </c:pt>
                <c:pt idx="3">
                  <c:v>3.9020000000000001</c:v>
                </c:pt>
                <c:pt idx="4">
                  <c:v>3.9640000000000004</c:v>
                </c:pt>
                <c:pt idx="5">
                  <c:v>3.8639999999999999</c:v>
                </c:pt>
                <c:pt idx="6">
                  <c:v>5.1419999999999995</c:v>
                </c:pt>
                <c:pt idx="7">
                  <c:v>4.8889999999999993</c:v>
                </c:pt>
                <c:pt idx="8">
                  <c:v>3.9570000000000003</c:v>
                </c:pt>
                <c:pt idx="9">
                  <c:v>5.5670000000000002</c:v>
                </c:pt>
                <c:pt idx="10">
                  <c:v>3.5179999999999998</c:v>
                </c:pt>
                <c:pt idx="11">
                  <c:v>5.5519999999999996</c:v>
                </c:pt>
                <c:pt idx="12">
                  <c:v>4.3419999999999996</c:v>
                </c:pt>
                <c:pt idx="13">
                  <c:v>5.5180000000000007</c:v>
                </c:pt>
                <c:pt idx="14">
                  <c:v>4.5540000000000003</c:v>
                </c:pt>
                <c:pt idx="15">
                  <c:v>5.8469999999999995</c:v>
                </c:pt>
                <c:pt idx="16">
                  <c:v>5.476</c:v>
                </c:pt>
                <c:pt idx="17">
                  <c:v>5.8679999999999994</c:v>
                </c:pt>
                <c:pt idx="18">
                  <c:v>4.6630000000000003</c:v>
                </c:pt>
                <c:pt idx="19">
                  <c:v>4.5</c:v>
                </c:pt>
                <c:pt idx="20">
                  <c:v>2.262</c:v>
                </c:pt>
                <c:pt idx="21">
                  <c:v>5.3250000000000002</c:v>
                </c:pt>
                <c:pt idx="22">
                  <c:v>5.2430000000000003</c:v>
                </c:pt>
                <c:pt idx="23">
                  <c:v>6.827</c:v>
                </c:pt>
                <c:pt idx="24">
                  <c:v>4.2439999999999998</c:v>
                </c:pt>
                <c:pt idx="25">
                  <c:v>5.6720000000000006</c:v>
                </c:pt>
                <c:pt idx="26">
                  <c:v>5.0310000000000006</c:v>
                </c:pt>
                <c:pt idx="27">
                  <c:v>4.4640000000000004</c:v>
                </c:pt>
                <c:pt idx="28">
                  <c:v>3.7290000000000001</c:v>
                </c:pt>
                <c:pt idx="29">
                  <c:v>5.4239999999999995</c:v>
                </c:pt>
                <c:pt idx="30">
                  <c:v>5.3719999999999999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DC-4445-AC7D-504C87BA3C51}"/>
            </c:ext>
          </c:extLst>
        </c:ser>
        <c:ser>
          <c:idx val="9"/>
          <c:order val="9"/>
          <c:tx>
            <c:strRef>
              <c:f>'Aug 24 Graph'!$K$2:$K$3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Graph'!$K$4:$K$34</c:f>
              <c:numCache>
                <c:formatCode>General</c:formatCode>
                <c:ptCount val="31"/>
                <c:pt idx="0">
                  <c:v>28.851999999999997</c:v>
                </c:pt>
                <c:pt idx="1">
                  <c:v>20.751999999999999</c:v>
                </c:pt>
                <c:pt idx="2">
                  <c:v>16.683</c:v>
                </c:pt>
                <c:pt idx="3">
                  <c:v>43.680999999999997</c:v>
                </c:pt>
                <c:pt idx="4">
                  <c:v>27.59</c:v>
                </c:pt>
                <c:pt idx="5">
                  <c:v>38.302999999999997</c:v>
                </c:pt>
                <c:pt idx="6">
                  <c:v>30.808999999999997</c:v>
                </c:pt>
                <c:pt idx="7">
                  <c:v>27.558</c:v>
                </c:pt>
                <c:pt idx="8">
                  <c:v>26.532999999999998</c:v>
                </c:pt>
                <c:pt idx="9">
                  <c:v>35.908000000000001</c:v>
                </c:pt>
                <c:pt idx="10">
                  <c:v>33.748000000000005</c:v>
                </c:pt>
                <c:pt idx="11">
                  <c:v>24.808999999999997</c:v>
                </c:pt>
                <c:pt idx="12">
                  <c:v>37.335999999999999</c:v>
                </c:pt>
                <c:pt idx="13">
                  <c:v>28.702000000000002</c:v>
                </c:pt>
                <c:pt idx="14">
                  <c:v>24.895999999999997</c:v>
                </c:pt>
                <c:pt idx="15">
                  <c:v>31.277000000000001</c:v>
                </c:pt>
                <c:pt idx="16">
                  <c:v>27.134</c:v>
                </c:pt>
                <c:pt idx="17">
                  <c:v>24.948000000000004</c:v>
                </c:pt>
                <c:pt idx="18">
                  <c:v>28.247000000000003</c:v>
                </c:pt>
                <c:pt idx="19">
                  <c:v>23.738</c:v>
                </c:pt>
                <c:pt idx="20">
                  <c:v>15.199</c:v>
                </c:pt>
                <c:pt idx="21">
                  <c:v>27.001000000000001</c:v>
                </c:pt>
                <c:pt idx="22">
                  <c:v>33.588000000000001</c:v>
                </c:pt>
                <c:pt idx="23">
                  <c:v>20.573</c:v>
                </c:pt>
                <c:pt idx="24">
                  <c:v>37.356999999999999</c:v>
                </c:pt>
                <c:pt idx="25">
                  <c:v>26.093999999999998</c:v>
                </c:pt>
                <c:pt idx="26">
                  <c:v>33.558999999999997</c:v>
                </c:pt>
                <c:pt idx="27">
                  <c:v>28.030999999999999</c:v>
                </c:pt>
                <c:pt idx="28">
                  <c:v>26.341999999999999</c:v>
                </c:pt>
                <c:pt idx="29">
                  <c:v>22.263000000000002</c:v>
                </c:pt>
                <c:pt idx="30">
                  <c:v>37.823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DC-4445-AC7D-504C87BA3C51}"/>
            </c:ext>
          </c:extLst>
        </c:ser>
        <c:ser>
          <c:idx val="10"/>
          <c:order val="10"/>
          <c:tx>
            <c:strRef>
              <c:f>'Aug 24 Graph'!$L$2:$L$3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Graph'!$L$4:$L$34</c:f>
              <c:numCache>
                <c:formatCode>General</c:formatCode>
                <c:ptCount val="31"/>
                <c:pt idx="0">
                  <c:v>102.179</c:v>
                </c:pt>
                <c:pt idx="1">
                  <c:v>100.14099999999999</c:v>
                </c:pt>
                <c:pt idx="2">
                  <c:v>91.256</c:v>
                </c:pt>
                <c:pt idx="3">
                  <c:v>98.017999999999986</c:v>
                </c:pt>
                <c:pt idx="4">
                  <c:v>109.872</c:v>
                </c:pt>
                <c:pt idx="5">
                  <c:v>112.602</c:v>
                </c:pt>
                <c:pt idx="6">
                  <c:v>131.90299999999996</c:v>
                </c:pt>
                <c:pt idx="7">
                  <c:v>107.60099999999998</c:v>
                </c:pt>
                <c:pt idx="8">
                  <c:v>141.36699999999999</c:v>
                </c:pt>
                <c:pt idx="9">
                  <c:v>119.78699999999999</c:v>
                </c:pt>
                <c:pt idx="10">
                  <c:v>74.830000000000027</c:v>
                </c:pt>
                <c:pt idx="11">
                  <c:v>57.533000000000008</c:v>
                </c:pt>
                <c:pt idx="12">
                  <c:v>79.745999999999995</c:v>
                </c:pt>
                <c:pt idx="13">
                  <c:v>80.265000000000001</c:v>
                </c:pt>
                <c:pt idx="14">
                  <c:v>55.381</c:v>
                </c:pt>
                <c:pt idx="15">
                  <c:v>80.022999999999996</c:v>
                </c:pt>
                <c:pt idx="16">
                  <c:v>68.113</c:v>
                </c:pt>
                <c:pt idx="17">
                  <c:v>67.00500000000001</c:v>
                </c:pt>
                <c:pt idx="18">
                  <c:v>77.350999999999999</c:v>
                </c:pt>
                <c:pt idx="19">
                  <c:v>74.721999999999994</c:v>
                </c:pt>
                <c:pt idx="20">
                  <c:v>18.777000000000001</c:v>
                </c:pt>
                <c:pt idx="21">
                  <c:v>74.251999999999995</c:v>
                </c:pt>
                <c:pt idx="22">
                  <c:v>102.38500000000001</c:v>
                </c:pt>
                <c:pt idx="23">
                  <c:v>73.463000000000008</c:v>
                </c:pt>
                <c:pt idx="24">
                  <c:v>61.152999999999999</c:v>
                </c:pt>
                <c:pt idx="25">
                  <c:v>73.533999999999992</c:v>
                </c:pt>
                <c:pt idx="26">
                  <c:v>79.552999999999997</c:v>
                </c:pt>
                <c:pt idx="27">
                  <c:v>70.513000000000005</c:v>
                </c:pt>
                <c:pt idx="28">
                  <c:v>67.656999999999996</c:v>
                </c:pt>
                <c:pt idx="29">
                  <c:v>90.109999999999985</c:v>
                </c:pt>
                <c:pt idx="30">
                  <c:v>50.507999999999996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DC-4445-AC7D-504C87BA3C51}"/>
            </c:ext>
          </c:extLst>
        </c:ser>
        <c:ser>
          <c:idx val="11"/>
          <c:order val="11"/>
          <c:tx>
            <c:strRef>
              <c:f>'Aug 24 Graph'!$M$2:$M$3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Graph'!$M$4:$M$34</c:f>
              <c:numCache>
                <c:formatCode>General</c:formatCode>
                <c:ptCount val="31"/>
                <c:pt idx="0">
                  <c:v>144.76399999999998</c:v>
                </c:pt>
                <c:pt idx="1">
                  <c:v>102.636</c:v>
                </c:pt>
                <c:pt idx="2">
                  <c:v>129.11500000000001</c:v>
                </c:pt>
                <c:pt idx="3">
                  <c:v>96.344999999999985</c:v>
                </c:pt>
                <c:pt idx="4">
                  <c:v>123.063</c:v>
                </c:pt>
                <c:pt idx="5">
                  <c:v>120.65500000000003</c:v>
                </c:pt>
                <c:pt idx="6">
                  <c:v>139.28200000000001</c:v>
                </c:pt>
                <c:pt idx="7">
                  <c:v>111.35399999999998</c:v>
                </c:pt>
                <c:pt idx="8">
                  <c:v>85.22</c:v>
                </c:pt>
                <c:pt idx="9">
                  <c:v>140.44300000000001</c:v>
                </c:pt>
                <c:pt idx="10">
                  <c:v>119.82599999999999</c:v>
                </c:pt>
                <c:pt idx="11">
                  <c:v>129.649</c:v>
                </c:pt>
                <c:pt idx="12">
                  <c:v>110.319</c:v>
                </c:pt>
                <c:pt idx="13">
                  <c:v>117.28099999999998</c:v>
                </c:pt>
                <c:pt idx="14">
                  <c:v>105.29199999999999</c:v>
                </c:pt>
                <c:pt idx="15">
                  <c:v>134.43500000000003</c:v>
                </c:pt>
                <c:pt idx="16">
                  <c:v>120.364</c:v>
                </c:pt>
                <c:pt idx="17">
                  <c:v>84.143000000000001</c:v>
                </c:pt>
                <c:pt idx="18">
                  <c:v>145.17699999999994</c:v>
                </c:pt>
                <c:pt idx="19">
                  <c:v>157.857</c:v>
                </c:pt>
                <c:pt idx="20">
                  <c:v>88.424000000000007</c:v>
                </c:pt>
                <c:pt idx="21">
                  <c:v>114.58099999999999</c:v>
                </c:pt>
                <c:pt idx="22">
                  <c:v>163.92099999999996</c:v>
                </c:pt>
                <c:pt idx="23">
                  <c:v>115.898</c:v>
                </c:pt>
                <c:pt idx="24">
                  <c:v>82.238</c:v>
                </c:pt>
                <c:pt idx="25">
                  <c:v>142.56899999999999</c:v>
                </c:pt>
                <c:pt idx="26">
                  <c:v>114.27000000000002</c:v>
                </c:pt>
                <c:pt idx="27">
                  <c:v>95.14</c:v>
                </c:pt>
                <c:pt idx="28">
                  <c:v>148.69499999999996</c:v>
                </c:pt>
                <c:pt idx="29">
                  <c:v>146.15500000000003</c:v>
                </c:pt>
                <c:pt idx="30">
                  <c:v>100.741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DC-4445-AC7D-504C87BA3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504344"/>
        <c:axId val="467500424"/>
      </c:barChart>
      <c:catAx>
        <c:axId val="46750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0424"/>
        <c:crosses val="autoZero"/>
        <c:auto val="1"/>
        <c:lblAlgn val="ctr"/>
        <c:lblOffset val="100"/>
        <c:noMultiLvlLbl val="0"/>
      </c:catAx>
      <c:valAx>
        <c:axId val="46750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Consumption.xlsx]Aug 24 Graph!PivotTable5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'Aug 24 Graph'!$B$2:$B$3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Graph'!$B$4:$B$34</c:f>
              <c:numCache>
                <c:formatCode>General</c:formatCode>
                <c:ptCount val="31"/>
                <c:pt idx="0">
                  <c:v>56.575999999999993</c:v>
                </c:pt>
                <c:pt idx="1">
                  <c:v>103.946</c:v>
                </c:pt>
                <c:pt idx="2">
                  <c:v>120.01200000000004</c:v>
                </c:pt>
                <c:pt idx="3">
                  <c:v>138.21799999999999</c:v>
                </c:pt>
                <c:pt idx="4">
                  <c:v>135.048</c:v>
                </c:pt>
                <c:pt idx="5">
                  <c:v>96.661000000000016</c:v>
                </c:pt>
                <c:pt idx="6">
                  <c:v>33.456000000000003</c:v>
                </c:pt>
                <c:pt idx="7">
                  <c:v>94.506999999999991</c:v>
                </c:pt>
                <c:pt idx="8">
                  <c:v>95.595999999999989</c:v>
                </c:pt>
                <c:pt idx="9">
                  <c:v>73.62700000000001</c:v>
                </c:pt>
                <c:pt idx="10">
                  <c:v>83.703000000000017</c:v>
                </c:pt>
                <c:pt idx="11">
                  <c:v>107.18400000000001</c:v>
                </c:pt>
                <c:pt idx="12">
                  <c:v>56.163999999999987</c:v>
                </c:pt>
                <c:pt idx="13">
                  <c:v>84.323999999999984</c:v>
                </c:pt>
                <c:pt idx="14">
                  <c:v>162.35000000000002</c:v>
                </c:pt>
                <c:pt idx="15">
                  <c:v>109.711</c:v>
                </c:pt>
                <c:pt idx="16">
                  <c:v>149.62700000000001</c:v>
                </c:pt>
                <c:pt idx="17">
                  <c:v>194.93399999999991</c:v>
                </c:pt>
                <c:pt idx="18">
                  <c:v>50.351999999999997</c:v>
                </c:pt>
                <c:pt idx="19">
                  <c:v>42.631999999999998</c:v>
                </c:pt>
                <c:pt idx="20">
                  <c:v>37.758000000000003</c:v>
                </c:pt>
                <c:pt idx="21">
                  <c:v>61.958000000000006</c:v>
                </c:pt>
                <c:pt idx="22">
                  <c:v>133.81799999999998</c:v>
                </c:pt>
                <c:pt idx="23">
                  <c:v>78.295000000000016</c:v>
                </c:pt>
                <c:pt idx="24">
                  <c:v>107.36100000000003</c:v>
                </c:pt>
                <c:pt idx="25">
                  <c:v>168.88900000000007</c:v>
                </c:pt>
                <c:pt idx="26">
                  <c:v>121.54599999999999</c:v>
                </c:pt>
                <c:pt idx="27">
                  <c:v>145.81299999999999</c:v>
                </c:pt>
                <c:pt idx="28">
                  <c:v>107.97199999999998</c:v>
                </c:pt>
                <c:pt idx="29">
                  <c:v>109.331</c:v>
                </c:pt>
                <c:pt idx="30">
                  <c:v>128.56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4-4633-A064-EFA50E28E376}"/>
            </c:ext>
          </c:extLst>
        </c:ser>
        <c:ser>
          <c:idx val="1"/>
          <c:order val="1"/>
          <c:tx>
            <c:strRef>
              <c:f>'Aug 24 Graph'!$C$2:$C$3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Graph'!$C$4:$C$34</c:f>
              <c:numCache>
                <c:formatCode>General</c:formatCode>
                <c:ptCount val="31"/>
                <c:pt idx="0">
                  <c:v>737.04700000000003</c:v>
                </c:pt>
                <c:pt idx="1">
                  <c:v>852.38599999999997</c:v>
                </c:pt>
                <c:pt idx="2">
                  <c:v>830.41699999999992</c:v>
                </c:pt>
                <c:pt idx="3">
                  <c:v>1003.996</c:v>
                </c:pt>
                <c:pt idx="4">
                  <c:v>773.16600000000005</c:v>
                </c:pt>
                <c:pt idx="5">
                  <c:v>903.59700000000009</c:v>
                </c:pt>
                <c:pt idx="6">
                  <c:v>822.75699999999995</c:v>
                </c:pt>
                <c:pt idx="7">
                  <c:v>967.79800000000012</c:v>
                </c:pt>
                <c:pt idx="8">
                  <c:v>848.6149999999999</c:v>
                </c:pt>
                <c:pt idx="9">
                  <c:v>908.49099999999999</c:v>
                </c:pt>
                <c:pt idx="10">
                  <c:v>914.11799999999994</c:v>
                </c:pt>
                <c:pt idx="11">
                  <c:v>765.91499999999985</c:v>
                </c:pt>
                <c:pt idx="12">
                  <c:v>749.99700000000018</c:v>
                </c:pt>
                <c:pt idx="13">
                  <c:v>921.13900000000012</c:v>
                </c:pt>
                <c:pt idx="14">
                  <c:v>835.92400000000021</c:v>
                </c:pt>
                <c:pt idx="15">
                  <c:v>744.13100000000009</c:v>
                </c:pt>
                <c:pt idx="16">
                  <c:v>676.846</c:v>
                </c:pt>
                <c:pt idx="17">
                  <c:v>695.51799999999992</c:v>
                </c:pt>
                <c:pt idx="18">
                  <c:v>762.84900000000016</c:v>
                </c:pt>
                <c:pt idx="19">
                  <c:v>726.68899999999996</c:v>
                </c:pt>
                <c:pt idx="20">
                  <c:v>514.20299999999986</c:v>
                </c:pt>
                <c:pt idx="21">
                  <c:v>727.404</c:v>
                </c:pt>
                <c:pt idx="22">
                  <c:v>644.55900000000008</c:v>
                </c:pt>
                <c:pt idx="23">
                  <c:v>713.20099999999991</c:v>
                </c:pt>
                <c:pt idx="24">
                  <c:v>748.30600000000004</c:v>
                </c:pt>
                <c:pt idx="25">
                  <c:v>749.9369999999999</c:v>
                </c:pt>
                <c:pt idx="26">
                  <c:v>870.81000000000006</c:v>
                </c:pt>
                <c:pt idx="27">
                  <c:v>697.86399999999992</c:v>
                </c:pt>
                <c:pt idx="28">
                  <c:v>795.52500000000009</c:v>
                </c:pt>
                <c:pt idx="29">
                  <c:v>748.10900000000004</c:v>
                </c:pt>
                <c:pt idx="30">
                  <c:v>789.5630000000001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24-4633-A064-EFA50E28E376}"/>
            </c:ext>
          </c:extLst>
        </c:ser>
        <c:ser>
          <c:idx val="2"/>
          <c:order val="2"/>
          <c:tx>
            <c:strRef>
              <c:f>'Aug 24 Graph'!$D$2:$D$3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Graph'!$D$4:$D$34</c:f>
              <c:numCache>
                <c:formatCode>General</c:formatCode>
                <c:ptCount val="31"/>
                <c:pt idx="0">
                  <c:v>782.30100000000004</c:v>
                </c:pt>
                <c:pt idx="1">
                  <c:v>917.38200000000006</c:v>
                </c:pt>
                <c:pt idx="2">
                  <c:v>791.80499999999995</c:v>
                </c:pt>
                <c:pt idx="3">
                  <c:v>872.02200000000005</c:v>
                </c:pt>
                <c:pt idx="4">
                  <c:v>933.41399999999987</c:v>
                </c:pt>
                <c:pt idx="5">
                  <c:v>868.43899999999996</c:v>
                </c:pt>
                <c:pt idx="6">
                  <c:v>1014.6519999999999</c:v>
                </c:pt>
                <c:pt idx="7">
                  <c:v>820.13499999999988</c:v>
                </c:pt>
                <c:pt idx="8">
                  <c:v>1002.7329999999999</c:v>
                </c:pt>
                <c:pt idx="9">
                  <c:v>920.98599999999999</c:v>
                </c:pt>
                <c:pt idx="10">
                  <c:v>827.03499999999997</c:v>
                </c:pt>
                <c:pt idx="11">
                  <c:v>670.59500000000003</c:v>
                </c:pt>
                <c:pt idx="12">
                  <c:v>857.96100000000001</c:v>
                </c:pt>
                <c:pt idx="13">
                  <c:v>885.30000000000007</c:v>
                </c:pt>
                <c:pt idx="14">
                  <c:v>762.97100000000012</c:v>
                </c:pt>
                <c:pt idx="15">
                  <c:v>851.92500000000007</c:v>
                </c:pt>
                <c:pt idx="16">
                  <c:v>841.36099999999988</c:v>
                </c:pt>
                <c:pt idx="17">
                  <c:v>867.39099999999996</c:v>
                </c:pt>
                <c:pt idx="18">
                  <c:v>949.40800000000013</c:v>
                </c:pt>
                <c:pt idx="19">
                  <c:v>822.06600000000003</c:v>
                </c:pt>
                <c:pt idx="20">
                  <c:v>747.19599999999991</c:v>
                </c:pt>
                <c:pt idx="21">
                  <c:v>575.02100000000007</c:v>
                </c:pt>
                <c:pt idx="22">
                  <c:v>829.42699999999991</c:v>
                </c:pt>
                <c:pt idx="23">
                  <c:v>655.57200000000012</c:v>
                </c:pt>
                <c:pt idx="24">
                  <c:v>914.29</c:v>
                </c:pt>
                <c:pt idx="25">
                  <c:v>905.67599999999993</c:v>
                </c:pt>
                <c:pt idx="26">
                  <c:v>935.2349999999999</c:v>
                </c:pt>
                <c:pt idx="27">
                  <c:v>839.38199999999995</c:v>
                </c:pt>
                <c:pt idx="28">
                  <c:v>963.88600000000008</c:v>
                </c:pt>
                <c:pt idx="29">
                  <c:v>927.17500000000018</c:v>
                </c:pt>
                <c:pt idx="30">
                  <c:v>886.45600000000002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24-4633-A064-EFA50E28E376}"/>
            </c:ext>
          </c:extLst>
        </c:ser>
        <c:ser>
          <c:idx val="3"/>
          <c:order val="3"/>
          <c:tx>
            <c:strRef>
              <c:f>'Aug 24 Graph'!$E$2:$E$3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Graph'!$E$4:$E$34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24-4633-A064-EFA50E28E376}"/>
            </c:ext>
          </c:extLst>
        </c:ser>
        <c:ser>
          <c:idx val="4"/>
          <c:order val="4"/>
          <c:tx>
            <c:strRef>
              <c:f>'Aug 24 Graph'!$F$2:$F$3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Graph'!$F$4:$F$34</c:f>
              <c:numCache>
                <c:formatCode>General</c:formatCode>
                <c:ptCount val="31"/>
                <c:pt idx="0">
                  <c:v>35.177</c:v>
                </c:pt>
                <c:pt idx="1">
                  <c:v>38.345999999999997</c:v>
                </c:pt>
                <c:pt idx="2">
                  <c:v>36.516999999999996</c:v>
                </c:pt>
                <c:pt idx="3">
                  <c:v>60.861000000000004</c:v>
                </c:pt>
                <c:pt idx="4">
                  <c:v>59.561999999999991</c:v>
                </c:pt>
                <c:pt idx="5">
                  <c:v>64.585999999999984</c:v>
                </c:pt>
                <c:pt idx="6">
                  <c:v>45.600999999999999</c:v>
                </c:pt>
                <c:pt idx="7">
                  <c:v>41.819000000000003</c:v>
                </c:pt>
                <c:pt idx="8">
                  <c:v>47.211999999999996</c:v>
                </c:pt>
                <c:pt idx="9">
                  <c:v>54.986999999999995</c:v>
                </c:pt>
                <c:pt idx="10">
                  <c:v>41.596000000000004</c:v>
                </c:pt>
                <c:pt idx="11">
                  <c:v>42.855999999999995</c:v>
                </c:pt>
                <c:pt idx="12">
                  <c:v>46.579000000000001</c:v>
                </c:pt>
                <c:pt idx="13">
                  <c:v>49.238</c:v>
                </c:pt>
                <c:pt idx="14">
                  <c:v>61.342000000000006</c:v>
                </c:pt>
                <c:pt idx="15">
                  <c:v>41.117000000000004</c:v>
                </c:pt>
                <c:pt idx="16">
                  <c:v>71.191000000000003</c:v>
                </c:pt>
                <c:pt idx="17">
                  <c:v>27.116</c:v>
                </c:pt>
                <c:pt idx="18">
                  <c:v>58.966999999999999</c:v>
                </c:pt>
                <c:pt idx="19">
                  <c:v>32.49</c:v>
                </c:pt>
                <c:pt idx="20">
                  <c:v>25.012999999999998</c:v>
                </c:pt>
                <c:pt idx="21">
                  <c:v>74.47399999999999</c:v>
                </c:pt>
                <c:pt idx="22">
                  <c:v>35.055999999999997</c:v>
                </c:pt>
                <c:pt idx="23">
                  <c:v>39.896999999999998</c:v>
                </c:pt>
                <c:pt idx="24">
                  <c:v>20.783999999999999</c:v>
                </c:pt>
                <c:pt idx="25">
                  <c:v>52.638999999999996</c:v>
                </c:pt>
                <c:pt idx="26">
                  <c:v>57.324000000000005</c:v>
                </c:pt>
                <c:pt idx="27">
                  <c:v>61.163999999999987</c:v>
                </c:pt>
                <c:pt idx="28">
                  <c:v>39.232000000000006</c:v>
                </c:pt>
                <c:pt idx="29">
                  <c:v>60.659999999999989</c:v>
                </c:pt>
                <c:pt idx="30">
                  <c:v>2.6309999999999998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24-4633-A064-EFA50E28E376}"/>
            </c:ext>
          </c:extLst>
        </c:ser>
        <c:ser>
          <c:idx val="5"/>
          <c:order val="5"/>
          <c:tx>
            <c:strRef>
              <c:f>'Aug 24 Graph'!$G$2:$G$3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Graph'!$G$4:$G$34</c:f>
              <c:numCache>
                <c:formatCode>General</c:formatCode>
                <c:ptCount val="31"/>
                <c:pt idx="0">
                  <c:v>2796.2459999999996</c:v>
                </c:pt>
                <c:pt idx="1">
                  <c:v>2682.0839999999989</c:v>
                </c:pt>
                <c:pt idx="2">
                  <c:v>2457.402</c:v>
                </c:pt>
                <c:pt idx="3">
                  <c:v>2459.2939999999994</c:v>
                </c:pt>
                <c:pt idx="4">
                  <c:v>2841.7350000000006</c:v>
                </c:pt>
                <c:pt idx="5">
                  <c:v>3089.3609999999999</c:v>
                </c:pt>
                <c:pt idx="6">
                  <c:v>3054.6810000000005</c:v>
                </c:pt>
                <c:pt idx="7">
                  <c:v>3161.989</c:v>
                </c:pt>
                <c:pt idx="8">
                  <c:v>3076.0900000000006</c:v>
                </c:pt>
                <c:pt idx="9">
                  <c:v>2962.6720000000005</c:v>
                </c:pt>
                <c:pt idx="10">
                  <c:v>2860.5210000000002</c:v>
                </c:pt>
                <c:pt idx="11">
                  <c:v>2482.3440000000014</c:v>
                </c:pt>
                <c:pt idx="12">
                  <c:v>3147.5419999999995</c:v>
                </c:pt>
                <c:pt idx="13">
                  <c:v>3074.505000000001</c:v>
                </c:pt>
                <c:pt idx="14">
                  <c:v>2860.2429999999995</c:v>
                </c:pt>
                <c:pt idx="15">
                  <c:v>3099.3760000000002</c:v>
                </c:pt>
                <c:pt idx="16">
                  <c:v>2699.5869999999991</c:v>
                </c:pt>
                <c:pt idx="17">
                  <c:v>2923.9990000000003</c:v>
                </c:pt>
                <c:pt idx="18">
                  <c:v>2833.5840000000017</c:v>
                </c:pt>
                <c:pt idx="19">
                  <c:v>2697.3390000000004</c:v>
                </c:pt>
                <c:pt idx="20">
                  <c:v>3011.7610000000004</c:v>
                </c:pt>
                <c:pt idx="21">
                  <c:v>2852.0369999999998</c:v>
                </c:pt>
                <c:pt idx="22">
                  <c:v>2725.0970000000002</c:v>
                </c:pt>
                <c:pt idx="23">
                  <c:v>2761.587</c:v>
                </c:pt>
                <c:pt idx="24">
                  <c:v>2934.9580000000001</c:v>
                </c:pt>
                <c:pt idx="25">
                  <c:v>2852.3730000000014</c:v>
                </c:pt>
                <c:pt idx="26">
                  <c:v>2841.4839999999999</c:v>
                </c:pt>
                <c:pt idx="27">
                  <c:v>3357.8680000000008</c:v>
                </c:pt>
                <c:pt idx="28">
                  <c:v>3123.3010000000004</c:v>
                </c:pt>
                <c:pt idx="29">
                  <c:v>2961.2169999999996</c:v>
                </c:pt>
                <c:pt idx="30">
                  <c:v>2802.3659999999995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24-4633-A064-EFA50E28E376}"/>
            </c:ext>
          </c:extLst>
        </c:ser>
        <c:ser>
          <c:idx val="6"/>
          <c:order val="6"/>
          <c:tx>
            <c:strRef>
              <c:f>'Aug 24 Graph'!$H$2:$H$3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Graph'!$H$4:$H$34</c:f>
              <c:numCache>
                <c:formatCode>General</c:formatCode>
                <c:ptCount val="31"/>
                <c:pt idx="0">
                  <c:v>169.96299999999997</c:v>
                </c:pt>
                <c:pt idx="1">
                  <c:v>162.99899999999997</c:v>
                </c:pt>
                <c:pt idx="2">
                  <c:v>264.69500000000011</c:v>
                </c:pt>
                <c:pt idx="3">
                  <c:v>520.58799999999997</c:v>
                </c:pt>
                <c:pt idx="4">
                  <c:v>366.59599999999995</c:v>
                </c:pt>
                <c:pt idx="5">
                  <c:v>216.22899999999998</c:v>
                </c:pt>
                <c:pt idx="6">
                  <c:v>208.68800000000002</c:v>
                </c:pt>
                <c:pt idx="7">
                  <c:v>227.59299999999999</c:v>
                </c:pt>
                <c:pt idx="8">
                  <c:v>104.155</c:v>
                </c:pt>
                <c:pt idx="9">
                  <c:v>138.71099999999998</c:v>
                </c:pt>
                <c:pt idx="10">
                  <c:v>416.49199999999996</c:v>
                </c:pt>
                <c:pt idx="11">
                  <c:v>383.53600000000012</c:v>
                </c:pt>
                <c:pt idx="12">
                  <c:v>158.34400000000002</c:v>
                </c:pt>
                <c:pt idx="13">
                  <c:v>391.57400000000007</c:v>
                </c:pt>
                <c:pt idx="14">
                  <c:v>474.73700000000002</c:v>
                </c:pt>
                <c:pt idx="15">
                  <c:v>652.55500000000018</c:v>
                </c:pt>
                <c:pt idx="16">
                  <c:v>664.64300000000026</c:v>
                </c:pt>
                <c:pt idx="17">
                  <c:v>750.19699999999955</c:v>
                </c:pt>
                <c:pt idx="18">
                  <c:v>552.73399999999992</c:v>
                </c:pt>
                <c:pt idx="19">
                  <c:v>243.80400000000006</c:v>
                </c:pt>
                <c:pt idx="20">
                  <c:v>221.08199999999997</c:v>
                </c:pt>
                <c:pt idx="21">
                  <c:v>322.43399999999991</c:v>
                </c:pt>
                <c:pt idx="22">
                  <c:v>424.01199999999977</c:v>
                </c:pt>
                <c:pt idx="23">
                  <c:v>318.97399999999999</c:v>
                </c:pt>
                <c:pt idx="24">
                  <c:v>595.3159999999998</c:v>
                </c:pt>
                <c:pt idx="25">
                  <c:v>558.25399999999991</c:v>
                </c:pt>
                <c:pt idx="26">
                  <c:v>347.36100000000005</c:v>
                </c:pt>
                <c:pt idx="27">
                  <c:v>212.68099999999995</c:v>
                </c:pt>
                <c:pt idx="28">
                  <c:v>250.14</c:v>
                </c:pt>
                <c:pt idx="29">
                  <c:v>195.35599999999999</c:v>
                </c:pt>
                <c:pt idx="30">
                  <c:v>217.47200000000007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24-4633-A064-EFA50E28E376}"/>
            </c:ext>
          </c:extLst>
        </c:ser>
        <c:ser>
          <c:idx val="7"/>
          <c:order val="7"/>
          <c:tx>
            <c:strRef>
              <c:f>'Aug 24 Graph'!$I$2:$I$3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Graph'!$I$4:$I$34</c:f>
              <c:numCache>
                <c:formatCode>General</c:formatCode>
                <c:ptCount val="31"/>
                <c:pt idx="0">
                  <c:v>23.722000000000001</c:v>
                </c:pt>
                <c:pt idx="1">
                  <c:v>18.992000000000004</c:v>
                </c:pt>
                <c:pt idx="2">
                  <c:v>22.082999999999998</c:v>
                </c:pt>
                <c:pt idx="3">
                  <c:v>2E-3</c:v>
                </c:pt>
                <c:pt idx="4">
                  <c:v>25.652000000000001</c:v>
                </c:pt>
                <c:pt idx="5">
                  <c:v>33.563000000000002</c:v>
                </c:pt>
                <c:pt idx="6">
                  <c:v>58.843999999999994</c:v>
                </c:pt>
                <c:pt idx="7">
                  <c:v>55.304999999999993</c:v>
                </c:pt>
                <c:pt idx="8">
                  <c:v>41.871000000000016</c:v>
                </c:pt>
                <c:pt idx="9">
                  <c:v>34.314</c:v>
                </c:pt>
                <c:pt idx="10">
                  <c:v>28.918000000000006</c:v>
                </c:pt>
                <c:pt idx="11">
                  <c:v>24.250000000000004</c:v>
                </c:pt>
                <c:pt idx="12">
                  <c:v>42.873999999999981</c:v>
                </c:pt>
                <c:pt idx="13">
                  <c:v>24.837000000000003</c:v>
                </c:pt>
                <c:pt idx="14">
                  <c:v>0.65700000000000003</c:v>
                </c:pt>
                <c:pt idx="15">
                  <c:v>31.404</c:v>
                </c:pt>
                <c:pt idx="16">
                  <c:v>24.006999999999998</c:v>
                </c:pt>
                <c:pt idx="17">
                  <c:v>8.3129999999999988</c:v>
                </c:pt>
                <c:pt idx="18">
                  <c:v>8.1389999999999993</c:v>
                </c:pt>
                <c:pt idx="19">
                  <c:v>13.872999999999998</c:v>
                </c:pt>
                <c:pt idx="20">
                  <c:v>2.359</c:v>
                </c:pt>
                <c:pt idx="21">
                  <c:v>3.9950000000000001</c:v>
                </c:pt>
                <c:pt idx="22">
                  <c:v>0</c:v>
                </c:pt>
                <c:pt idx="23">
                  <c:v>1.996</c:v>
                </c:pt>
                <c:pt idx="24">
                  <c:v>0</c:v>
                </c:pt>
                <c:pt idx="25">
                  <c:v>0</c:v>
                </c:pt>
                <c:pt idx="26">
                  <c:v>9.907</c:v>
                </c:pt>
                <c:pt idx="27">
                  <c:v>2.073</c:v>
                </c:pt>
                <c:pt idx="28">
                  <c:v>34.835000000000001</c:v>
                </c:pt>
                <c:pt idx="29">
                  <c:v>50.196999999999996</c:v>
                </c:pt>
                <c:pt idx="30">
                  <c:v>47.801999999999992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24-4633-A064-EFA50E28E376}"/>
            </c:ext>
          </c:extLst>
        </c:ser>
        <c:ser>
          <c:idx val="8"/>
          <c:order val="8"/>
          <c:tx>
            <c:strRef>
              <c:f>'Aug 24 Graph'!$J$2:$J$3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Graph'!$J$4:$J$34</c:f>
              <c:numCache>
                <c:formatCode>General</c:formatCode>
                <c:ptCount val="31"/>
                <c:pt idx="0">
                  <c:v>4.1669999999999998</c:v>
                </c:pt>
                <c:pt idx="1">
                  <c:v>5.4580000000000002</c:v>
                </c:pt>
                <c:pt idx="2">
                  <c:v>5.3109999999999999</c:v>
                </c:pt>
                <c:pt idx="3">
                  <c:v>3.9020000000000001</c:v>
                </c:pt>
                <c:pt idx="4">
                  <c:v>3.9640000000000004</c:v>
                </c:pt>
                <c:pt idx="5">
                  <c:v>3.8639999999999999</c:v>
                </c:pt>
                <c:pt idx="6">
                  <c:v>5.1419999999999995</c:v>
                </c:pt>
                <c:pt idx="7">
                  <c:v>4.8889999999999993</c:v>
                </c:pt>
                <c:pt idx="8">
                  <c:v>3.9570000000000003</c:v>
                </c:pt>
                <c:pt idx="9">
                  <c:v>5.5670000000000002</c:v>
                </c:pt>
                <c:pt idx="10">
                  <c:v>3.5179999999999998</c:v>
                </c:pt>
                <c:pt idx="11">
                  <c:v>5.5519999999999996</c:v>
                </c:pt>
                <c:pt idx="12">
                  <c:v>4.3419999999999996</c:v>
                </c:pt>
                <c:pt idx="13">
                  <c:v>5.5180000000000007</c:v>
                </c:pt>
                <c:pt idx="14">
                  <c:v>4.5540000000000003</c:v>
                </c:pt>
                <c:pt idx="15">
                  <c:v>5.8469999999999995</c:v>
                </c:pt>
                <c:pt idx="16">
                  <c:v>5.476</c:v>
                </c:pt>
                <c:pt idx="17">
                  <c:v>5.8679999999999994</c:v>
                </c:pt>
                <c:pt idx="18">
                  <c:v>4.6630000000000003</c:v>
                </c:pt>
                <c:pt idx="19">
                  <c:v>4.5</c:v>
                </c:pt>
                <c:pt idx="20">
                  <c:v>2.262</c:v>
                </c:pt>
                <c:pt idx="21">
                  <c:v>5.3250000000000002</c:v>
                </c:pt>
                <c:pt idx="22">
                  <c:v>5.2430000000000003</c:v>
                </c:pt>
                <c:pt idx="23">
                  <c:v>6.827</c:v>
                </c:pt>
                <c:pt idx="24">
                  <c:v>4.2439999999999998</c:v>
                </c:pt>
                <c:pt idx="25">
                  <c:v>5.6720000000000006</c:v>
                </c:pt>
                <c:pt idx="26">
                  <c:v>5.0310000000000006</c:v>
                </c:pt>
                <c:pt idx="27">
                  <c:v>4.4640000000000004</c:v>
                </c:pt>
                <c:pt idx="28">
                  <c:v>3.7290000000000001</c:v>
                </c:pt>
                <c:pt idx="29">
                  <c:v>5.4239999999999995</c:v>
                </c:pt>
                <c:pt idx="30">
                  <c:v>5.3719999999999999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24-4633-A064-EFA50E28E376}"/>
            </c:ext>
          </c:extLst>
        </c:ser>
        <c:ser>
          <c:idx val="9"/>
          <c:order val="9"/>
          <c:tx>
            <c:strRef>
              <c:f>'Aug 24 Graph'!$K$2:$K$3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Graph'!$K$4:$K$34</c:f>
              <c:numCache>
                <c:formatCode>General</c:formatCode>
                <c:ptCount val="31"/>
                <c:pt idx="0">
                  <c:v>28.851999999999997</c:v>
                </c:pt>
                <c:pt idx="1">
                  <c:v>20.751999999999999</c:v>
                </c:pt>
                <c:pt idx="2">
                  <c:v>16.683</c:v>
                </c:pt>
                <c:pt idx="3">
                  <c:v>43.680999999999997</c:v>
                </c:pt>
                <c:pt idx="4">
                  <c:v>27.59</c:v>
                </c:pt>
                <c:pt idx="5">
                  <c:v>38.302999999999997</c:v>
                </c:pt>
                <c:pt idx="6">
                  <c:v>30.808999999999997</c:v>
                </c:pt>
                <c:pt idx="7">
                  <c:v>27.558</c:v>
                </c:pt>
                <c:pt idx="8">
                  <c:v>26.532999999999998</c:v>
                </c:pt>
                <c:pt idx="9">
                  <c:v>35.908000000000001</c:v>
                </c:pt>
                <c:pt idx="10">
                  <c:v>33.748000000000005</c:v>
                </c:pt>
                <c:pt idx="11">
                  <c:v>24.808999999999997</c:v>
                </c:pt>
                <c:pt idx="12">
                  <c:v>37.335999999999999</c:v>
                </c:pt>
                <c:pt idx="13">
                  <c:v>28.702000000000002</c:v>
                </c:pt>
                <c:pt idx="14">
                  <c:v>24.895999999999997</c:v>
                </c:pt>
                <c:pt idx="15">
                  <c:v>31.277000000000001</c:v>
                </c:pt>
                <c:pt idx="16">
                  <c:v>27.134</c:v>
                </c:pt>
                <c:pt idx="17">
                  <c:v>24.948000000000004</c:v>
                </c:pt>
                <c:pt idx="18">
                  <c:v>28.247000000000003</c:v>
                </c:pt>
                <c:pt idx="19">
                  <c:v>23.738</c:v>
                </c:pt>
                <c:pt idx="20">
                  <c:v>15.199</c:v>
                </c:pt>
                <c:pt idx="21">
                  <c:v>27.001000000000001</c:v>
                </c:pt>
                <c:pt idx="22">
                  <c:v>33.588000000000001</c:v>
                </c:pt>
                <c:pt idx="23">
                  <c:v>20.573</c:v>
                </c:pt>
                <c:pt idx="24">
                  <c:v>37.356999999999999</c:v>
                </c:pt>
                <c:pt idx="25">
                  <c:v>26.093999999999998</c:v>
                </c:pt>
                <c:pt idx="26">
                  <c:v>33.558999999999997</c:v>
                </c:pt>
                <c:pt idx="27">
                  <c:v>28.030999999999999</c:v>
                </c:pt>
                <c:pt idx="28">
                  <c:v>26.341999999999999</c:v>
                </c:pt>
                <c:pt idx="29">
                  <c:v>22.263000000000002</c:v>
                </c:pt>
                <c:pt idx="30">
                  <c:v>37.823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24-4633-A064-EFA50E28E376}"/>
            </c:ext>
          </c:extLst>
        </c:ser>
        <c:ser>
          <c:idx val="10"/>
          <c:order val="10"/>
          <c:tx>
            <c:strRef>
              <c:f>'Aug 24 Graph'!$L$2:$L$3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Graph'!$L$4:$L$34</c:f>
              <c:numCache>
                <c:formatCode>General</c:formatCode>
                <c:ptCount val="31"/>
                <c:pt idx="0">
                  <c:v>102.179</c:v>
                </c:pt>
                <c:pt idx="1">
                  <c:v>100.14099999999999</c:v>
                </c:pt>
                <c:pt idx="2">
                  <c:v>91.256</c:v>
                </c:pt>
                <c:pt idx="3">
                  <c:v>98.017999999999986</c:v>
                </c:pt>
                <c:pt idx="4">
                  <c:v>109.872</c:v>
                </c:pt>
                <c:pt idx="5">
                  <c:v>112.602</c:v>
                </c:pt>
                <c:pt idx="6">
                  <c:v>131.90299999999996</c:v>
                </c:pt>
                <c:pt idx="7">
                  <c:v>107.60099999999998</c:v>
                </c:pt>
                <c:pt idx="8">
                  <c:v>141.36699999999999</c:v>
                </c:pt>
                <c:pt idx="9">
                  <c:v>119.78699999999999</c:v>
                </c:pt>
                <c:pt idx="10">
                  <c:v>74.830000000000027</c:v>
                </c:pt>
                <c:pt idx="11">
                  <c:v>57.533000000000008</c:v>
                </c:pt>
                <c:pt idx="12">
                  <c:v>79.745999999999995</c:v>
                </c:pt>
                <c:pt idx="13">
                  <c:v>80.265000000000001</c:v>
                </c:pt>
                <c:pt idx="14">
                  <c:v>55.381</c:v>
                </c:pt>
                <c:pt idx="15">
                  <c:v>80.022999999999996</c:v>
                </c:pt>
                <c:pt idx="16">
                  <c:v>68.113</c:v>
                </c:pt>
                <c:pt idx="17">
                  <c:v>67.00500000000001</c:v>
                </c:pt>
                <c:pt idx="18">
                  <c:v>77.350999999999999</c:v>
                </c:pt>
                <c:pt idx="19">
                  <c:v>74.721999999999994</c:v>
                </c:pt>
                <c:pt idx="20">
                  <c:v>18.777000000000001</c:v>
                </c:pt>
                <c:pt idx="21">
                  <c:v>74.251999999999995</c:v>
                </c:pt>
                <c:pt idx="22">
                  <c:v>102.38500000000001</c:v>
                </c:pt>
                <c:pt idx="23">
                  <c:v>73.463000000000008</c:v>
                </c:pt>
                <c:pt idx="24">
                  <c:v>61.152999999999999</c:v>
                </c:pt>
                <c:pt idx="25">
                  <c:v>73.533999999999992</c:v>
                </c:pt>
                <c:pt idx="26">
                  <c:v>79.552999999999997</c:v>
                </c:pt>
                <c:pt idx="27">
                  <c:v>70.513000000000005</c:v>
                </c:pt>
                <c:pt idx="28">
                  <c:v>67.656999999999996</c:v>
                </c:pt>
                <c:pt idx="29">
                  <c:v>90.109999999999985</c:v>
                </c:pt>
                <c:pt idx="30">
                  <c:v>50.507999999999996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24-4633-A064-EFA50E28E376}"/>
            </c:ext>
          </c:extLst>
        </c:ser>
        <c:ser>
          <c:idx val="11"/>
          <c:order val="11"/>
          <c:tx>
            <c:strRef>
              <c:f>'Aug 24 Graph'!$M$2:$M$3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'Aug 24 Graph'!$A$4:$A$34</c:f>
              <c:strCache>
                <c:ptCount val="31"/>
                <c:pt idx="0">
                  <c:v>Sum of 01-08-2024</c:v>
                </c:pt>
                <c:pt idx="1">
                  <c:v>Sum of 02-08-2024</c:v>
                </c:pt>
                <c:pt idx="2">
                  <c:v>Sum of 03-08-2024</c:v>
                </c:pt>
                <c:pt idx="3">
                  <c:v>Sum of 04-08-2024</c:v>
                </c:pt>
                <c:pt idx="4">
                  <c:v>Sum of 05-08-2024</c:v>
                </c:pt>
                <c:pt idx="5">
                  <c:v>Sum of 06-08-2024</c:v>
                </c:pt>
                <c:pt idx="6">
                  <c:v>Sum of 07-08-2024</c:v>
                </c:pt>
                <c:pt idx="7">
                  <c:v>Sum of 08-08-2024</c:v>
                </c:pt>
                <c:pt idx="8">
                  <c:v>Sum of 09-08-2024</c:v>
                </c:pt>
                <c:pt idx="9">
                  <c:v>Sum of 10-08-2024</c:v>
                </c:pt>
                <c:pt idx="10">
                  <c:v>Sum of 11-08-2024</c:v>
                </c:pt>
                <c:pt idx="11">
                  <c:v>Sum of 12-08-2024</c:v>
                </c:pt>
                <c:pt idx="12">
                  <c:v>Sum of 13-08-2024</c:v>
                </c:pt>
                <c:pt idx="13">
                  <c:v>Sum of 14-08-2024</c:v>
                </c:pt>
                <c:pt idx="14">
                  <c:v>Sum of 15-08-2024</c:v>
                </c:pt>
                <c:pt idx="15">
                  <c:v>Sum of 16-08-2024</c:v>
                </c:pt>
                <c:pt idx="16">
                  <c:v>Sum of 17-08-2024</c:v>
                </c:pt>
                <c:pt idx="17">
                  <c:v>Sum of 18-08-2024</c:v>
                </c:pt>
                <c:pt idx="18">
                  <c:v>Sum of 19-08-2024</c:v>
                </c:pt>
                <c:pt idx="19">
                  <c:v>Sum of 20-08-2024</c:v>
                </c:pt>
                <c:pt idx="20">
                  <c:v>Sum of 21-08-2024</c:v>
                </c:pt>
                <c:pt idx="21">
                  <c:v>Sum of 23-08-2024</c:v>
                </c:pt>
                <c:pt idx="22">
                  <c:v>Sum of 22-08-2024</c:v>
                </c:pt>
                <c:pt idx="23">
                  <c:v>Sum of 24-08-2024</c:v>
                </c:pt>
                <c:pt idx="24">
                  <c:v>Sum of 25-08-2024</c:v>
                </c:pt>
                <c:pt idx="25">
                  <c:v>Sum of 26-08-2024</c:v>
                </c:pt>
                <c:pt idx="26">
                  <c:v>Sum of 27-08-2024</c:v>
                </c:pt>
                <c:pt idx="27">
                  <c:v>Sum of 28-08-2024</c:v>
                </c:pt>
                <c:pt idx="28">
                  <c:v>Sum of 29-08-2024</c:v>
                </c:pt>
                <c:pt idx="29">
                  <c:v>Sum of 30-08-2024</c:v>
                </c:pt>
                <c:pt idx="30">
                  <c:v>Sum of 31-08-2024</c:v>
                </c:pt>
              </c:strCache>
            </c:strRef>
          </c:cat>
          <c:val>
            <c:numRef>
              <c:f>'Aug 24 Graph'!$M$4:$M$34</c:f>
              <c:numCache>
                <c:formatCode>General</c:formatCode>
                <c:ptCount val="31"/>
                <c:pt idx="0">
                  <c:v>144.76399999999998</c:v>
                </c:pt>
                <c:pt idx="1">
                  <c:v>102.636</c:v>
                </c:pt>
                <c:pt idx="2">
                  <c:v>129.11500000000001</c:v>
                </c:pt>
                <c:pt idx="3">
                  <c:v>96.344999999999985</c:v>
                </c:pt>
                <c:pt idx="4">
                  <c:v>123.063</c:v>
                </c:pt>
                <c:pt idx="5">
                  <c:v>120.65500000000003</c:v>
                </c:pt>
                <c:pt idx="6">
                  <c:v>139.28200000000001</c:v>
                </c:pt>
                <c:pt idx="7">
                  <c:v>111.35399999999998</c:v>
                </c:pt>
                <c:pt idx="8">
                  <c:v>85.22</c:v>
                </c:pt>
                <c:pt idx="9">
                  <c:v>140.44300000000001</c:v>
                </c:pt>
                <c:pt idx="10">
                  <c:v>119.82599999999999</c:v>
                </c:pt>
                <c:pt idx="11">
                  <c:v>129.649</c:v>
                </c:pt>
                <c:pt idx="12">
                  <c:v>110.319</c:v>
                </c:pt>
                <c:pt idx="13">
                  <c:v>117.28099999999998</c:v>
                </c:pt>
                <c:pt idx="14">
                  <c:v>105.29199999999999</c:v>
                </c:pt>
                <c:pt idx="15">
                  <c:v>134.43500000000003</c:v>
                </c:pt>
                <c:pt idx="16">
                  <c:v>120.364</c:v>
                </c:pt>
                <c:pt idx="17">
                  <c:v>84.143000000000001</c:v>
                </c:pt>
                <c:pt idx="18">
                  <c:v>145.17699999999994</c:v>
                </c:pt>
                <c:pt idx="19">
                  <c:v>157.857</c:v>
                </c:pt>
                <c:pt idx="20">
                  <c:v>88.424000000000007</c:v>
                </c:pt>
                <c:pt idx="21">
                  <c:v>114.58099999999999</c:v>
                </c:pt>
                <c:pt idx="22">
                  <c:v>163.92099999999996</c:v>
                </c:pt>
                <c:pt idx="23">
                  <c:v>115.898</c:v>
                </c:pt>
                <c:pt idx="24">
                  <c:v>82.238</c:v>
                </c:pt>
                <c:pt idx="25">
                  <c:v>142.56899999999999</c:v>
                </c:pt>
                <c:pt idx="26">
                  <c:v>114.27000000000002</c:v>
                </c:pt>
                <c:pt idx="27">
                  <c:v>95.14</c:v>
                </c:pt>
                <c:pt idx="28">
                  <c:v>148.69499999999996</c:v>
                </c:pt>
                <c:pt idx="29">
                  <c:v>146.15500000000003</c:v>
                </c:pt>
                <c:pt idx="30">
                  <c:v>100.741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24-4633-A064-EFA50E28E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35608"/>
        <c:axId val="463240704"/>
      </c:barChart>
      <c:catAx>
        <c:axId val="46323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40704"/>
        <c:crosses val="autoZero"/>
        <c:auto val="1"/>
        <c:lblAlgn val="ctr"/>
        <c:lblOffset val="100"/>
        <c:noMultiLvlLbl val="0"/>
      </c:catAx>
      <c:valAx>
        <c:axId val="4632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Consumption.xlsx]Sep 24 Graph!PivotTable4</c:name>
    <c:fmtId val="6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'Sep 24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Graph'!$B$5:$B$34</c:f>
              <c:numCache>
                <c:formatCode>General</c:formatCode>
                <c:ptCount val="30"/>
                <c:pt idx="0">
                  <c:v>175.32600000000002</c:v>
                </c:pt>
                <c:pt idx="1">
                  <c:v>148.887</c:v>
                </c:pt>
                <c:pt idx="2">
                  <c:v>182.68600000000001</c:v>
                </c:pt>
                <c:pt idx="3">
                  <c:v>150.64400000000003</c:v>
                </c:pt>
                <c:pt idx="4">
                  <c:v>99.769000000000034</c:v>
                </c:pt>
                <c:pt idx="5">
                  <c:v>92.483000000000004</c:v>
                </c:pt>
                <c:pt idx="6">
                  <c:v>160.14499999999998</c:v>
                </c:pt>
                <c:pt idx="7">
                  <c:v>176.03700000000006</c:v>
                </c:pt>
                <c:pt idx="8">
                  <c:v>155.45300000000012</c:v>
                </c:pt>
                <c:pt idx="9">
                  <c:v>140.99699999999993</c:v>
                </c:pt>
                <c:pt idx="10">
                  <c:v>105.21299999999999</c:v>
                </c:pt>
                <c:pt idx="11">
                  <c:v>59.127999999999993</c:v>
                </c:pt>
                <c:pt idx="12">
                  <c:v>179.90599999999995</c:v>
                </c:pt>
                <c:pt idx="13">
                  <c:v>160.61700000000005</c:v>
                </c:pt>
                <c:pt idx="14">
                  <c:v>150.35100000000003</c:v>
                </c:pt>
                <c:pt idx="15">
                  <c:v>165.26600000000008</c:v>
                </c:pt>
                <c:pt idx="16">
                  <c:v>146.70100000000005</c:v>
                </c:pt>
                <c:pt idx="17">
                  <c:v>186.38200000000003</c:v>
                </c:pt>
                <c:pt idx="18">
                  <c:v>141.89500000000001</c:v>
                </c:pt>
                <c:pt idx="19">
                  <c:v>149.37799999999999</c:v>
                </c:pt>
                <c:pt idx="20">
                  <c:v>120.73200000000004</c:v>
                </c:pt>
                <c:pt idx="21">
                  <c:v>144.43799999999993</c:v>
                </c:pt>
                <c:pt idx="22">
                  <c:v>162.55699999999999</c:v>
                </c:pt>
                <c:pt idx="23">
                  <c:v>136.59400000000005</c:v>
                </c:pt>
                <c:pt idx="24">
                  <c:v>109.00499999999998</c:v>
                </c:pt>
                <c:pt idx="25">
                  <c:v>145.78900000000004</c:v>
                </c:pt>
                <c:pt idx="26">
                  <c:v>87.102000000000004</c:v>
                </c:pt>
                <c:pt idx="27">
                  <c:v>71.807000000000002</c:v>
                </c:pt>
                <c:pt idx="28">
                  <c:v>96.054000000000016</c:v>
                </c:pt>
                <c:pt idx="29">
                  <c:v>122.19199999999998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9-479A-8BE1-E1B1514C179E}"/>
            </c:ext>
          </c:extLst>
        </c:ser>
        <c:ser>
          <c:idx val="1"/>
          <c:order val="1"/>
          <c:tx>
            <c:strRef>
              <c:f>'Sep 24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Graph'!$C$5:$C$34</c:f>
              <c:numCache>
                <c:formatCode>General</c:formatCode>
                <c:ptCount val="30"/>
                <c:pt idx="0">
                  <c:v>827.74899999999991</c:v>
                </c:pt>
                <c:pt idx="1">
                  <c:v>787.90300000000013</c:v>
                </c:pt>
                <c:pt idx="2">
                  <c:v>801.32100000000003</c:v>
                </c:pt>
                <c:pt idx="3">
                  <c:v>763.13999999999987</c:v>
                </c:pt>
                <c:pt idx="4">
                  <c:v>862.71</c:v>
                </c:pt>
                <c:pt idx="5">
                  <c:v>821.84500000000014</c:v>
                </c:pt>
                <c:pt idx="6">
                  <c:v>384.01399999999995</c:v>
                </c:pt>
                <c:pt idx="7">
                  <c:v>500.90399999999994</c:v>
                </c:pt>
                <c:pt idx="8">
                  <c:v>690.14900000000011</c:v>
                </c:pt>
                <c:pt idx="9">
                  <c:v>744.11099999999999</c:v>
                </c:pt>
                <c:pt idx="10">
                  <c:v>761.76800000000014</c:v>
                </c:pt>
                <c:pt idx="11">
                  <c:v>780.85500000000013</c:v>
                </c:pt>
                <c:pt idx="12">
                  <c:v>703.70500000000015</c:v>
                </c:pt>
                <c:pt idx="13">
                  <c:v>631.90199999999993</c:v>
                </c:pt>
                <c:pt idx="14">
                  <c:v>667.01499999999999</c:v>
                </c:pt>
                <c:pt idx="15">
                  <c:v>735.18200000000002</c:v>
                </c:pt>
                <c:pt idx="16">
                  <c:v>741.16800000000001</c:v>
                </c:pt>
                <c:pt idx="17">
                  <c:v>669.32500000000005</c:v>
                </c:pt>
                <c:pt idx="18">
                  <c:v>604.92499999999995</c:v>
                </c:pt>
                <c:pt idx="19">
                  <c:v>691.39100000000019</c:v>
                </c:pt>
                <c:pt idx="20">
                  <c:v>608.5630000000001</c:v>
                </c:pt>
                <c:pt idx="21">
                  <c:v>839.25699999999995</c:v>
                </c:pt>
                <c:pt idx="22">
                  <c:v>588.23800000000006</c:v>
                </c:pt>
                <c:pt idx="23">
                  <c:v>613.35199999999986</c:v>
                </c:pt>
                <c:pt idx="24">
                  <c:v>663.87</c:v>
                </c:pt>
                <c:pt idx="25">
                  <c:v>650.66500000000008</c:v>
                </c:pt>
                <c:pt idx="26">
                  <c:v>714.28499999999997</c:v>
                </c:pt>
                <c:pt idx="27">
                  <c:v>798.97499999999991</c:v>
                </c:pt>
                <c:pt idx="28">
                  <c:v>793.25300000000004</c:v>
                </c:pt>
                <c:pt idx="29">
                  <c:v>792.78700000000015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9-479A-8BE1-E1B1514C179E}"/>
            </c:ext>
          </c:extLst>
        </c:ser>
        <c:ser>
          <c:idx val="2"/>
          <c:order val="2"/>
          <c:tx>
            <c:strRef>
              <c:f>'Sep 24 Graph'!$D$3:$D$4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Graph'!$D$5:$D$34</c:f>
              <c:numCache>
                <c:formatCode>General</c:formatCode>
                <c:ptCount val="30"/>
                <c:pt idx="0">
                  <c:v>816.83500000000004</c:v>
                </c:pt>
                <c:pt idx="1">
                  <c:v>902.23700000000008</c:v>
                </c:pt>
                <c:pt idx="2">
                  <c:v>917.93800000000022</c:v>
                </c:pt>
                <c:pt idx="3">
                  <c:v>892.99299999999994</c:v>
                </c:pt>
                <c:pt idx="4">
                  <c:v>993.87499999999977</c:v>
                </c:pt>
                <c:pt idx="5">
                  <c:v>917.24799999999993</c:v>
                </c:pt>
                <c:pt idx="6">
                  <c:v>905.94500000000016</c:v>
                </c:pt>
                <c:pt idx="7">
                  <c:v>900.04199999999992</c:v>
                </c:pt>
                <c:pt idx="8">
                  <c:v>830.98800000000006</c:v>
                </c:pt>
                <c:pt idx="9">
                  <c:v>1018.792</c:v>
                </c:pt>
                <c:pt idx="10">
                  <c:v>1014.106</c:v>
                </c:pt>
                <c:pt idx="11">
                  <c:v>925.322</c:v>
                </c:pt>
                <c:pt idx="12">
                  <c:v>881.82200000000023</c:v>
                </c:pt>
                <c:pt idx="13">
                  <c:v>787.65600000000018</c:v>
                </c:pt>
                <c:pt idx="14">
                  <c:v>773.91</c:v>
                </c:pt>
                <c:pt idx="15">
                  <c:v>775.38000000000011</c:v>
                </c:pt>
                <c:pt idx="16">
                  <c:v>947.74099999999999</c:v>
                </c:pt>
                <c:pt idx="17">
                  <c:v>954.2410000000001</c:v>
                </c:pt>
                <c:pt idx="18">
                  <c:v>960.04199999999992</c:v>
                </c:pt>
                <c:pt idx="19">
                  <c:v>880.73199999999997</c:v>
                </c:pt>
                <c:pt idx="20">
                  <c:v>924.58500000000015</c:v>
                </c:pt>
                <c:pt idx="21">
                  <c:v>838.71100000000013</c:v>
                </c:pt>
                <c:pt idx="22">
                  <c:v>1014.4550000000002</c:v>
                </c:pt>
                <c:pt idx="23">
                  <c:v>954.04099999999994</c:v>
                </c:pt>
                <c:pt idx="24">
                  <c:v>915.61000000000013</c:v>
                </c:pt>
                <c:pt idx="25">
                  <c:v>995.64799999999991</c:v>
                </c:pt>
                <c:pt idx="26">
                  <c:v>1028.124</c:v>
                </c:pt>
                <c:pt idx="27">
                  <c:v>918.24800000000005</c:v>
                </c:pt>
                <c:pt idx="28">
                  <c:v>848.15500000000009</c:v>
                </c:pt>
                <c:pt idx="29">
                  <c:v>916.29100000000005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9-479A-8BE1-E1B1514C179E}"/>
            </c:ext>
          </c:extLst>
        </c:ser>
        <c:ser>
          <c:idx val="3"/>
          <c:order val="3"/>
          <c:tx>
            <c:strRef>
              <c:f>'Sep 24 Graph'!$E$3:$E$4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25.277000000000001</c:v>
                </c:pt>
                <c:pt idx="19">
                  <c:v>0</c:v>
                </c:pt>
                <c:pt idx="20">
                  <c:v>0</c:v>
                </c:pt>
                <c:pt idx="21">
                  <c:v>11.349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19.390999999999998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9-479A-8BE1-E1B1514C179E}"/>
            </c:ext>
          </c:extLst>
        </c:ser>
        <c:ser>
          <c:idx val="4"/>
          <c:order val="4"/>
          <c:tx>
            <c:strRef>
              <c:f>'Sep 24 Graph'!$F$3:$F$4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Graph'!$F$5:$F$34</c:f>
              <c:numCache>
                <c:formatCode>General</c:formatCode>
                <c:ptCount val="30"/>
                <c:pt idx="0">
                  <c:v>38.216000000000001</c:v>
                </c:pt>
                <c:pt idx="1">
                  <c:v>25.319999999999997</c:v>
                </c:pt>
                <c:pt idx="2">
                  <c:v>2.6539999999999999</c:v>
                </c:pt>
                <c:pt idx="3">
                  <c:v>4.694</c:v>
                </c:pt>
                <c:pt idx="4">
                  <c:v>1.8240000000000001</c:v>
                </c:pt>
                <c:pt idx="5">
                  <c:v>27.497000000000003</c:v>
                </c:pt>
                <c:pt idx="6">
                  <c:v>49.672999999999995</c:v>
                </c:pt>
                <c:pt idx="7">
                  <c:v>73.219000000000023</c:v>
                </c:pt>
                <c:pt idx="8">
                  <c:v>45.094000000000001</c:v>
                </c:pt>
                <c:pt idx="9">
                  <c:v>34.132000000000005</c:v>
                </c:pt>
                <c:pt idx="10">
                  <c:v>58.843000000000004</c:v>
                </c:pt>
                <c:pt idx="11">
                  <c:v>41.577000000000005</c:v>
                </c:pt>
                <c:pt idx="12">
                  <c:v>57.538000000000004</c:v>
                </c:pt>
                <c:pt idx="13">
                  <c:v>66.326000000000008</c:v>
                </c:pt>
                <c:pt idx="14">
                  <c:v>47.468000000000004</c:v>
                </c:pt>
                <c:pt idx="15">
                  <c:v>53.64</c:v>
                </c:pt>
                <c:pt idx="16">
                  <c:v>29.548999999999999</c:v>
                </c:pt>
                <c:pt idx="17">
                  <c:v>64.621000000000009</c:v>
                </c:pt>
                <c:pt idx="18">
                  <c:v>35.346000000000004</c:v>
                </c:pt>
                <c:pt idx="19">
                  <c:v>42.185999999999993</c:v>
                </c:pt>
                <c:pt idx="20">
                  <c:v>55.088999999999999</c:v>
                </c:pt>
                <c:pt idx="21">
                  <c:v>20.936</c:v>
                </c:pt>
                <c:pt idx="22">
                  <c:v>54.813000000000002</c:v>
                </c:pt>
                <c:pt idx="23">
                  <c:v>33.042999999999992</c:v>
                </c:pt>
                <c:pt idx="24">
                  <c:v>46.564</c:v>
                </c:pt>
                <c:pt idx="25">
                  <c:v>51.296999999999997</c:v>
                </c:pt>
                <c:pt idx="26">
                  <c:v>42.781999999999996</c:v>
                </c:pt>
                <c:pt idx="27">
                  <c:v>42.706000000000003</c:v>
                </c:pt>
                <c:pt idx="28">
                  <c:v>43.325000000000003</c:v>
                </c:pt>
                <c:pt idx="29">
                  <c:v>47.078999999999994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F9-479A-8BE1-E1B1514C179E}"/>
            </c:ext>
          </c:extLst>
        </c:ser>
        <c:ser>
          <c:idx val="5"/>
          <c:order val="5"/>
          <c:tx>
            <c:strRef>
              <c:f>'Sep 24 Graph'!$G$3:$G$4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Graph'!$G$5:$G$34</c:f>
              <c:numCache>
                <c:formatCode>General</c:formatCode>
                <c:ptCount val="30"/>
                <c:pt idx="0">
                  <c:v>2460.2429999999995</c:v>
                </c:pt>
                <c:pt idx="1">
                  <c:v>2975.6679999999997</c:v>
                </c:pt>
                <c:pt idx="2">
                  <c:v>3116.652000000001</c:v>
                </c:pt>
                <c:pt idx="3">
                  <c:v>3245.5279999999989</c:v>
                </c:pt>
                <c:pt idx="4">
                  <c:v>3353.4319999999989</c:v>
                </c:pt>
                <c:pt idx="5">
                  <c:v>3177.3280000000004</c:v>
                </c:pt>
                <c:pt idx="6">
                  <c:v>2811.2840000000001</c:v>
                </c:pt>
                <c:pt idx="7">
                  <c:v>2267.956000000001</c:v>
                </c:pt>
                <c:pt idx="8">
                  <c:v>2863.32</c:v>
                </c:pt>
                <c:pt idx="9">
                  <c:v>3330.5350000000008</c:v>
                </c:pt>
                <c:pt idx="10">
                  <c:v>3376.4860000000008</c:v>
                </c:pt>
                <c:pt idx="11">
                  <c:v>3170.2850000000003</c:v>
                </c:pt>
                <c:pt idx="12">
                  <c:v>3070.9819999999991</c:v>
                </c:pt>
                <c:pt idx="13">
                  <c:v>2787.5179999999996</c:v>
                </c:pt>
                <c:pt idx="14">
                  <c:v>2873.0039999999995</c:v>
                </c:pt>
                <c:pt idx="15">
                  <c:v>2978.683</c:v>
                </c:pt>
                <c:pt idx="16">
                  <c:v>2917.6819999999993</c:v>
                </c:pt>
                <c:pt idx="17">
                  <c:v>2949.9220000000009</c:v>
                </c:pt>
                <c:pt idx="18">
                  <c:v>3153.5839999999985</c:v>
                </c:pt>
                <c:pt idx="19">
                  <c:v>3477.2359999999994</c:v>
                </c:pt>
                <c:pt idx="20">
                  <c:v>2956.1910000000007</c:v>
                </c:pt>
                <c:pt idx="21">
                  <c:v>3177.8250000000007</c:v>
                </c:pt>
                <c:pt idx="22">
                  <c:v>3132.2540000000017</c:v>
                </c:pt>
                <c:pt idx="23">
                  <c:v>3382.1029999999996</c:v>
                </c:pt>
                <c:pt idx="24">
                  <c:v>3596.6269999999995</c:v>
                </c:pt>
                <c:pt idx="25">
                  <c:v>3685.8719999999989</c:v>
                </c:pt>
                <c:pt idx="26">
                  <c:v>3642.029</c:v>
                </c:pt>
                <c:pt idx="27">
                  <c:v>3007.9519999999993</c:v>
                </c:pt>
                <c:pt idx="28">
                  <c:v>3203.9110000000001</c:v>
                </c:pt>
                <c:pt idx="29">
                  <c:v>3220.2459999999996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F9-479A-8BE1-E1B1514C179E}"/>
            </c:ext>
          </c:extLst>
        </c:ser>
        <c:ser>
          <c:idx val="6"/>
          <c:order val="6"/>
          <c:tx>
            <c:strRef>
              <c:f>'Sep 24 Graph'!$H$3:$H$4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Graph'!$H$5:$H$34</c:f>
              <c:numCache>
                <c:formatCode>General</c:formatCode>
                <c:ptCount val="30"/>
                <c:pt idx="0">
                  <c:v>236.92699999999991</c:v>
                </c:pt>
                <c:pt idx="1">
                  <c:v>216.78400000000002</c:v>
                </c:pt>
                <c:pt idx="2">
                  <c:v>220.87699999999995</c:v>
                </c:pt>
                <c:pt idx="3">
                  <c:v>155.601</c:v>
                </c:pt>
                <c:pt idx="4">
                  <c:v>212.49899999999991</c:v>
                </c:pt>
                <c:pt idx="5">
                  <c:v>202.28299999999987</c:v>
                </c:pt>
                <c:pt idx="6">
                  <c:v>210.267</c:v>
                </c:pt>
                <c:pt idx="7">
                  <c:v>420.98599999999993</c:v>
                </c:pt>
                <c:pt idx="8">
                  <c:v>241.73599999999999</c:v>
                </c:pt>
                <c:pt idx="9">
                  <c:v>144.11100000000002</c:v>
                </c:pt>
                <c:pt idx="10">
                  <c:v>311.29900000000015</c:v>
                </c:pt>
                <c:pt idx="11">
                  <c:v>257.96600000000001</c:v>
                </c:pt>
                <c:pt idx="12">
                  <c:v>264.28699999999992</c:v>
                </c:pt>
                <c:pt idx="13">
                  <c:v>385.08499999999992</c:v>
                </c:pt>
                <c:pt idx="14">
                  <c:v>605.64599999999996</c:v>
                </c:pt>
                <c:pt idx="15">
                  <c:v>514.95500000000004</c:v>
                </c:pt>
                <c:pt idx="16">
                  <c:v>372.99800000000005</c:v>
                </c:pt>
                <c:pt idx="17">
                  <c:v>237.24099999999999</c:v>
                </c:pt>
                <c:pt idx="18">
                  <c:v>190.85999999999996</c:v>
                </c:pt>
                <c:pt idx="19">
                  <c:v>223.08600000000001</c:v>
                </c:pt>
                <c:pt idx="20">
                  <c:v>424.81700000000012</c:v>
                </c:pt>
                <c:pt idx="21">
                  <c:v>493.18300000000022</c:v>
                </c:pt>
                <c:pt idx="22">
                  <c:v>303.89000000000004</c:v>
                </c:pt>
                <c:pt idx="23">
                  <c:v>222.67300000000003</c:v>
                </c:pt>
                <c:pt idx="24">
                  <c:v>324.37200000000001</c:v>
                </c:pt>
                <c:pt idx="25">
                  <c:v>273.04899999999992</c:v>
                </c:pt>
                <c:pt idx="26">
                  <c:v>278.96400000000011</c:v>
                </c:pt>
                <c:pt idx="27">
                  <c:v>344.35600000000005</c:v>
                </c:pt>
                <c:pt idx="28">
                  <c:v>405.67400000000004</c:v>
                </c:pt>
                <c:pt idx="29">
                  <c:v>326.85599999999994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F9-479A-8BE1-E1B1514C179E}"/>
            </c:ext>
          </c:extLst>
        </c:ser>
        <c:ser>
          <c:idx val="7"/>
          <c:order val="7"/>
          <c:tx>
            <c:strRef>
              <c:f>'Sep 24 Graph'!$I$3:$I$4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Graph'!$I$5:$I$34</c:f>
              <c:numCache>
                <c:formatCode>General</c:formatCode>
                <c:ptCount val="30"/>
                <c:pt idx="0">
                  <c:v>44.548999999999999</c:v>
                </c:pt>
                <c:pt idx="1">
                  <c:v>9.4789999999999992</c:v>
                </c:pt>
                <c:pt idx="2">
                  <c:v>41.899000000000001</c:v>
                </c:pt>
                <c:pt idx="3">
                  <c:v>25.221999999999998</c:v>
                </c:pt>
                <c:pt idx="4">
                  <c:v>70.024000000000001</c:v>
                </c:pt>
                <c:pt idx="5">
                  <c:v>65.860000000000014</c:v>
                </c:pt>
                <c:pt idx="6">
                  <c:v>57.776000000000003</c:v>
                </c:pt>
                <c:pt idx="7">
                  <c:v>48.122</c:v>
                </c:pt>
                <c:pt idx="8">
                  <c:v>55.17</c:v>
                </c:pt>
                <c:pt idx="9">
                  <c:v>70.854000000000013</c:v>
                </c:pt>
                <c:pt idx="10">
                  <c:v>70.037000000000006</c:v>
                </c:pt>
                <c:pt idx="11">
                  <c:v>79.962000000000003</c:v>
                </c:pt>
                <c:pt idx="12">
                  <c:v>67.99499999999999</c:v>
                </c:pt>
                <c:pt idx="13">
                  <c:v>59.882000000000005</c:v>
                </c:pt>
                <c:pt idx="14">
                  <c:v>51.875999999999998</c:v>
                </c:pt>
                <c:pt idx="15">
                  <c:v>55.588000000000001</c:v>
                </c:pt>
                <c:pt idx="16">
                  <c:v>39.033000000000001</c:v>
                </c:pt>
                <c:pt idx="17">
                  <c:v>46.323</c:v>
                </c:pt>
                <c:pt idx="18">
                  <c:v>46.192</c:v>
                </c:pt>
                <c:pt idx="19">
                  <c:v>42.081999999999994</c:v>
                </c:pt>
                <c:pt idx="20">
                  <c:v>46.064</c:v>
                </c:pt>
                <c:pt idx="21">
                  <c:v>57.006</c:v>
                </c:pt>
                <c:pt idx="22">
                  <c:v>33.17</c:v>
                </c:pt>
                <c:pt idx="23">
                  <c:v>65.614999999999995</c:v>
                </c:pt>
                <c:pt idx="24">
                  <c:v>38.557999999999993</c:v>
                </c:pt>
                <c:pt idx="25">
                  <c:v>48.5</c:v>
                </c:pt>
                <c:pt idx="26">
                  <c:v>7.0470000000000006</c:v>
                </c:pt>
                <c:pt idx="27">
                  <c:v>18.922999999999998</c:v>
                </c:pt>
                <c:pt idx="28">
                  <c:v>23.126000000000001</c:v>
                </c:pt>
                <c:pt idx="29">
                  <c:v>47.474000000000004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F9-479A-8BE1-E1B1514C179E}"/>
            </c:ext>
          </c:extLst>
        </c:ser>
        <c:ser>
          <c:idx val="8"/>
          <c:order val="8"/>
          <c:tx>
            <c:strRef>
              <c:f>'Sep 24 Graph'!$J$3:$J$4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Graph'!$J$5:$J$34</c:f>
              <c:numCache>
                <c:formatCode>General</c:formatCode>
                <c:ptCount val="30"/>
                <c:pt idx="0">
                  <c:v>5.2789999999999999</c:v>
                </c:pt>
                <c:pt idx="1">
                  <c:v>5.0139999999999993</c:v>
                </c:pt>
                <c:pt idx="2">
                  <c:v>5.2990000000000004</c:v>
                </c:pt>
                <c:pt idx="3">
                  <c:v>3.1740000000000004</c:v>
                </c:pt>
                <c:pt idx="4">
                  <c:v>5.4209999999999994</c:v>
                </c:pt>
                <c:pt idx="5">
                  <c:v>3.3159999999999998</c:v>
                </c:pt>
                <c:pt idx="6">
                  <c:v>4.5590000000000002</c:v>
                </c:pt>
                <c:pt idx="7">
                  <c:v>4.6840000000000002</c:v>
                </c:pt>
                <c:pt idx="8">
                  <c:v>5.2880000000000003</c:v>
                </c:pt>
                <c:pt idx="9">
                  <c:v>4.056</c:v>
                </c:pt>
                <c:pt idx="10">
                  <c:v>4.8549999999999995</c:v>
                </c:pt>
                <c:pt idx="11">
                  <c:v>1.897</c:v>
                </c:pt>
                <c:pt idx="12">
                  <c:v>0.876</c:v>
                </c:pt>
                <c:pt idx="13">
                  <c:v>3.5780000000000003</c:v>
                </c:pt>
                <c:pt idx="14">
                  <c:v>4.7119999999999997</c:v>
                </c:pt>
                <c:pt idx="15">
                  <c:v>3.1880000000000002</c:v>
                </c:pt>
                <c:pt idx="16">
                  <c:v>4.6590000000000007</c:v>
                </c:pt>
                <c:pt idx="17">
                  <c:v>2.0110000000000001</c:v>
                </c:pt>
                <c:pt idx="18">
                  <c:v>2.6670000000000003</c:v>
                </c:pt>
                <c:pt idx="19">
                  <c:v>4.524</c:v>
                </c:pt>
                <c:pt idx="20">
                  <c:v>5.0749999999999993</c:v>
                </c:pt>
                <c:pt idx="21">
                  <c:v>5.2059999999999995</c:v>
                </c:pt>
                <c:pt idx="22">
                  <c:v>5.1910000000000007</c:v>
                </c:pt>
                <c:pt idx="23">
                  <c:v>5.2650000000000006</c:v>
                </c:pt>
                <c:pt idx="24">
                  <c:v>4.4770000000000003</c:v>
                </c:pt>
                <c:pt idx="25">
                  <c:v>4.6959999999999997</c:v>
                </c:pt>
                <c:pt idx="26">
                  <c:v>4.3059999999999992</c:v>
                </c:pt>
                <c:pt idx="27">
                  <c:v>3.4620000000000002</c:v>
                </c:pt>
                <c:pt idx="28">
                  <c:v>3.4529999999999998</c:v>
                </c:pt>
                <c:pt idx="29">
                  <c:v>3.7699999999999996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F9-479A-8BE1-E1B1514C179E}"/>
            </c:ext>
          </c:extLst>
        </c:ser>
        <c:ser>
          <c:idx val="9"/>
          <c:order val="9"/>
          <c:tx>
            <c:strRef>
              <c:f>'Sep 24 Graph'!$K$3:$K$4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Graph'!$K$5:$K$34</c:f>
              <c:numCache>
                <c:formatCode>General</c:formatCode>
                <c:ptCount val="30"/>
                <c:pt idx="0">
                  <c:v>17.268999999999998</c:v>
                </c:pt>
                <c:pt idx="1">
                  <c:v>44.841999999999999</c:v>
                </c:pt>
                <c:pt idx="2">
                  <c:v>28.908000000000001</c:v>
                </c:pt>
                <c:pt idx="3">
                  <c:v>41.546999999999997</c:v>
                </c:pt>
                <c:pt idx="4">
                  <c:v>18.448</c:v>
                </c:pt>
                <c:pt idx="5">
                  <c:v>30.263999999999996</c:v>
                </c:pt>
                <c:pt idx="6">
                  <c:v>10.449</c:v>
                </c:pt>
                <c:pt idx="7">
                  <c:v>25.33</c:v>
                </c:pt>
                <c:pt idx="8">
                  <c:v>24.196999999999996</c:v>
                </c:pt>
                <c:pt idx="9">
                  <c:v>31.222000000000001</c:v>
                </c:pt>
                <c:pt idx="10">
                  <c:v>15.100999999999999</c:v>
                </c:pt>
                <c:pt idx="11">
                  <c:v>37.408000000000001</c:v>
                </c:pt>
                <c:pt idx="12">
                  <c:v>27.732999999999997</c:v>
                </c:pt>
                <c:pt idx="13">
                  <c:v>33.14</c:v>
                </c:pt>
                <c:pt idx="14">
                  <c:v>16.184000000000001</c:v>
                </c:pt>
                <c:pt idx="15">
                  <c:v>30.344000000000001</c:v>
                </c:pt>
                <c:pt idx="16">
                  <c:v>33.012</c:v>
                </c:pt>
                <c:pt idx="17">
                  <c:v>25.726000000000003</c:v>
                </c:pt>
                <c:pt idx="18">
                  <c:v>24.022999999999996</c:v>
                </c:pt>
                <c:pt idx="19">
                  <c:v>26.166</c:v>
                </c:pt>
                <c:pt idx="20">
                  <c:v>16.036000000000001</c:v>
                </c:pt>
                <c:pt idx="21">
                  <c:v>32.171999999999997</c:v>
                </c:pt>
                <c:pt idx="22">
                  <c:v>25.643999999999998</c:v>
                </c:pt>
                <c:pt idx="23">
                  <c:v>37.533999999999992</c:v>
                </c:pt>
                <c:pt idx="24">
                  <c:v>17.260000000000002</c:v>
                </c:pt>
                <c:pt idx="25">
                  <c:v>36.340000000000003</c:v>
                </c:pt>
                <c:pt idx="26">
                  <c:v>25.510999999999999</c:v>
                </c:pt>
                <c:pt idx="27">
                  <c:v>18.28</c:v>
                </c:pt>
                <c:pt idx="28">
                  <c:v>37.521000000000001</c:v>
                </c:pt>
                <c:pt idx="29">
                  <c:v>20.183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F9-479A-8BE1-E1B1514C179E}"/>
            </c:ext>
          </c:extLst>
        </c:ser>
        <c:ser>
          <c:idx val="10"/>
          <c:order val="10"/>
          <c:tx>
            <c:strRef>
              <c:f>'Sep 24 Graph'!$L$3:$L$4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Graph'!$L$5:$L$34</c:f>
              <c:numCache>
                <c:formatCode>General</c:formatCode>
                <c:ptCount val="30"/>
                <c:pt idx="0">
                  <c:v>15.172000000000001</c:v>
                </c:pt>
                <c:pt idx="1">
                  <c:v>12.437999999999999</c:v>
                </c:pt>
                <c:pt idx="2">
                  <c:v>31.055999999999997</c:v>
                </c:pt>
                <c:pt idx="3">
                  <c:v>12.18</c:v>
                </c:pt>
                <c:pt idx="4">
                  <c:v>23.298999999999999</c:v>
                </c:pt>
                <c:pt idx="5">
                  <c:v>113.43300000000002</c:v>
                </c:pt>
                <c:pt idx="6">
                  <c:v>38.649000000000001</c:v>
                </c:pt>
                <c:pt idx="7">
                  <c:v>7.0310000000000006</c:v>
                </c:pt>
                <c:pt idx="8">
                  <c:v>33.003</c:v>
                </c:pt>
                <c:pt idx="9">
                  <c:v>35.69</c:v>
                </c:pt>
                <c:pt idx="10">
                  <c:v>89.831999999999979</c:v>
                </c:pt>
                <c:pt idx="11">
                  <c:v>44.567</c:v>
                </c:pt>
                <c:pt idx="12">
                  <c:v>111.166</c:v>
                </c:pt>
                <c:pt idx="13">
                  <c:v>85.924999999999997</c:v>
                </c:pt>
                <c:pt idx="14">
                  <c:v>76.615999999999985</c:v>
                </c:pt>
                <c:pt idx="15">
                  <c:v>91.720999999999989</c:v>
                </c:pt>
                <c:pt idx="16">
                  <c:v>104.28499999999998</c:v>
                </c:pt>
                <c:pt idx="17">
                  <c:v>92.946999999999989</c:v>
                </c:pt>
                <c:pt idx="18">
                  <c:v>102.824</c:v>
                </c:pt>
                <c:pt idx="19">
                  <c:v>84.02000000000001</c:v>
                </c:pt>
                <c:pt idx="20">
                  <c:v>64.674999999999997</c:v>
                </c:pt>
                <c:pt idx="21">
                  <c:v>70.874999999999986</c:v>
                </c:pt>
                <c:pt idx="22">
                  <c:v>66.856999999999999</c:v>
                </c:pt>
                <c:pt idx="23">
                  <c:v>65.784000000000006</c:v>
                </c:pt>
                <c:pt idx="24">
                  <c:v>96.241</c:v>
                </c:pt>
                <c:pt idx="25">
                  <c:v>70.396000000000001</c:v>
                </c:pt>
                <c:pt idx="26">
                  <c:v>68.394000000000005</c:v>
                </c:pt>
                <c:pt idx="27">
                  <c:v>92.515000000000001</c:v>
                </c:pt>
                <c:pt idx="28">
                  <c:v>78.160000000000011</c:v>
                </c:pt>
                <c:pt idx="29">
                  <c:v>112.48700000000002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F9-479A-8BE1-E1B1514C179E}"/>
            </c:ext>
          </c:extLst>
        </c:ser>
        <c:ser>
          <c:idx val="11"/>
          <c:order val="11"/>
          <c:tx>
            <c:strRef>
              <c:f>'Sep 24 Graph'!$M$3:$M$4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Graph'!$M$5:$M$34</c:f>
              <c:numCache>
                <c:formatCode>General</c:formatCode>
                <c:ptCount val="30"/>
                <c:pt idx="0">
                  <c:v>100.71299999999999</c:v>
                </c:pt>
                <c:pt idx="1">
                  <c:v>154.161</c:v>
                </c:pt>
                <c:pt idx="2">
                  <c:v>68.349999999999994</c:v>
                </c:pt>
                <c:pt idx="3">
                  <c:v>104.36500000000002</c:v>
                </c:pt>
                <c:pt idx="4">
                  <c:v>111.878</c:v>
                </c:pt>
                <c:pt idx="5">
                  <c:v>114.718</c:v>
                </c:pt>
                <c:pt idx="6">
                  <c:v>28.515000000000001</c:v>
                </c:pt>
                <c:pt idx="7">
                  <c:v>93.00200000000001</c:v>
                </c:pt>
                <c:pt idx="8">
                  <c:v>126.297</c:v>
                </c:pt>
                <c:pt idx="9">
                  <c:v>114.96299999999997</c:v>
                </c:pt>
                <c:pt idx="10">
                  <c:v>118.77300000000001</c:v>
                </c:pt>
                <c:pt idx="11">
                  <c:v>94.278000000000006</c:v>
                </c:pt>
                <c:pt idx="12">
                  <c:v>143.03300000000004</c:v>
                </c:pt>
                <c:pt idx="13">
                  <c:v>98.27</c:v>
                </c:pt>
                <c:pt idx="14">
                  <c:v>107.86799999999999</c:v>
                </c:pt>
                <c:pt idx="15">
                  <c:v>127.96599999999999</c:v>
                </c:pt>
                <c:pt idx="16">
                  <c:v>95.968000000000018</c:v>
                </c:pt>
                <c:pt idx="17">
                  <c:v>128.19900000000001</c:v>
                </c:pt>
                <c:pt idx="18">
                  <c:v>104.59099999999999</c:v>
                </c:pt>
                <c:pt idx="19">
                  <c:v>106.595</c:v>
                </c:pt>
                <c:pt idx="20">
                  <c:v>107.37</c:v>
                </c:pt>
                <c:pt idx="21">
                  <c:v>106.401</c:v>
                </c:pt>
                <c:pt idx="22">
                  <c:v>116.18799999999999</c:v>
                </c:pt>
                <c:pt idx="23">
                  <c:v>89.939000000000007</c:v>
                </c:pt>
                <c:pt idx="24">
                  <c:v>105.23000000000003</c:v>
                </c:pt>
                <c:pt idx="25">
                  <c:v>100.23599999999999</c:v>
                </c:pt>
                <c:pt idx="26">
                  <c:v>124.02499999999999</c:v>
                </c:pt>
                <c:pt idx="27">
                  <c:v>93.331000000000003</c:v>
                </c:pt>
                <c:pt idx="28">
                  <c:v>110.39800000000004</c:v>
                </c:pt>
                <c:pt idx="29">
                  <c:v>106.449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9F9-479A-8BE1-E1B1514C179E}"/>
            </c:ext>
          </c:extLst>
        </c:ser>
        <c:ser>
          <c:idx val="12"/>
          <c:order val="12"/>
          <c:tx>
            <c:strRef>
              <c:f>'Sep 24 Graph'!$N$3:$N$4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Graph'!$N$5:$N$34</c:f>
              <c:numCache>
                <c:formatCode>General</c:formatCode>
                <c:ptCount val="30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9F9-479A-8BE1-E1B1514C1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39528"/>
        <c:axId val="463234432"/>
      </c:barChart>
      <c:catAx>
        <c:axId val="46323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4432"/>
        <c:crosses val="autoZero"/>
        <c:auto val="1"/>
        <c:lblAlgn val="ctr"/>
        <c:lblOffset val="100"/>
        <c:noMultiLvlLbl val="0"/>
      </c:catAx>
      <c:valAx>
        <c:axId val="4632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6899356226491629"/>
          <c:y val="0.21607538641003207"/>
          <c:w val="2.1437046501769821E-2"/>
          <c:h val="0.614145158938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Consumption.xlsx]Sep 24 Graph!PivotTable4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'Sep 24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Graph'!$B$5:$B$34</c:f>
              <c:numCache>
                <c:formatCode>General</c:formatCode>
                <c:ptCount val="30"/>
                <c:pt idx="0">
                  <c:v>175.32600000000002</c:v>
                </c:pt>
                <c:pt idx="1">
                  <c:v>148.887</c:v>
                </c:pt>
                <c:pt idx="2">
                  <c:v>182.68600000000001</c:v>
                </c:pt>
                <c:pt idx="3">
                  <c:v>150.64400000000003</c:v>
                </c:pt>
                <c:pt idx="4">
                  <c:v>99.769000000000034</c:v>
                </c:pt>
                <c:pt idx="5">
                  <c:v>92.483000000000004</c:v>
                </c:pt>
                <c:pt idx="6">
                  <c:v>160.14499999999998</c:v>
                </c:pt>
                <c:pt idx="7">
                  <c:v>176.03700000000006</c:v>
                </c:pt>
                <c:pt idx="8">
                  <c:v>155.45300000000012</c:v>
                </c:pt>
                <c:pt idx="9">
                  <c:v>140.99699999999993</c:v>
                </c:pt>
                <c:pt idx="10">
                  <c:v>105.21299999999999</c:v>
                </c:pt>
                <c:pt idx="11">
                  <c:v>59.127999999999993</c:v>
                </c:pt>
                <c:pt idx="12">
                  <c:v>179.90599999999995</c:v>
                </c:pt>
                <c:pt idx="13">
                  <c:v>160.61700000000005</c:v>
                </c:pt>
                <c:pt idx="14">
                  <c:v>150.35100000000003</c:v>
                </c:pt>
                <c:pt idx="15">
                  <c:v>165.26600000000008</c:v>
                </c:pt>
                <c:pt idx="16">
                  <c:v>146.70100000000005</c:v>
                </c:pt>
                <c:pt idx="17">
                  <c:v>186.38200000000003</c:v>
                </c:pt>
                <c:pt idx="18">
                  <c:v>141.89500000000001</c:v>
                </c:pt>
                <c:pt idx="19">
                  <c:v>149.37799999999999</c:v>
                </c:pt>
                <c:pt idx="20">
                  <c:v>120.73200000000004</c:v>
                </c:pt>
                <c:pt idx="21">
                  <c:v>144.43799999999993</c:v>
                </c:pt>
                <c:pt idx="22">
                  <c:v>162.55699999999999</c:v>
                </c:pt>
                <c:pt idx="23">
                  <c:v>136.59400000000005</c:v>
                </c:pt>
                <c:pt idx="24">
                  <c:v>109.00499999999998</c:v>
                </c:pt>
                <c:pt idx="25">
                  <c:v>145.78900000000004</c:v>
                </c:pt>
                <c:pt idx="26">
                  <c:v>87.102000000000004</c:v>
                </c:pt>
                <c:pt idx="27">
                  <c:v>71.807000000000002</c:v>
                </c:pt>
                <c:pt idx="28">
                  <c:v>96.054000000000016</c:v>
                </c:pt>
                <c:pt idx="29">
                  <c:v>122.19199999999998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B-43D4-BC48-78AA27990297}"/>
            </c:ext>
          </c:extLst>
        </c:ser>
        <c:ser>
          <c:idx val="1"/>
          <c:order val="1"/>
          <c:tx>
            <c:strRef>
              <c:f>'Sep 24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Graph'!$C$5:$C$34</c:f>
              <c:numCache>
                <c:formatCode>General</c:formatCode>
                <c:ptCount val="30"/>
                <c:pt idx="0">
                  <c:v>827.74899999999991</c:v>
                </c:pt>
                <c:pt idx="1">
                  <c:v>787.90300000000013</c:v>
                </c:pt>
                <c:pt idx="2">
                  <c:v>801.32100000000003</c:v>
                </c:pt>
                <c:pt idx="3">
                  <c:v>763.13999999999987</c:v>
                </c:pt>
                <c:pt idx="4">
                  <c:v>862.71</c:v>
                </c:pt>
                <c:pt idx="5">
                  <c:v>821.84500000000014</c:v>
                </c:pt>
                <c:pt idx="6">
                  <c:v>384.01399999999995</c:v>
                </c:pt>
                <c:pt idx="7">
                  <c:v>500.90399999999994</c:v>
                </c:pt>
                <c:pt idx="8">
                  <c:v>690.14900000000011</c:v>
                </c:pt>
                <c:pt idx="9">
                  <c:v>744.11099999999999</c:v>
                </c:pt>
                <c:pt idx="10">
                  <c:v>761.76800000000014</c:v>
                </c:pt>
                <c:pt idx="11">
                  <c:v>780.85500000000013</c:v>
                </c:pt>
                <c:pt idx="12">
                  <c:v>703.70500000000015</c:v>
                </c:pt>
                <c:pt idx="13">
                  <c:v>631.90199999999993</c:v>
                </c:pt>
                <c:pt idx="14">
                  <c:v>667.01499999999999</c:v>
                </c:pt>
                <c:pt idx="15">
                  <c:v>735.18200000000002</c:v>
                </c:pt>
                <c:pt idx="16">
                  <c:v>741.16800000000001</c:v>
                </c:pt>
                <c:pt idx="17">
                  <c:v>669.32500000000005</c:v>
                </c:pt>
                <c:pt idx="18">
                  <c:v>604.92499999999995</c:v>
                </c:pt>
                <c:pt idx="19">
                  <c:v>691.39100000000019</c:v>
                </c:pt>
                <c:pt idx="20">
                  <c:v>608.5630000000001</c:v>
                </c:pt>
                <c:pt idx="21">
                  <c:v>839.25699999999995</c:v>
                </c:pt>
                <c:pt idx="22">
                  <c:v>588.23800000000006</c:v>
                </c:pt>
                <c:pt idx="23">
                  <c:v>613.35199999999986</c:v>
                </c:pt>
                <c:pt idx="24">
                  <c:v>663.87</c:v>
                </c:pt>
                <c:pt idx="25">
                  <c:v>650.66500000000008</c:v>
                </c:pt>
                <c:pt idx="26">
                  <c:v>714.28499999999997</c:v>
                </c:pt>
                <c:pt idx="27">
                  <c:v>798.97499999999991</c:v>
                </c:pt>
                <c:pt idx="28">
                  <c:v>793.25300000000004</c:v>
                </c:pt>
                <c:pt idx="29">
                  <c:v>792.78700000000015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B-43D4-BC48-78AA27990297}"/>
            </c:ext>
          </c:extLst>
        </c:ser>
        <c:ser>
          <c:idx val="2"/>
          <c:order val="2"/>
          <c:tx>
            <c:strRef>
              <c:f>'Sep 24 Graph'!$D$3:$D$4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Graph'!$D$5:$D$34</c:f>
              <c:numCache>
                <c:formatCode>General</c:formatCode>
                <c:ptCount val="30"/>
                <c:pt idx="0">
                  <c:v>816.83500000000004</c:v>
                </c:pt>
                <c:pt idx="1">
                  <c:v>902.23700000000008</c:v>
                </c:pt>
                <c:pt idx="2">
                  <c:v>917.93800000000022</c:v>
                </c:pt>
                <c:pt idx="3">
                  <c:v>892.99299999999994</c:v>
                </c:pt>
                <c:pt idx="4">
                  <c:v>993.87499999999977</c:v>
                </c:pt>
                <c:pt idx="5">
                  <c:v>917.24799999999993</c:v>
                </c:pt>
                <c:pt idx="6">
                  <c:v>905.94500000000016</c:v>
                </c:pt>
                <c:pt idx="7">
                  <c:v>900.04199999999992</c:v>
                </c:pt>
                <c:pt idx="8">
                  <c:v>830.98800000000006</c:v>
                </c:pt>
                <c:pt idx="9">
                  <c:v>1018.792</c:v>
                </c:pt>
                <c:pt idx="10">
                  <c:v>1014.106</c:v>
                </c:pt>
                <c:pt idx="11">
                  <c:v>925.322</c:v>
                </c:pt>
                <c:pt idx="12">
                  <c:v>881.82200000000023</c:v>
                </c:pt>
                <c:pt idx="13">
                  <c:v>787.65600000000018</c:v>
                </c:pt>
                <c:pt idx="14">
                  <c:v>773.91</c:v>
                </c:pt>
                <c:pt idx="15">
                  <c:v>775.38000000000011</c:v>
                </c:pt>
                <c:pt idx="16">
                  <c:v>947.74099999999999</c:v>
                </c:pt>
                <c:pt idx="17">
                  <c:v>954.2410000000001</c:v>
                </c:pt>
                <c:pt idx="18">
                  <c:v>960.04199999999992</c:v>
                </c:pt>
                <c:pt idx="19">
                  <c:v>880.73199999999997</c:v>
                </c:pt>
                <c:pt idx="20">
                  <c:v>924.58500000000015</c:v>
                </c:pt>
                <c:pt idx="21">
                  <c:v>838.71100000000013</c:v>
                </c:pt>
                <c:pt idx="22">
                  <c:v>1014.4550000000002</c:v>
                </c:pt>
                <c:pt idx="23">
                  <c:v>954.04099999999994</c:v>
                </c:pt>
                <c:pt idx="24">
                  <c:v>915.61000000000013</c:v>
                </c:pt>
                <c:pt idx="25">
                  <c:v>995.64799999999991</c:v>
                </c:pt>
                <c:pt idx="26">
                  <c:v>1028.124</c:v>
                </c:pt>
                <c:pt idx="27">
                  <c:v>918.24800000000005</c:v>
                </c:pt>
                <c:pt idx="28">
                  <c:v>848.15500000000009</c:v>
                </c:pt>
                <c:pt idx="29">
                  <c:v>916.29100000000005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B-43D4-BC48-78AA27990297}"/>
            </c:ext>
          </c:extLst>
        </c:ser>
        <c:ser>
          <c:idx val="3"/>
          <c:order val="3"/>
          <c:tx>
            <c:strRef>
              <c:f>'Sep 24 Graph'!$E$3:$E$4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25.277000000000001</c:v>
                </c:pt>
                <c:pt idx="19">
                  <c:v>0</c:v>
                </c:pt>
                <c:pt idx="20">
                  <c:v>0</c:v>
                </c:pt>
                <c:pt idx="21">
                  <c:v>11.349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19.390999999999998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B-43D4-BC48-78AA27990297}"/>
            </c:ext>
          </c:extLst>
        </c:ser>
        <c:ser>
          <c:idx val="4"/>
          <c:order val="4"/>
          <c:tx>
            <c:strRef>
              <c:f>'Sep 24 Graph'!$F$3:$F$4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Graph'!$F$5:$F$34</c:f>
              <c:numCache>
                <c:formatCode>General</c:formatCode>
                <c:ptCount val="30"/>
                <c:pt idx="0">
                  <c:v>38.216000000000001</c:v>
                </c:pt>
                <c:pt idx="1">
                  <c:v>25.319999999999997</c:v>
                </c:pt>
                <c:pt idx="2">
                  <c:v>2.6539999999999999</c:v>
                </c:pt>
                <c:pt idx="3">
                  <c:v>4.694</c:v>
                </c:pt>
                <c:pt idx="4">
                  <c:v>1.8240000000000001</c:v>
                </c:pt>
                <c:pt idx="5">
                  <c:v>27.497000000000003</c:v>
                </c:pt>
                <c:pt idx="6">
                  <c:v>49.672999999999995</c:v>
                </c:pt>
                <c:pt idx="7">
                  <c:v>73.219000000000023</c:v>
                </c:pt>
                <c:pt idx="8">
                  <c:v>45.094000000000001</c:v>
                </c:pt>
                <c:pt idx="9">
                  <c:v>34.132000000000005</c:v>
                </c:pt>
                <c:pt idx="10">
                  <c:v>58.843000000000004</c:v>
                </c:pt>
                <c:pt idx="11">
                  <c:v>41.577000000000005</c:v>
                </c:pt>
                <c:pt idx="12">
                  <c:v>57.538000000000004</c:v>
                </c:pt>
                <c:pt idx="13">
                  <c:v>66.326000000000008</c:v>
                </c:pt>
                <c:pt idx="14">
                  <c:v>47.468000000000004</c:v>
                </c:pt>
                <c:pt idx="15">
                  <c:v>53.64</c:v>
                </c:pt>
                <c:pt idx="16">
                  <c:v>29.548999999999999</c:v>
                </c:pt>
                <c:pt idx="17">
                  <c:v>64.621000000000009</c:v>
                </c:pt>
                <c:pt idx="18">
                  <c:v>35.346000000000004</c:v>
                </c:pt>
                <c:pt idx="19">
                  <c:v>42.185999999999993</c:v>
                </c:pt>
                <c:pt idx="20">
                  <c:v>55.088999999999999</c:v>
                </c:pt>
                <c:pt idx="21">
                  <c:v>20.936</c:v>
                </c:pt>
                <c:pt idx="22">
                  <c:v>54.813000000000002</c:v>
                </c:pt>
                <c:pt idx="23">
                  <c:v>33.042999999999992</c:v>
                </c:pt>
                <c:pt idx="24">
                  <c:v>46.564</c:v>
                </c:pt>
                <c:pt idx="25">
                  <c:v>51.296999999999997</c:v>
                </c:pt>
                <c:pt idx="26">
                  <c:v>42.781999999999996</c:v>
                </c:pt>
                <c:pt idx="27">
                  <c:v>42.706000000000003</c:v>
                </c:pt>
                <c:pt idx="28">
                  <c:v>43.325000000000003</c:v>
                </c:pt>
                <c:pt idx="29">
                  <c:v>47.078999999999994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2B-43D4-BC48-78AA27990297}"/>
            </c:ext>
          </c:extLst>
        </c:ser>
        <c:ser>
          <c:idx val="5"/>
          <c:order val="5"/>
          <c:tx>
            <c:strRef>
              <c:f>'Sep 24 Graph'!$G$3:$G$4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Graph'!$G$5:$G$34</c:f>
              <c:numCache>
                <c:formatCode>General</c:formatCode>
                <c:ptCount val="30"/>
                <c:pt idx="0">
                  <c:v>2460.2429999999995</c:v>
                </c:pt>
                <c:pt idx="1">
                  <c:v>2975.6679999999997</c:v>
                </c:pt>
                <c:pt idx="2">
                  <c:v>3116.652000000001</c:v>
                </c:pt>
                <c:pt idx="3">
                  <c:v>3245.5279999999989</c:v>
                </c:pt>
                <c:pt idx="4">
                  <c:v>3353.4319999999989</c:v>
                </c:pt>
                <c:pt idx="5">
                  <c:v>3177.3280000000004</c:v>
                </c:pt>
                <c:pt idx="6">
                  <c:v>2811.2840000000001</c:v>
                </c:pt>
                <c:pt idx="7">
                  <c:v>2267.956000000001</c:v>
                </c:pt>
                <c:pt idx="8">
                  <c:v>2863.32</c:v>
                </c:pt>
                <c:pt idx="9">
                  <c:v>3330.5350000000008</c:v>
                </c:pt>
                <c:pt idx="10">
                  <c:v>3376.4860000000008</c:v>
                </c:pt>
                <c:pt idx="11">
                  <c:v>3170.2850000000003</c:v>
                </c:pt>
                <c:pt idx="12">
                  <c:v>3070.9819999999991</c:v>
                </c:pt>
                <c:pt idx="13">
                  <c:v>2787.5179999999996</c:v>
                </c:pt>
                <c:pt idx="14">
                  <c:v>2873.0039999999995</c:v>
                </c:pt>
                <c:pt idx="15">
                  <c:v>2978.683</c:v>
                </c:pt>
                <c:pt idx="16">
                  <c:v>2917.6819999999993</c:v>
                </c:pt>
                <c:pt idx="17">
                  <c:v>2949.9220000000009</c:v>
                </c:pt>
                <c:pt idx="18">
                  <c:v>3153.5839999999985</c:v>
                </c:pt>
                <c:pt idx="19">
                  <c:v>3477.2359999999994</c:v>
                </c:pt>
                <c:pt idx="20">
                  <c:v>2956.1910000000007</c:v>
                </c:pt>
                <c:pt idx="21">
                  <c:v>3177.8250000000007</c:v>
                </c:pt>
                <c:pt idx="22">
                  <c:v>3132.2540000000017</c:v>
                </c:pt>
                <c:pt idx="23">
                  <c:v>3382.1029999999996</c:v>
                </c:pt>
                <c:pt idx="24">
                  <c:v>3596.6269999999995</c:v>
                </c:pt>
                <c:pt idx="25">
                  <c:v>3685.8719999999989</c:v>
                </c:pt>
                <c:pt idx="26">
                  <c:v>3642.029</c:v>
                </c:pt>
                <c:pt idx="27">
                  <c:v>3007.9519999999993</c:v>
                </c:pt>
                <c:pt idx="28">
                  <c:v>3203.9110000000001</c:v>
                </c:pt>
                <c:pt idx="29">
                  <c:v>3220.2459999999996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2B-43D4-BC48-78AA27990297}"/>
            </c:ext>
          </c:extLst>
        </c:ser>
        <c:ser>
          <c:idx val="6"/>
          <c:order val="6"/>
          <c:tx>
            <c:strRef>
              <c:f>'Sep 24 Graph'!$H$3:$H$4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Graph'!$H$5:$H$34</c:f>
              <c:numCache>
                <c:formatCode>General</c:formatCode>
                <c:ptCount val="30"/>
                <c:pt idx="0">
                  <c:v>236.92699999999991</c:v>
                </c:pt>
                <c:pt idx="1">
                  <c:v>216.78400000000002</c:v>
                </c:pt>
                <c:pt idx="2">
                  <c:v>220.87699999999995</c:v>
                </c:pt>
                <c:pt idx="3">
                  <c:v>155.601</c:v>
                </c:pt>
                <c:pt idx="4">
                  <c:v>212.49899999999991</c:v>
                </c:pt>
                <c:pt idx="5">
                  <c:v>202.28299999999987</c:v>
                </c:pt>
                <c:pt idx="6">
                  <c:v>210.267</c:v>
                </c:pt>
                <c:pt idx="7">
                  <c:v>420.98599999999993</c:v>
                </c:pt>
                <c:pt idx="8">
                  <c:v>241.73599999999999</c:v>
                </c:pt>
                <c:pt idx="9">
                  <c:v>144.11100000000002</c:v>
                </c:pt>
                <c:pt idx="10">
                  <c:v>311.29900000000015</c:v>
                </c:pt>
                <c:pt idx="11">
                  <c:v>257.96600000000001</c:v>
                </c:pt>
                <c:pt idx="12">
                  <c:v>264.28699999999992</c:v>
                </c:pt>
                <c:pt idx="13">
                  <c:v>385.08499999999992</c:v>
                </c:pt>
                <c:pt idx="14">
                  <c:v>605.64599999999996</c:v>
                </c:pt>
                <c:pt idx="15">
                  <c:v>514.95500000000004</c:v>
                </c:pt>
                <c:pt idx="16">
                  <c:v>372.99800000000005</c:v>
                </c:pt>
                <c:pt idx="17">
                  <c:v>237.24099999999999</c:v>
                </c:pt>
                <c:pt idx="18">
                  <c:v>190.85999999999996</c:v>
                </c:pt>
                <c:pt idx="19">
                  <c:v>223.08600000000001</c:v>
                </c:pt>
                <c:pt idx="20">
                  <c:v>424.81700000000012</c:v>
                </c:pt>
                <c:pt idx="21">
                  <c:v>493.18300000000022</c:v>
                </c:pt>
                <c:pt idx="22">
                  <c:v>303.89000000000004</c:v>
                </c:pt>
                <c:pt idx="23">
                  <c:v>222.67300000000003</c:v>
                </c:pt>
                <c:pt idx="24">
                  <c:v>324.37200000000001</c:v>
                </c:pt>
                <c:pt idx="25">
                  <c:v>273.04899999999992</c:v>
                </c:pt>
                <c:pt idx="26">
                  <c:v>278.96400000000011</c:v>
                </c:pt>
                <c:pt idx="27">
                  <c:v>344.35600000000005</c:v>
                </c:pt>
                <c:pt idx="28">
                  <c:v>405.67400000000004</c:v>
                </c:pt>
                <c:pt idx="29">
                  <c:v>326.85599999999994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2B-43D4-BC48-78AA27990297}"/>
            </c:ext>
          </c:extLst>
        </c:ser>
        <c:ser>
          <c:idx val="7"/>
          <c:order val="7"/>
          <c:tx>
            <c:strRef>
              <c:f>'Sep 24 Graph'!$I$3:$I$4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Graph'!$I$5:$I$34</c:f>
              <c:numCache>
                <c:formatCode>General</c:formatCode>
                <c:ptCount val="30"/>
                <c:pt idx="0">
                  <c:v>44.548999999999999</c:v>
                </c:pt>
                <c:pt idx="1">
                  <c:v>9.4789999999999992</c:v>
                </c:pt>
                <c:pt idx="2">
                  <c:v>41.899000000000001</c:v>
                </c:pt>
                <c:pt idx="3">
                  <c:v>25.221999999999998</c:v>
                </c:pt>
                <c:pt idx="4">
                  <c:v>70.024000000000001</c:v>
                </c:pt>
                <c:pt idx="5">
                  <c:v>65.860000000000014</c:v>
                </c:pt>
                <c:pt idx="6">
                  <c:v>57.776000000000003</c:v>
                </c:pt>
                <c:pt idx="7">
                  <c:v>48.122</c:v>
                </c:pt>
                <c:pt idx="8">
                  <c:v>55.17</c:v>
                </c:pt>
                <c:pt idx="9">
                  <c:v>70.854000000000013</c:v>
                </c:pt>
                <c:pt idx="10">
                  <c:v>70.037000000000006</c:v>
                </c:pt>
                <c:pt idx="11">
                  <c:v>79.962000000000003</c:v>
                </c:pt>
                <c:pt idx="12">
                  <c:v>67.99499999999999</c:v>
                </c:pt>
                <c:pt idx="13">
                  <c:v>59.882000000000005</c:v>
                </c:pt>
                <c:pt idx="14">
                  <c:v>51.875999999999998</c:v>
                </c:pt>
                <c:pt idx="15">
                  <c:v>55.588000000000001</c:v>
                </c:pt>
                <c:pt idx="16">
                  <c:v>39.033000000000001</c:v>
                </c:pt>
                <c:pt idx="17">
                  <c:v>46.323</c:v>
                </c:pt>
                <c:pt idx="18">
                  <c:v>46.192</c:v>
                </c:pt>
                <c:pt idx="19">
                  <c:v>42.081999999999994</c:v>
                </c:pt>
                <c:pt idx="20">
                  <c:v>46.064</c:v>
                </c:pt>
                <c:pt idx="21">
                  <c:v>57.006</c:v>
                </c:pt>
                <c:pt idx="22">
                  <c:v>33.17</c:v>
                </c:pt>
                <c:pt idx="23">
                  <c:v>65.614999999999995</c:v>
                </c:pt>
                <c:pt idx="24">
                  <c:v>38.557999999999993</c:v>
                </c:pt>
                <c:pt idx="25">
                  <c:v>48.5</c:v>
                </c:pt>
                <c:pt idx="26">
                  <c:v>7.0470000000000006</c:v>
                </c:pt>
                <c:pt idx="27">
                  <c:v>18.922999999999998</c:v>
                </c:pt>
                <c:pt idx="28">
                  <c:v>23.126000000000001</c:v>
                </c:pt>
                <c:pt idx="29">
                  <c:v>47.474000000000004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2B-43D4-BC48-78AA27990297}"/>
            </c:ext>
          </c:extLst>
        </c:ser>
        <c:ser>
          <c:idx val="8"/>
          <c:order val="8"/>
          <c:tx>
            <c:strRef>
              <c:f>'Sep 24 Graph'!$J$3:$J$4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Graph'!$J$5:$J$34</c:f>
              <c:numCache>
                <c:formatCode>General</c:formatCode>
                <c:ptCount val="30"/>
                <c:pt idx="0">
                  <c:v>5.2789999999999999</c:v>
                </c:pt>
                <c:pt idx="1">
                  <c:v>5.0139999999999993</c:v>
                </c:pt>
                <c:pt idx="2">
                  <c:v>5.2990000000000004</c:v>
                </c:pt>
                <c:pt idx="3">
                  <c:v>3.1740000000000004</c:v>
                </c:pt>
                <c:pt idx="4">
                  <c:v>5.4209999999999994</c:v>
                </c:pt>
                <c:pt idx="5">
                  <c:v>3.3159999999999998</c:v>
                </c:pt>
                <c:pt idx="6">
                  <c:v>4.5590000000000002</c:v>
                </c:pt>
                <c:pt idx="7">
                  <c:v>4.6840000000000002</c:v>
                </c:pt>
                <c:pt idx="8">
                  <c:v>5.2880000000000003</c:v>
                </c:pt>
                <c:pt idx="9">
                  <c:v>4.056</c:v>
                </c:pt>
                <c:pt idx="10">
                  <c:v>4.8549999999999995</c:v>
                </c:pt>
                <c:pt idx="11">
                  <c:v>1.897</c:v>
                </c:pt>
                <c:pt idx="12">
                  <c:v>0.876</c:v>
                </c:pt>
                <c:pt idx="13">
                  <c:v>3.5780000000000003</c:v>
                </c:pt>
                <c:pt idx="14">
                  <c:v>4.7119999999999997</c:v>
                </c:pt>
                <c:pt idx="15">
                  <c:v>3.1880000000000002</c:v>
                </c:pt>
                <c:pt idx="16">
                  <c:v>4.6590000000000007</c:v>
                </c:pt>
                <c:pt idx="17">
                  <c:v>2.0110000000000001</c:v>
                </c:pt>
                <c:pt idx="18">
                  <c:v>2.6670000000000003</c:v>
                </c:pt>
                <c:pt idx="19">
                  <c:v>4.524</c:v>
                </c:pt>
                <c:pt idx="20">
                  <c:v>5.0749999999999993</c:v>
                </c:pt>
                <c:pt idx="21">
                  <c:v>5.2059999999999995</c:v>
                </c:pt>
                <c:pt idx="22">
                  <c:v>5.1910000000000007</c:v>
                </c:pt>
                <c:pt idx="23">
                  <c:v>5.2650000000000006</c:v>
                </c:pt>
                <c:pt idx="24">
                  <c:v>4.4770000000000003</c:v>
                </c:pt>
                <c:pt idx="25">
                  <c:v>4.6959999999999997</c:v>
                </c:pt>
                <c:pt idx="26">
                  <c:v>4.3059999999999992</c:v>
                </c:pt>
                <c:pt idx="27">
                  <c:v>3.4620000000000002</c:v>
                </c:pt>
                <c:pt idx="28">
                  <c:v>3.4529999999999998</c:v>
                </c:pt>
                <c:pt idx="29">
                  <c:v>3.7699999999999996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2B-43D4-BC48-78AA27990297}"/>
            </c:ext>
          </c:extLst>
        </c:ser>
        <c:ser>
          <c:idx val="9"/>
          <c:order val="9"/>
          <c:tx>
            <c:strRef>
              <c:f>'Sep 24 Graph'!$K$3:$K$4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Graph'!$K$5:$K$34</c:f>
              <c:numCache>
                <c:formatCode>General</c:formatCode>
                <c:ptCount val="30"/>
                <c:pt idx="0">
                  <c:v>17.268999999999998</c:v>
                </c:pt>
                <c:pt idx="1">
                  <c:v>44.841999999999999</c:v>
                </c:pt>
                <c:pt idx="2">
                  <c:v>28.908000000000001</c:v>
                </c:pt>
                <c:pt idx="3">
                  <c:v>41.546999999999997</c:v>
                </c:pt>
                <c:pt idx="4">
                  <c:v>18.448</c:v>
                </c:pt>
                <c:pt idx="5">
                  <c:v>30.263999999999996</c:v>
                </c:pt>
                <c:pt idx="6">
                  <c:v>10.449</c:v>
                </c:pt>
                <c:pt idx="7">
                  <c:v>25.33</c:v>
                </c:pt>
                <c:pt idx="8">
                  <c:v>24.196999999999996</c:v>
                </c:pt>
                <c:pt idx="9">
                  <c:v>31.222000000000001</c:v>
                </c:pt>
                <c:pt idx="10">
                  <c:v>15.100999999999999</c:v>
                </c:pt>
                <c:pt idx="11">
                  <c:v>37.408000000000001</c:v>
                </c:pt>
                <c:pt idx="12">
                  <c:v>27.732999999999997</c:v>
                </c:pt>
                <c:pt idx="13">
                  <c:v>33.14</c:v>
                </c:pt>
                <c:pt idx="14">
                  <c:v>16.184000000000001</c:v>
                </c:pt>
                <c:pt idx="15">
                  <c:v>30.344000000000001</c:v>
                </c:pt>
                <c:pt idx="16">
                  <c:v>33.012</c:v>
                </c:pt>
                <c:pt idx="17">
                  <c:v>25.726000000000003</c:v>
                </c:pt>
                <c:pt idx="18">
                  <c:v>24.022999999999996</c:v>
                </c:pt>
                <c:pt idx="19">
                  <c:v>26.166</c:v>
                </c:pt>
                <c:pt idx="20">
                  <c:v>16.036000000000001</c:v>
                </c:pt>
                <c:pt idx="21">
                  <c:v>32.171999999999997</c:v>
                </c:pt>
                <c:pt idx="22">
                  <c:v>25.643999999999998</c:v>
                </c:pt>
                <c:pt idx="23">
                  <c:v>37.533999999999992</c:v>
                </c:pt>
                <c:pt idx="24">
                  <c:v>17.260000000000002</c:v>
                </c:pt>
                <c:pt idx="25">
                  <c:v>36.340000000000003</c:v>
                </c:pt>
                <c:pt idx="26">
                  <c:v>25.510999999999999</c:v>
                </c:pt>
                <c:pt idx="27">
                  <c:v>18.28</c:v>
                </c:pt>
                <c:pt idx="28">
                  <c:v>37.521000000000001</c:v>
                </c:pt>
                <c:pt idx="29">
                  <c:v>20.183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2B-43D4-BC48-78AA27990297}"/>
            </c:ext>
          </c:extLst>
        </c:ser>
        <c:ser>
          <c:idx val="10"/>
          <c:order val="10"/>
          <c:tx>
            <c:strRef>
              <c:f>'Sep 24 Graph'!$L$3:$L$4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Graph'!$L$5:$L$34</c:f>
              <c:numCache>
                <c:formatCode>General</c:formatCode>
                <c:ptCount val="30"/>
                <c:pt idx="0">
                  <c:v>15.172000000000001</c:v>
                </c:pt>
                <c:pt idx="1">
                  <c:v>12.437999999999999</c:v>
                </c:pt>
                <c:pt idx="2">
                  <c:v>31.055999999999997</c:v>
                </c:pt>
                <c:pt idx="3">
                  <c:v>12.18</c:v>
                </c:pt>
                <c:pt idx="4">
                  <c:v>23.298999999999999</c:v>
                </c:pt>
                <c:pt idx="5">
                  <c:v>113.43300000000002</c:v>
                </c:pt>
                <c:pt idx="6">
                  <c:v>38.649000000000001</c:v>
                </c:pt>
                <c:pt idx="7">
                  <c:v>7.0310000000000006</c:v>
                </c:pt>
                <c:pt idx="8">
                  <c:v>33.003</c:v>
                </c:pt>
                <c:pt idx="9">
                  <c:v>35.69</c:v>
                </c:pt>
                <c:pt idx="10">
                  <c:v>89.831999999999979</c:v>
                </c:pt>
                <c:pt idx="11">
                  <c:v>44.567</c:v>
                </c:pt>
                <c:pt idx="12">
                  <c:v>111.166</c:v>
                </c:pt>
                <c:pt idx="13">
                  <c:v>85.924999999999997</c:v>
                </c:pt>
                <c:pt idx="14">
                  <c:v>76.615999999999985</c:v>
                </c:pt>
                <c:pt idx="15">
                  <c:v>91.720999999999989</c:v>
                </c:pt>
                <c:pt idx="16">
                  <c:v>104.28499999999998</c:v>
                </c:pt>
                <c:pt idx="17">
                  <c:v>92.946999999999989</c:v>
                </c:pt>
                <c:pt idx="18">
                  <c:v>102.824</c:v>
                </c:pt>
                <c:pt idx="19">
                  <c:v>84.02000000000001</c:v>
                </c:pt>
                <c:pt idx="20">
                  <c:v>64.674999999999997</c:v>
                </c:pt>
                <c:pt idx="21">
                  <c:v>70.874999999999986</c:v>
                </c:pt>
                <c:pt idx="22">
                  <c:v>66.856999999999999</c:v>
                </c:pt>
                <c:pt idx="23">
                  <c:v>65.784000000000006</c:v>
                </c:pt>
                <c:pt idx="24">
                  <c:v>96.241</c:v>
                </c:pt>
                <c:pt idx="25">
                  <c:v>70.396000000000001</c:v>
                </c:pt>
                <c:pt idx="26">
                  <c:v>68.394000000000005</c:v>
                </c:pt>
                <c:pt idx="27">
                  <c:v>92.515000000000001</c:v>
                </c:pt>
                <c:pt idx="28">
                  <c:v>78.160000000000011</c:v>
                </c:pt>
                <c:pt idx="29">
                  <c:v>112.48700000000002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2B-43D4-BC48-78AA27990297}"/>
            </c:ext>
          </c:extLst>
        </c:ser>
        <c:ser>
          <c:idx val="11"/>
          <c:order val="11"/>
          <c:tx>
            <c:strRef>
              <c:f>'Sep 24 Graph'!$M$3:$M$4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Graph'!$M$5:$M$34</c:f>
              <c:numCache>
                <c:formatCode>General</c:formatCode>
                <c:ptCount val="30"/>
                <c:pt idx="0">
                  <c:v>100.71299999999999</c:v>
                </c:pt>
                <c:pt idx="1">
                  <c:v>154.161</c:v>
                </c:pt>
                <c:pt idx="2">
                  <c:v>68.349999999999994</c:v>
                </c:pt>
                <c:pt idx="3">
                  <c:v>104.36500000000002</c:v>
                </c:pt>
                <c:pt idx="4">
                  <c:v>111.878</c:v>
                </c:pt>
                <c:pt idx="5">
                  <c:v>114.718</c:v>
                </c:pt>
                <c:pt idx="6">
                  <c:v>28.515000000000001</c:v>
                </c:pt>
                <c:pt idx="7">
                  <c:v>93.00200000000001</c:v>
                </c:pt>
                <c:pt idx="8">
                  <c:v>126.297</c:v>
                </c:pt>
                <c:pt idx="9">
                  <c:v>114.96299999999997</c:v>
                </c:pt>
                <c:pt idx="10">
                  <c:v>118.77300000000001</c:v>
                </c:pt>
                <c:pt idx="11">
                  <c:v>94.278000000000006</c:v>
                </c:pt>
                <c:pt idx="12">
                  <c:v>143.03300000000004</c:v>
                </c:pt>
                <c:pt idx="13">
                  <c:v>98.27</c:v>
                </c:pt>
                <c:pt idx="14">
                  <c:v>107.86799999999999</c:v>
                </c:pt>
                <c:pt idx="15">
                  <c:v>127.96599999999999</c:v>
                </c:pt>
                <c:pt idx="16">
                  <c:v>95.968000000000018</c:v>
                </c:pt>
                <c:pt idx="17">
                  <c:v>128.19900000000001</c:v>
                </c:pt>
                <c:pt idx="18">
                  <c:v>104.59099999999999</c:v>
                </c:pt>
                <c:pt idx="19">
                  <c:v>106.595</c:v>
                </c:pt>
                <c:pt idx="20">
                  <c:v>107.37</c:v>
                </c:pt>
                <c:pt idx="21">
                  <c:v>106.401</c:v>
                </c:pt>
                <c:pt idx="22">
                  <c:v>116.18799999999999</c:v>
                </c:pt>
                <c:pt idx="23">
                  <c:v>89.939000000000007</c:v>
                </c:pt>
                <c:pt idx="24">
                  <c:v>105.23000000000003</c:v>
                </c:pt>
                <c:pt idx="25">
                  <c:v>100.23599999999999</c:v>
                </c:pt>
                <c:pt idx="26">
                  <c:v>124.02499999999999</c:v>
                </c:pt>
                <c:pt idx="27">
                  <c:v>93.331000000000003</c:v>
                </c:pt>
                <c:pt idx="28">
                  <c:v>110.39800000000004</c:v>
                </c:pt>
                <c:pt idx="29">
                  <c:v>106.449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2B-43D4-BC48-78AA27990297}"/>
            </c:ext>
          </c:extLst>
        </c:ser>
        <c:ser>
          <c:idx val="12"/>
          <c:order val="12"/>
          <c:tx>
            <c:strRef>
              <c:f>'Sep 24 Graph'!$N$3:$N$4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'Sep 24 Graph'!$A$5:$A$34</c:f>
              <c:strCache>
                <c:ptCount val="30"/>
                <c:pt idx="0">
                  <c:v>Sum of 01-09-2024</c:v>
                </c:pt>
                <c:pt idx="1">
                  <c:v>Sum of 02-09-2024</c:v>
                </c:pt>
                <c:pt idx="2">
                  <c:v>Sum of 03-09-2024</c:v>
                </c:pt>
                <c:pt idx="3">
                  <c:v>Sum of 04-09-2024</c:v>
                </c:pt>
                <c:pt idx="4">
                  <c:v>Sum of 05-09-2024</c:v>
                </c:pt>
                <c:pt idx="5">
                  <c:v>Sum of 06-09-2024</c:v>
                </c:pt>
                <c:pt idx="6">
                  <c:v>Sum of 07-09-2024</c:v>
                </c:pt>
                <c:pt idx="7">
                  <c:v>Sum of 08-09-2024</c:v>
                </c:pt>
                <c:pt idx="8">
                  <c:v>Sum of 09-09-2024</c:v>
                </c:pt>
                <c:pt idx="9">
                  <c:v>Sum of 10-09-2024</c:v>
                </c:pt>
                <c:pt idx="10">
                  <c:v>Sum of 11-09-2024</c:v>
                </c:pt>
                <c:pt idx="11">
                  <c:v>Sum of 12-09-2024</c:v>
                </c:pt>
                <c:pt idx="12">
                  <c:v>Sum of 13-09-2024</c:v>
                </c:pt>
                <c:pt idx="13">
                  <c:v>Sum of 14-09-2024</c:v>
                </c:pt>
                <c:pt idx="14">
                  <c:v>Sum of 15-09-2024</c:v>
                </c:pt>
                <c:pt idx="15">
                  <c:v>Sum of 16-09-2024</c:v>
                </c:pt>
                <c:pt idx="16">
                  <c:v>Sum of 17-09-2024</c:v>
                </c:pt>
                <c:pt idx="17">
                  <c:v>Sum of 18-09-2024</c:v>
                </c:pt>
                <c:pt idx="18">
                  <c:v>Sum of 19-09-2024</c:v>
                </c:pt>
                <c:pt idx="19">
                  <c:v>Sum of 20-09-2024</c:v>
                </c:pt>
                <c:pt idx="20">
                  <c:v>Sum of 21-09-2024</c:v>
                </c:pt>
                <c:pt idx="21">
                  <c:v>Sum of 22-09-2024</c:v>
                </c:pt>
                <c:pt idx="22">
                  <c:v>Sum of 23-09-2024</c:v>
                </c:pt>
                <c:pt idx="23">
                  <c:v>Sum of 24-09-2024</c:v>
                </c:pt>
                <c:pt idx="24">
                  <c:v>Sum of 25-09-2024</c:v>
                </c:pt>
                <c:pt idx="25">
                  <c:v>Sum of 26-09-2024</c:v>
                </c:pt>
                <c:pt idx="26">
                  <c:v>Sum of 27-09-2024</c:v>
                </c:pt>
                <c:pt idx="27">
                  <c:v>Sum of 28-09-2024</c:v>
                </c:pt>
                <c:pt idx="28">
                  <c:v>Sum of 29-09-2024</c:v>
                </c:pt>
                <c:pt idx="29">
                  <c:v>Sum of 30-09-2024</c:v>
                </c:pt>
              </c:strCache>
            </c:strRef>
          </c:cat>
          <c:val>
            <c:numRef>
              <c:f>'Sep 24 Graph'!$N$5:$N$34</c:f>
              <c:numCache>
                <c:formatCode>General</c:formatCode>
                <c:ptCount val="30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22B-43D4-BC48-78AA27990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233648"/>
        <c:axId val="467501208"/>
      </c:barChart>
      <c:catAx>
        <c:axId val="46323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1208"/>
        <c:crosses val="autoZero"/>
        <c:auto val="1"/>
        <c:lblAlgn val="ctr"/>
        <c:lblOffset val="100"/>
        <c:noMultiLvlLbl val="0"/>
      </c:catAx>
      <c:valAx>
        <c:axId val="46750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501864898466642"/>
          <c:y val="0.21607538641003207"/>
          <c:w val="0.23541197302490299"/>
          <c:h val="0.614145158938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Consumption.xlsx]Oct 24 Graph!PivotTable2</c:name>
    <c:fmtId val="4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'Oct 24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Graph'!$B$5:$B$35</c:f>
              <c:numCache>
                <c:formatCode>General</c:formatCode>
                <c:ptCount val="31"/>
                <c:pt idx="0">
                  <c:v>136.98200000000003</c:v>
                </c:pt>
                <c:pt idx="1">
                  <c:v>136.66500000000002</c:v>
                </c:pt>
                <c:pt idx="2">
                  <c:v>131.43499999999997</c:v>
                </c:pt>
                <c:pt idx="3">
                  <c:v>131.46000000000004</c:v>
                </c:pt>
                <c:pt idx="4">
                  <c:v>106.40900000000001</c:v>
                </c:pt>
                <c:pt idx="5">
                  <c:v>142.37400000000002</c:v>
                </c:pt>
                <c:pt idx="6">
                  <c:v>82.444000000000045</c:v>
                </c:pt>
                <c:pt idx="7">
                  <c:v>132.30800000000002</c:v>
                </c:pt>
                <c:pt idx="8">
                  <c:v>123.34700000000005</c:v>
                </c:pt>
                <c:pt idx="9">
                  <c:v>155.66100000000006</c:v>
                </c:pt>
                <c:pt idx="10">
                  <c:v>126.50700000000001</c:v>
                </c:pt>
                <c:pt idx="11">
                  <c:v>142.06600000000006</c:v>
                </c:pt>
                <c:pt idx="12">
                  <c:v>114.176</c:v>
                </c:pt>
                <c:pt idx="13">
                  <c:v>101.922</c:v>
                </c:pt>
                <c:pt idx="14">
                  <c:v>66.820999999999984</c:v>
                </c:pt>
                <c:pt idx="15">
                  <c:v>81.780000000000015</c:v>
                </c:pt>
                <c:pt idx="16">
                  <c:v>61.334000000000003</c:v>
                </c:pt>
                <c:pt idx="17">
                  <c:v>104.63800000000002</c:v>
                </c:pt>
                <c:pt idx="18">
                  <c:v>102.19799999999999</c:v>
                </c:pt>
                <c:pt idx="19">
                  <c:v>59.793999999999997</c:v>
                </c:pt>
                <c:pt idx="20">
                  <c:v>79.023000000000025</c:v>
                </c:pt>
                <c:pt idx="21">
                  <c:v>81.08</c:v>
                </c:pt>
                <c:pt idx="22">
                  <c:v>104.18600000000002</c:v>
                </c:pt>
                <c:pt idx="23">
                  <c:v>119.35600000000004</c:v>
                </c:pt>
                <c:pt idx="24">
                  <c:v>98.120000000000033</c:v>
                </c:pt>
                <c:pt idx="25">
                  <c:v>102.77199999999999</c:v>
                </c:pt>
                <c:pt idx="26">
                  <c:v>115.11000000000003</c:v>
                </c:pt>
                <c:pt idx="27">
                  <c:v>111.827</c:v>
                </c:pt>
                <c:pt idx="28">
                  <c:v>63.661999999999992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4-491C-A570-94BDDE220D1C}"/>
            </c:ext>
          </c:extLst>
        </c:ser>
        <c:ser>
          <c:idx val="1"/>
          <c:order val="1"/>
          <c:tx>
            <c:strRef>
              <c:f>'Oct 24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Graph'!$C$5:$C$35</c:f>
              <c:numCache>
                <c:formatCode>General</c:formatCode>
                <c:ptCount val="31"/>
                <c:pt idx="0">
                  <c:v>839.79700000000003</c:v>
                </c:pt>
                <c:pt idx="1">
                  <c:v>807.19600000000014</c:v>
                </c:pt>
                <c:pt idx="2">
                  <c:v>726.50400000000002</c:v>
                </c:pt>
                <c:pt idx="3">
                  <c:v>820.25599999999986</c:v>
                </c:pt>
                <c:pt idx="4">
                  <c:v>771.5200000000001</c:v>
                </c:pt>
                <c:pt idx="5">
                  <c:v>719.92</c:v>
                </c:pt>
                <c:pt idx="6">
                  <c:v>734.10400000000004</c:v>
                </c:pt>
                <c:pt idx="7">
                  <c:v>730.38400000000001</c:v>
                </c:pt>
                <c:pt idx="8">
                  <c:v>711.89199999999994</c:v>
                </c:pt>
                <c:pt idx="9">
                  <c:v>607.44100000000003</c:v>
                </c:pt>
                <c:pt idx="10">
                  <c:v>526.07900000000006</c:v>
                </c:pt>
                <c:pt idx="11">
                  <c:v>249.69200000000001</c:v>
                </c:pt>
                <c:pt idx="12">
                  <c:v>328.97300000000001</c:v>
                </c:pt>
                <c:pt idx="13">
                  <c:v>510.06100000000009</c:v>
                </c:pt>
                <c:pt idx="14">
                  <c:v>685.60199999999986</c:v>
                </c:pt>
                <c:pt idx="15">
                  <c:v>655.88</c:v>
                </c:pt>
                <c:pt idx="16">
                  <c:v>654.71899999999994</c:v>
                </c:pt>
                <c:pt idx="17">
                  <c:v>695.63200000000006</c:v>
                </c:pt>
                <c:pt idx="18">
                  <c:v>560.18700000000001</c:v>
                </c:pt>
                <c:pt idx="19">
                  <c:v>661.84500000000003</c:v>
                </c:pt>
                <c:pt idx="20">
                  <c:v>621.57799999999986</c:v>
                </c:pt>
                <c:pt idx="21">
                  <c:v>589.74599999999998</c:v>
                </c:pt>
                <c:pt idx="22">
                  <c:v>728.60199999999998</c:v>
                </c:pt>
                <c:pt idx="23">
                  <c:v>718.29299999999989</c:v>
                </c:pt>
                <c:pt idx="24">
                  <c:v>660.49299999999994</c:v>
                </c:pt>
                <c:pt idx="25">
                  <c:v>674.71100000000001</c:v>
                </c:pt>
                <c:pt idx="26">
                  <c:v>658.93899999999996</c:v>
                </c:pt>
                <c:pt idx="27">
                  <c:v>603.58799999999997</c:v>
                </c:pt>
                <c:pt idx="28">
                  <c:v>704.88200000000006</c:v>
                </c:pt>
                <c:pt idx="29">
                  <c:v>685.10899999999992</c:v>
                </c:pt>
                <c:pt idx="30">
                  <c:v>467.60600000000005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4-491C-A570-94BDDE220D1C}"/>
            </c:ext>
          </c:extLst>
        </c:ser>
        <c:ser>
          <c:idx val="2"/>
          <c:order val="2"/>
          <c:tx>
            <c:strRef>
              <c:f>'Oct 24 Graph'!$D$3:$D$4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Graph'!$D$5:$D$35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4-491C-A570-94BDDE220D1C}"/>
            </c:ext>
          </c:extLst>
        </c:ser>
        <c:ser>
          <c:idx val="3"/>
          <c:order val="3"/>
          <c:tx>
            <c:strRef>
              <c:f>'Oct 24 Graph'!$E$3:$E$4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Graph'!$E$5:$E$35</c:f>
              <c:numCache>
                <c:formatCode>General</c:formatCode>
                <c:ptCount val="31"/>
                <c:pt idx="0">
                  <c:v>973.09300000000019</c:v>
                </c:pt>
                <c:pt idx="1">
                  <c:v>881.38000000000011</c:v>
                </c:pt>
                <c:pt idx="2">
                  <c:v>886.25099999999998</c:v>
                </c:pt>
                <c:pt idx="3">
                  <c:v>899.84</c:v>
                </c:pt>
                <c:pt idx="4">
                  <c:v>866.58600000000001</c:v>
                </c:pt>
                <c:pt idx="5">
                  <c:v>837.07600000000002</c:v>
                </c:pt>
                <c:pt idx="6">
                  <c:v>889.98800000000017</c:v>
                </c:pt>
                <c:pt idx="7">
                  <c:v>927.91899999999998</c:v>
                </c:pt>
                <c:pt idx="8">
                  <c:v>915.77100000000007</c:v>
                </c:pt>
                <c:pt idx="9">
                  <c:v>951.17899999999997</c:v>
                </c:pt>
                <c:pt idx="10">
                  <c:v>908.49699999999996</c:v>
                </c:pt>
                <c:pt idx="11">
                  <c:v>852.87399999999991</c:v>
                </c:pt>
                <c:pt idx="12">
                  <c:v>698.51400000000001</c:v>
                </c:pt>
                <c:pt idx="13">
                  <c:v>878.56399999999996</c:v>
                </c:pt>
                <c:pt idx="14">
                  <c:v>933.37899999999991</c:v>
                </c:pt>
                <c:pt idx="15">
                  <c:v>935.24000000000024</c:v>
                </c:pt>
                <c:pt idx="16">
                  <c:v>976.38700000000017</c:v>
                </c:pt>
                <c:pt idx="17">
                  <c:v>953.66300000000001</c:v>
                </c:pt>
                <c:pt idx="18">
                  <c:v>1008.9730000000002</c:v>
                </c:pt>
                <c:pt idx="19">
                  <c:v>859.13799999999992</c:v>
                </c:pt>
                <c:pt idx="20">
                  <c:v>837.19799999999987</c:v>
                </c:pt>
                <c:pt idx="21">
                  <c:v>949.70000000000016</c:v>
                </c:pt>
                <c:pt idx="22">
                  <c:v>1014.3480000000002</c:v>
                </c:pt>
                <c:pt idx="23">
                  <c:v>963.59399999999994</c:v>
                </c:pt>
                <c:pt idx="24">
                  <c:v>1027.037</c:v>
                </c:pt>
                <c:pt idx="25">
                  <c:v>967.51400000000001</c:v>
                </c:pt>
                <c:pt idx="26">
                  <c:v>851.38800000000003</c:v>
                </c:pt>
                <c:pt idx="27">
                  <c:v>866.72499999999968</c:v>
                </c:pt>
                <c:pt idx="28">
                  <c:v>1039.713</c:v>
                </c:pt>
                <c:pt idx="29">
                  <c:v>900.51</c:v>
                </c:pt>
                <c:pt idx="30">
                  <c:v>822.62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54-491C-A570-94BDDE220D1C}"/>
            </c:ext>
          </c:extLst>
        </c:ser>
        <c:ser>
          <c:idx val="4"/>
          <c:order val="4"/>
          <c:tx>
            <c:strRef>
              <c:f>'Oct 24 Graph'!$F$3:$F$4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Graph'!$F$5:$F$35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54-491C-A570-94BDDE220D1C}"/>
            </c:ext>
          </c:extLst>
        </c:ser>
        <c:ser>
          <c:idx val="5"/>
          <c:order val="5"/>
          <c:tx>
            <c:strRef>
              <c:f>'Oct 24 Graph'!$G$3:$G$4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Graph'!$G$5:$G$35</c:f>
              <c:numCache>
                <c:formatCode>General</c:formatCode>
                <c:ptCount val="31"/>
                <c:pt idx="0">
                  <c:v>0</c:v>
                </c:pt>
                <c:pt idx="1">
                  <c:v>98.739000000000004</c:v>
                </c:pt>
                <c:pt idx="2">
                  <c:v>44.350999999999992</c:v>
                </c:pt>
                <c:pt idx="3">
                  <c:v>52.42</c:v>
                </c:pt>
                <c:pt idx="4">
                  <c:v>62.845999999999997</c:v>
                </c:pt>
                <c:pt idx="5">
                  <c:v>70.605999999999995</c:v>
                </c:pt>
                <c:pt idx="6">
                  <c:v>54.041999999999994</c:v>
                </c:pt>
                <c:pt idx="7">
                  <c:v>55.117999999999988</c:v>
                </c:pt>
                <c:pt idx="8">
                  <c:v>40.300000000000004</c:v>
                </c:pt>
                <c:pt idx="9">
                  <c:v>43.088000000000001</c:v>
                </c:pt>
                <c:pt idx="10">
                  <c:v>72.59899999999999</c:v>
                </c:pt>
                <c:pt idx="11">
                  <c:v>26.632999999999999</c:v>
                </c:pt>
                <c:pt idx="12">
                  <c:v>37.112000000000002</c:v>
                </c:pt>
                <c:pt idx="13">
                  <c:v>51.442000000000007</c:v>
                </c:pt>
                <c:pt idx="14">
                  <c:v>63.027999999999999</c:v>
                </c:pt>
                <c:pt idx="15">
                  <c:v>54.933</c:v>
                </c:pt>
                <c:pt idx="16">
                  <c:v>61.384999999999998</c:v>
                </c:pt>
                <c:pt idx="17">
                  <c:v>44.853000000000002</c:v>
                </c:pt>
                <c:pt idx="18">
                  <c:v>43.519000000000005</c:v>
                </c:pt>
                <c:pt idx="19">
                  <c:v>47.311</c:v>
                </c:pt>
                <c:pt idx="20">
                  <c:v>36.447000000000003</c:v>
                </c:pt>
                <c:pt idx="21">
                  <c:v>38.463999999999999</c:v>
                </c:pt>
                <c:pt idx="22">
                  <c:v>56.414000000000001</c:v>
                </c:pt>
                <c:pt idx="23">
                  <c:v>39.302</c:v>
                </c:pt>
                <c:pt idx="24">
                  <c:v>47.939</c:v>
                </c:pt>
                <c:pt idx="25">
                  <c:v>70.030999999999992</c:v>
                </c:pt>
                <c:pt idx="26">
                  <c:v>38.891000000000005</c:v>
                </c:pt>
                <c:pt idx="27">
                  <c:v>54.920999999999999</c:v>
                </c:pt>
                <c:pt idx="28">
                  <c:v>26.713000000000001</c:v>
                </c:pt>
                <c:pt idx="29">
                  <c:v>35.471000000000004</c:v>
                </c:pt>
                <c:pt idx="30">
                  <c:v>48.195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54-491C-A570-94BDDE220D1C}"/>
            </c:ext>
          </c:extLst>
        </c:ser>
        <c:ser>
          <c:idx val="6"/>
          <c:order val="6"/>
          <c:tx>
            <c:strRef>
              <c:f>'Oct 24 Graph'!$H$3:$H$4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Graph'!$H$5:$H$35</c:f>
              <c:numCache>
                <c:formatCode>General</c:formatCode>
                <c:ptCount val="31"/>
                <c:pt idx="0">
                  <c:v>4007.7130000000006</c:v>
                </c:pt>
                <c:pt idx="1">
                  <c:v>3634.971</c:v>
                </c:pt>
                <c:pt idx="2">
                  <c:v>3296.0710000000008</c:v>
                </c:pt>
                <c:pt idx="3">
                  <c:v>3679.7499999999995</c:v>
                </c:pt>
                <c:pt idx="4">
                  <c:v>3348.6260000000002</c:v>
                </c:pt>
                <c:pt idx="5">
                  <c:v>2948.7749999999996</c:v>
                </c:pt>
                <c:pt idx="6">
                  <c:v>3558.3450000000003</c:v>
                </c:pt>
                <c:pt idx="7">
                  <c:v>3770.5209999999997</c:v>
                </c:pt>
                <c:pt idx="8">
                  <c:v>3395.5339999999997</c:v>
                </c:pt>
                <c:pt idx="9">
                  <c:v>3627.3859999999991</c:v>
                </c:pt>
                <c:pt idx="10">
                  <c:v>3198.7179999999998</c:v>
                </c:pt>
                <c:pt idx="11">
                  <c:v>2833.2180000000003</c:v>
                </c:pt>
                <c:pt idx="12">
                  <c:v>2180.1669999999999</c:v>
                </c:pt>
                <c:pt idx="13">
                  <c:v>2878.76</c:v>
                </c:pt>
                <c:pt idx="14">
                  <c:v>3616.9789999999998</c:v>
                </c:pt>
                <c:pt idx="15">
                  <c:v>3809.6200000000003</c:v>
                </c:pt>
                <c:pt idx="16">
                  <c:v>3617.251999999999</c:v>
                </c:pt>
                <c:pt idx="17">
                  <c:v>4410.0009999999984</c:v>
                </c:pt>
                <c:pt idx="18">
                  <c:v>3437.1819999999998</c:v>
                </c:pt>
                <c:pt idx="19">
                  <c:v>2898.5430000000006</c:v>
                </c:pt>
                <c:pt idx="20">
                  <c:v>3572.8380000000006</c:v>
                </c:pt>
                <c:pt idx="21">
                  <c:v>4055.7370000000005</c:v>
                </c:pt>
                <c:pt idx="22">
                  <c:v>4223.6540000000005</c:v>
                </c:pt>
                <c:pt idx="23">
                  <c:v>3782.328</c:v>
                </c:pt>
                <c:pt idx="24">
                  <c:v>3745.2140000000004</c:v>
                </c:pt>
                <c:pt idx="25">
                  <c:v>3620.0690000000004</c:v>
                </c:pt>
                <c:pt idx="26">
                  <c:v>3180.0519999999992</c:v>
                </c:pt>
                <c:pt idx="27">
                  <c:v>3319.3220000000001</c:v>
                </c:pt>
                <c:pt idx="28">
                  <c:v>3696.0729999999994</c:v>
                </c:pt>
                <c:pt idx="29">
                  <c:v>3516.1560000000009</c:v>
                </c:pt>
                <c:pt idx="30">
                  <c:v>3073.1610000000001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54-491C-A570-94BDDE220D1C}"/>
            </c:ext>
          </c:extLst>
        </c:ser>
        <c:ser>
          <c:idx val="7"/>
          <c:order val="7"/>
          <c:tx>
            <c:strRef>
              <c:f>'Oct 24 Graph'!$I$3:$I$4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Graph'!$I$5:$I$35</c:f>
              <c:numCache>
                <c:formatCode>General</c:formatCode>
                <c:ptCount val="31"/>
                <c:pt idx="0">
                  <c:v>132.73400000000001</c:v>
                </c:pt>
                <c:pt idx="1">
                  <c:v>393.72099999999995</c:v>
                </c:pt>
                <c:pt idx="2">
                  <c:v>343.20199999999994</c:v>
                </c:pt>
                <c:pt idx="3">
                  <c:v>289.80700000000002</c:v>
                </c:pt>
                <c:pt idx="4">
                  <c:v>326.99099999999987</c:v>
                </c:pt>
                <c:pt idx="5">
                  <c:v>379.80100000000004</c:v>
                </c:pt>
                <c:pt idx="6">
                  <c:v>334.04500000000013</c:v>
                </c:pt>
                <c:pt idx="7">
                  <c:v>145.97199999999998</c:v>
                </c:pt>
                <c:pt idx="8">
                  <c:v>308.21599999999995</c:v>
                </c:pt>
                <c:pt idx="9">
                  <c:v>326.5209999999999</c:v>
                </c:pt>
                <c:pt idx="10">
                  <c:v>347.55499999999989</c:v>
                </c:pt>
                <c:pt idx="11">
                  <c:v>370.37400000000002</c:v>
                </c:pt>
                <c:pt idx="12">
                  <c:v>467.40000000000015</c:v>
                </c:pt>
                <c:pt idx="13">
                  <c:v>349.28099999999989</c:v>
                </c:pt>
                <c:pt idx="14">
                  <c:v>168.13399999999999</c:v>
                </c:pt>
                <c:pt idx="15">
                  <c:v>332.08699999999988</c:v>
                </c:pt>
                <c:pt idx="16">
                  <c:v>306.87099999999998</c:v>
                </c:pt>
                <c:pt idx="17">
                  <c:v>290.20799999999997</c:v>
                </c:pt>
                <c:pt idx="18">
                  <c:v>347.94800000000009</c:v>
                </c:pt>
                <c:pt idx="19">
                  <c:v>392.77300000000002</c:v>
                </c:pt>
                <c:pt idx="20">
                  <c:v>200.94300000000004</c:v>
                </c:pt>
                <c:pt idx="21">
                  <c:v>193.553</c:v>
                </c:pt>
                <c:pt idx="22">
                  <c:v>280.66999999999996</c:v>
                </c:pt>
                <c:pt idx="23">
                  <c:v>204.33999999999997</c:v>
                </c:pt>
                <c:pt idx="24">
                  <c:v>298.27899999999988</c:v>
                </c:pt>
                <c:pt idx="25">
                  <c:v>323.15299999999991</c:v>
                </c:pt>
                <c:pt idx="26">
                  <c:v>490.88399999999973</c:v>
                </c:pt>
                <c:pt idx="27">
                  <c:v>446.46500000000003</c:v>
                </c:pt>
                <c:pt idx="28">
                  <c:v>206.82500000000002</c:v>
                </c:pt>
                <c:pt idx="29">
                  <c:v>278.31499999999994</c:v>
                </c:pt>
                <c:pt idx="30">
                  <c:v>36.939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54-491C-A570-94BDDE220D1C}"/>
            </c:ext>
          </c:extLst>
        </c:ser>
        <c:ser>
          <c:idx val="8"/>
          <c:order val="8"/>
          <c:tx>
            <c:strRef>
              <c:f>'Oct 24 Graph'!$J$3:$J$4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Graph'!$J$5:$J$35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10.055</c:v>
                </c:pt>
                <c:pt idx="25">
                  <c:v>7.8769999999999998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8.4920000000000009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54-491C-A570-94BDDE220D1C}"/>
            </c:ext>
          </c:extLst>
        </c:ser>
        <c:ser>
          <c:idx val="9"/>
          <c:order val="9"/>
          <c:tx>
            <c:strRef>
              <c:f>'Oct 24 Graph'!$K$3:$K$4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Graph'!$K$5:$K$35</c:f>
              <c:numCache>
                <c:formatCode>General</c:formatCode>
                <c:ptCount val="31"/>
                <c:pt idx="0">
                  <c:v>21.893999999999998</c:v>
                </c:pt>
                <c:pt idx="1">
                  <c:v>48.204999999999998</c:v>
                </c:pt>
                <c:pt idx="2">
                  <c:v>32.534000000000006</c:v>
                </c:pt>
                <c:pt idx="3">
                  <c:v>53.906000000000006</c:v>
                </c:pt>
                <c:pt idx="4">
                  <c:v>40.826999999999998</c:v>
                </c:pt>
                <c:pt idx="5">
                  <c:v>41.335000000000001</c:v>
                </c:pt>
                <c:pt idx="6">
                  <c:v>42.512999999999998</c:v>
                </c:pt>
                <c:pt idx="7">
                  <c:v>61.887</c:v>
                </c:pt>
                <c:pt idx="8">
                  <c:v>48.335000000000008</c:v>
                </c:pt>
                <c:pt idx="9">
                  <c:v>43.405000000000001</c:v>
                </c:pt>
                <c:pt idx="10">
                  <c:v>33.935000000000002</c:v>
                </c:pt>
                <c:pt idx="11">
                  <c:v>9.4760000000000009</c:v>
                </c:pt>
                <c:pt idx="12">
                  <c:v>26.225000000000001</c:v>
                </c:pt>
                <c:pt idx="13">
                  <c:v>44.414999999999999</c:v>
                </c:pt>
                <c:pt idx="14">
                  <c:v>22.093</c:v>
                </c:pt>
                <c:pt idx="15">
                  <c:v>35.837999999999994</c:v>
                </c:pt>
                <c:pt idx="16">
                  <c:v>26.792999999999999</c:v>
                </c:pt>
                <c:pt idx="17">
                  <c:v>37.016999999999996</c:v>
                </c:pt>
                <c:pt idx="18">
                  <c:v>34.765000000000001</c:v>
                </c:pt>
                <c:pt idx="19">
                  <c:v>38.497</c:v>
                </c:pt>
                <c:pt idx="20">
                  <c:v>21.927</c:v>
                </c:pt>
                <c:pt idx="21">
                  <c:v>25.390999999999998</c:v>
                </c:pt>
                <c:pt idx="22">
                  <c:v>42.69</c:v>
                </c:pt>
                <c:pt idx="23">
                  <c:v>45.225999999999999</c:v>
                </c:pt>
                <c:pt idx="24">
                  <c:v>32.581000000000003</c:v>
                </c:pt>
                <c:pt idx="25">
                  <c:v>43.052</c:v>
                </c:pt>
                <c:pt idx="26">
                  <c:v>20.308</c:v>
                </c:pt>
                <c:pt idx="27">
                  <c:v>57.848999999999997</c:v>
                </c:pt>
                <c:pt idx="28">
                  <c:v>39.416999999999994</c:v>
                </c:pt>
                <c:pt idx="29">
                  <c:v>67.187000000000012</c:v>
                </c:pt>
                <c:pt idx="30">
                  <c:v>35.724000000000004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54-491C-A570-94BDDE220D1C}"/>
            </c:ext>
          </c:extLst>
        </c:ser>
        <c:ser>
          <c:idx val="10"/>
          <c:order val="10"/>
          <c:tx>
            <c:strRef>
              <c:f>'Oct 24 Graph'!$L$3:$L$4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Graph'!$L$5:$L$35</c:f>
              <c:numCache>
                <c:formatCode>General</c:formatCode>
                <c:ptCount val="31"/>
                <c:pt idx="0">
                  <c:v>2.306</c:v>
                </c:pt>
                <c:pt idx="1">
                  <c:v>2.2829999999999999</c:v>
                </c:pt>
                <c:pt idx="2">
                  <c:v>3.2519999999999998</c:v>
                </c:pt>
                <c:pt idx="3">
                  <c:v>4.194</c:v>
                </c:pt>
                <c:pt idx="4">
                  <c:v>2.8860000000000001</c:v>
                </c:pt>
                <c:pt idx="5">
                  <c:v>3.9169999999999998</c:v>
                </c:pt>
                <c:pt idx="6">
                  <c:v>3.6420000000000003</c:v>
                </c:pt>
                <c:pt idx="7">
                  <c:v>1.994</c:v>
                </c:pt>
                <c:pt idx="8">
                  <c:v>2.3119999999999998</c:v>
                </c:pt>
                <c:pt idx="9">
                  <c:v>3.198</c:v>
                </c:pt>
                <c:pt idx="10">
                  <c:v>0</c:v>
                </c:pt>
                <c:pt idx="11">
                  <c:v>2.427</c:v>
                </c:pt>
                <c:pt idx="12">
                  <c:v>2.0699999999999998</c:v>
                </c:pt>
                <c:pt idx="13">
                  <c:v>2.101</c:v>
                </c:pt>
                <c:pt idx="14">
                  <c:v>2.4209999999999998</c:v>
                </c:pt>
                <c:pt idx="15">
                  <c:v>2.2749999999999999</c:v>
                </c:pt>
                <c:pt idx="16">
                  <c:v>2.4009999999999998</c:v>
                </c:pt>
                <c:pt idx="17">
                  <c:v>3.2069999999999999</c:v>
                </c:pt>
                <c:pt idx="18">
                  <c:v>3.3839999999999999</c:v>
                </c:pt>
                <c:pt idx="19">
                  <c:v>2.29</c:v>
                </c:pt>
                <c:pt idx="20">
                  <c:v>3.891</c:v>
                </c:pt>
                <c:pt idx="21">
                  <c:v>2.1659999999999999</c:v>
                </c:pt>
                <c:pt idx="22">
                  <c:v>2.0390000000000001</c:v>
                </c:pt>
                <c:pt idx="23">
                  <c:v>2.323</c:v>
                </c:pt>
                <c:pt idx="24">
                  <c:v>2.137</c:v>
                </c:pt>
                <c:pt idx="25">
                  <c:v>2.419</c:v>
                </c:pt>
                <c:pt idx="26">
                  <c:v>2.806</c:v>
                </c:pt>
                <c:pt idx="27">
                  <c:v>2.2789999999999999</c:v>
                </c:pt>
                <c:pt idx="28">
                  <c:v>1.86</c:v>
                </c:pt>
                <c:pt idx="29">
                  <c:v>1.337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54-491C-A570-94BDDE220D1C}"/>
            </c:ext>
          </c:extLst>
        </c:ser>
        <c:ser>
          <c:idx val="11"/>
          <c:order val="11"/>
          <c:tx>
            <c:strRef>
              <c:f>'Oct 24 Graph'!$M$3:$M$4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Graph'!$M$5:$M$35</c:f>
              <c:numCache>
                <c:formatCode>General</c:formatCode>
                <c:ptCount val="31"/>
                <c:pt idx="0">
                  <c:v>35.565999999999995</c:v>
                </c:pt>
                <c:pt idx="1">
                  <c:v>20.564</c:v>
                </c:pt>
                <c:pt idx="2">
                  <c:v>30.068999999999999</c:v>
                </c:pt>
                <c:pt idx="3">
                  <c:v>17.898</c:v>
                </c:pt>
                <c:pt idx="4">
                  <c:v>38.399000000000001</c:v>
                </c:pt>
                <c:pt idx="5">
                  <c:v>29.337999999999997</c:v>
                </c:pt>
                <c:pt idx="6">
                  <c:v>21.631999999999998</c:v>
                </c:pt>
                <c:pt idx="7">
                  <c:v>33.461999999999996</c:v>
                </c:pt>
                <c:pt idx="8">
                  <c:v>21.302000000000003</c:v>
                </c:pt>
                <c:pt idx="9">
                  <c:v>22.514000000000003</c:v>
                </c:pt>
                <c:pt idx="10">
                  <c:v>27.140999999999998</c:v>
                </c:pt>
                <c:pt idx="11">
                  <c:v>32.411999999999999</c:v>
                </c:pt>
                <c:pt idx="12">
                  <c:v>22.960999999999999</c:v>
                </c:pt>
                <c:pt idx="13">
                  <c:v>19.866</c:v>
                </c:pt>
                <c:pt idx="14">
                  <c:v>20.733000000000001</c:v>
                </c:pt>
                <c:pt idx="15">
                  <c:v>36.22</c:v>
                </c:pt>
                <c:pt idx="16">
                  <c:v>39.230999999999995</c:v>
                </c:pt>
                <c:pt idx="17">
                  <c:v>29.168999999999997</c:v>
                </c:pt>
                <c:pt idx="18">
                  <c:v>9.3529999999999998</c:v>
                </c:pt>
                <c:pt idx="19">
                  <c:v>46.082999999999998</c:v>
                </c:pt>
                <c:pt idx="20">
                  <c:v>19.785999999999998</c:v>
                </c:pt>
                <c:pt idx="21">
                  <c:v>37.418000000000006</c:v>
                </c:pt>
                <c:pt idx="22">
                  <c:v>31.581</c:v>
                </c:pt>
                <c:pt idx="23">
                  <c:v>28.065000000000001</c:v>
                </c:pt>
                <c:pt idx="24">
                  <c:v>20.603000000000002</c:v>
                </c:pt>
                <c:pt idx="25">
                  <c:v>43.762</c:v>
                </c:pt>
                <c:pt idx="26">
                  <c:v>18.245000000000001</c:v>
                </c:pt>
                <c:pt idx="27">
                  <c:v>27.412999999999997</c:v>
                </c:pt>
                <c:pt idx="28">
                  <c:v>38.120000000000005</c:v>
                </c:pt>
                <c:pt idx="29">
                  <c:v>35.832999999999998</c:v>
                </c:pt>
                <c:pt idx="30">
                  <c:v>28.995999999999999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A54-491C-A570-94BDDE220D1C}"/>
            </c:ext>
          </c:extLst>
        </c:ser>
        <c:ser>
          <c:idx val="12"/>
          <c:order val="12"/>
          <c:tx>
            <c:strRef>
              <c:f>'Oct 24 Graph'!$N$3:$N$4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Graph'!$N$5:$N$35</c:f>
              <c:numCache>
                <c:formatCode>General</c:formatCode>
                <c:ptCount val="31"/>
                <c:pt idx="0">
                  <c:v>62.973000000000006</c:v>
                </c:pt>
                <c:pt idx="1">
                  <c:v>68.583999999999989</c:v>
                </c:pt>
                <c:pt idx="2">
                  <c:v>103.53800000000001</c:v>
                </c:pt>
                <c:pt idx="3">
                  <c:v>114.47200000000001</c:v>
                </c:pt>
                <c:pt idx="4">
                  <c:v>74.530999999999992</c:v>
                </c:pt>
                <c:pt idx="5">
                  <c:v>84.785000000000011</c:v>
                </c:pt>
                <c:pt idx="6">
                  <c:v>54.235999999999997</c:v>
                </c:pt>
                <c:pt idx="7">
                  <c:v>103.735</c:v>
                </c:pt>
                <c:pt idx="8">
                  <c:v>79.302000000000007</c:v>
                </c:pt>
                <c:pt idx="9">
                  <c:v>119.12700000000001</c:v>
                </c:pt>
                <c:pt idx="10">
                  <c:v>83.22</c:v>
                </c:pt>
                <c:pt idx="11">
                  <c:v>45.600000000000009</c:v>
                </c:pt>
                <c:pt idx="12">
                  <c:v>71.22499999999998</c:v>
                </c:pt>
                <c:pt idx="13">
                  <c:v>75.504999999999995</c:v>
                </c:pt>
                <c:pt idx="14">
                  <c:v>82.352000000000004</c:v>
                </c:pt>
                <c:pt idx="15">
                  <c:v>103.113</c:v>
                </c:pt>
                <c:pt idx="16">
                  <c:v>97.837999999999994</c:v>
                </c:pt>
                <c:pt idx="17">
                  <c:v>88.64200000000001</c:v>
                </c:pt>
                <c:pt idx="18">
                  <c:v>80.495999999999995</c:v>
                </c:pt>
                <c:pt idx="19">
                  <c:v>89.87299999999999</c:v>
                </c:pt>
                <c:pt idx="20">
                  <c:v>82.145999999999987</c:v>
                </c:pt>
                <c:pt idx="21">
                  <c:v>91.714999999999989</c:v>
                </c:pt>
                <c:pt idx="22">
                  <c:v>110.99100000000001</c:v>
                </c:pt>
                <c:pt idx="23">
                  <c:v>86.138000000000005</c:v>
                </c:pt>
                <c:pt idx="24">
                  <c:v>80.671000000000006</c:v>
                </c:pt>
                <c:pt idx="25">
                  <c:v>94.521999999999977</c:v>
                </c:pt>
                <c:pt idx="26">
                  <c:v>105.65</c:v>
                </c:pt>
                <c:pt idx="27">
                  <c:v>91.016999999999996</c:v>
                </c:pt>
                <c:pt idx="28">
                  <c:v>66.477000000000004</c:v>
                </c:pt>
                <c:pt idx="29">
                  <c:v>100.542</c:v>
                </c:pt>
                <c:pt idx="30">
                  <c:v>115.64299999999999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54-491C-A570-94BDDE220D1C}"/>
            </c:ext>
          </c:extLst>
        </c:ser>
        <c:ser>
          <c:idx val="13"/>
          <c:order val="13"/>
          <c:tx>
            <c:strRef>
              <c:f>'Oct 24 Graph'!$O$3:$O$4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Graph'!$O$5:$O$35</c:f>
              <c:numCache>
                <c:formatCode>General</c:formatCode>
                <c:ptCount val="31"/>
                <c:pt idx="0">
                  <c:v>93.259000000000015</c:v>
                </c:pt>
                <c:pt idx="1">
                  <c:v>124.342</c:v>
                </c:pt>
                <c:pt idx="2">
                  <c:v>110.706</c:v>
                </c:pt>
                <c:pt idx="3">
                  <c:v>102.03899999999999</c:v>
                </c:pt>
                <c:pt idx="4">
                  <c:v>120.87299999999999</c:v>
                </c:pt>
                <c:pt idx="5">
                  <c:v>104.08899999999998</c:v>
                </c:pt>
                <c:pt idx="6">
                  <c:v>105.285</c:v>
                </c:pt>
                <c:pt idx="7">
                  <c:v>119.37699999999998</c:v>
                </c:pt>
                <c:pt idx="8">
                  <c:v>110.44</c:v>
                </c:pt>
                <c:pt idx="9">
                  <c:v>132.38199999999998</c:v>
                </c:pt>
                <c:pt idx="10">
                  <c:v>98.295000000000002</c:v>
                </c:pt>
                <c:pt idx="11">
                  <c:v>60.556000000000004</c:v>
                </c:pt>
                <c:pt idx="12">
                  <c:v>85.909000000000006</c:v>
                </c:pt>
                <c:pt idx="13">
                  <c:v>67.647000000000006</c:v>
                </c:pt>
                <c:pt idx="14">
                  <c:v>114.69</c:v>
                </c:pt>
                <c:pt idx="15">
                  <c:v>121.15100000000002</c:v>
                </c:pt>
                <c:pt idx="16">
                  <c:v>81.348000000000013</c:v>
                </c:pt>
                <c:pt idx="17">
                  <c:v>109.01800000000001</c:v>
                </c:pt>
                <c:pt idx="18">
                  <c:v>80.899000000000001</c:v>
                </c:pt>
                <c:pt idx="19">
                  <c:v>94.311999999999983</c:v>
                </c:pt>
                <c:pt idx="20">
                  <c:v>120.00600000000001</c:v>
                </c:pt>
                <c:pt idx="21">
                  <c:v>108.90900000000001</c:v>
                </c:pt>
                <c:pt idx="22">
                  <c:v>109.19999999999999</c:v>
                </c:pt>
                <c:pt idx="23">
                  <c:v>95.854000000000013</c:v>
                </c:pt>
                <c:pt idx="24">
                  <c:v>116.84900000000002</c:v>
                </c:pt>
                <c:pt idx="25">
                  <c:v>103.67699999999999</c:v>
                </c:pt>
                <c:pt idx="26">
                  <c:v>99.370000000000019</c:v>
                </c:pt>
                <c:pt idx="27">
                  <c:v>107.08900000000001</c:v>
                </c:pt>
                <c:pt idx="28">
                  <c:v>128.45099999999999</c:v>
                </c:pt>
                <c:pt idx="29">
                  <c:v>114.72900000000001</c:v>
                </c:pt>
                <c:pt idx="30">
                  <c:v>69.941000000000003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A54-491C-A570-94BDDE220D1C}"/>
            </c:ext>
          </c:extLst>
        </c:ser>
        <c:ser>
          <c:idx val="14"/>
          <c:order val="14"/>
          <c:tx>
            <c:strRef>
              <c:f>'Oct 24 Graph'!$P$3:$P$4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Graph'!$P$5:$P$35</c:f>
              <c:numCache>
                <c:formatCode>General</c:formatCode>
                <c:ptCount val="31"/>
                <c:pt idx="0">
                  <c:v>2.21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54-491C-A570-94BDDE220D1C}"/>
            </c:ext>
          </c:extLst>
        </c:ser>
        <c:ser>
          <c:idx val="15"/>
          <c:order val="15"/>
          <c:tx>
            <c:strRef>
              <c:f>'Oct 24 Graph'!$Q$3:$Q$4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Graph'!$Q$5:$Q$35</c:f>
              <c:numCache>
                <c:formatCode>General</c:formatCode>
                <c:ptCount val="31"/>
                <c:pt idx="22">
                  <c:v>0</c:v>
                </c:pt>
                <c:pt idx="23">
                  <c:v>0</c:v>
                </c:pt>
                <c:pt idx="24">
                  <c:v>6.3760000000000003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A54-491C-A570-94BDDE220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10048"/>
        <c:axId val="545007304"/>
      </c:barChart>
      <c:catAx>
        <c:axId val="54501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7304"/>
        <c:crosses val="autoZero"/>
        <c:auto val="1"/>
        <c:lblAlgn val="ctr"/>
        <c:lblOffset val="100"/>
        <c:noMultiLvlLbl val="0"/>
      </c:catAx>
      <c:valAx>
        <c:axId val="54500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Consumption.xlsx]Oct 24 Graph!PivotTable2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'Oct 24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Graph'!$B$5:$B$35</c:f>
              <c:numCache>
                <c:formatCode>General</c:formatCode>
                <c:ptCount val="31"/>
                <c:pt idx="0">
                  <c:v>136.98200000000003</c:v>
                </c:pt>
                <c:pt idx="1">
                  <c:v>136.66500000000002</c:v>
                </c:pt>
                <c:pt idx="2">
                  <c:v>131.43499999999997</c:v>
                </c:pt>
                <c:pt idx="3">
                  <c:v>131.46000000000004</c:v>
                </c:pt>
                <c:pt idx="4">
                  <c:v>106.40900000000001</c:v>
                </c:pt>
                <c:pt idx="5">
                  <c:v>142.37400000000002</c:v>
                </c:pt>
                <c:pt idx="6">
                  <c:v>82.444000000000045</c:v>
                </c:pt>
                <c:pt idx="7">
                  <c:v>132.30800000000002</c:v>
                </c:pt>
                <c:pt idx="8">
                  <c:v>123.34700000000005</c:v>
                </c:pt>
                <c:pt idx="9">
                  <c:v>155.66100000000006</c:v>
                </c:pt>
                <c:pt idx="10">
                  <c:v>126.50700000000001</c:v>
                </c:pt>
                <c:pt idx="11">
                  <c:v>142.06600000000006</c:v>
                </c:pt>
                <c:pt idx="12">
                  <c:v>114.176</c:v>
                </c:pt>
                <c:pt idx="13">
                  <c:v>101.922</c:v>
                </c:pt>
                <c:pt idx="14">
                  <c:v>66.820999999999984</c:v>
                </c:pt>
                <c:pt idx="15">
                  <c:v>81.780000000000015</c:v>
                </c:pt>
                <c:pt idx="16">
                  <c:v>61.334000000000003</c:v>
                </c:pt>
                <c:pt idx="17">
                  <c:v>104.63800000000002</c:v>
                </c:pt>
                <c:pt idx="18">
                  <c:v>102.19799999999999</c:v>
                </c:pt>
                <c:pt idx="19">
                  <c:v>59.793999999999997</c:v>
                </c:pt>
                <c:pt idx="20">
                  <c:v>79.023000000000025</c:v>
                </c:pt>
                <c:pt idx="21">
                  <c:v>81.08</c:v>
                </c:pt>
                <c:pt idx="22">
                  <c:v>104.18600000000002</c:v>
                </c:pt>
                <c:pt idx="23">
                  <c:v>119.35600000000004</c:v>
                </c:pt>
                <c:pt idx="24">
                  <c:v>98.120000000000033</c:v>
                </c:pt>
                <c:pt idx="25">
                  <c:v>102.77199999999999</c:v>
                </c:pt>
                <c:pt idx="26">
                  <c:v>115.11000000000003</c:v>
                </c:pt>
                <c:pt idx="27">
                  <c:v>111.827</c:v>
                </c:pt>
                <c:pt idx="28">
                  <c:v>63.661999999999992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9-43E9-B8D7-AD30A71C7CFF}"/>
            </c:ext>
          </c:extLst>
        </c:ser>
        <c:ser>
          <c:idx val="1"/>
          <c:order val="1"/>
          <c:tx>
            <c:strRef>
              <c:f>'Oct 24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Graph'!$C$5:$C$35</c:f>
              <c:numCache>
                <c:formatCode>General</c:formatCode>
                <c:ptCount val="31"/>
                <c:pt idx="0">
                  <c:v>839.79700000000003</c:v>
                </c:pt>
                <c:pt idx="1">
                  <c:v>807.19600000000014</c:v>
                </c:pt>
                <c:pt idx="2">
                  <c:v>726.50400000000002</c:v>
                </c:pt>
                <c:pt idx="3">
                  <c:v>820.25599999999986</c:v>
                </c:pt>
                <c:pt idx="4">
                  <c:v>771.5200000000001</c:v>
                </c:pt>
                <c:pt idx="5">
                  <c:v>719.92</c:v>
                </c:pt>
                <c:pt idx="6">
                  <c:v>734.10400000000004</c:v>
                </c:pt>
                <c:pt idx="7">
                  <c:v>730.38400000000001</c:v>
                </c:pt>
                <c:pt idx="8">
                  <c:v>711.89199999999994</c:v>
                </c:pt>
                <c:pt idx="9">
                  <c:v>607.44100000000003</c:v>
                </c:pt>
                <c:pt idx="10">
                  <c:v>526.07900000000006</c:v>
                </c:pt>
                <c:pt idx="11">
                  <c:v>249.69200000000001</c:v>
                </c:pt>
                <c:pt idx="12">
                  <c:v>328.97300000000001</c:v>
                </c:pt>
                <c:pt idx="13">
                  <c:v>510.06100000000009</c:v>
                </c:pt>
                <c:pt idx="14">
                  <c:v>685.60199999999986</c:v>
                </c:pt>
                <c:pt idx="15">
                  <c:v>655.88</c:v>
                </c:pt>
                <c:pt idx="16">
                  <c:v>654.71899999999994</c:v>
                </c:pt>
                <c:pt idx="17">
                  <c:v>695.63200000000006</c:v>
                </c:pt>
                <c:pt idx="18">
                  <c:v>560.18700000000001</c:v>
                </c:pt>
                <c:pt idx="19">
                  <c:v>661.84500000000003</c:v>
                </c:pt>
                <c:pt idx="20">
                  <c:v>621.57799999999986</c:v>
                </c:pt>
                <c:pt idx="21">
                  <c:v>589.74599999999998</c:v>
                </c:pt>
                <c:pt idx="22">
                  <c:v>728.60199999999998</c:v>
                </c:pt>
                <c:pt idx="23">
                  <c:v>718.29299999999989</c:v>
                </c:pt>
                <c:pt idx="24">
                  <c:v>660.49299999999994</c:v>
                </c:pt>
                <c:pt idx="25">
                  <c:v>674.71100000000001</c:v>
                </c:pt>
                <c:pt idx="26">
                  <c:v>658.93899999999996</c:v>
                </c:pt>
                <c:pt idx="27">
                  <c:v>603.58799999999997</c:v>
                </c:pt>
                <c:pt idx="28">
                  <c:v>704.88200000000006</c:v>
                </c:pt>
                <c:pt idx="29">
                  <c:v>685.10899999999992</c:v>
                </c:pt>
                <c:pt idx="30">
                  <c:v>467.60600000000005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9-43E9-B8D7-AD30A71C7CFF}"/>
            </c:ext>
          </c:extLst>
        </c:ser>
        <c:ser>
          <c:idx val="2"/>
          <c:order val="2"/>
          <c:tx>
            <c:strRef>
              <c:f>'Oct 24 Graph'!$D$3:$D$4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Graph'!$D$5:$D$35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9-43E9-B8D7-AD30A71C7CFF}"/>
            </c:ext>
          </c:extLst>
        </c:ser>
        <c:ser>
          <c:idx val="3"/>
          <c:order val="3"/>
          <c:tx>
            <c:strRef>
              <c:f>'Oct 24 Graph'!$E$3:$E$4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Graph'!$E$5:$E$35</c:f>
              <c:numCache>
                <c:formatCode>General</c:formatCode>
                <c:ptCount val="31"/>
                <c:pt idx="0">
                  <c:v>973.09300000000019</c:v>
                </c:pt>
                <c:pt idx="1">
                  <c:v>881.38000000000011</c:v>
                </c:pt>
                <c:pt idx="2">
                  <c:v>886.25099999999998</c:v>
                </c:pt>
                <c:pt idx="3">
                  <c:v>899.84</c:v>
                </c:pt>
                <c:pt idx="4">
                  <c:v>866.58600000000001</c:v>
                </c:pt>
                <c:pt idx="5">
                  <c:v>837.07600000000002</c:v>
                </c:pt>
                <c:pt idx="6">
                  <c:v>889.98800000000017</c:v>
                </c:pt>
                <c:pt idx="7">
                  <c:v>927.91899999999998</c:v>
                </c:pt>
                <c:pt idx="8">
                  <c:v>915.77100000000007</c:v>
                </c:pt>
                <c:pt idx="9">
                  <c:v>951.17899999999997</c:v>
                </c:pt>
                <c:pt idx="10">
                  <c:v>908.49699999999996</c:v>
                </c:pt>
                <c:pt idx="11">
                  <c:v>852.87399999999991</c:v>
                </c:pt>
                <c:pt idx="12">
                  <c:v>698.51400000000001</c:v>
                </c:pt>
                <c:pt idx="13">
                  <c:v>878.56399999999996</c:v>
                </c:pt>
                <c:pt idx="14">
                  <c:v>933.37899999999991</c:v>
                </c:pt>
                <c:pt idx="15">
                  <c:v>935.24000000000024</c:v>
                </c:pt>
                <c:pt idx="16">
                  <c:v>976.38700000000017</c:v>
                </c:pt>
                <c:pt idx="17">
                  <c:v>953.66300000000001</c:v>
                </c:pt>
                <c:pt idx="18">
                  <c:v>1008.9730000000002</c:v>
                </c:pt>
                <c:pt idx="19">
                  <c:v>859.13799999999992</c:v>
                </c:pt>
                <c:pt idx="20">
                  <c:v>837.19799999999987</c:v>
                </c:pt>
                <c:pt idx="21">
                  <c:v>949.70000000000016</c:v>
                </c:pt>
                <c:pt idx="22">
                  <c:v>1014.3480000000002</c:v>
                </c:pt>
                <c:pt idx="23">
                  <c:v>963.59399999999994</c:v>
                </c:pt>
                <c:pt idx="24">
                  <c:v>1027.037</c:v>
                </c:pt>
                <c:pt idx="25">
                  <c:v>967.51400000000001</c:v>
                </c:pt>
                <c:pt idx="26">
                  <c:v>851.38800000000003</c:v>
                </c:pt>
                <c:pt idx="27">
                  <c:v>866.72499999999968</c:v>
                </c:pt>
                <c:pt idx="28">
                  <c:v>1039.713</c:v>
                </c:pt>
                <c:pt idx="29">
                  <c:v>900.51</c:v>
                </c:pt>
                <c:pt idx="30">
                  <c:v>822.62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9-43E9-B8D7-AD30A71C7CFF}"/>
            </c:ext>
          </c:extLst>
        </c:ser>
        <c:ser>
          <c:idx val="4"/>
          <c:order val="4"/>
          <c:tx>
            <c:strRef>
              <c:f>'Oct 24 Graph'!$F$3:$F$4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Graph'!$F$5:$F$35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D9-43E9-B8D7-AD30A71C7CFF}"/>
            </c:ext>
          </c:extLst>
        </c:ser>
        <c:ser>
          <c:idx val="5"/>
          <c:order val="5"/>
          <c:tx>
            <c:strRef>
              <c:f>'Oct 24 Graph'!$G$3:$G$4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Graph'!$G$5:$G$35</c:f>
              <c:numCache>
                <c:formatCode>General</c:formatCode>
                <c:ptCount val="31"/>
                <c:pt idx="0">
                  <c:v>0</c:v>
                </c:pt>
                <c:pt idx="1">
                  <c:v>98.739000000000004</c:v>
                </c:pt>
                <c:pt idx="2">
                  <c:v>44.350999999999992</c:v>
                </c:pt>
                <c:pt idx="3">
                  <c:v>52.42</c:v>
                </c:pt>
                <c:pt idx="4">
                  <c:v>62.845999999999997</c:v>
                </c:pt>
                <c:pt idx="5">
                  <c:v>70.605999999999995</c:v>
                </c:pt>
                <c:pt idx="6">
                  <c:v>54.041999999999994</c:v>
                </c:pt>
                <c:pt idx="7">
                  <c:v>55.117999999999988</c:v>
                </c:pt>
                <c:pt idx="8">
                  <c:v>40.300000000000004</c:v>
                </c:pt>
                <c:pt idx="9">
                  <c:v>43.088000000000001</c:v>
                </c:pt>
                <c:pt idx="10">
                  <c:v>72.59899999999999</c:v>
                </c:pt>
                <c:pt idx="11">
                  <c:v>26.632999999999999</c:v>
                </c:pt>
                <c:pt idx="12">
                  <c:v>37.112000000000002</c:v>
                </c:pt>
                <c:pt idx="13">
                  <c:v>51.442000000000007</c:v>
                </c:pt>
                <c:pt idx="14">
                  <c:v>63.027999999999999</c:v>
                </c:pt>
                <c:pt idx="15">
                  <c:v>54.933</c:v>
                </c:pt>
                <c:pt idx="16">
                  <c:v>61.384999999999998</c:v>
                </c:pt>
                <c:pt idx="17">
                  <c:v>44.853000000000002</c:v>
                </c:pt>
                <c:pt idx="18">
                  <c:v>43.519000000000005</c:v>
                </c:pt>
                <c:pt idx="19">
                  <c:v>47.311</c:v>
                </c:pt>
                <c:pt idx="20">
                  <c:v>36.447000000000003</c:v>
                </c:pt>
                <c:pt idx="21">
                  <c:v>38.463999999999999</c:v>
                </c:pt>
                <c:pt idx="22">
                  <c:v>56.414000000000001</c:v>
                </c:pt>
                <c:pt idx="23">
                  <c:v>39.302</c:v>
                </c:pt>
                <c:pt idx="24">
                  <c:v>47.939</c:v>
                </c:pt>
                <c:pt idx="25">
                  <c:v>70.030999999999992</c:v>
                </c:pt>
                <c:pt idx="26">
                  <c:v>38.891000000000005</c:v>
                </c:pt>
                <c:pt idx="27">
                  <c:v>54.920999999999999</c:v>
                </c:pt>
                <c:pt idx="28">
                  <c:v>26.713000000000001</c:v>
                </c:pt>
                <c:pt idx="29">
                  <c:v>35.471000000000004</c:v>
                </c:pt>
                <c:pt idx="30">
                  <c:v>48.195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D9-43E9-B8D7-AD30A71C7CFF}"/>
            </c:ext>
          </c:extLst>
        </c:ser>
        <c:ser>
          <c:idx val="6"/>
          <c:order val="6"/>
          <c:tx>
            <c:strRef>
              <c:f>'Oct 24 Graph'!$H$3:$H$4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Graph'!$H$5:$H$35</c:f>
              <c:numCache>
                <c:formatCode>General</c:formatCode>
                <c:ptCount val="31"/>
                <c:pt idx="0">
                  <c:v>4007.7130000000006</c:v>
                </c:pt>
                <c:pt idx="1">
                  <c:v>3634.971</c:v>
                </c:pt>
                <c:pt idx="2">
                  <c:v>3296.0710000000008</c:v>
                </c:pt>
                <c:pt idx="3">
                  <c:v>3679.7499999999995</c:v>
                </c:pt>
                <c:pt idx="4">
                  <c:v>3348.6260000000002</c:v>
                </c:pt>
                <c:pt idx="5">
                  <c:v>2948.7749999999996</c:v>
                </c:pt>
                <c:pt idx="6">
                  <c:v>3558.3450000000003</c:v>
                </c:pt>
                <c:pt idx="7">
                  <c:v>3770.5209999999997</c:v>
                </c:pt>
                <c:pt idx="8">
                  <c:v>3395.5339999999997</c:v>
                </c:pt>
                <c:pt idx="9">
                  <c:v>3627.3859999999991</c:v>
                </c:pt>
                <c:pt idx="10">
                  <c:v>3198.7179999999998</c:v>
                </c:pt>
                <c:pt idx="11">
                  <c:v>2833.2180000000003</c:v>
                </c:pt>
                <c:pt idx="12">
                  <c:v>2180.1669999999999</c:v>
                </c:pt>
                <c:pt idx="13">
                  <c:v>2878.76</c:v>
                </c:pt>
                <c:pt idx="14">
                  <c:v>3616.9789999999998</c:v>
                </c:pt>
                <c:pt idx="15">
                  <c:v>3809.6200000000003</c:v>
                </c:pt>
                <c:pt idx="16">
                  <c:v>3617.251999999999</c:v>
                </c:pt>
                <c:pt idx="17">
                  <c:v>4410.0009999999984</c:v>
                </c:pt>
                <c:pt idx="18">
                  <c:v>3437.1819999999998</c:v>
                </c:pt>
                <c:pt idx="19">
                  <c:v>2898.5430000000006</c:v>
                </c:pt>
                <c:pt idx="20">
                  <c:v>3572.8380000000006</c:v>
                </c:pt>
                <c:pt idx="21">
                  <c:v>4055.7370000000005</c:v>
                </c:pt>
                <c:pt idx="22">
                  <c:v>4223.6540000000005</c:v>
                </c:pt>
                <c:pt idx="23">
                  <c:v>3782.328</c:v>
                </c:pt>
                <c:pt idx="24">
                  <c:v>3745.2140000000004</c:v>
                </c:pt>
                <c:pt idx="25">
                  <c:v>3620.0690000000004</c:v>
                </c:pt>
                <c:pt idx="26">
                  <c:v>3180.0519999999992</c:v>
                </c:pt>
                <c:pt idx="27">
                  <c:v>3319.3220000000001</c:v>
                </c:pt>
                <c:pt idx="28">
                  <c:v>3696.0729999999994</c:v>
                </c:pt>
                <c:pt idx="29">
                  <c:v>3516.1560000000009</c:v>
                </c:pt>
                <c:pt idx="30">
                  <c:v>3073.1610000000001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D9-43E9-B8D7-AD30A71C7CFF}"/>
            </c:ext>
          </c:extLst>
        </c:ser>
        <c:ser>
          <c:idx val="7"/>
          <c:order val="7"/>
          <c:tx>
            <c:strRef>
              <c:f>'Oct 24 Graph'!$I$3:$I$4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Graph'!$I$5:$I$35</c:f>
              <c:numCache>
                <c:formatCode>General</c:formatCode>
                <c:ptCount val="31"/>
                <c:pt idx="0">
                  <c:v>132.73400000000001</c:v>
                </c:pt>
                <c:pt idx="1">
                  <c:v>393.72099999999995</c:v>
                </c:pt>
                <c:pt idx="2">
                  <c:v>343.20199999999994</c:v>
                </c:pt>
                <c:pt idx="3">
                  <c:v>289.80700000000002</c:v>
                </c:pt>
                <c:pt idx="4">
                  <c:v>326.99099999999987</c:v>
                </c:pt>
                <c:pt idx="5">
                  <c:v>379.80100000000004</c:v>
                </c:pt>
                <c:pt idx="6">
                  <c:v>334.04500000000013</c:v>
                </c:pt>
                <c:pt idx="7">
                  <c:v>145.97199999999998</c:v>
                </c:pt>
                <c:pt idx="8">
                  <c:v>308.21599999999995</c:v>
                </c:pt>
                <c:pt idx="9">
                  <c:v>326.5209999999999</c:v>
                </c:pt>
                <c:pt idx="10">
                  <c:v>347.55499999999989</c:v>
                </c:pt>
                <c:pt idx="11">
                  <c:v>370.37400000000002</c:v>
                </c:pt>
                <c:pt idx="12">
                  <c:v>467.40000000000015</c:v>
                </c:pt>
                <c:pt idx="13">
                  <c:v>349.28099999999989</c:v>
                </c:pt>
                <c:pt idx="14">
                  <c:v>168.13399999999999</c:v>
                </c:pt>
                <c:pt idx="15">
                  <c:v>332.08699999999988</c:v>
                </c:pt>
                <c:pt idx="16">
                  <c:v>306.87099999999998</c:v>
                </c:pt>
                <c:pt idx="17">
                  <c:v>290.20799999999997</c:v>
                </c:pt>
                <c:pt idx="18">
                  <c:v>347.94800000000009</c:v>
                </c:pt>
                <c:pt idx="19">
                  <c:v>392.77300000000002</c:v>
                </c:pt>
                <c:pt idx="20">
                  <c:v>200.94300000000004</c:v>
                </c:pt>
                <c:pt idx="21">
                  <c:v>193.553</c:v>
                </c:pt>
                <c:pt idx="22">
                  <c:v>280.66999999999996</c:v>
                </c:pt>
                <c:pt idx="23">
                  <c:v>204.33999999999997</c:v>
                </c:pt>
                <c:pt idx="24">
                  <c:v>298.27899999999988</c:v>
                </c:pt>
                <c:pt idx="25">
                  <c:v>323.15299999999991</c:v>
                </c:pt>
                <c:pt idx="26">
                  <c:v>490.88399999999973</c:v>
                </c:pt>
                <c:pt idx="27">
                  <c:v>446.46500000000003</c:v>
                </c:pt>
                <c:pt idx="28">
                  <c:v>206.82500000000002</c:v>
                </c:pt>
                <c:pt idx="29">
                  <c:v>278.31499999999994</c:v>
                </c:pt>
                <c:pt idx="30">
                  <c:v>36.939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D9-43E9-B8D7-AD30A71C7CFF}"/>
            </c:ext>
          </c:extLst>
        </c:ser>
        <c:ser>
          <c:idx val="8"/>
          <c:order val="8"/>
          <c:tx>
            <c:strRef>
              <c:f>'Oct 24 Graph'!$J$3:$J$4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Graph'!$J$5:$J$35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10.055</c:v>
                </c:pt>
                <c:pt idx="25">
                  <c:v>7.8769999999999998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8.4920000000000009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D9-43E9-B8D7-AD30A71C7CFF}"/>
            </c:ext>
          </c:extLst>
        </c:ser>
        <c:ser>
          <c:idx val="9"/>
          <c:order val="9"/>
          <c:tx>
            <c:strRef>
              <c:f>'Oct 24 Graph'!$K$3:$K$4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Graph'!$K$5:$K$35</c:f>
              <c:numCache>
                <c:formatCode>General</c:formatCode>
                <c:ptCount val="31"/>
                <c:pt idx="0">
                  <c:v>21.893999999999998</c:v>
                </c:pt>
                <c:pt idx="1">
                  <c:v>48.204999999999998</c:v>
                </c:pt>
                <c:pt idx="2">
                  <c:v>32.534000000000006</c:v>
                </c:pt>
                <c:pt idx="3">
                  <c:v>53.906000000000006</c:v>
                </c:pt>
                <c:pt idx="4">
                  <c:v>40.826999999999998</c:v>
                </c:pt>
                <c:pt idx="5">
                  <c:v>41.335000000000001</c:v>
                </c:pt>
                <c:pt idx="6">
                  <c:v>42.512999999999998</c:v>
                </c:pt>
                <c:pt idx="7">
                  <c:v>61.887</c:v>
                </c:pt>
                <c:pt idx="8">
                  <c:v>48.335000000000008</c:v>
                </c:pt>
                <c:pt idx="9">
                  <c:v>43.405000000000001</c:v>
                </c:pt>
                <c:pt idx="10">
                  <c:v>33.935000000000002</c:v>
                </c:pt>
                <c:pt idx="11">
                  <c:v>9.4760000000000009</c:v>
                </c:pt>
                <c:pt idx="12">
                  <c:v>26.225000000000001</c:v>
                </c:pt>
                <c:pt idx="13">
                  <c:v>44.414999999999999</c:v>
                </c:pt>
                <c:pt idx="14">
                  <c:v>22.093</c:v>
                </c:pt>
                <c:pt idx="15">
                  <c:v>35.837999999999994</c:v>
                </c:pt>
                <c:pt idx="16">
                  <c:v>26.792999999999999</c:v>
                </c:pt>
                <c:pt idx="17">
                  <c:v>37.016999999999996</c:v>
                </c:pt>
                <c:pt idx="18">
                  <c:v>34.765000000000001</c:v>
                </c:pt>
                <c:pt idx="19">
                  <c:v>38.497</c:v>
                </c:pt>
                <c:pt idx="20">
                  <c:v>21.927</c:v>
                </c:pt>
                <c:pt idx="21">
                  <c:v>25.390999999999998</c:v>
                </c:pt>
                <c:pt idx="22">
                  <c:v>42.69</c:v>
                </c:pt>
                <c:pt idx="23">
                  <c:v>45.225999999999999</c:v>
                </c:pt>
                <c:pt idx="24">
                  <c:v>32.581000000000003</c:v>
                </c:pt>
                <c:pt idx="25">
                  <c:v>43.052</c:v>
                </c:pt>
                <c:pt idx="26">
                  <c:v>20.308</c:v>
                </c:pt>
                <c:pt idx="27">
                  <c:v>57.848999999999997</c:v>
                </c:pt>
                <c:pt idx="28">
                  <c:v>39.416999999999994</c:v>
                </c:pt>
                <c:pt idx="29">
                  <c:v>67.187000000000012</c:v>
                </c:pt>
                <c:pt idx="30">
                  <c:v>35.724000000000004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D9-43E9-B8D7-AD30A71C7CFF}"/>
            </c:ext>
          </c:extLst>
        </c:ser>
        <c:ser>
          <c:idx val="10"/>
          <c:order val="10"/>
          <c:tx>
            <c:strRef>
              <c:f>'Oct 24 Graph'!$L$3:$L$4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Graph'!$L$5:$L$35</c:f>
              <c:numCache>
                <c:formatCode>General</c:formatCode>
                <c:ptCount val="31"/>
                <c:pt idx="0">
                  <c:v>2.306</c:v>
                </c:pt>
                <c:pt idx="1">
                  <c:v>2.2829999999999999</c:v>
                </c:pt>
                <c:pt idx="2">
                  <c:v>3.2519999999999998</c:v>
                </c:pt>
                <c:pt idx="3">
                  <c:v>4.194</c:v>
                </c:pt>
                <c:pt idx="4">
                  <c:v>2.8860000000000001</c:v>
                </c:pt>
                <c:pt idx="5">
                  <c:v>3.9169999999999998</c:v>
                </c:pt>
                <c:pt idx="6">
                  <c:v>3.6420000000000003</c:v>
                </c:pt>
                <c:pt idx="7">
                  <c:v>1.994</c:v>
                </c:pt>
                <c:pt idx="8">
                  <c:v>2.3119999999999998</c:v>
                </c:pt>
                <c:pt idx="9">
                  <c:v>3.198</c:v>
                </c:pt>
                <c:pt idx="10">
                  <c:v>0</c:v>
                </c:pt>
                <c:pt idx="11">
                  <c:v>2.427</c:v>
                </c:pt>
                <c:pt idx="12">
                  <c:v>2.0699999999999998</c:v>
                </c:pt>
                <c:pt idx="13">
                  <c:v>2.101</c:v>
                </c:pt>
                <c:pt idx="14">
                  <c:v>2.4209999999999998</c:v>
                </c:pt>
                <c:pt idx="15">
                  <c:v>2.2749999999999999</c:v>
                </c:pt>
                <c:pt idx="16">
                  <c:v>2.4009999999999998</c:v>
                </c:pt>
                <c:pt idx="17">
                  <c:v>3.2069999999999999</c:v>
                </c:pt>
                <c:pt idx="18">
                  <c:v>3.3839999999999999</c:v>
                </c:pt>
                <c:pt idx="19">
                  <c:v>2.29</c:v>
                </c:pt>
                <c:pt idx="20">
                  <c:v>3.891</c:v>
                </c:pt>
                <c:pt idx="21">
                  <c:v>2.1659999999999999</c:v>
                </c:pt>
                <c:pt idx="22">
                  <c:v>2.0390000000000001</c:v>
                </c:pt>
                <c:pt idx="23">
                  <c:v>2.323</c:v>
                </c:pt>
                <c:pt idx="24">
                  <c:v>2.137</c:v>
                </c:pt>
                <c:pt idx="25">
                  <c:v>2.419</c:v>
                </c:pt>
                <c:pt idx="26">
                  <c:v>2.806</c:v>
                </c:pt>
                <c:pt idx="27">
                  <c:v>2.2789999999999999</c:v>
                </c:pt>
                <c:pt idx="28">
                  <c:v>1.86</c:v>
                </c:pt>
                <c:pt idx="29">
                  <c:v>1.337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D9-43E9-B8D7-AD30A71C7CFF}"/>
            </c:ext>
          </c:extLst>
        </c:ser>
        <c:ser>
          <c:idx val="11"/>
          <c:order val="11"/>
          <c:tx>
            <c:strRef>
              <c:f>'Oct 24 Graph'!$M$3:$M$4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Graph'!$M$5:$M$35</c:f>
              <c:numCache>
                <c:formatCode>General</c:formatCode>
                <c:ptCount val="31"/>
                <c:pt idx="0">
                  <c:v>35.565999999999995</c:v>
                </c:pt>
                <c:pt idx="1">
                  <c:v>20.564</c:v>
                </c:pt>
                <c:pt idx="2">
                  <c:v>30.068999999999999</c:v>
                </c:pt>
                <c:pt idx="3">
                  <c:v>17.898</c:v>
                </c:pt>
                <c:pt idx="4">
                  <c:v>38.399000000000001</c:v>
                </c:pt>
                <c:pt idx="5">
                  <c:v>29.337999999999997</c:v>
                </c:pt>
                <c:pt idx="6">
                  <c:v>21.631999999999998</c:v>
                </c:pt>
                <c:pt idx="7">
                  <c:v>33.461999999999996</c:v>
                </c:pt>
                <c:pt idx="8">
                  <c:v>21.302000000000003</c:v>
                </c:pt>
                <c:pt idx="9">
                  <c:v>22.514000000000003</c:v>
                </c:pt>
                <c:pt idx="10">
                  <c:v>27.140999999999998</c:v>
                </c:pt>
                <c:pt idx="11">
                  <c:v>32.411999999999999</c:v>
                </c:pt>
                <c:pt idx="12">
                  <c:v>22.960999999999999</c:v>
                </c:pt>
                <c:pt idx="13">
                  <c:v>19.866</c:v>
                </c:pt>
                <c:pt idx="14">
                  <c:v>20.733000000000001</c:v>
                </c:pt>
                <c:pt idx="15">
                  <c:v>36.22</c:v>
                </c:pt>
                <c:pt idx="16">
                  <c:v>39.230999999999995</c:v>
                </c:pt>
                <c:pt idx="17">
                  <c:v>29.168999999999997</c:v>
                </c:pt>
                <c:pt idx="18">
                  <c:v>9.3529999999999998</c:v>
                </c:pt>
                <c:pt idx="19">
                  <c:v>46.082999999999998</c:v>
                </c:pt>
                <c:pt idx="20">
                  <c:v>19.785999999999998</c:v>
                </c:pt>
                <c:pt idx="21">
                  <c:v>37.418000000000006</c:v>
                </c:pt>
                <c:pt idx="22">
                  <c:v>31.581</c:v>
                </c:pt>
                <c:pt idx="23">
                  <c:v>28.065000000000001</c:v>
                </c:pt>
                <c:pt idx="24">
                  <c:v>20.603000000000002</c:v>
                </c:pt>
                <c:pt idx="25">
                  <c:v>43.762</c:v>
                </c:pt>
                <c:pt idx="26">
                  <c:v>18.245000000000001</c:v>
                </c:pt>
                <c:pt idx="27">
                  <c:v>27.412999999999997</c:v>
                </c:pt>
                <c:pt idx="28">
                  <c:v>38.120000000000005</c:v>
                </c:pt>
                <c:pt idx="29">
                  <c:v>35.832999999999998</c:v>
                </c:pt>
                <c:pt idx="30">
                  <c:v>28.995999999999999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4D9-43E9-B8D7-AD30A71C7CFF}"/>
            </c:ext>
          </c:extLst>
        </c:ser>
        <c:ser>
          <c:idx val="12"/>
          <c:order val="12"/>
          <c:tx>
            <c:strRef>
              <c:f>'Oct 24 Graph'!$N$3:$N$4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Graph'!$N$5:$N$35</c:f>
              <c:numCache>
                <c:formatCode>General</c:formatCode>
                <c:ptCount val="31"/>
                <c:pt idx="0">
                  <c:v>62.973000000000006</c:v>
                </c:pt>
                <c:pt idx="1">
                  <c:v>68.583999999999989</c:v>
                </c:pt>
                <c:pt idx="2">
                  <c:v>103.53800000000001</c:v>
                </c:pt>
                <c:pt idx="3">
                  <c:v>114.47200000000001</c:v>
                </c:pt>
                <c:pt idx="4">
                  <c:v>74.530999999999992</c:v>
                </c:pt>
                <c:pt idx="5">
                  <c:v>84.785000000000011</c:v>
                </c:pt>
                <c:pt idx="6">
                  <c:v>54.235999999999997</c:v>
                </c:pt>
                <c:pt idx="7">
                  <c:v>103.735</c:v>
                </c:pt>
                <c:pt idx="8">
                  <c:v>79.302000000000007</c:v>
                </c:pt>
                <c:pt idx="9">
                  <c:v>119.12700000000001</c:v>
                </c:pt>
                <c:pt idx="10">
                  <c:v>83.22</c:v>
                </c:pt>
                <c:pt idx="11">
                  <c:v>45.600000000000009</c:v>
                </c:pt>
                <c:pt idx="12">
                  <c:v>71.22499999999998</c:v>
                </c:pt>
                <c:pt idx="13">
                  <c:v>75.504999999999995</c:v>
                </c:pt>
                <c:pt idx="14">
                  <c:v>82.352000000000004</c:v>
                </c:pt>
                <c:pt idx="15">
                  <c:v>103.113</c:v>
                </c:pt>
                <c:pt idx="16">
                  <c:v>97.837999999999994</c:v>
                </c:pt>
                <c:pt idx="17">
                  <c:v>88.64200000000001</c:v>
                </c:pt>
                <c:pt idx="18">
                  <c:v>80.495999999999995</c:v>
                </c:pt>
                <c:pt idx="19">
                  <c:v>89.87299999999999</c:v>
                </c:pt>
                <c:pt idx="20">
                  <c:v>82.145999999999987</c:v>
                </c:pt>
                <c:pt idx="21">
                  <c:v>91.714999999999989</c:v>
                </c:pt>
                <c:pt idx="22">
                  <c:v>110.99100000000001</c:v>
                </c:pt>
                <c:pt idx="23">
                  <c:v>86.138000000000005</c:v>
                </c:pt>
                <c:pt idx="24">
                  <c:v>80.671000000000006</c:v>
                </c:pt>
                <c:pt idx="25">
                  <c:v>94.521999999999977</c:v>
                </c:pt>
                <c:pt idx="26">
                  <c:v>105.65</c:v>
                </c:pt>
                <c:pt idx="27">
                  <c:v>91.016999999999996</c:v>
                </c:pt>
                <c:pt idx="28">
                  <c:v>66.477000000000004</c:v>
                </c:pt>
                <c:pt idx="29">
                  <c:v>100.542</c:v>
                </c:pt>
                <c:pt idx="30">
                  <c:v>115.64299999999999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D9-43E9-B8D7-AD30A71C7CFF}"/>
            </c:ext>
          </c:extLst>
        </c:ser>
        <c:ser>
          <c:idx val="13"/>
          <c:order val="13"/>
          <c:tx>
            <c:strRef>
              <c:f>'Oct 24 Graph'!$O$3:$O$4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Graph'!$O$5:$O$35</c:f>
              <c:numCache>
                <c:formatCode>General</c:formatCode>
                <c:ptCount val="31"/>
                <c:pt idx="0">
                  <c:v>93.259000000000015</c:v>
                </c:pt>
                <c:pt idx="1">
                  <c:v>124.342</c:v>
                </c:pt>
                <c:pt idx="2">
                  <c:v>110.706</c:v>
                </c:pt>
                <c:pt idx="3">
                  <c:v>102.03899999999999</c:v>
                </c:pt>
                <c:pt idx="4">
                  <c:v>120.87299999999999</c:v>
                </c:pt>
                <c:pt idx="5">
                  <c:v>104.08899999999998</c:v>
                </c:pt>
                <c:pt idx="6">
                  <c:v>105.285</c:v>
                </c:pt>
                <c:pt idx="7">
                  <c:v>119.37699999999998</c:v>
                </c:pt>
                <c:pt idx="8">
                  <c:v>110.44</c:v>
                </c:pt>
                <c:pt idx="9">
                  <c:v>132.38199999999998</c:v>
                </c:pt>
                <c:pt idx="10">
                  <c:v>98.295000000000002</c:v>
                </c:pt>
                <c:pt idx="11">
                  <c:v>60.556000000000004</c:v>
                </c:pt>
                <c:pt idx="12">
                  <c:v>85.909000000000006</c:v>
                </c:pt>
                <c:pt idx="13">
                  <c:v>67.647000000000006</c:v>
                </c:pt>
                <c:pt idx="14">
                  <c:v>114.69</c:v>
                </c:pt>
                <c:pt idx="15">
                  <c:v>121.15100000000002</c:v>
                </c:pt>
                <c:pt idx="16">
                  <c:v>81.348000000000013</c:v>
                </c:pt>
                <c:pt idx="17">
                  <c:v>109.01800000000001</c:v>
                </c:pt>
                <c:pt idx="18">
                  <c:v>80.899000000000001</c:v>
                </c:pt>
                <c:pt idx="19">
                  <c:v>94.311999999999983</c:v>
                </c:pt>
                <c:pt idx="20">
                  <c:v>120.00600000000001</c:v>
                </c:pt>
                <c:pt idx="21">
                  <c:v>108.90900000000001</c:v>
                </c:pt>
                <c:pt idx="22">
                  <c:v>109.19999999999999</c:v>
                </c:pt>
                <c:pt idx="23">
                  <c:v>95.854000000000013</c:v>
                </c:pt>
                <c:pt idx="24">
                  <c:v>116.84900000000002</c:v>
                </c:pt>
                <c:pt idx="25">
                  <c:v>103.67699999999999</c:v>
                </c:pt>
                <c:pt idx="26">
                  <c:v>99.370000000000019</c:v>
                </c:pt>
                <c:pt idx="27">
                  <c:v>107.08900000000001</c:v>
                </c:pt>
                <c:pt idx="28">
                  <c:v>128.45099999999999</c:v>
                </c:pt>
                <c:pt idx="29">
                  <c:v>114.72900000000001</c:v>
                </c:pt>
                <c:pt idx="30">
                  <c:v>69.941000000000003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4D9-43E9-B8D7-AD30A71C7CFF}"/>
            </c:ext>
          </c:extLst>
        </c:ser>
        <c:ser>
          <c:idx val="14"/>
          <c:order val="14"/>
          <c:tx>
            <c:strRef>
              <c:f>'Oct 24 Graph'!$P$3:$P$4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Graph'!$P$5:$P$35</c:f>
              <c:numCache>
                <c:formatCode>General</c:formatCode>
                <c:ptCount val="31"/>
                <c:pt idx="0">
                  <c:v>2.21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D9-43E9-B8D7-AD30A71C7CFF}"/>
            </c:ext>
          </c:extLst>
        </c:ser>
        <c:ser>
          <c:idx val="15"/>
          <c:order val="15"/>
          <c:tx>
            <c:strRef>
              <c:f>'Oct 24 Graph'!$Q$3:$Q$4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'Oct 24 Graph'!$A$5:$A$35</c:f>
              <c:strCache>
                <c:ptCount val="31"/>
                <c:pt idx="0">
                  <c:v>Sum of 01-10-2024</c:v>
                </c:pt>
                <c:pt idx="1">
                  <c:v>Sum of 02-10-2024</c:v>
                </c:pt>
                <c:pt idx="2">
                  <c:v>Sum of 03-10-2024</c:v>
                </c:pt>
                <c:pt idx="3">
                  <c:v>Sum of 04-10-2024</c:v>
                </c:pt>
                <c:pt idx="4">
                  <c:v>Sum of 05-10-2024</c:v>
                </c:pt>
                <c:pt idx="5">
                  <c:v>Sum of 06-10-2024</c:v>
                </c:pt>
                <c:pt idx="6">
                  <c:v>Sum of 07-10-2024</c:v>
                </c:pt>
                <c:pt idx="7">
                  <c:v>Sum of 08-10-2024</c:v>
                </c:pt>
                <c:pt idx="8">
                  <c:v>Sum of 09-10-2024</c:v>
                </c:pt>
                <c:pt idx="9">
                  <c:v>Sum of 10-10-2024</c:v>
                </c:pt>
                <c:pt idx="10">
                  <c:v>Sum of 11-10-2024</c:v>
                </c:pt>
                <c:pt idx="11">
                  <c:v>Sum of 12-10-2024</c:v>
                </c:pt>
                <c:pt idx="12">
                  <c:v>Sum of 13-10-2024</c:v>
                </c:pt>
                <c:pt idx="13">
                  <c:v>Sum of 14-10-2024</c:v>
                </c:pt>
                <c:pt idx="14">
                  <c:v>Sum of 15-10-2024</c:v>
                </c:pt>
                <c:pt idx="15">
                  <c:v>Sum of 16-10-2024</c:v>
                </c:pt>
                <c:pt idx="16">
                  <c:v>Sum of 17-10-2024</c:v>
                </c:pt>
                <c:pt idx="17">
                  <c:v>Sum of 18-10-2024</c:v>
                </c:pt>
                <c:pt idx="18">
                  <c:v>Sum of 19-10-2024</c:v>
                </c:pt>
                <c:pt idx="19">
                  <c:v>Sum of 20-10-2024</c:v>
                </c:pt>
                <c:pt idx="20">
                  <c:v>Sum of 21-10-2024</c:v>
                </c:pt>
                <c:pt idx="21">
                  <c:v>Sum of 22-10-2024</c:v>
                </c:pt>
                <c:pt idx="22">
                  <c:v>Sum of 23-10-2024</c:v>
                </c:pt>
                <c:pt idx="23">
                  <c:v>Sum of 24-10-2024</c:v>
                </c:pt>
                <c:pt idx="24">
                  <c:v>Sum of 25-10-2024</c:v>
                </c:pt>
                <c:pt idx="25">
                  <c:v>Sum of 26-10-2024</c:v>
                </c:pt>
                <c:pt idx="26">
                  <c:v>Sum of 27-10-2024</c:v>
                </c:pt>
                <c:pt idx="27">
                  <c:v>Sum of 28-10-2024</c:v>
                </c:pt>
                <c:pt idx="28">
                  <c:v>Sum of 29-10-2024</c:v>
                </c:pt>
                <c:pt idx="29">
                  <c:v>Sum of 30-10-2024</c:v>
                </c:pt>
                <c:pt idx="30">
                  <c:v>Sum of 31-10-2024</c:v>
                </c:pt>
              </c:strCache>
            </c:strRef>
          </c:cat>
          <c:val>
            <c:numRef>
              <c:f>'Oct 24 Graph'!$Q$5:$Q$35</c:f>
              <c:numCache>
                <c:formatCode>General</c:formatCode>
                <c:ptCount val="31"/>
                <c:pt idx="22">
                  <c:v>0</c:v>
                </c:pt>
                <c:pt idx="23">
                  <c:v>0</c:v>
                </c:pt>
                <c:pt idx="24">
                  <c:v>6.3760000000000003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4D9-43E9-B8D7-AD30A71C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06520"/>
        <c:axId val="467506696"/>
      </c:barChart>
      <c:catAx>
        <c:axId val="54500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6696"/>
        <c:crosses val="autoZero"/>
        <c:auto val="1"/>
        <c:lblAlgn val="ctr"/>
        <c:lblOffset val="100"/>
        <c:noMultiLvlLbl val="0"/>
      </c:catAx>
      <c:valAx>
        <c:axId val="46750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Consumption.xlsx]Nov 24 Graph!PivotTable5</c:name>
    <c:fmtId val="5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6564596092155148"/>
          <c:w val="0.65585892388451439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'Nov 24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Graph'!$B$5:$B$34</c:f>
              <c:numCache>
                <c:formatCode>General</c:formatCode>
                <c:ptCount val="30"/>
                <c:pt idx="0">
                  <c:v>0</c:v>
                </c:pt>
                <c:pt idx="1">
                  <c:v>57.981000000000002</c:v>
                </c:pt>
                <c:pt idx="2">
                  <c:v>88.330000000000013</c:v>
                </c:pt>
                <c:pt idx="3">
                  <c:v>57.144999999999996</c:v>
                </c:pt>
                <c:pt idx="4">
                  <c:v>102.21700000000001</c:v>
                </c:pt>
                <c:pt idx="5">
                  <c:v>84.888000000000019</c:v>
                </c:pt>
                <c:pt idx="6">
                  <c:v>115.50700000000001</c:v>
                </c:pt>
                <c:pt idx="7">
                  <c:v>92.378999999999991</c:v>
                </c:pt>
                <c:pt idx="8">
                  <c:v>70.289999999999992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16.669</c:v>
                </c:pt>
                <c:pt idx="16">
                  <c:v>126.81599999999999</c:v>
                </c:pt>
                <c:pt idx="17">
                  <c:v>106.05200000000002</c:v>
                </c:pt>
                <c:pt idx="18">
                  <c:v>96.296999999999983</c:v>
                </c:pt>
                <c:pt idx="19">
                  <c:v>58.818000000000005</c:v>
                </c:pt>
                <c:pt idx="20">
                  <c:v>69.331000000000017</c:v>
                </c:pt>
                <c:pt idx="21">
                  <c:v>156.35800000000009</c:v>
                </c:pt>
                <c:pt idx="22">
                  <c:v>139.02099999999999</c:v>
                </c:pt>
                <c:pt idx="23">
                  <c:v>162.12600000000003</c:v>
                </c:pt>
                <c:pt idx="24">
                  <c:v>153.42399999999998</c:v>
                </c:pt>
                <c:pt idx="25">
                  <c:v>140.30100000000002</c:v>
                </c:pt>
                <c:pt idx="26">
                  <c:v>159.51300000000001</c:v>
                </c:pt>
                <c:pt idx="27">
                  <c:v>143.03</c:v>
                </c:pt>
                <c:pt idx="28">
                  <c:v>155.01000000000005</c:v>
                </c:pt>
                <c:pt idx="29">
                  <c:v>136.88600000000002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3-4585-8E07-223D55D08141}"/>
            </c:ext>
          </c:extLst>
        </c:ser>
        <c:ser>
          <c:idx val="1"/>
          <c:order val="1"/>
          <c:tx>
            <c:strRef>
              <c:f>'Nov 24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Graph'!$C$5:$C$34</c:f>
              <c:numCache>
                <c:formatCode>General</c:formatCode>
                <c:ptCount val="30"/>
                <c:pt idx="0">
                  <c:v>234.34000000000006</c:v>
                </c:pt>
                <c:pt idx="1">
                  <c:v>395.73899999999992</c:v>
                </c:pt>
                <c:pt idx="2">
                  <c:v>509.67400000000004</c:v>
                </c:pt>
                <c:pt idx="3">
                  <c:v>629.39900000000011</c:v>
                </c:pt>
                <c:pt idx="4">
                  <c:v>696.31499999999994</c:v>
                </c:pt>
                <c:pt idx="5">
                  <c:v>676.71800000000007</c:v>
                </c:pt>
                <c:pt idx="6">
                  <c:v>663.55000000000007</c:v>
                </c:pt>
                <c:pt idx="7">
                  <c:v>630.0100000000001</c:v>
                </c:pt>
                <c:pt idx="8">
                  <c:v>700.149</c:v>
                </c:pt>
                <c:pt idx="9">
                  <c:v>731.77199999999993</c:v>
                </c:pt>
                <c:pt idx="10">
                  <c:v>651.52200000000005</c:v>
                </c:pt>
                <c:pt idx="11">
                  <c:v>660.83100000000013</c:v>
                </c:pt>
                <c:pt idx="12">
                  <c:v>636.93500000000006</c:v>
                </c:pt>
                <c:pt idx="13">
                  <c:v>619.96100000000013</c:v>
                </c:pt>
                <c:pt idx="14">
                  <c:v>654.75</c:v>
                </c:pt>
                <c:pt idx="15">
                  <c:v>606.68799999999987</c:v>
                </c:pt>
                <c:pt idx="16">
                  <c:v>661.32500000000005</c:v>
                </c:pt>
                <c:pt idx="17">
                  <c:v>569.76</c:v>
                </c:pt>
                <c:pt idx="18">
                  <c:v>595.58800000000008</c:v>
                </c:pt>
                <c:pt idx="19">
                  <c:v>529.79700000000003</c:v>
                </c:pt>
                <c:pt idx="20">
                  <c:v>602.505</c:v>
                </c:pt>
                <c:pt idx="21">
                  <c:v>593.44399999999996</c:v>
                </c:pt>
                <c:pt idx="22">
                  <c:v>594.01199999999994</c:v>
                </c:pt>
                <c:pt idx="23">
                  <c:v>565.4430000000001</c:v>
                </c:pt>
                <c:pt idx="24">
                  <c:v>627.44100000000003</c:v>
                </c:pt>
                <c:pt idx="25">
                  <c:v>560.12199999999996</c:v>
                </c:pt>
                <c:pt idx="26">
                  <c:v>672.47900000000004</c:v>
                </c:pt>
                <c:pt idx="27">
                  <c:v>630.46</c:v>
                </c:pt>
                <c:pt idx="28">
                  <c:v>604.43700000000001</c:v>
                </c:pt>
                <c:pt idx="29">
                  <c:v>658.02299999999991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3-4585-8E07-223D55D08141}"/>
            </c:ext>
          </c:extLst>
        </c:ser>
        <c:ser>
          <c:idx val="2"/>
          <c:order val="2"/>
          <c:tx>
            <c:strRef>
              <c:f>'Nov 24 Graph'!$D$3:$D$4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Graph'!$D$5:$D$34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3-4585-8E07-223D55D08141}"/>
            </c:ext>
          </c:extLst>
        </c:ser>
        <c:ser>
          <c:idx val="3"/>
          <c:order val="3"/>
          <c:tx>
            <c:strRef>
              <c:f>'Nov 24 Graph'!$E$3:$E$4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Graph'!$E$5:$E$34</c:f>
              <c:numCache>
                <c:formatCode>General</c:formatCode>
                <c:ptCount val="30"/>
                <c:pt idx="0">
                  <c:v>555.55599999999993</c:v>
                </c:pt>
                <c:pt idx="1">
                  <c:v>674.75299999999993</c:v>
                </c:pt>
                <c:pt idx="2">
                  <c:v>735.29300000000001</c:v>
                </c:pt>
                <c:pt idx="3">
                  <c:v>875.59600000000012</c:v>
                </c:pt>
                <c:pt idx="4">
                  <c:v>922.58999999999992</c:v>
                </c:pt>
                <c:pt idx="5">
                  <c:v>937.97499999999991</c:v>
                </c:pt>
                <c:pt idx="6">
                  <c:v>934.7320000000002</c:v>
                </c:pt>
                <c:pt idx="7">
                  <c:v>847.08499999999981</c:v>
                </c:pt>
                <c:pt idx="8">
                  <c:v>855.37400000000002</c:v>
                </c:pt>
                <c:pt idx="9">
                  <c:v>923.16599999999983</c:v>
                </c:pt>
                <c:pt idx="10">
                  <c:v>923.92499999999984</c:v>
                </c:pt>
                <c:pt idx="11">
                  <c:v>1012.5650000000001</c:v>
                </c:pt>
                <c:pt idx="12">
                  <c:v>1033.2309999999998</c:v>
                </c:pt>
                <c:pt idx="13">
                  <c:v>1017.4259999999999</c:v>
                </c:pt>
                <c:pt idx="14">
                  <c:v>860.97499999999968</c:v>
                </c:pt>
                <c:pt idx="15">
                  <c:v>956.86400000000003</c:v>
                </c:pt>
                <c:pt idx="16">
                  <c:v>875.02099999999984</c:v>
                </c:pt>
                <c:pt idx="17">
                  <c:v>1019.5590000000003</c:v>
                </c:pt>
                <c:pt idx="18">
                  <c:v>856.54399999999998</c:v>
                </c:pt>
                <c:pt idx="19">
                  <c:v>704.76400000000001</c:v>
                </c:pt>
                <c:pt idx="20">
                  <c:v>950.51800000000014</c:v>
                </c:pt>
                <c:pt idx="21">
                  <c:v>860.09899999999993</c:v>
                </c:pt>
                <c:pt idx="22">
                  <c:v>894.08799999999997</c:v>
                </c:pt>
                <c:pt idx="23">
                  <c:v>775.4140000000001</c:v>
                </c:pt>
                <c:pt idx="24">
                  <c:v>899.15</c:v>
                </c:pt>
                <c:pt idx="25">
                  <c:v>910.41000000000008</c:v>
                </c:pt>
                <c:pt idx="26">
                  <c:v>891.57800000000009</c:v>
                </c:pt>
                <c:pt idx="27">
                  <c:v>979.64700000000005</c:v>
                </c:pt>
                <c:pt idx="28">
                  <c:v>970.47300000000007</c:v>
                </c:pt>
                <c:pt idx="29">
                  <c:v>980.86100000000033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3-4585-8E07-223D55D08141}"/>
            </c:ext>
          </c:extLst>
        </c:ser>
        <c:ser>
          <c:idx val="4"/>
          <c:order val="4"/>
          <c:tx>
            <c:strRef>
              <c:f>'Nov 24 Graph'!$F$3:$F$4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Graph'!$F$5:$F$34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1.7090000000000001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50.010999999999996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3-4585-8E07-223D55D08141}"/>
            </c:ext>
          </c:extLst>
        </c:ser>
        <c:ser>
          <c:idx val="5"/>
          <c:order val="5"/>
          <c:tx>
            <c:strRef>
              <c:f>'Nov 24 Graph'!$G$3:$G$4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Graph'!$G$5:$G$34</c:f>
              <c:numCache>
                <c:formatCode>General</c:formatCode>
                <c:ptCount val="30"/>
                <c:pt idx="0">
                  <c:v>33.792000000000002</c:v>
                </c:pt>
                <c:pt idx="1">
                  <c:v>67.42</c:v>
                </c:pt>
                <c:pt idx="2">
                  <c:v>43.146999999999998</c:v>
                </c:pt>
                <c:pt idx="3">
                  <c:v>31.066000000000003</c:v>
                </c:pt>
                <c:pt idx="4">
                  <c:v>43.396999999999998</c:v>
                </c:pt>
                <c:pt idx="5">
                  <c:v>50.121000000000002</c:v>
                </c:pt>
                <c:pt idx="6">
                  <c:v>57.01</c:v>
                </c:pt>
                <c:pt idx="7">
                  <c:v>26.614000000000004</c:v>
                </c:pt>
                <c:pt idx="8">
                  <c:v>33.649000000000001</c:v>
                </c:pt>
                <c:pt idx="9">
                  <c:v>48.697999999999993</c:v>
                </c:pt>
                <c:pt idx="10">
                  <c:v>55.952999999999996</c:v>
                </c:pt>
                <c:pt idx="11">
                  <c:v>45.619</c:v>
                </c:pt>
                <c:pt idx="12">
                  <c:v>40.193000000000005</c:v>
                </c:pt>
                <c:pt idx="13">
                  <c:v>43.939</c:v>
                </c:pt>
                <c:pt idx="14">
                  <c:v>49.81600000000001</c:v>
                </c:pt>
                <c:pt idx="15">
                  <c:v>58.075000000000003</c:v>
                </c:pt>
                <c:pt idx="16">
                  <c:v>43.055000000000007</c:v>
                </c:pt>
                <c:pt idx="17">
                  <c:v>41.427</c:v>
                </c:pt>
                <c:pt idx="18">
                  <c:v>31.447000000000003</c:v>
                </c:pt>
                <c:pt idx="19">
                  <c:v>52.886999999999986</c:v>
                </c:pt>
                <c:pt idx="20">
                  <c:v>38.442999999999998</c:v>
                </c:pt>
                <c:pt idx="21">
                  <c:v>27.642000000000003</c:v>
                </c:pt>
                <c:pt idx="22">
                  <c:v>44.740999999999993</c:v>
                </c:pt>
                <c:pt idx="23">
                  <c:v>41.943999999999996</c:v>
                </c:pt>
                <c:pt idx="24">
                  <c:v>42.108000000000004</c:v>
                </c:pt>
                <c:pt idx="25">
                  <c:v>34.039000000000001</c:v>
                </c:pt>
                <c:pt idx="26">
                  <c:v>40.214999999999996</c:v>
                </c:pt>
                <c:pt idx="27">
                  <c:v>36.066999999999986</c:v>
                </c:pt>
                <c:pt idx="28">
                  <c:v>42.634999999999998</c:v>
                </c:pt>
                <c:pt idx="29">
                  <c:v>25.673999999999996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F3-4585-8E07-223D55D08141}"/>
            </c:ext>
          </c:extLst>
        </c:ser>
        <c:ser>
          <c:idx val="6"/>
          <c:order val="6"/>
          <c:tx>
            <c:strRef>
              <c:f>'Nov 24 Graph'!$H$3:$H$4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Graph'!$H$5:$H$34</c:f>
              <c:numCache>
                <c:formatCode>General</c:formatCode>
                <c:ptCount val="30"/>
                <c:pt idx="0">
                  <c:v>2467.5750000000003</c:v>
                </c:pt>
                <c:pt idx="1">
                  <c:v>2383.5229999999997</c:v>
                </c:pt>
                <c:pt idx="2">
                  <c:v>2708.5570000000007</c:v>
                </c:pt>
                <c:pt idx="3">
                  <c:v>3195.7599999999998</c:v>
                </c:pt>
                <c:pt idx="4">
                  <c:v>3499.3910000000001</c:v>
                </c:pt>
                <c:pt idx="5">
                  <c:v>3588.0110000000004</c:v>
                </c:pt>
                <c:pt idx="6">
                  <c:v>3519.5420000000004</c:v>
                </c:pt>
                <c:pt idx="7">
                  <c:v>3603.3829999999994</c:v>
                </c:pt>
                <c:pt idx="8">
                  <c:v>3157.9490000000005</c:v>
                </c:pt>
                <c:pt idx="9">
                  <c:v>2908.7419999999993</c:v>
                </c:pt>
                <c:pt idx="10">
                  <c:v>2983.6549999999997</c:v>
                </c:pt>
                <c:pt idx="11">
                  <c:v>3859.7069999999994</c:v>
                </c:pt>
                <c:pt idx="12">
                  <c:v>3474.4929999999999</c:v>
                </c:pt>
                <c:pt idx="13">
                  <c:v>3980.7650000000003</c:v>
                </c:pt>
                <c:pt idx="14">
                  <c:v>4094.809000000002</c:v>
                </c:pt>
                <c:pt idx="15">
                  <c:v>3265.4190000000003</c:v>
                </c:pt>
                <c:pt idx="16">
                  <c:v>2956.2159999999999</c:v>
                </c:pt>
                <c:pt idx="17">
                  <c:v>3388.9379999999996</c:v>
                </c:pt>
                <c:pt idx="18">
                  <c:v>3802.1259999999997</c:v>
                </c:pt>
                <c:pt idx="19">
                  <c:v>3706.0519999999992</c:v>
                </c:pt>
                <c:pt idx="20">
                  <c:v>3267.8690000000001</c:v>
                </c:pt>
                <c:pt idx="21">
                  <c:v>3763.1809999999991</c:v>
                </c:pt>
                <c:pt idx="22">
                  <c:v>3402.5529999999994</c:v>
                </c:pt>
                <c:pt idx="23">
                  <c:v>2992.2569999999996</c:v>
                </c:pt>
                <c:pt idx="24">
                  <c:v>3321.9490000000001</c:v>
                </c:pt>
                <c:pt idx="25">
                  <c:v>3780.1</c:v>
                </c:pt>
                <c:pt idx="26">
                  <c:v>3928.2079999999978</c:v>
                </c:pt>
                <c:pt idx="27">
                  <c:v>4054.5240000000013</c:v>
                </c:pt>
                <c:pt idx="28">
                  <c:v>3919.3579999999997</c:v>
                </c:pt>
                <c:pt idx="29">
                  <c:v>3720.7200000000003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F3-4585-8E07-223D55D08141}"/>
            </c:ext>
          </c:extLst>
        </c:ser>
        <c:ser>
          <c:idx val="7"/>
          <c:order val="7"/>
          <c:tx>
            <c:strRef>
              <c:f>'Nov 24 Graph'!$I$3:$I$4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Graph'!$I$5:$I$34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F3-4585-8E07-223D55D08141}"/>
            </c:ext>
          </c:extLst>
        </c:ser>
        <c:ser>
          <c:idx val="8"/>
          <c:order val="8"/>
          <c:tx>
            <c:strRef>
              <c:f>'Nov 24 Graph'!$J$3:$J$4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Graph'!$J$5:$J$34</c:f>
              <c:numCache>
                <c:formatCode>General</c:formatCode>
                <c:ptCount val="30"/>
                <c:pt idx="0">
                  <c:v>198.98499999999996</c:v>
                </c:pt>
                <c:pt idx="1">
                  <c:v>610.73600000000022</c:v>
                </c:pt>
                <c:pt idx="2">
                  <c:v>618.49800000000005</c:v>
                </c:pt>
                <c:pt idx="3">
                  <c:v>329.03999999999996</c:v>
                </c:pt>
                <c:pt idx="4">
                  <c:v>407.78</c:v>
                </c:pt>
                <c:pt idx="5">
                  <c:v>653.66599999999983</c:v>
                </c:pt>
                <c:pt idx="6">
                  <c:v>627.40299999999979</c:v>
                </c:pt>
                <c:pt idx="7">
                  <c:v>611.98599999999988</c:v>
                </c:pt>
                <c:pt idx="8">
                  <c:v>668.29900000000009</c:v>
                </c:pt>
                <c:pt idx="9">
                  <c:v>625.77799999999991</c:v>
                </c:pt>
                <c:pt idx="10">
                  <c:v>263.49999999999994</c:v>
                </c:pt>
                <c:pt idx="11">
                  <c:v>361.66300000000007</c:v>
                </c:pt>
                <c:pt idx="12">
                  <c:v>577.25099999999998</c:v>
                </c:pt>
                <c:pt idx="13">
                  <c:v>499.84900000000033</c:v>
                </c:pt>
                <c:pt idx="14">
                  <c:v>523.61900000000003</c:v>
                </c:pt>
                <c:pt idx="15">
                  <c:v>566.50199999999984</c:v>
                </c:pt>
                <c:pt idx="16">
                  <c:v>552.60299999999984</c:v>
                </c:pt>
                <c:pt idx="17">
                  <c:v>248.05099999999999</c:v>
                </c:pt>
                <c:pt idx="18">
                  <c:v>267.7589999999999</c:v>
                </c:pt>
                <c:pt idx="19">
                  <c:v>405.31499999999988</c:v>
                </c:pt>
                <c:pt idx="20">
                  <c:v>289.1040000000001</c:v>
                </c:pt>
                <c:pt idx="21">
                  <c:v>415.50899999999996</c:v>
                </c:pt>
                <c:pt idx="22">
                  <c:v>408.65699999999987</c:v>
                </c:pt>
                <c:pt idx="23">
                  <c:v>520.17300000000012</c:v>
                </c:pt>
                <c:pt idx="24">
                  <c:v>257.173</c:v>
                </c:pt>
                <c:pt idx="25">
                  <c:v>284.18299999999999</c:v>
                </c:pt>
                <c:pt idx="26">
                  <c:v>440.9260000000001</c:v>
                </c:pt>
                <c:pt idx="27">
                  <c:v>313.82400000000001</c:v>
                </c:pt>
                <c:pt idx="28">
                  <c:v>464.5659999999998</c:v>
                </c:pt>
                <c:pt idx="29">
                  <c:v>428.99599999999992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F3-4585-8E07-223D55D08141}"/>
            </c:ext>
          </c:extLst>
        </c:ser>
        <c:ser>
          <c:idx val="9"/>
          <c:order val="9"/>
          <c:tx>
            <c:strRef>
              <c:f>'Nov 24 Graph'!$K$3:$K$4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Graph'!$K$5:$K$34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11.192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6.7830000000000004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F3-4585-8E07-223D55D08141}"/>
            </c:ext>
          </c:extLst>
        </c:ser>
        <c:ser>
          <c:idx val="10"/>
          <c:order val="10"/>
          <c:tx>
            <c:strRef>
              <c:f>'Nov 24 Graph'!$L$3:$L$4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Graph'!$L$5:$L$34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24.835999999999999</c:v>
                </c:pt>
                <c:pt idx="3">
                  <c:v>33.174000000000007</c:v>
                </c:pt>
                <c:pt idx="4">
                  <c:v>45.519000000000005</c:v>
                </c:pt>
                <c:pt idx="5">
                  <c:v>45.063000000000002</c:v>
                </c:pt>
                <c:pt idx="6">
                  <c:v>68.47999999999999</c:v>
                </c:pt>
                <c:pt idx="7">
                  <c:v>27.373999999999999</c:v>
                </c:pt>
                <c:pt idx="8">
                  <c:v>32.853000000000002</c:v>
                </c:pt>
                <c:pt idx="9">
                  <c:v>14.852</c:v>
                </c:pt>
                <c:pt idx="10">
                  <c:v>51.063000000000002</c:v>
                </c:pt>
                <c:pt idx="11">
                  <c:v>26.486999999999995</c:v>
                </c:pt>
                <c:pt idx="12">
                  <c:v>65.817999999999998</c:v>
                </c:pt>
                <c:pt idx="13">
                  <c:v>49.411999999999999</c:v>
                </c:pt>
                <c:pt idx="14">
                  <c:v>6.7239999999999993</c:v>
                </c:pt>
                <c:pt idx="15">
                  <c:v>33.299000000000007</c:v>
                </c:pt>
                <c:pt idx="16">
                  <c:v>0</c:v>
                </c:pt>
                <c:pt idx="17">
                  <c:v>30.396999999999998</c:v>
                </c:pt>
                <c:pt idx="18">
                  <c:v>51.815000000000005</c:v>
                </c:pt>
                <c:pt idx="19">
                  <c:v>53.319999999999993</c:v>
                </c:pt>
                <c:pt idx="20">
                  <c:v>36.469000000000001</c:v>
                </c:pt>
                <c:pt idx="21">
                  <c:v>45.802</c:v>
                </c:pt>
                <c:pt idx="22">
                  <c:v>41.86</c:v>
                </c:pt>
                <c:pt idx="23">
                  <c:v>22.491</c:v>
                </c:pt>
                <c:pt idx="24">
                  <c:v>0</c:v>
                </c:pt>
                <c:pt idx="25">
                  <c:v>1.5309999999999999</c:v>
                </c:pt>
                <c:pt idx="26">
                  <c:v>10.780999999999999</c:v>
                </c:pt>
                <c:pt idx="27">
                  <c:v>3.8779999999999997</c:v>
                </c:pt>
                <c:pt idx="28">
                  <c:v>19.803000000000004</c:v>
                </c:pt>
                <c:pt idx="29">
                  <c:v>11.154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F3-4585-8E07-223D55D08141}"/>
            </c:ext>
          </c:extLst>
        </c:ser>
        <c:ser>
          <c:idx val="11"/>
          <c:order val="11"/>
          <c:tx>
            <c:strRef>
              <c:f>'Nov 24 Graph'!$M$3:$M$4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Graph'!$M$5:$M$34</c:f>
              <c:numCache>
                <c:formatCode>General</c:formatCode>
                <c:ptCount val="30"/>
                <c:pt idx="0">
                  <c:v>7.8E-2</c:v>
                </c:pt>
                <c:pt idx="1">
                  <c:v>3.9E-2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2.5379999999999998</c:v>
                </c:pt>
                <c:pt idx="9">
                  <c:v>0</c:v>
                </c:pt>
                <c:pt idx="10">
                  <c:v>3.6719999999999997</c:v>
                </c:pt>
                <c:pt idx="11">
                  <c:v>2.7440000000000002</c:v>
                </c:pt>
                <c:pt idx="12">
                  <c:v>0</c:v>
                </c:pt>
                <c:pt idx="13">
                  <c:v>3.5859999999999999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F3-4585-8E07-223D55D08141}"/>
            </c:ext>
          </c:extLst>
        </c:ser>
        <c:ser>
          <c:idx val="12"/>
          <c:order val="12"/>
          <c:tx>
            <c:strRef>
              <c:f>'Nov 24 Graph'!$N$3:$N$4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Graph'!$N$5:$N$34</c:f>
              <c:numCache>
                <c:formatCode>General</c:formatCode>
                <c:ptCount val="30"/>
                <c:pt idx="0">
                  <c:v>23.132999999999999</c:v>
                </c:pt>
                <c:pt idx="1">
                  <c:v>35.357999999999997</c:v>
                </c:pt>
                <c:pt idx="2">
                  <c:v>31.808</c:v>
                </c:pt>
                <c:pt idx="3">
                  <c:v>19.542999999999999</c:v>
                </c:pt>
                <c:pt idx="4">
                  <c:v>48.875</c:v>
                </c:pt>
                <c:pt idx="5">
                  <c:v>27.076999999999998</c:v>
                </c:pt>
                <c:pt idx="6">
                  <c:v>25.331000000000003</c:v>
                </c:pt>
                <c:pt idx="7">
                  <c:v>27.509</c:v>
                </c:pt>
                <c:pt idx="8">
                  <c:v>44.205000000000005</c:v>
                </c:pt>
                <c:pt idx="9">
                  <c:v>24.793999999999997</c:v>
                </c:pt>
                <c:pt idx="10">
                  <c:v>33.337999999999994</c:v>
                </c:pt>
                <c:pt idx="11">
                  <c:v>47.954999999999998</c:v>
                </c:pt>
                <c:pt idx="12">
                  <c:v>50.529000000000003</c:v>
                </c:pt>
                <c:pt idx="13">
                  <c:v>17.161999999999999</c:v>
                </c:pt>
                <c:pt idx="14">
                  <c:v>54.081999999999994</c:v>
                </c:pt>
                <c:pt idx="15">
                  <c:v>25.654</c:v>
                </c:pt>
                <c:pt idx="16">
                  <c:v>26.925000000000001</c:v>
                </c:pt>
                <c:pt idx="17">
                  <c:v>49.415000000000006</c:v>
                </c:pt>
                <c:pt idx="18">
                  <c:v>19.559000000000001</c:v>
                </c:pt>
                <c:pt idx="19">
                  <c:v>31.046999999999997</c:v>
                </c:pt>
                <c:pt idx="20">
                  <c:v>29.976000000000003</c:v>
                </c:pt>
                <c:pt idx="21">
                  <c:v>49.268999999999998</c:v>
                </c:pt>
                <c:pt idx="22">
                  <c:v>27.978000000000002</c:v>
                </c:pt>
                <c:pt idx="23">
                  <c:v>35.073999999999998</c:v>
                </c:pt>
                <c:pt idx="24">
                  <c:v>25.295000000000002</c:v>
                </c:pt>
                <c:pt idx="25">
                  <c:v>15.239000000000001</c:v>
                </c:pt>
                <c:pt idx="26">
                  <c:v>41.280999999999999</c:v>
                </c:pt>
                <c:pt idx="27">
                  <c:v>31.934000000000001</c:v>
                </c:pt>
                <c:pt idx="28">
                  <c:v>30.127000000000002</c:v>
                </c:pt>
                <c:pt idx="29">
                  <c:v>22.869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F3-4585-8E07-223D55D08141}"/>
            </c:ext>
          </c:extLst>
        </c:ser>
        <c:ser>
          <c:idx val="13"/>
          <c:order val="13"/>
          <c:tx>
            <c:strRef>
              <c:f>'Nov 24 Graph'!$O$3:$O$4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Graph'!$O$5:$O$34</c:f>
              <c:numCache>
                <c:formatCode>General</c:formatCode>
                <c:ptCount val="30"/>
                <c:pt idx="0">
                  <c:v>97.065000000000026</c:v>
                </c:pt>
                <c:pt idx="1">
                  <c:v>77.873999999999995</c:v>
                </c:pt>
                <c:pt idx="2">
                  <c:v>100.97</c:v>
                </c:pt>
                <c:pt idx="3">
                  <c:v>93.120999999999995</c:v>
                </c:pt>
                <c:pt idx="4">
                  <c:v>85.971999999999994</c:v>
                </c:pt>
                <c:pt idx="5">
                  <c:v>78.743999999999971</c:v>
                </c:pt>
                <c:pt idx="6">
                  <c:v>106.21000000000001</c:v>
                </c:pt>
                <c:pt idx="7">
                  <c:v>75.225999999999999</c:v>
                </c:pt>
                <c:pt idx="8">
                  <c:v>100.88900000000001</c:v>
                </c:pt>
                <c:pt idx="9">
                  <c:v>85.632000000000019</c:v>
                </c:pt>
                <c:pt idx="10">
                  <c:v>102.56299999999999</c:v>
                </c:pt>
                <c:pt idx="11">
                  <c:v>103.276</c:v>
                </c:pt>
                <c:pt idx="12">
                  <c:v>84.002999999999986</c:v>
                </c:pt>
                <c:pt idx="13">
                  <c:v>103.84700000000002</c:v>
                </c:pt>
                <c:pt idx="14">
                  <c:v>55.753999999999998</c:v>
                </c:pt>
                <c:pt idx="15">
                  <c:v>109.03500000000001</c:v>
                </c:pt>
                <c:pt idx="16">
                  <c:v>81.071999999999989</c:v>
                </c:pt>
                <c:pt idx="17">
                  <c:v>94.775999999999982</c:v>
                </c:pt>
                <c:pt idx="18">
                  <c:v>82.603999999999999</c:v>
                </c:pt>
                <c:pt idx="19">
                  <c:v>122.03599999999997</c:v>
                </c:pt>
                <c:pt idx="20">
                  <c:v>92.447000000000003</c:v>
                </c:pt>
                <c:pt idx="21">
                  <c:v>96.160999999999987</c:v>
                </c:pt>
                <c:pt idx="22">
                  <c:v>95.771000000000015</c:v>
                </c:pt>
                <c:pt idx="23">
                  <c:v>81.272000000000006</c:v>
                </c:pt>
                <c:pt idx="24">
                  <c:v>78.828999999999994</c:v>
                </c:pt>
                <c:pt idx="25">
                  <c:v>95.37</c:v>
                </c:pt>
                <c:pt idx="26">
                  <c:v>95.743999999999986</c:v>
                </c:pt>
                <c:pt idx="27">
                  <c:v>97.995000000000005</c:v>
                </c:pt>
                <c:pt idx="28">
                  <c:v>89.14700000000002</c:v>
                </c:pt>
                <c:pt idx="29">
                  <c:v>70.304999999999993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F3-4585-8E07-223D55D08141}"/>
            </c:ext>
          </c:extLst>
        </c:ser>
        <c:ser>
          <c:idx val="14"/>
          <c:order val="14"/>
          <c:tx>
            <c:strRef>
              <c:f>'Nov 24 Graph'!$P$3:$P$4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Graph'!$P$5:$P$34</c:f>
              <c:numCache>
                <c:formatCode>General</c:formatCode>
                <c:ptCount val="30"/>
                <c:pt idx="0">
                  <c:v>105.066</c:v>
                </c:pt>
                <c:pt idx="1">
                  <c:v>76.692999999999998</c:v>
                </c:pt>
                <c:pt idx="2">
                  <c:v>102.16699999999999</c:v>
                </c:pt>
                <c:pt idx="3">
                  <c:v>130.52499999999998</c:v>
                </c:pt>
                <c:pt idx="4">
                  <c:v>85.278000000000006</c:v>
                </c:pt>
                <c:pt idx="5">
                  <c:v>96.097000000000008</c:v>
                </c:pt>
                <c:pt idx="6">
                  <c:v>84.896000000000001</c:v>
                </c:pt>
                <c:pt idx="7">
                  <c:v>96.495999999999995</c:v>
                </c:pt>
                <c:pt idx="8">
                  <c:v>145.50899999999999</c:v>
                </c:pt>
                <c:pt idx="9">
                  <c:v>77.254999999999995</c:v>
                </c:pt>
                <c:pt idx="10">
                  <c:v>152.00500000000002</c:v>
                </c:pt>
                <c:pt idx="11">
                  <c:v>73.292999999999992</c:v>
                </c:pt>
                <c:pt idx="12">
                  <c:v>100.84500000000001</c:v>
                </c:pt>
                <c:pt idx="13">
                  <c:v>118.41999999999997</c:v>
                </c:pt>
                <c:pt idx="14">
                  <c:v>72.057000000000002</c:v>
                </c:pt>
                <c:pt idx="15">
                  <c:v>127.73200000000001</c:v>
                </c:pt>
                <c:pt idx="16">
                  <c:v>109.73300000000002</c:v>
                </c:pt>
                <c:pt idx="17">
                  <c:v>115.57399999999997</c:v>
                </c:pt>
                <c:pt idx="18">
                  <c:v>84.847999999999999</c:v>
                </c:pt>
                <c:pt idx="19">
                  <c:v>98.855999999999995</c:v>
                </c:pt>
                <c:pt idx="20">
                  <c:v>118.68000000000004</c:v>
                </c:pt>
                <c:pt idx="21">
                  <c:v>125.27700000000002</c:v>
                </c:pt>
                <c:pt idx="22">
                  <c:v>102.72499999999998</c:v>
                </c:pt>
                <c:pt idx="23">
                  <c:v>122.36500000000001</c:v>
                </c:pt>
                <c:pt idx="24">
                  <c:v>93.745999999999981</c:v>
                </c:pt>
                <c:pt idx="25">
                  <c:v>82.062000000000012</c:v>
                </c:pt>
                <c:pt idx="26">
                  <c:v>156.28100000000001</c:v>
                </c:pt>
                <c:pt idx="27">
                  <c:v>107.005</c:v>
                </c:pt>
                <c:pt idx="28">
                  <c:v>87.65</c:v>
                </c:pt>
                <c:pt idx="29">
                  <c:v>93.146999999999991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2F3-4585-8E07-223D55D08141}"/>
            </c:ext>
          </c:extLst>
        </c:ser>
        <c:ser>
          <c:idx val="15"/>
          <c:order val="15"/>
          <c:tx>
            <c:strRef>
              <c:f>'Nov 24 Graph'!$Q$3:$Q$4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Graph'!$Q$5:$Q$34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2F3-4585-8E07-223D55D08141}"/>
            </c:ext>
          </c:extLst>
        </c:ser>
        <c:ser>
          <c:idx val="16"/>
          <c:order val="16"/>
          <c:tx>
            <c:strRef>
              <c:f>'Nov 24 Graph'!$R$3:$R$4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Graph'!$R$5:$R$34</c:f>
              <c:numCache>
                <c:formatCode>General</c:formatCode>
                <c:ptCount val="30"/>
                <c:pt idx="11">
                  <c:v>3.9950000000000001</c:v>
                </c:pt>
                <c:pt idx="12">
                  <c:v>0</c:v>
                </c:pt>
                <c:pt idx="13">
                  <c:v>0</c:v>
                </c:pt>
                <c:pt idx="14">
                  <c:v>20.852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21.391999999999999</c:v>
                </c:pt>
                <c:pt idx="19">
                  <c:v>18.068999999999999</c:v>
                </c:pt>
                <c:pt idx="20">
                  <c:v>41.508000000000003</c:v>
                </c:pt>
                <c:pt idx="21">
                  <c:v>20.766999999999999</c:v>
                </c:pt>
                <c:pt idx="22">
                  <c:v>15.659000000000001</c:v>
                </c:pt>
                <c:pt idx="23">
                  <c:v>0</c:v>
                </c:pt>
                <c:pt idx="24">
                  <c:v>0</c:v>
                </c:pt>
                <c:pt idx="25">
                  <c:v>19.977</c:v>
                </c:pt>
                <c:pt idx="26">
                  <c:v>18.694000000000003</c:v>
                </c:pt>
                <c:pt idx="27">
                  <c:v>0</c:v>
                </c:pt>
                <c:pt idx="28">
                  <c:v>29.734999999999999</c:v>
                </c:pt>
                <c:pt idx="29">
                  <c:v>27.416000000000004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2F3-4585-8E07-223D55D08141}"/>
            </c:ext>
          </c:extLst>
        </c:ser>
        <c:ser>
          <c:idx val="17"/>
          <c:order val="17"/>
          <c:tx>
            <c:strRef>
              <c:f>'Nov 24 Graph'!$S$3:$S$4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Graph'!$S$5:$S$34</c:f>
              <c:numCache>
                <c:formatCode>General</c:formatCode>
                <c:ptCount val="30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2F3-4585-8E07-223D55D08141}"/>
            </c:ext>
          </c:extLst>
        </c:ser>
        <c:ser>
          <c:idx val="18"/>
          <c:order val="18"/>
          <c:tx>
            <c:strRef>
              <c:f>'Nov 24 Graph'!$T$3:$T$4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Graph'!$T$5:$T$34</c:f>
              <c:numCache>
                <c:formatCode>General</c:formatCode>
                <c:ptCount val="30"/>
                <c:pt idx="11">
                  <c:v>13.891999999999996</c:v>
                </c:pt>
                <c:pt idx="12">
                  <c:v>36.472000000000008</c:v>
                </c:pt>
                <c:pt idx="13">
                  <c:v>42.825000000000003</c:v>
                </c:pt>
                <c:pt idx="14">
                  <c:v>66.445000000000007</c:v>
                </c:pt>
                <c:pt idx="15">
                  <c:v>82.384000000000015</c:v>
                </c:pt>
                <c:pt idx="16">
                  <c:v>68.965000000000003</c:v>
                </c:pt>
                <c:pt idx="17">
                  <c:v>73.553000000000011</c:v>
                </c:pt>
                <c:pt idx="18">
                  <c:v>79.192999999999984</c:v>
                </c:pt>
                <c:pt idx="19">
                  <c:v>85.814999999999998</c:v>
                </c:pt>
                <c:pt idx="20">
                  <c:v>80.920999999999978</c:v>
                </c:pt>
                <c:pt idx="21">
                  <c:v>91.260999999999981</c:v>
                </c:pt>
                <c:pt idx="22">
                  <c:v>122.95999999999998</c:v>
                </c:pt>
                <c:pt idx="23">
                  <c:v>95.557999999999979</c:v>
                </c:pt>
                <c:pt idx="24">
                  <c:v>115.43499999999999</c:v>
                </c:pt>
                <c:pt idx="25">
                  <c:v>93.900999999999982</c:v>
                </c:pt>
                <c:pt idx="26">
                  <c:v>89.27000000000001</c:v>
                </c:pt>
                <c:pt idx="27">
                  <c:v>100.99299999999999</c:v>
                </c:pt>
                <c:pt idx="28">
                  <c:v>101.20000000000002</c:v>
                </c:pt>
                <c:pt idx="29">
                  <c:v>120.992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2F3-4585-8E07-223D55D08141}"/>
            </c:ext>
          </c:extLst>
        </c:ser>
        <c:ser>
          <c:idx val="19"/>
          <c:order val="19"/>
          <c:tx>
            <c:strRef>
              <c:f>'Nov 24 Graph'!$U$3:$U$4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Graph'!$U$5:$U$34</c:f>
              <c:numCache>
                <c:formatCode>General</c:formatCode>
                <c:ptCount val="30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0.14099999999999999</c:v>
                </c:pt>
                <c:pt idx="18">
                  <c:v>1.0310000000000001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2F3-4585-8E07-223D55D08141}"/>
            </c:ext>
          </c:extLst>
        </c:ser>
        <c:ser>
          <c:idx val="20"/>
          <c:order val="20"/>
          <c:tx>
            <c:strRef>
              <c:f>'Nov 24 Graph'!$V$3:$V$4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Graph'!$V$5:$V$34</c:f>
              <c:numCache>
                <c:formatCode>General</c:formatCode>
                <c:ptCount val="30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2F3-4585-8E07-223D55D08141}"/>
            </c:ext>
          </c:extLst>
        </c:ser>
        <c:ser>
          <c:idx val="21"/>
          <c:order val="21"/>
          <c:tx>
            <c:strRef>
              <c:f>'Nov 24 Graph'!$W$3:$W$4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Graph'!$W$5:$W$34</c:f>
              <c:numCache>
                <c:formatCode>General</c:formatCode>
                <c:ptCount val="30"/>
                <c:pt idx="15">
                  <c:v>0.13300000000000001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2F3-4585-8E07-223D55D08141}"/>
            </c:ext>
          </c:extLst>
        </c:ser>
        <c:ser>
          <c:idx val="22"/>
          <c:order val="22"/>
          <c:tx>
            <c:strRef>
              <c:f>'Nov 24 Graph'!$X$3:$X$4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Graph'!$X$5:$X$34</c:f>
              <c:numCache>
                <c:formatCode>General</c:formatCode>
                <c:ptCount val="30"/>
                <c:pt idx="15">
                  <c:v>2.87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2F3-4585-8E07-223D55D08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500032"/>
        <c:axId val="467504736"/>
      </c:barChart>
      <c:catAx>
        <c:axId val="46750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4736"/>
        <c:crosses val="autoZero"/>
        <c:auto val="1"/>
        <c:lblAlgn val="ctr"/>
        <c:lblOffset val="100"/>
        <c:noMultiLvlLbl val="0"/>
      </c:catAx>
      <c:valAx>
        <c:axId val="4675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Consumption.xlsx]Nov 24 Graph!PivotTable5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6564596092155148"/>
          <c:w val="0.65585892388451439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'Nov 24 Graph'!$B$3:$B$4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Graph'!$B$5:$B$34</c:f>
              <c:numCache>
                <c:formatCode>General</c:formatCode>
                <c:ptCount val="30"/>
                <c:pt idx="0">
                  <c:v>0</c:v>
                </c:pt>
                <c:pt idx="1">
                  <c:v>57.981000000000002</c:v>
                </c:pt>
                <c:pt idx="2">
                  <c:v>88.330000000000013</c:v>
                </c:pt>
                <c:pt idx="3">
                  <c:v>57.144999999999996</c:v>
                </c:pt>
                <c:pt idx="4">
                  <c:v>102.21700000000001</c:v>
                </c:pt>
                <c:pt idx="5">
                  <c:v>84.888000000000019</c:v>
                </c:pt>
                <c:pt idx="6">
                  <c:v>115.50700000000001</c:v>
                </c:pt>
                <c:pt idx="7">
                  <c:v>92.378999999999991</c:v>
                </c:pt>
                <c:pt idx="8">
                  <c:v>70.289999999999992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16.669</c:v>
                </c:pt>
                <c:pt idx="16">
                  <c:v>126.81599999999999</c:v>
                </c:pt>
                <c:pt idx="17">
                  <c:v>106.05200000000002</c:v>
                </c:pt>
                <c:pt idx="18">
                  <c:v>96.296999999999983</c:v>
                </c:pt>
                <c:pt idx="19">
                  <c:v>58.818000000000005</c:v>
                </c:pt>
                <c:pt idx="20">
                  <c:v>69.331000000000017</c:v>
                </c:pt>
                <c:pt idx="21">
                  <c:v>156.35800000000009</c:v>
                </c:pt>
                <c:pt idx="22">
                  <c:v>139.02099999999999</c:v>
                </c:pt>
                <c:pt idx="23">
                  <c:v>162.12600000000003</c:v>
                </c:pt>
                <c:pt idx="24">
                  <c:v>153.42399999999998</c:v>
                </c:pt>
                <c:pt idx="25">
                  <c:v>140.30100000000002</c:v>
                </c:pt>
                <c:pt idx="26">
                  <c:v>159.51300000000001</c:v>
                </c:pt>
                <c:pt idx="27">
                  <c:v>143.03</c:v>
                </c:pt>
                <c:pt idx="28">
                  <c:v>155.01000000000005</c:v>
                </c:pt>
                <c:pt idx="29">
                  <c:v>136.88600000000002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D-42DE-A590-1455B9142A60}"/>
            </c:ext>
          </c:extLst>
        </c:ser>
        <c:ser>
          <c:idx val="1"/>
          <c:order val="1"/>
          <c:tx>
            <c:strRef>
              <c:f>'Nov 24 Graph'!$C$3:$C$4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Graph'!$C$5:$C$34</c:f>
              <c:numCache>
                <c:formatCode>General</c:formatCode>
                <c:ptCount val="30"/>
                <c:pt idx="0">
                  <c:v>234.34000000000006</c:v>
                </c:pt>
                <c:pt idx="1">
                  <c:v>395.73899999999992</c:v>
                </c:pt>
                <c:pt idx="2">
                  <c:v>509.67400000000004</c:v>
                </c:pt>
                <c:pt idx="3">
                  <c:v>629.39900000000011</c:v>
                </c:pt>
                <c:pt idx="4">
                  <c:v>696.31499999999994</c:v>
                </c:pt>
                <c:pt idx="5">
                  <c:v>676.71800000000007</c:v>
                </c:pt>
                <c:pt idx="6">
                  <c:v>663.55000000000007</c:v>
                </c:pt>
                <c:pt idx="7">
                  <c:v>630.0100000000001</c:v>
                </c:pt>
                <c:pt idx="8">
                  <c:v>700.149</c:v>
                </c:pt>
                <c:pt idx="9">
                  <c:v>731.77199999999993</c:v>
                </c:pt>
                <c:pt idx="10">
                  <c:v>651.52200000000005</c:v>
                </c:pt>
                <c:pt idx="11">
                  <c:v>660.83100000000013</c:v>
                </c:pt>
                <c:pt idx="12">
                  <c:v>636.93500000000006</c:v>
                </c:pt>
                <c:pt idx="13">
                  <c:v>619.96100000000013</c:v>
                </c:pt>
                <c:pt idx="14">
                  <c:v>654.75</c:v>
                </c:pt>
                <c:pt idx="15">
                  <c:v>606.68799999999987</c:v>
                </c:pt>
                <c:pt idx="16">
                  <c:v>661.32500000000005</c:v>
                </c:pt>
                <c:pt idx="17">
                  <c:v>569.76</c:v>
                </c:pt>
                <c:pt idx="18">
                  <c:v>595.58800000000008</c:v>
                </c:pt>
                <c:pt idx="19">
                  <c:v>529.79700000000003</c:v>
                </c:pt>
                <c:pt idx="20">
                  <c:v>602.505</c:v>
                </c:pt>
                <c:pt idx="21">
                  <c:v>593.44399999999996</c:v>
                </c:pt>
                <c:pt idx="22">
                  <c:v>594.01199999999994</c:v>
                </c:pt>
                <c:pt idx="23">
                  <c:v>565.4430000000001</c:v>
                </c:pt>
                <c:pt idx="24">
                  <c:v>627.44100000000003</c:v>
                </c:pt>
                <c:pt idx="25">
                  <c:v>560.12199999999996</c:v>
                </c:pt>
                <c:pt idx="26">
                  <c:v>672.47900000000004</c:v>
                </c:pt>
                <c:pt idx="27">
                  <c:v>630.46</c:v>
                </c:pt>
                <c:pt idx="28">
                  <c:v>604.43700000000001</c:v>
                </c:pt>
                <c:pt idx="29">
                  <c:v>658.02299999999991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9D-42DE-A590-1455B9142A60}"/>
            </c:ext>
          </c:extLst>
        </c:ser>
        <c:ser>
          <c:idx val="2"/>
          <c:order val="2"/>
          <c:tx>
            <c:strRef>
              <c:f>'Nov 24 Graph'!$D$3:$D$4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Graph'!$D$5:$D$34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9D-42DE-A590-1455B9142A60}"/>
            </c:ext>
          </c:extLst>
        </c:ser>
        <c:ser>
          <c:idx val="3"/>
          <c:order val="3"/>
          <c:tx>
            <c:strRef>
              <c:f>'Nov 24 Graph'!$E$3:$E$4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Graph'!$E$5:$E$34</c:f>
              <c:numCache>
                <c:formatCode>General</c:formatCode>
                <c:ptCount val="30"/>
                <c:pt idx="0">
                  <c:v>555.55599999999993</c:v>
                </c:pt>
                <c:pt idx="1">
                  <c:v>674.75299999999993</c:v>
                </c:pt>
                <c:pt idx="2">
                  <c:v>735.29300000000001</c:v>
                </c:pt>
                <c:pt idx="3">
                  <c:v>875.59600000000012</c:v>
                </c:pt>
                <c:pt idx="4">
                  <c:v>922.58999999999992</c:v>
                </c:pt>
                <c:pt idx="5">
                  <c:v>937.97499999999991</c:v>
                </c:pt>
                <c:pt idx="6">
                  <c:v>934.7320000000002</c:v>
                </c:pt>
                <c:pt idx="7">
                  <c:v>847.08499999999981</c:v>
                </c:pt>
                <c:pt idx="8">
                  <c:v>855.37400000000002</c:v>
                </c:pt>
                <c:pt idx="9">
                  <c:v>923.16599999999983</c:v>
                </c:pt>
                <c:pt idx="10">
                  <c:v>923.92499999999984</c:v>
                </c:pt>
                <c:pt idx="11">
                  <c:v>1012.5650000000001</c:v>
                </c:pt>
                <c:pt idx="12">
                  <c:v>1033.2309999999998</c:v>
                </c:pt>
                <c:pt idx="13">
                  <c:v>1017.4259999999999</c:v>
                </c:pt>
                <c:pt idx="14">
                  <c:v>860.97499999999968</c:v>
                </c:pt>
                <c:pt idx="15">
                  <c:v>956.86400000000003</c:v>
                </c:pt>
                <c:pt idx="16">
                  <c:v>875.02099999999984</c:v>
                </c:pt>
                <c:pt idx="17">
                  <c:v>1019.5590000000003</c:v>
                </c:pt>
                <c:pt idx="18">
                  <c:v>856.54399999999998</c:v>
                </c:pt>
                <c:pt idx="19">
                  <c:v>704.76400000000001</c:v>
                </c:pt>
                <c:pt idx="20">
                  <c:v>950.51800000000014</c:v>
                </c:pt>
                <c:pt idx="21">
                  <c:v>860.09899999999993</c:v>
                </c:pt>
                <c:pt idx="22">
                  <c:v>894.08799999999997</c:v>
                </c:pt>
                <c:pt idx="23">
                  <c:v>775.4140000000001</c:v>
                </c:pt>
                <c:pt idx="24">
                  <c:v>899.15</c:v>
                </c:pt>
                <c:pt idx="25">
                  <c:v>910.41000000000008</c:v>
                </c:pt>
                <c:pt idx="26">
                  <c:v>891.57800000000009</c:v>
                </c:pt>
                <c:pt idx="27">
                  <c:v>979.64700000000005</c:v>
                </c:pt>
                <c:pt idx="28">
                  <c:v>970.47300000000007</c:v>
                </c:pt>
                <c:pt idx="29">
                  <c:v>980.86100000000033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9D-42DE-A590-1455B9142A60}"/>
            </c:ext>
          </c:extLst>
        </c:ser>
        <c:ser>
          <c:idx val="4"/>
          <c:order val="4"/>
          <c:tx>
            <c:strRef>
              <c:f>'Nov 24 Graph'!$F$3:$F$4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Graph'!$F$5:$F$34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1.7090000000000001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50.010999999999996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9D-42DE-A590-1455B9142A60}"/>
            </c:ext>
          </c:extLst>
        </c:ser>
        <c:ser>
          <c:idx val="5"/>
          <c:order val="5"/>
          <c:tx>
            <c:strRef>
              <c:f>'Nov 24 Graph'!$G$3:$G$4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Graph'!$G$5:$G$34</c:f>
              <c:numCache>
                <c:formatCode>General</c:formatCode>
                <c:ptCount val="30"/>
                <c:pt idx="0">
                  <c:v>33.792000000000002</c:v>
                </c:pt>
                <c:pt idx="1">
                  <c:v>67.42</c:v>
                </c:pt>
                <c:pt idx="2">
                  <c:v>43.146999999999998</c:v>
                </c:pt>
                <c:pt idx="3">
                  <c:v>31.066000000000003</c:v>
                </c:pt>
                <c:pt idx="4">
                  <c:v>43.396999999999998</c:v>
                </c:pt>
                <c:pt idx="5">
                  <c:v>50.121000000000002</c:v>
                </c:pt>
                <c:pt idx="6">
                  <c:v>57.01</c:v>
                </c:pt>
                <c:pt idx="7">
                  <c:v>26.614000000000004</c:v>
                </c:pt>
                <c:pt idx="8">
                  <c:v>33.649000000000001</c:v>
                </c:pt>
                <c:pt idx="9">
                  <c:v>48.697999999999993</c:v>
                </c:pt>
                <c:pt idx="10">
                  <c:v>55.952999999999996</c:v>
                </c:pt>
                <c:pt idx="11">
                  <c:v>45.619</c:v>
                </c:pt>
                <c:pt idx="12">
                  <c:v>40.193000000000005</c:v>
                </c:pt>
                <c:pt idx="13">
                  <c:v>43.939</c:v>
                </c:pt>
                <c:pt idx="14">
                  <c:v>49.81600000000001</c:v>
                </c:pt>
                <c:pt idx="15">
                  <c:v>58.075000000000003</c:v>
                </c:pt>
                <c:pt idx="16">
                  <c:v>43.055000000000007</c:v>
                </c:pt>
                <c:pt idx="17">
                  <c:v>41.427</c:v>
                </c:pt>
                <c:pt idx="18">
                  <c:v>31.447000000000003</c:v>
                </c:pt>
                <c:pt idx="19">
                  <c:v>52.886999999999986</c:v>
                </c:pt>
                <c:pt idx="20">
                  <c:v>38.442999999999998</c:v>
                </c:pt>
                <c:pt idx="21">
                  <c:v>27.642000000000003</c:v>
                </c:pt>
                <c:pt idx="22">
                  <c:v>44.740999999999993</c:v>
                </c:pt>
                <c:pt idx="23">
                  <c:v>41.943999999999996</c:v>
                </c:pt>
                <c:pt idx="24">
                  <c:v>42.108000000000004</c:v>
                </c:pt>
                <c:pt idx="25">
                  <c:v>34.039000000000001</c:v>
                </c:pt>
                <c:pt idx="26">
                  <c:v>40.214999999999996</c:v>
                </c:pt>
                <c:pt idx="27">
                  <c:v>36.066999999999986</c:v>
                </c:pt>
                <c:pt idx="28">
                  <c:v>42.634999999999998</c:v>
                </c:pt>
                <c:pt idx="29">
                  <c:v>25.673999999999996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9D-42DE-A590-1455B9142A60}"/>
            </c:ext>
          </c:extLst>
        </c:ser>
        <c:ser>
          <c:idx val="6"/>
          <c:order val="6"/>
          <c:tx>
            <c:strRef>
              <c:f>'Nov 24 Graph'!$H$3:$H$4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Graph'!$H$5:$H$34</c:f>
              <c:numCache>
                <c:formatCode>General</c:formatCode>
                <c:ptCount val="30"/>
                <c:pt idx="0">
                  <c:v>2467.5750000000003</c:v>
                </c:pt>
                <c:pt idx="1">
                  <c:v>2383.5229999999997</c:v>
                </c:pt>
                <c:pt idx="2">
                  <c:v>2708.5570000000007</c:v>
                </c:pt>
                <c:pt idx="3">
                  <c:v>3195.7599999999998</c:v>
                </c:pt>
                <c:pt idx="4">
                  <c:v>3499.3910000000001</c:v>
                </c:pt>
                <c:pt idx="5">
                  <c:v>3588.0110000000004</c:v>
                </c:pt>
                <c:pt idx="6">
                  <c:v>3519.5420000000004</c:v>
                </c:pt>
                <c:pt idx="7">
                  <c:v>3603.3829999999994</c:v>
                </c:pt>
                <c:pt idx="8">
                  <c:v>3157.9490000000005</c:v>
                </c:pt>
                <c:pt idx="9">
                  <c:v>2908.7419999999993</c:v>
                </c:pt>
                <c:pt idx="10">
                  <c:v>2983.6549999999997</c:v>
                </c:pt>
                <c:pt idx="11">
                  <c:v>3859.7069999999994</c:v>
                </c:pt>
                <c:pt idx="12">
                  <c:v>3474.4929999999999</c:v>
                </c:pt>
                <c:pt idx="13">
                  <c:v>3980.7650000000003</c:v>
                </c:pt>
                <c:pt idx="14">
                  <c:v>4094.809000000002</c:v>
                </c:pt>
                <c:pt idx="15">
                  <c:v>3265.4190000000003</c:v>
                </c:pt>
                <c:pt idx="16">
                  <c:v>2956.2159999999999</c:v>
                </c:pt>
                <c:pt idx="17">
                  <c:v>3388.9379999999996</c:v>
                </c:pt>
                <c:pt idx="18">
                  <c:v>3802.1259999999997</c:v>
                </c:pt>
                <c:pt idx="19">
                  <c:v>3706.0519999999992</c:v>
                </c:pt>
                <c:pt idx="20">
                  <c:v>3267.8690000000001</c:v>
                </c:pt>
                <c:pt idx="21">
                  <c:v>3763.1809999999991</c:v>
                </c:pt>
                <c:pt idx="22">
                  <c:v>3402.5529999999994</c:v>
                </c:pt>
                <c:pt idx="23">
                  <c:v>2992.2569999999996</c:v>
                </c:pt>
                <c:pt idx="24">
                  <c:v>3321.9490000000001</c:v>
                </c:pt>
                <c:pt idx="25">
                  <c:v>3780.1</c:v>
                </c:pt>
                <c:pt idx="26">
                  <c:v>3928.2079999999978</c:v>
                </c:pt>
                <c:pt idx="27">
                  <c:v>4054.5240000000013</c:v>
                </c:pt>
                <c:pt idx="28">
                  <c:v>3919.3579999999997</c:v>
                </c:pt>
                <c:pt idx="29">
                  <c:v>3720.7200000000003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9D-42DE-A590-1455B9142A60}"/>
            </c:ext>
          </c:extLst>
        </c:ser>
        <c:ser>
          <c:idx val="7"/>
          <c:order val="7"/>
          <c:tx>
            <c:strRef>
              <c:f>'Nov 24 Graph'!$I$3:$I$4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Graph'!$I$5:$I$34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9D-42DE-A590-1455B9142A60}"/>
            </c:ext>
          </c:extLst>
        </c:ser>
        <c:ser>
          <c:idx val="8"/>
          <c:order val="8"/>
          <c:tx>
            <c:strRef>
              <c:f>'Nov 24 Graph'!$J$3:$J$4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Graph'!$J$5:$J$34</c:f>
              <c:numCache>
                <c:formatCode>General</c:formatCode>
                <c:ptCount val="30"/>
                <c:pt idx="0">
                  <c:v>198.98499999999996</c:v>
                </c:pt>
                <c:pt idx="1">
                  <c:v>610.73600000000022</c:v>
                </c:pt>
                <c:pt idx="2">
                  <c:v>618.49800000000005</c:v>
                </c:pt>
                <c:pt idx="3">
                  <c:v>329.03999999999996</c:v>
                </c:pt>
                <c:pt idx="4">
                  <c:v>407.78</c:v>
                </c:pt>
                <c:pt idx="5">
                  <c:v>653.66599999999983</c:v>
                </c:pt>
                <c:pt idx="6">
                  <c:v>627.40299999999979</c:v>
                </c:pt>
                <c:pt idx="7">
                  <c:v>611.98599999999988</c:v>
                </c:pt>
                <c:pt idx="8">
                  <c:v>668.29900000000009</c:v>
                </c:pt>
                <c:pt idx="9">
                  <c:v>625.77799999999991</c:v>
                </c:pt>
                <c:pt idx="10">
                  <c:v>263.49999999999994</c:v>
                </c:pt>
                <c:pt idx="11">
                  <c:v>361.66300000000007</c:v>
                </c:pt>
                <c:pt idx="12">
                  <c:v>577.25099999999998</c:v>
                </c:pt>
                <c:pt idx="13">
                  <c:v>499.84900000000033</c:v>
                </c:pt>
                <c:pt idx="14">
                  <c:v>523.61900000000003</c:v>
                </c:pt>
                <c:pt idx="15">
                  <c:v>566.50199999999984</c:v>
                </c:pt>
                <c:pt idx="16">
                  <c:v>552.60299999999984</c:v>
                </c:pt>
                <c:pt idx="17">
                  <c:v>248.05099999999999</c:v>
                </c:pt>
                <c:pt idx="18">
                  <c:v>267.7589999999999</c:v>
                </c:pt>
                <c:pt idx="19">
                  <c:v>405.31499999999988</c:v>
                </c:pt>
                <c:pt idx="20">
                  <c:v>289.1040000000001</c:v>
                </c:pt>
                <c:pt idx="21">
                  <c:v>415.50899999999996</c:v>
                </c:pt>
                <c:pt idx="22">
                  <c:v>408.65699999999987</c:v>
                </c:pt>
                <c:pt idx="23">
                  <c:v>520.17300000000012</c:v>
                </c:pt>
                <c:pt idx="24">
                  <c:v>257.173</c:v>
                </c:pt>
                <c:pt idx="25">
                  <c:v>284.18299999999999</c:v>
                </c:pt>
                <c:pt idx="26">
                  <c:v>440.9260000000001</c:v>
                </c:pt>
                <c:pt idx="27">
                  <c:v>313.82400000000001</c:v>
                </c:pt>
                <c:pt idx="28">
                  <c:v>464.5659999999998</c:v>
                </c:pt>
                <c:pt idx="29">
                  <c:v>428.99599999999992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9D-42DE-A590-1455B9142A60}"/>
            </c:ext>
          </c:extLst>
        </c:ser>
        <c:ser>
          <c:idx val="9"/>
          <c:order val="9"/>
          <c:tx>
            <c:strRef>
              <c:f>'Nov 24 Graph'!$K$3:$K$4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Graph'!$K$5:$K$34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11.192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6.7830000000000004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9D-42DE-A590-1455B9142A60}"/>
            </c:ext>
          </c:extLst>
        </c:ser>
        <c:ser>
          <c:idx val="10"/>
          <c:order val="10"/>
          <c:tx>
            <c:strRef>
              <c:f>'Nov 24 Graph'!$L$3:$L$4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Graph'!$L$5:$L$34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24.835999999999999</c:v>
                </c:pt>
                <c:pt idx="3">
                  <c:v>33.174000000000007</c:v>
                </c:pt>
                <c:pt idx="4">
                  <c:v>45.519000000000005</c:v>
                </c:pt>
                <c:pt idx="5">
                  <c:v>45.063000000000002</c:v>
                </c:pt>
                <c:pt idx="6">
                  <c:v>68.47999999999999</c:v>
                </c:pt>
                <c:pt idx="7">
                  <c:v>27.373999999999999</c:v>
                </c:pt>
                <c:pt idx="8">
                  <c:v>32.853000000000002</c:v>
                </c:pt>
                <c:pt idx="9">
                  <c:v>14.852</c:v>
                </c:pt>
                <c:pt idx="10">
                  <c:v>51.063000000000002</c:v>
                </c:pt>
                <c:pt idx="11">
                  <c:v>26.486999999999995</c:v>
                </c:pt>
                <c:pt idx="12">
                  <c:v>65.817999999999998</c:v>
                </c:pt>
                <c:pt idx="13">
                  <c:v>49.411999999999999</c:v>
                </c:pt>
                <c:pt idx="14">
                  <c:v>6.7239999999999993</c:v>
                </c:pt>
                <c:pt idx="15">
                  <c:v>33.299000000000007</c:v>
                </c:pt>
                <c:pt idx="16">
                  <c:v>0</c:v>
                </c:pt>
                <c:pt idx="17">
                  <c:v>30.396999999999998</c:v>
                </c:pt>
                <c:pt idx="18">
                  <c:v>51.815000000000005</c:v>
                </c:pt>
                <c:pt idx="19">
                  <c:v>53.319999999999993</c:v>
                </c:pt>
                <c:pt idx="20">
                  <c:v>36.469000000000001</c:v>
                </c:pt>
                <c:pt idx="21">
                  <c:v>45.802</c:v>
                </c:pt>
                <c:pt idx="22">
                  <c:v>41.86</c:v>
                </c:pt>
                <c:pt idx="23">
                  <c:v>22.491</c:v>
                </c:pt>
                <c:pt idx="24">
                  <c:v>0</c:v>
                </c:pt>
                <c:pt idx="25">
                  <c:v>1.5309999999999999</c:v>
                </c:pt>
                <c:pt idx="26">
                  <c:v>10.780999999999999</c:v>
                </c:pt>
                <c:pt idx="27">
                  <c:v>3.8779999999999997</c:v>
                </c:pt>
                <c:pt idx="28">
                  <c:v>19.803000000000004</c:v>
                </c:pt>
                <c:pt idx="29">
                  <c:v>11.154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9D-42DE-A590-1455B9142A60}"/>
            </c:ext>
          </c:extLst>
        </c:ser>
        <c:ser>
          <c:idx val="11"/>
          <c:order val="11"/>
          <c:tx>
            <c:strRef>
              <c:f>'Nov 24 Graph'!$M$3:$M$4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Graph'!$M$5:$M$34</c:f>
              <c:numCache>
                <c:formatCode>General</c:formatCode>
                <c:ptCount val="30"/>
                <c:pt idx="0">
                  <c:v>7.8E-2</c:v>
                </c:pt>
                <c:pt idx="1">
                  <c:v>3.9E-2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2.5379999999999998</c:v>
                </c:pt>
                <c:pt idx="9">
                  <c:v>0</c:v>
                </c:pt>
                <c:pt idx="10">
                  <c:v>3.6719999999999997</c:v>
                </c:pt>
                <c:pt idx="11">
                  <c:v>2.7440000000000002</c:v>
                </c:pt>
                <c:pt idx="12">
                  <c:v>0</c:v>
                </c:pt>
                <c:pt idx="13">
                  <c:v>3.5859999999999999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B9D-42DE-A590-1455B9142A60}"/>
            </c:ext>
          </c:extLst>
        </c:ser>
        <c:ser>
          <c:idx val="12"/>
          <c:order val="12"/>
          <c:tx>
            <c:strRef>
              <c:f>'Nov 24 Graph'!$N$3:$N$4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Graph'!$N$5:$N$34</c:f>
              <c:numCache>
                <c:formatCode>General</c:formatCode>
                <c:ptCount val="30"/>
                <c:pt idx="0">
                  <c:v>23.132999999999999</c:v>
                </c:pt>
                <c:pt idx="1">
                  <c:v>35.357999999999997</c:v>
                </c:pt>
                <c:pt idx="2">
                  <c:v>31.808</c:v>
                </c:pt>
                <c:pt idx="3">
                  <c:v>19.542999999999999</c:v>
                </c:pt>
                <c:pt idx="4">
                  <c:v>48.875</c:v>
                </c:pt>
                <c:pt idx="5">
                  <c:v>27.076999999999998</c:v>
                </c:pt>
                <c:pt idx="6">
                  <c:v>25.331000000000003</c:v>
                </c:pt>
                <c:pt idx="7">
                  <c:v>27.509</c:v>
                </c:pt>
                <c:pt idx="8">
                  <c:v>44.205000000000005</c:v>
                </c:pt>
                <c:pt idx="9">
                  <c:v>24.793999999999997</c:v>
                </c:pt>
                <c:pt idx="10">
                  <c:v>33.337999999999994</c:v>
                </c:pt>
                <c:pt idx="11">
                  <c:v>47.954999999999998</c:v>
                </c:pt>
                <c:pt idx="12">
                  <c:v>50.529000000000003</c:v>
                </c:pt>
                <c:pt idx="13">
                  <c:v>17.161999999999999</c:v>
                </c:pt>
                <c:pt idx="14">
                  <c:v>54.081999999999994</c:v>
                </c:pt>
                <c:pt idx="15">
                  <c:v>25.654</c:v>
                </c:pt>
                <c:pt idx="16">
                  <c:v>26.925000000000001</c:v>
                </c:pt>
                <c:pt idx="17">
                  <c:v>49.415000000000006</c:v>
                </c:pt>
                <c:pt idx="18">
                  <c:v>19.559000000000001</c:v>
                </c:pt>
                <c:pt idx="19">
                  <c:v>31.046999999999997</c:v>
                </c:pt>
                <c:pt idx="20">
                  <c:v>29.976000000000003</c:v>
                </c:pt>
                <c:pt idx="21">
                  <c:v>49.268999999999998</c:v>
                </c:pt>
                <c:pt idx="22">
                  <c:v>27.978000000000002</c:v>
                </c:pt>
                <c:pt idx="23">
                  <c:v>35.073999999999998</c:v>
                </c:pt>
                <c:pt idx="24">
                  <c:v>25.295000000000002</c:v>
                </c:pt>
                <c:pt idx="25">
                  <c:v>15.239000000000001</c:v>
                </c:pt>
                <c:pt idx="26">
                  <c:v>41.280999999999999</c:v>
                </c:pt>
                <c:pt idx="27">
                  <c:v>31.934000000000001</c:v>
                </c:pt>
                <c:pt idx="28">
                  <c:v>30.127000000000002</c:v>
                </c:pt>
                <c:pt idx="29">
                  <c:v>22.869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B9D-42DE-A590-1455B9142A60}"/>
            </c:ext>
          </c:extLst>
        </c:ser>
        <c:ser>
          <c:idx val="13"/>
          <c:order val="13"/>
          <c:tx>
            <c:strRef>
              <c:f>'Nov 24 Graph'!$O$3:$O$4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Graph'!$O$5:$O$34</c:f>
              <c:numCache>
                <c:formatCode>General</c:formatCode>
                <c:ptCount val="30"/>
                <c:pt idx="0">
                  <c:v>97.065000000000026</c:v>
                </c:pt>
                <c:pt idx="1">
                  <c:v>77.873999999999995</c:v>
                </c:pt>
                <c:pt idx="2">
                  <c:v>100.97</c:v>
                </c:pt>
                <c:pt idx="3">
                  <c:v>93.120999999999995</c:v>
                </c:pt>
                <c:pt idx="4">
                  <c:v>85.971999999999994</c:v>
                </c:pt>
                <c:pt idx="5">
                  <c:v>78.743999999999971</c:v>
                </c:pt>
                <c:pt idx="6">
                  <c:v>106.21000000000001</c:v>
                </c:pt>
                <c:pt idx="7">
                  <c:v>75.225999999999999</c:v>
                </c:pt>
                <c:pt idx="8">
                  <c:v>100.88900000000001</c:v>
                </c:pt>
                <c:pt idx="9">
                  <c:v>85.632000000000019</c:v>
                </c:pt>
                <c:pt idx="10">
                  <c:v>102.56299999999999</c:v>
                </c:pt>
                <c:pt idx="11">
                  <c:v>103.276</c:v>
                </c:pt>
                <c:pt idx="12">
                  <c:v>84.002999999999986</c:v>
                </c:pt>
                <c:pt idx="13">
                  <c:v>103.84700000000002</c:v>
                </c:pt>
                <c:pt idx="14">
                  <c:v>55.753999999999998</c:v>
                </c:pt>
                <c:pt idx="15">
                  <c:v>109.03500000000001</c:v>
                </c:pt>
                <c:pt idx="16">
                  <c:v>81.071999999999989</c:v>
                </c:pt>
                <c:pt idx="17">
                  <c:v>94.775999999999982</c:v>
                </c:pt>
                <c:pt idx="18">
                  <c:v>82.603999999999999</c:v>
                </c:pt>
                <c:pt idx="19">
                  <c:v>122.03599999999997</c:v>
                </c:pt>
                <c:pt idx="20">
                  <c:v>92.447000000000003</c:v>
                </c:pt>
                <c:pt idx="21">
                  <c:v>96.160999999999987</c:v>
                </c:pt>
                <c:pt idx="22">
                  <c:v>95.771000000000015</c:v>
                </c:pt>
                <c:pt idx="23">
                  <c:v>81.272000000000006</c:v>
                </c:pt>
                <c:pt idx="24">
                  <c:v>78.828999999999994</c:v>
                </c:pt>
                <c:pt idx="25">
                  <c:v>95.37</c:v>
                </c:pt>
                <c:pt idx="26">
                  <c:v>95.743999999999986</c:v>
                </c:pt>
                <c:pt idx="27">
                  <c:v>97.995000000000005</c:v>
                </c:pt>
                <c:pt idx="28">
                  <c:v>89.14700000000002</c:v>
                </c:pt>
                <c:pt idx="29">
                  <c:v>70.304999999999993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9D-42DE-A590-1455B9142A60}"/>
            </c:ext>
          </c:extLst>
        </c:ser>
        <c:ser>
          <c:idx val="14"/>
          <c:order val="14"/>
          <c:tx>
            <c:strRef>
              <c:f>'Nov 24 Graph'!$P$3:$P$4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Graph'!$P$5:$P$34</c:f>
              <c:numCache>
                <c:formatCode>General</c:formatCode>
                <c:ptCount val="30"/>
                <c:pt idx="0">
                  <c:v>105.066</c:v>
                </c:pt>
                <c:pt idx="1">
                  <c:v>76.692999999999998</c:v>
                </c:pt>
                <c:pt idx="2">
                  <c:v>102.16699999999999</c:v>
                </c:pt>
                <c:pt idx="3">
                  <c:v>130.52499999999998</c:v>
                </c:pt>
                <c:pt idx="4">
                  <c:v>85.278000000000006</c:v>
                </c:pt>
                <c:pt idx="5">
                  <c:v>96.097000000000008</c:v>
                </c:pt>
                <c:pt idx="6">
                  <c:v>84.896000000000001</c:v>
                </c:pt>
                <c:pt idx="7">
                  <c:v>96.495999999999995</c:v>
                </c:pt>
                <c:pt idx="8">
                  <c:v>145.50899999999999</c:v>
                </c:pt>
                <c:pt idx="9">
                  <c:v>77.254999999999995</c:v>
                </c:pt>
                <c:pt idx="10">
                  <c:v>152.00500000000002</c:v>
                </c:pt>
                <c:pt idx="11">
                  <c:v>73.292999999999992</c:v>
                </c:pt>
                <c:pt idx="12">
                  <c:v>100.84500000000001</c:v>
                </c:pt>
                <c:pt idx="13">
                  <c:v>118.41999999999997</c:v>
                </c:pt>
                <c:pt idx="14">
                  <c:v>72.057000000000002</c:v>
                </c:pt>
                <c:pt idx="15">
                  <c:v>127.73200000000001</c:v>
                </c:pt>
                <c:pt idx="16">
                  <c:v>109.73300000000002</c:v>
                </c:pt>
                <c:pt idx="17">
                  <c:v>115.57399999999997</c:v>
                </c:pt>
                <c:pt idx="18">
                  <c:v>84.847999999999999</c:v>
                </c:pt>
                <c:pt idx="19">
                  <c:v>98.855999999999995</c:v>
                </c:pt>
                <c:pt idx="20">
                  <c:v>118.68000000000004</c:v>
                </c:pt>
                <c:pt idx="21">
                  <c:v>125.27700000000002</c:v>
                </c:pt>
                <c:pt idx="22">
                  <c:v>102.72499999999998</c:v>
                </c:pt>
                <c:pt idx="23">
                  <c:v>122.36500000000001</c:v>
                </c:pt>
                <c:pt idx="24">
                  <c:v>93.745999999999981</c:v>
                </c:pt>
                <c:pt idx="25">
                  <c:v>82.062000000000012</c:v>
                </c:pt>
                <c:pt idx="26">
                  <c:v>156.28100000000001</c:v>
                </c:pt>
                <c:pt idx="27">
                  <c:v>107.005</c:v>
                </c:pt>
                <c:pt idx="28">
                  <c:v>87.65</c:v>
                </c:pt>
                <c:pt idx="29">
                  <c:v>93.146999999999991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9D-42DE-A590-1455B9142A60}"/>
            </c:ext>
          </c:extLst>
        </c:ser>
        <c:ser>
          <c:idx val="15"/>
          <c:order val="15"/>
          <c:tx>
            <c:strRef>
              <c:f>'Nov 24 Graph'!$Q$3:$Q$4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Graph'!$Q$5:$Q$34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9D-42DE-A590-1455B9142A60}"/>
            </c:ext>
          </c:extLst>
        </c:ser>
        <c:ser>
          <c:idx val="16"/>
          <c:order val="16"/>
          <c:tx>
            <c:strRef>
              <c:f>'Nov 24 Graph'!$R$3:$R$4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Graph'!$R$5:$R$34</c:f>
              <c:numCache>
                <c:formatCode>General</c:formatCode>
                <c:ptCount val="30"/>
                <c:pt idx="11">
                  <c:v>3.9950000000000001</c:v>
                </c:pt>
                <c:pt idx="12">
                  <c:v>0</c:v>
                </c:pt>
                <c:pt idx="13">
                  <c:v>0</c:v>
                </c:pt>
                <c:pt idx="14">
                  <c:v>20.852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21.391999999999999</c:v>
                </c:pt>
                <c:pt idx="19">
                  <c:v>18.068999999999999</c:v>
                </c:pt>
                <c:pt idx="20">
                  <c:v>41.508000000000003</c:v>
                </c:pt>
                <c:pt idx="21">
                  <c:v>20.766999999999999</c:v>
                </c:pt>
                <c:pt idx="22">
                  <c:v>15.659000000000001</c:v>
                </c:pt>
                <c:pt idx="23">
                  <c:v>0</c:v>
                </c:pt>
                <c:pt idx="24">
                  <c:v>0</c:v>
                </c:pt>
                <c:pt idx="25">
                  <c:v>19.977</c:v>
                </c:pt>
                <c:pt idx="26">
                  <c:v>18.694000000000003</c:v>
                </c:pt>
                <c:pt idx="27">
                  <c:v>0</c:v>
                </c:pt>
                <c:pt idx="28">
                  <c:v>29.734999999999999</c:v>
                </c:pt>
                <c:pt idx="29">
                  <c:v>27.416000000000004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9D-42DE-A590-1455B9142A60}"/>
            </c:ext>
          </c:extLst>
        </c:ser>
        <c:ser>
          <c:idx val="17"/>
          <c:order val="17"/>
          <c:tx>
            <c:strRef>
              <c:f>'Nov 24 Graph'!$S$3:$S$4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Graph'!$S$5:$S$34</c:f>
              <c:numCache>
                <c:formatCode>General</c:formatCode>
                <c:ptCount val="30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9D-42DE-A590-1455B9142A60}"/>
            </c:ext>
          </c:extLst>
        </c:ser>
        <c:ser>
          <c:idx val="18"/>
          <c:order val="18"/>
          <c:tx>
            <c:strRef>
              <c:f>'Nov 24 Graph'!$T$3:$T$4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Graph'!$T$5:$T$34</c:f>
              <c:numCache>
                <c:formatCode>General</c:formatCode>
                <c:ptCount val="30"/>
                <c:pt idx="11">
                  <c:v>13.891999999999996</c:v>
                </c:pt>
                <c:pt idx="12">
                  <c:v>36.472000000000008</c:v>
                </c:pt>
                <c:pt idx="13">
                  <c:v>42.825000000000003</c:v>
                </c:pt>
                <c:pt idx="14">
                  <c:v>66.445000000000007</c:v>
                </c:pt>
                <c:pt idx="15">
                  <c:v>82.384000000000015</c:v>
                </c:pt>
                <c:pt idx="16">
                  <c:v>68.965000000000003</c:v>
                </c:pt>
                <c:pt idx="17">
                  <c:v>73.553000000000011</c:v>
                </c:pt>
                <c:pt idx="18">
                  <c:v>79.192999999999984</c:v>
                </c:pt>
                <c:pt idx="19">
                  <c:v>85.814999999999998</c:v>
                </c:pt>
                <c:pt idx="20">
                  <c:v>80.920999999999978</c:v>
                </c:pt>
                <c:pt idx="21">
                  <c:v>91.260999999999981</c:v>
                </c:pt>
                <c:pt idx="22">
                  <c:v>122.95999999999998</c:v>
                </c:pt>
                <c:pt idx="23">
                  <c:v>95.557999999999979</c:v>
                </c:pt>
                <c:pt idx="24">
                  <c:v>115.43499999999999</c:v>
                </c:pt>
                <c:pt idx="25">
                  <c:v>93.900999999999982</c:v>
                </c:pt>
                <c:pt idx="26">
                  <c:v>89.27000000000001</c:v>
                </c:pt>
                <c:pt idx="27">
                  <c:v>100.99299999999999</c:v>
                </c:pt>
                <c:pt idx="28">
                  <c:v>101.20000000000002</c:v>
                </c:pt>
                <c:pt idx="29">
                  <c:v>120.992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9D-42DE-A590-1455B9142A60}"/>
            </c:ext>
          </c:extLst>
        </c:ser>
        <c:ser>
          <c:idx val="19"/>
          <c:order val="19"/>
          <c:tx>
            <c:strRef>
              <c:f>'Nov 24 Graph'!$U$3:$U$4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Graph'!$U$5:$U$34</c:f>
              <c:numCache>
                <c:formatCode>General</c:formatCode>
                <c:ptCount val="30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0.14099999999999999</c:v>
                </c:pt>
                <c:pt idx="18">
                  <c:v>1.0310000000000001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B9D-42DE-A590-1455B9142A60}"/>
            </c:ext>
          </c:extLst>
        </c:ser>
        <c:ser>
          <c:idx val="20"/>
          <c:order val="20"/>
          <c:tx>
            <c:strRef>
              <c:f>'Nov 24 Graph'!$V$3:$V$4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Graph'!$V$5:$V$34</c:f>
              <c:numCache>
                <c:formatCode>General</c:formatCode>
                <c:ptCount val="30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9D-42DE-A590-1455B9142A60}"/>
            </c:ext>
          </c:extLst>
        </c:ser>
        <c:ser>
          <c:idx val="21"/>
          <c:order val="21"/>
          <c:tx>
            <c:strRef>
              <c:f>'Nov 24 Graph'!$W$3:$W$4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Graph'!$W$5:$W$34</c:f>
              <c:numCache>
                <c:formatCode>General</c:formatCode>
                <c:ptCount val="30"/>
                <c:pt idx="15">
                  <c:v>0.13300000000000001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B9D-42DE-A590-1455B9142A60}"/>
            </c:ext>
          </c:extLst>
        </c:ser>
        <c:ser>
          <c:idx val="22"/>
          <c:order val="22"/>
          <c:tx>
            <c:strRef>
              <c:f>'Nov 24 Graph'!$X$3:$X$4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'Nov 24 Graph'!$A$5:$A$34</c:f>
              <c:strCache>
                <c:ptCount val="30"/>
                <c:pt idx="0">
                  <c:v>Sum of 01-11-2024</c:v>
                </c:pt>
                <c:pt idx="1">
                  <c:v>Sum of 02-11-2024</c:v>
                </c:pt>
                <c:pt idx="2">
                  <c:v>Sum of 03-11-2024</c:v>
                </c:pt>
                <c:pt idx="3">
                  <c:v>Sum of 04-11-2024</c:v>
                </c:pt>
                <c:pt idx="4">
                  <c:v>Sum of 05-11-2024</c:v>
                </c:pt>
                <c:pt idx="5">
                  <c:v>Sum of 06-11-2024</c:v>
                </c:pt>
                <c:pt idx="6">
                  <c:v>Sum of 07-11-2024</c:v>
                </c:pt>
                <c:pt idx="7">
                  <c:v>Sum of 08-11-2024</c:v>
                </c:pt>
                <c:pt idx="8">
                  <c:v>Sum of 09-11-2024</c:v>
                </c:pt>
                <c:pt idx="9">
                  <c:v>Sum of 10-11-2024</c:v>
                </c:pt>
                <c:pt idx="10">
                  <c:v>Sum of 11-11-2024</c:v>
                </c:pt>
                <c:pt idx="11">
                  <c:v>Sum of 12-11-2024</c:v>
                </c:pt>
                <c:pt idx="12">
                  <c:v>Sum of 13-11-2024</c:v>
                </c:pt>
                <c:pt idx="13">
                  <c:v>Sum of 14-11-2024</c:v>
                </c:pt>
                <c:pt idx="14">
                  <c:v>Sum of 15-11-2024</c:v>
                </c:pt>
                <c:pt idx="15">
                  <c:v>Sum of 16-11-2024</c:v>
                </c:pt>
                <c:pt idx="16">
                  <c:v>Sum of 17-11-2024</c:v>
                </c:pt>
                <c:pt idx="17">
                  <c:v>Sum of 18-11-2024</c:v>
                </c:pt>
                <c:pt idx="18">
                  <c:v>Sum of 19-11-2024</c:v>
                </c:pt>
                <c:pt idx="19">
                  <c:v>Sum of 20-11-2024</c:v>
                </c:pt>
                <c:pt idx="20">
                  <c:v>Sum of 21-11-2024</c:v>
                </c:pt>
                <c:pt idx="21">
                  <c:v>Sum of 22-11-2024</c:v>
                </c:pt>
                <c:pt idx="22">
                  <c:v>Sum of 23-11-2024</c:v>
                </c:pt>
                <c:pt idx="23">
                  <c:v>Sum of 24-11-2024</c:v>
                </c:pt>
                <c:pt idx="24">
                  <c:v>Sum of 25-11-2024</c:v>
                </c:pt>
                <c:pt idx="25">
                  <c:v>Sum of 26-11-2024</c:v>
                </c:pt>
                <c:pt idx="26">
                  <c:v>Sum of 27-11-2024</c:v>
                </c:pt>
                <c:pt idx="27">
                  <c:v>Sum of 28-11-2024</c:v>
                </c:pt>
                <c:pt idx="28">
                  <c:v>Sum of 29-11-2024</c:v>
                </c:pt>
                <c:pt idx="29">
                  <c:v>Sum of 30-11-2024</c:v>
                </c:pt>
              </c:strCache>
            </c:strRef>
          </c:cat>
          <c:val>
            <c:numRef>
              <c:f>'Nov 24 Graph'!$X$5:$X$34</c:f>
              <c:numCache>
                <c:formatCode>General</c:formatCode>
                <c:ptCount val="30"/>
                <c:pt idx="15">
                  <c:v>2.87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B9D-42DE-A590-1455B9142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506304"/>
        <c:axId val="467499248"/>
      </c:barChart>
      <c:catAx>
        <c:axId val="46750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499248"/>
        <c:crosses val="autoZero"/>
        <c:auto val="1"/>
        <c:lblAlgn val="ctr"/>
        <c:lblOffset val="100"/>
        <c:noMultiLvlLbl val="0"/>
      </c:catAx>
      <c:valAx>
        <c:axId val="4674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Consumption.xlsx]Dec 24 Graph!PivotTable2</c:name>
    <c:fmtId val="5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 24 Graph'!$B$3:$B$4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Graph'!$B$5:$B$35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6-402C-A4CC-50F359A0183A}"/>
            </c:ext>
          </c:extLst>
        </c:ser>
        <c:ser>
          <c:idx val="1"/>
          <c:order val="1"/>
          <c:tx>
            <c:strRef>
              <c:f>'Dec 24 Graph'!$C$3:$C$4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Graph'!$C$5:$C$35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6-402C-A4CC-50F359A0183A}"/>
            </c:ext>
          </c:extLst>
        </c:ser>
        <c:ser>
          <c:idx val="2"/>
          <c:order val="2"/>
          <c:tx>
            <c:strRef>
              <c:f>'Dec 24 Graph'!$D$3:$D$4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Graph'!$D$5:$D$35</c:f>
              <c:numCache>
                <c:formatCode>General</c:formatCode>
                <c:ptCount val="31"/>
                <c:pt idx="0">
                  <c:v>166.636</c:v>
                </c:pt>
                <c:pt idx="1">
                  <c:v>177.21100000000001</c:v>
                </c:pt>
                <c:pt idx="2">
                  <c:v>112.633</c:v>
                </c:pt>
                <c:pt idx="3">
                  <c:v>164.75200000000001</c:v>
                </c:pt>
                <c:pt idx="4">
                  <c:v>69.285000000000011</c:v>
                </c:pt>
                <c:pt idx="5">
                  <c:v>70.779999999999973</c:v>
                </c:pt>
                <c:pt idx="6">
                  <c:v>97.786000000000016</c:v>
                </c:pt>
                <c:pt idx="7">
                  <c:v>147.73600000000008</c:v>
                </c:pt>
                <c:pt idx="8">
                  <c:v>177.38200000000012</c:v>
                </c:pt>
                <c:pt idx="9">
                  <c:v>144.37200000000001</c:v>
                </c:pt>
                <c:pt idx="10">
                  <c:v>139.91700000000006</c:v>
                </c:pt>
                <c:pt idx="11">
                  <c:v>140.08499999999998</c:v>
                </c:pt>
                <c:pt idx="12">
                  <c:v>151.84500000000003</c:v>
                </c:pt>
                <c:pt idx="13">
                  <c:v>159.22999999999996</c:v>
                </c:pt>
                <c:pt idx="14">
                  <c:v>69.600000000000009</c:v>
                </c:pt>
                <c:pt idx="15">
                  <c:v>36.155000000000008</c:v>
                </c:pt>
                <c:pt idx="16">
                  <c:v>14.564999999999998</c:v>
                </c:pt>
                <c:pt idx="17">
                  <c:v>4.7850000000000001</c:v>
                </c:pt>
                <c:pt idx="18">
                  <c:v>119.84599999999999</c:v>
                </c:pt>
                <c:pt idx="19">
                  <c:v>39.563000000000009</c:v>
                </c:pt>
                <c:pt idx="20">
                  <c:v>0</c:v>
                </c:pt>
                <c:pt idx="21">
                  <c:v>7.6590000000000007</c:v>
                </c:pt>
                <c:pt idx="22">
                  <c:v>5.0939999999999994</c:v>
                </c:pt>
                <c:pt idx="23">
                  <c:v>208.28799999999993</c:v>
                </c:pt>
                <c:pt idx="24">
                  <c:v>142.149</c:v>
                </c:pt>
                <c:pt idx="25">
                  <c:v>161.654</c:v>
                </c:pt>
                <c:pt idx="26">
                  <c:v>154.36899999999997</c:v>
                </c:pt>
                <c:pt idx="27">
                  <c:v>175.38199999999998</c:v>
                </c:pt>
                <c:pt idx="28">
                  <c:v>173.27299999999997</c:v>
                </c:pt>
                <c:pt idx="29">
                  <c:v>181.13099999999997</c:v>
                </c:pt>
                <c:pt idx="30">
                  <c:v>179.19000000000003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6-402C-A4CC-50F359A0183A}"/>
            </c:ext>
          </c:extLst>
        </c:ser>
        <c:ser>
          <c:idx val="3"/>
          <c:order val="3"/>
          <c:tx>
            <c:strRef>
              <c:f>'Dec 24 Graph'!$E$3:$E$4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Graph'!$E$5:$E$35</c:f>
              <c:numCache>
                <c:formatCode>General</c:formatCode>
                <c:ptCount val="31"/>
                <c:pt idx="0">
                  <c:v>569.16399999999999</c:v>
                </c:pt>
                <c:pt idx="1">
                  <c:v>588.59699999999998</c:v>
                </c:pt>
                <c:pt idx="2">
                  <c:v>591.87699999999995</c:v>
                </c:pt>
                <c:pt idx="3">
                  <c:v>649.07899999999995</c:v>
                </c:pt>
                <c:pt idx="4">
                  <c:v>560.33100000000002</c:v>
                </c:pt>
                <c:pt idx="5">
                  <c:v>548.86800000000005</c:v>
                </c:pt>
                <c:pt idx="6">
                  <c:v>565.88199999999995</c:v>
                </c:pt>
                <c:pt idx="7">
                  <c:v>599.77</c:v>
                </c:pt>
                <c:pt idx="8">
                  <c:v>592.39599999999996</c:v>
                </c:pt>
                <c:pt idx="9">
                  <c:v>596.43500000000006</c:v>
                </c:pt>
                <c:pt idx="10">
                  <c:v>616.69899999999996</c:v>
                </c:pt>
                <c:pt idx="11">
                  <c:v>522.30099999999993</c:v>
                </c:pt>
                <c:pt idx="12">
                  <c:v>597.63299999999992</c:v>
                </c:pt>
                <c:pt idx="13">
                  <c:v>570.601</c:v>
                </c:pt>
                <c:pt idx="14">
                  <c:v>570.02600000000018</c:v>
                </c:pt>
                <c:pt idx="15">
                  <c:v>511.14800000000002</c:v>
                </c:pt>
                <c:pt idx="16">
                  <c:v>634.91600000000005</c:v>
                </c:pt>
                <c:pt idx="17">
                  <c:v>562.12399999999991</c:v>
                </c:pt>
                <c:pt idx="18">
                  <c:v>609.03899999999999</c:v>
                </c:pt>
                <c:pt idx="19">
                  <c:v>598.13900000000001</c:v>
                </c:pt>
                <c:pt idx="20">
                  <c:v>494.97</c:v>
                </c:pt>
                <c:pt idx="21">
                  <c:v>526.75100000000009</c:v>
                </c:pt>
                <c:pt idx="22">
                  <c:v>485.19700000000006</c:v>
                </c:pt>
                <c:pt idx="23">
                  <c:v>509.97</c:v>
                </c:pt>
                <c:pt idx="24">
                  <c:v>445.38600000000008</c:v>
                </c:pt>
                <c:pt idx="25">
                  <c:v>522.05900000000008</c:v>
                </c:pt>
                <c:pt idx="26">
                  <c:v>522.06700000000001</c:v>
                </c:pt>
                <c:pt idx="27">
                  <c:v>529.27800000000002</c:v>
                </c:pt>
                <c:pt idx="28">
                  <c:v>534.49599999999998</c:v>
                </c:pt>
                <c:pt idx="29">
                  <c:v>537.92100000000005</c:v>
                </c:pt>
                <c:pt idx="30">
                  <c:v>487.59899999999993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86-402C-A4CC-50F359A0183A}"/>
            </c:ext>
          </c:extLst>
        </c:ser>
        <c:ser>
          <c:idx val="4"/>
          <c:order val="4"/>
          <c:tx>
            <c:strRef>
              <c:f>'Dec 24 Graph'!$F$3:$F$4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Graph'!$F$5:$F$35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86-402C-A4CC-50F359A0183A}"/>
            </c:ext>
          </c:extLst>
        </c:ser>
        <c:ser>
          <c:idx val="5"/>
          <c:order val="5"/>
          <c:tx>
            <c:strRef>
              <c:f>'Dec 24 Graph'!$G$3:$G$4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Graph'!$G$5:$G$35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86-402C-A4CC-50F359A0183A}"/>
            </c:ext>
          </c:extLst>
        </c:ser>
        <c:ser>
          <c:idx val="6"/>
          <c:order val="6"/>
          <c:tx>
            <c:strRef>
              <c:f>'Dec 24 Graph'!$H$3:$H$4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Graph'!$H$5:$H$35</c:f>
              <c:numCache>
                <c:formatCode>General</c:formatCode>
                <c:ptCount val="31"/>
                <c:pt idx="0">
                  <c:v>909.85900000000004</c:v>
                </c:pt>
                <c:pt idx="1">
                  <c:v>900.34900000000005</c:v>
                </c:pt>
                <c:pt idx="2">
                  <c:v>977.07299999999998</c:v>
                </c:pt>
                <c:pt idx="3">
                  <c:v>1018.3690000000001</c:v>
                </c:pt>
                <c:pt idx="4">
                  <c:v>1081.374</c:v>
                </c:pt>
                <c:pt idx="5">
                  <c:v>1038.19</c:v>
                </c:pt>
                <c:pt idx="6">
                  <c:v>1022.1880000000002</c:v>
                </c:pt>
                <c:pt idx="7">
                  <c:v>1096.6449999999995</c:v>
                </c:pt>
                <c:pt idx="8">
                  <c:v>911.49599999999998</c:v>
                </c:pt>
                <c:pt idx="9">
                  <c:v>1036.4129999999998</c:v>
                </c:pt>
                <c:pt idx="10">
                  <c:v>1080.6300000000001</c:v>
                </c:pt>
                <c:pt idx="11">
                  <c:v>1185.2150000000001</c:v>
                </c:pt>
                <c:pt idx="12">
                  <c:v>1110.1550000000002</c:v>
                </c:pt>
                <c:pt idx="13">
                  <c:v>1042.2220000000002</c:v>
                </c:pt>
                <c:pt idx="14">
                  <c:v>1010.9890000000004</c:v>
                </c:pt>
                <c:pt idx="15">
                  <c:v>1089.2280000000001</c:v>
                </c:pt>
                <c:pt idx="16">
                  <c:v>1138.7770000000003</c:v>
                </c:pt>
                <c:pt idx="17">
                  <c:v>1145.7360000000001</c:v>
                </c:pt>
                <c:pt idx="18">
                  <c:v>1098.722</c:v>
                </c:pt>
                <c:pt idx="19">
                  <c:v>1171.9380000000006</c:v>
                </c:pt>
                <c:pt idx="20">
                  <c:v>1192.9219999999998</c:v>
                </c:pt>
                <c:pt idx="21">
                  <c:v>1154.58</c:v>
                </c:pt>
                <c:pt idx="22">
                  <c:v>1120.1500000000003</c:v>
                </c:pt>
                <c:pt idx="23">
                  <c:v>1198.8509999999999</c:v>
                </c:pt>
                <c:pt idx="24">
                  <c:v>1102.8979999999999</c:v>
                </c:pt>
                <c:pt idx="25">
                  <c:v>1329.1659999999995</c:v>
                </c:pt>
                <c:pt idx="26">
                  <c:v>1019.0100000000002</c:v>
                </c:pt>
                <c:pt idx="27">
                  <c:v>831.92800000000011</c:v>
                </c:pt>
                <c:pt idx="28">
                  <c:v>1082.557</c:v>
                </c:pt>
                <c:pt idx="29">
                  <c:v>1222.453</c:v>
                </c:pt>
                <c:pt idx="30">
                  <c:v>1105.4639999999997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86-402C-A4CC-50F359A0183A}"/>
            </c:ext>
          </c:extLst>
        </c:ser>
        <c:ser>
          <c:idx val="7"/>
          <c:order val="7"/>
          <c:tx>
            <c:strRef>
              <c:f>'Dec 24 Graph'!$I$3:$I$4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Graph'!$I$5:$I$35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2.8250000000000002</c:v>
                </c:pt>
                <c:pt idx="4">
                  <c:v>3.016</c:v>
                </c:pt>
                <c:pt idx="5">
                  <c:v>31.556000000000001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4.6239999999999997</c:v>
                </c:pt>
                <c:pt idx="12">
                  <c:v>10.367000000000001</c:v>
                </c:pt>
                <c:pt idx="13">
                  <c:v>0</c:v>
                </c:pt>
                <c:pt idx="14">
                  <c:v>17.471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25.808999999999997</c:v>
                </c:pt>
                <c:pt idx="22">
                  <c:v>0.626</c:v>
                </c:pt>
                <c:pt idx="23">
                  <c:v>0</c:v>
                </c:pt>
                <c:pt idx="24">
                  <c:v>0</c:v>
                </c:pt>
                <c:pt idx="25">
                  <c:v>37.773000000000003</c:v>
                </c:pt>
                <c:pt idx="26">
                  <c:v>0</c:v>
                </c:pt>
                <c:pt idx="27">
                  <c:v>8.8580000000000005</c:v>
                </c:pt>
                <c:pt idx="28">
                  <c:v>34.56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86-402C-A4CC-50F359A0183A}"/>
            </c:ext>
          </c:extLst>
        </c:ser>
        <c:ser>
          <c:idx val="8"/>
          <c:order val="8"/>
          <c:tx>
            <c:strRef>
              <c:f>'Dec 24 Graph'!$J$3:$J$4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Graph'!$J$5:$J$35</c:f>
              <c:numCache>
                <c:formatCode>General</c:formatCode>
                <c:ptCount val="31"/>
                <c:pt idx="0">
                  <c:v>89.74199999999999</c:v>
                </c:pt>
                <c:pt idx="1">
                  <c:v>58.93399999999999</c:v>
                </c:pt>
                <c:pt idx="2">
                  <c:v>66.815999999999988</c:v>
                </c:pt>
                <c:pt idx="3">
                  <c:v>41.271999999999998</c:v>
                </c:pt>
                <c:pt idx="4">
                  <c:v>37.125999999999991</c:v>
                </c:pt>
                <c:pt idx="5">
                  <c:v>61.529000000000003</c:v>
                </c:pt>
                <c:pt idx="6">
                  <c:v>36.164000000000001</c:v>
                </c:pt>
                <c:pt idx="7">
                  <c:v>57.431999999999995</c:v>
                </c:pt>
                <c:pt idx="8">
                  <c:v>51.265999999999998</c:v>
                </c:pt>
                <c:pt idx="9">
                  <c:v>44.024999999999999</c:v>
                </c:pt>
                <c:pt idx="10">
                  <c:v>57.78</c:v>
                </c:pt>
                <c:pt idx="11">
                  <c:v>48.730000000000004</c:v>
                </c:pt>
                <c:pt idx="12">
                  <c:v>61.723999999999997</c:v>
                </c:pt>
                <c:pt idx="13">
                  <c:v>48.384999999999998</c:v>
                </c:pt>
                <c:pt idx="14">
                  <c:v>39.981999999999999</c:v>
                </c:pt>
                <c:pt idx="15">
                  <c:v>51.847999999999999</c:v>
                </c:pt>
                <c:pt idx="16">
                  <c:v>50.277000000000008</c:v>
                </c:pt>
                <c:pt idx="17">
                  <c:v>62.278999999999996</c:v>
                </c:pt>
                <c:pt idx="18">
                  <c:v>30.355</c:v>
                </c:pt>
                <c:pt idx="19">
                  <c:v>55.481000000000009</c:v>
                </c:pt>
                <c:pt idx="20">
                  <c:v>43.070999999999998</c:v>
                </c:pt>
                <c:pt idx="21">
                  <c:v>65.166000000000011</c:v>
                </c:pt>
                <c:pt idx="22">
                  <c:v>52.646000000000001</c:v>
                </c:pt>
                <c:pt idx="23">
                  <c:v>41.350999999999992</c:v>
                </c:pt>
                <c:pt idx="24">
                  <c:v>37.235999999999997</c:v>
                </c:pt>
                <c:pt idx="25">
                  <c:v>47.660000000000004</c:v>
                </c:pt>
                <c:pt idx="26">
                  <c:v>42.195999999999998</c:v>
                </c:pt>
                <c:pt idx="27">
                  <c:v>43.598999999999997</c:v>
                </c:pt>
                <c:pt idx="28">
                  <c:v>53.748999999999995</c:v>
                </c:pt>
                <c:pt idx="29">
                  <c:v>51.565999999999995</c:v>
                </c:pt>
                <c:pt idx="30">
                  <c:v>41.960999999999999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86-402C-A4CC-50F359A0183A}"/>
            </c:ext>
          </c:extLst>
        </c:ser>
        <c:ser>
          <c:idx val="9"/>
          <c:order val="9"/>
          <c:tx>
            <c:strRef>
              <c:f>'Dec 24 Graph'!$K$3:$K$4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Graph'!$K$5:$K$35</c:f>
              <c:numCache>
                <c:formatCode>General</c:formatCode>
                <c:ptCount val="31"/>
                <c:pt idx="0">
                  <c:v>3334.665</c:v>
                </c:pt>
                <c:pt idx="1">
                  <c:v>3616.4869999999996</c:v>
                </c:pt>
                <c:pt idx="2">
                  <c:v>4136.1580000000013</c:v>
                </c:pt>
                <c:pt idx="3">
                  <c:v>4003.5130000000004</c:v>
                </c:pt>
                <c:pt idx="4">
                  <c:v>3897.5920000000001</c:v>
                </c:pt>
                <c:pt idx="5">
                  <c:v>4259.1890000000012</c:v>
                </c:pt>
                <c:pt idx="6">
                  <c:v>3524.8980000000001</c:v>
                </c:pt>
                <c:pt idx="7">
                  <c:v>2941.8699999999994</c:v>
                </c:pt>
                <c:pt idx="8">
                  <c:v>3516.5429999999997</c:v>
                </c:pt>
                <c:pt idx="9">
                  <c:v>3734.2530000000006</c:v>
                </c:pt>
                <c:pt idx="10">
                  <c:v>3947.2789999999991</c:v>
                </c:pt>
                <c:pt idx="11">
                  <c:v>4040.9080000000004</c:v>
                </c:pt>
                <c:pt idx="12">
                  <c:v>4069.5619999999999</c:v>
                </c:pt>
                <c:pt idx="13">
                  <c:v>3315.8180000000002</c:v>
                </c:pt>
                <c:pt idx="14">
                  <c:v>3014.7809999999999</c:v>
                </c:pt>
                <c:pt idx="15">
                  <c:v>3358.3259999999991</c:v>
                </c:pt>
                <c:pt idx="16">
                  <c:v>4235.808</c:v>
                </c:pt>
                <c:pt idx="17">
                  <c:v>3817.2780000000002</c:v>
                </c:pt>
                <c:pt idx="18">
                  <c:v>4006.2820000000006</c:v>
                </c:pt>
                <c:pt idx="19">
                  <c:v>3812.902</c:v>
                </c:pt>
                <c:pt idx="20">
                  <c:v>3154.0920000000001</c:v>
                </c:pt>
                <c:pt idx="21">
                  <c:v>3232.7440000000011</c:v>
                </c:pt>
                <c:pt idx="22">
                  <c:v>3225.5609999999997</c:v>
                </c:pt>
                <c:pt idx="23">
                  <c:v>3459.8669999999993</c:v>
                </c:pt>
                <c:pt idx="24">
                  <c:v>3336.2669999999998</c:v>
                </c:pt>
                <c:pt idx="25">
                  <c:v>3087.3979999999992</c:v>
                </c:pt>
                <c:pt idx="26">
                  <c:v>3430.5320000000006</c:v>
                </c:pt>
                <c:pt idx="27">
                  <c:v>3274.1669999999995</c:v>
                </c:pt>
                <c:pt idx="28">
                  <c:v>3215.6800000000007</c:v>
                </c:pt>
                <c:pt idx="29">
                  <c:v>3310.1039999999998</c:v>
                </c:pt>
                <c:pt idx="30">
                  <c:v>3269.8039999999992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86-402C-A4CC-50F359A0183A}"/>
            </c:ext>
          </c:extLst>
        </c:ser>
        <c:ser>
          <c:idx val="10"/>
          <c:order val="10"/>
          <c:tx>
            <c:strRef>
              <c:f>'Dec 24 Graph'!$L$3:$L$4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Graph'!$L$5:$L$35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7.2959999999999994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11.894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86-402C-A4CC-50F359A0183A}"/>
            </c:ext>
          </c:extLst>
        </c:ser>
        <c:ser>
          <c:idx val="11"/>
          <c:order val="11"/>
          <c:tx>
            <c:strRef>
              <c:f>'Dec 24 Graph'!$M$3:$M$4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Graph'!$M$5:$M$35</c:f>
              <c:numCache>
                <c:formatCode>General</c:formatCode>
                <c:ptCount val="31"/>
                <c:pt idx="0">
                  <c:v>543.32099999999991</c:v>
                </c:pt>
                <c:pt idx="1">
                  <c:v>250.92800000000003</c:v>
                </c:pt>
                <c:pt idx="2">
                  <c:v>309.95299999999997</c:v>
                </c:pt>
                <c:pt idx="3">
                  <c:v>318.26999999999987</c:v>
                </c:pt>
                <c:pt idx="4">
                  <c:v>364.92200000000003</c:v>
                </c:pt>
                <c:pt idx="5">
                  <c:v>286.08899999999988</c:v>
                </c:pt>
                <c:pt idx="6">
                  <c:v>384.61099999999999</c:v>
                </c:pt>
                <c:pt idx="7">
                  <c:v>543.81999999999994</c:v>
                </c:pt>
                <c:pt idx="8">
                  <c:v>302.28500000000003</c:v>
                </c:pt>
                <c:pt idx="9">
                  <c:v>225.23099999999999</c:v>
                </c:pt>
                <c:pt idx="10">
                  <c:v>416.63399999999996</c:v>
                </c:pt>
                <c:pt idx="11">
                  <c:v>371.86799999999999</c:v>
                </c:pt>
                <c:pt idx="12">
                  <c:v>436.35500000000013</c:v>
                </c:pt>
                <c:pt idx="13">
                  <c:v>387.50199999999995</c:v>
                </c:pt>
                <c:pt idx="14">
                  <c:v>434.79600000000005</c:v>
                </c:pt>
                <c:pt idx="15">
                  <c:v>310.85499999999996</c:v>
                </c:pt>
                <c:pt idx="16">
                  <c:v>222.00999999999996</c:v>
                </c:pt>
                <c:pt idx="17">
                  <c:v>434.70100000000002</c:v>
                </c:pt>
                <c:pt idx="18">
                  <c:v>561.28699999999992</c:v>
                </c:pt>
                <c:pt idx="19">
                  <c:v>507.32400000000013</c:v>
                </c:pt>
                <c:pt idx="20">
                  <c:v>607.99499999999989</c:v>
                </c:pt>
                <c:pt idx="21">
                  <c:v>699.47200000000021</c:v>
                </c:pt>
                <c:pt idx="22">
                  <c:v>462.54100000000017</c:v>
                </c:pt>
                <c:pt idx="23">
                  <c:v>204.20199999999997</c:v>
                </c:pt>
                <c:pt idx="24">
                  <c:v>683.346</c:v>
                </c:pt>
                <c:pt idx="25">
                  <c:v>666.36199999999974</c:v>
                </c:pt>
                <c:pt idx="26">
                  <c:v>682.16499999999996</c:v>
                </c:pt>
                <c:pt idx="27">
                  <c:v>662.11099999999988</c:v>
                </c:pt>
                <c:pt idx="28">
                  <c:v>704.9649999999998</c:v>
                </c:pt>
                <c:pt idx="29">
                  <c:v>478.55600000000004</c:v>
                </c:pt>
                <c:pt idx="30">
                  <c:v>184.749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86-402C-A4CC-50F359A0183A}"/>
            </c:ext>
          </c:extLst>
        </c:ser>
        <c:ser>
          <c:idx val="12"/>
          <c:order val="12"/>
          <c:tx>
            <c:strRef>
              <c:f>'Dec 24 Graph'!$N$3:$N$4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Graph'!$N$5:$N$35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86-402C-A4CC-50F359A0183A}"/>
            </c:ext>
          </c:extLst>
        </c:ser>
        <c:ser>
          <c:idx val="13"/>
          <c:order val="13"/>
          <c:tx>
            <c:strRef>
              <c:f>'Dec 24 Graph'!$O$3:$O$4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Graph'!$O$5:$O$35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86-402C-A4CC-50F359A0183A}"/>
            </c:ext>
          </c:extLst>
        </c:ser>
        <c:ser>
          <c:idx val="14"/>
          <c:order val="14"/>
          <c:tx>
            <c:strRef>
              <c:f>'Dec 24 Graph'!$P$3:$P$4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Graph'!$P$5:$P$35</c:f>
              <c:numCache>
                <c:formatCode>General</c:formatCode>
                <c:ptCount val="31"/>
                <c:pt idx="0">
                  <c:v>7.0049999999999999</c:v>
                </c:pt>
                <c:pt idx="1">
                  <c:v>10.124000000000001</c:v>
                </c:pt>
                <c:pt idx="2">
                  <c:v>14.956999999999999</c:v>
                </c:pt>
                <c:pt idx="3">
                  <c:v>17.965999999999998</c:v>
                </c:pt>
                <c:pt idx="4">
                  <c:v>41.144999999999996</c:v>
                </c:pt>
                <c:pt idx="5">
                  <c:v>39.123000000000005</c:v>
                </c:pt>
                <c:pt idx="6">
                  <c:v>25.072999999999997</c:v>
                </c:pt>
                <c:pt idx="7">
                  <c:v>12.411000000000001</c:v>
                </c:pt>
                <c:pt idx="8">
                  <c:v>21.887</c:v>
                </c:pt>
                <c:pt idx="9">
                  <c:v>31.984999999999999</c:v>
                </c:pt>
                <c:pt idx="10">
                  <c:v>45.906000000000006</c:v>
                </c:pt>
                <c:pt idx="11">
                  <c:v>20.077000000000002</c:v>
                </c:pt>
                <c:pt idx="12">
                  <c:v>35.524999999999999</c:v>
                </c:pt>
                <c:pt idx="13">
                  <c:v>68.11</c:v>
                </c:pt>
                <c:pt idx="14">
                  <c:v>50.603000000000002</c:v>
                </c:pt>
                <c:pt idx="15">
                  <c:v>46.423999999999992</c:v>
                </c:pt>
                <c:pt idx="16">
                  <c:v>42.568000000000005</c:v>
                </c:pt>
                <c:pt idx="17">
                  <c:v>42.632999999999996</c:v>
                </c:pt>
                <c:pt idx="18">
                  <c:v>91.64500000000001</c:v>
                </c:pt>
                <c:pt idx="19">
                  <c:v>112.384</c:v>
                </c:pt>
                <c:pt idx="20">
                  <c:v>51.829000000000001</c:v>
                </c:pt>
                <c:pt idx="21">
                  <c:v>96.266999999999996</c:v>
                </c:pt>
                <c:pt idx="22">
                  <c:v>83.625999999999991</c:v>
                </c:pt>
                <c:pt idx="23">
                  <c:v>85.647000000000006</c:v>
                </c:pt>
                <c:pt idx="24">
                  <c:v>90.417999999999992</c:v>
                </c:pt>
                <c:pt idx="25">
                  <c:v>73.906999999999996</c:v>
                </c:pt>
                <c:pt idx="26">
                  <c:v>90.831999999999994</c:v>
                </c:pt>
                <c:pt idx="27">
                  <c:v>70.60199999999999</c:v>
                </c:pt>
                <c:pt idx="28">
                  <c:v>42.320999999999998</c:v>
                </c:pt>
                <c:pt idx="29">
                  <c:v>63.551999999999992</c:v>
                </c:pt>
                <c:pt idx="30">
                  <c:v>61.728999999999999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86-402C-A4CC-50F359A0183A}"/>
            </c:ext>
          </c:extLst>
        </c:ser>
        <c:ser>
          <c:idx val="15"/>
          <c:order val="15"/>
          <c:tx>
            <c:strRef>
              <c:f>'Dec 24 Graph'!$Q$3:$Q$4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Graph'!$Q$5:$Q$35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38.079000000000001</c:v>
                </c:pt>
                <c:pt idx="5">
                  <c:v>38.180000000000007</c:v>
                </c:pt>
                <c:pt idx="6">
                  <c:v>0</c:v>
                </c:pt>
                <c:pt idx="7">
                  <c:v>0</c:v>
                </c:pt>
                <c:pt idx="8">
                  <c:v>19.626999999999999</c:v>
                </c:pt>
                <c:pt idx="9">
                  <c:v>0</c:v>
                </c:pt>
                <c:pt idx="10">
                  <c:v>19.817</c:v>
                </c:pt>
                <c:pt idx="11">
                  <c:v>0</c:v>
                </c:pt>
                <c:pt idx="12">
                  <c:v>18.71</c:v>
                </c:pt>
                <c:pt idx="13">
                  <c:v>30.806000000000004</c:v>
                </c:pt>
                <c:pt idx="14">
                  <c:v>0</c:v>
                </c:pt>
                <c:pt idx="15">
                  <c:v>0</c:v>
                </c:pt>
                <c:pt idx="16">
                  <c:v>39.768999999999998</c:v>
                </c:pt>
                <c:pt idx="17">
                  <c:v>0</c:v>
                </c:pt>
                <c:pt idx="18">
                  <c:v>0</c:v>
                </c:pt>
                <c:pt idx="19">
                  <c:v>37.589999999999996</c:v>
                </c:pt>
                <c:pt idx="20">
                  <c:v>20.733000000000001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86-402C-A4CC-50F359A0183A}"/>
            </c:ext>
          </c:extLst>
        </c:ser>
        <c:ser>
          <c:idx val="16"/>
          <c:order val="16"/>
          <c:tx>
            <c:strRef>
              <c:f>'Dec 24 Graph'!$R$3:$R$4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Graph'!$R$5:$R$35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486-402C-A4CC-50F359A0183A}"/>
            </c:ext>
          </c:extLst>
        </c:ser>
        <c:ser>
          <c:idx val="17"/>
          <c:order val="17"/>
          <c:tx>
            <c:strRef>
              <c:f>'Dec 24 Graph'!$S$3:$S$4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Graph'!$S$5:$S$35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486-402C-A4CC-50F359A0183A}"/>
            </c:ext>
          </c:extLst>
        </c:ser>
        <c:ser>
          <c:idx val="18"/>
          <c:order val="18"/>
          <c:tx>
            <c:strRef>
              <c:f>'Dec 24 Graph'!$T$3:$T$4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Graph'!$T$5:$T$35</c:f>
              <c:numCache>
                <c:formatCode>General</c:formatCode>
                <c:ptCount val="31"/>
                <c:pt idx="0">
                  <c:v>126.26599999999999</c:v>
                </c:pt>
                <c:pt idx="1">
                  <c:v>149.55300000000003</c:v>
                </c:pt>
                <c:pt idx="2">
                  <c:v>134.09899999999999</c:v>
                </c:pt>
                <c:pt idx="3">
                  <c:v>124.518</c:v>
                </c:pt>
                <c:pt idx="4">
                  <c:v>88.546999999999997</c:v>
                </c:pt>
                <c:pt idx="5">
                  <c:v>57.332999999999977</c:v>
                </c:pt>
                <c:pt idx="6">
                  <c:v>134.88600000000011</c:v>
                </c:pt>
                <c:pt idx="7">
                  <c:v>95.61099999999999</c:v>
                </c:pt>
                <c:pt idx="8">
                  <c:v>127.381</c:v>
                </c:pt>
                <c:pt idx="9">
                  <c:v>115.274</c:v>
                </c:pt>
                <c:pt idx="10">
                  <c:v>111.66299999999998</c:v>
                </c:pt>
                <c:pt idx="11">
                  <c:v>129.61400000000006</c:v>
                </c:pt>
                <c:pt idx="12">
                  <c:v>106.709</c:v>
                </c:pt>
                <c:pt idx="13">
                  <c:v>114.59300000000002</c:v>
                </c:pt>
                <c:pt idx="14">
                  <c:v>108.29899999999999</c:v>
                </c:pt>
                <c:pt idx="15">
                  <c:v>112.89900000000007</c:v>
                </c:pt>
                <c:pt idx="16">
                  <c:v>105.28100000000001</c:v>
                </c:pt>
                <c:pt idx="17">
                  <c:v>96.975999999999999</c:v>
                </c:pt>
                <c:pt idx="18">
                  <c:v>111.77700000000007</c:v>
                </c:pt>
                <c:pt idx="19">
                  <c:v>112.19100000000006</c:v>
                </c:pt>
                <c:pt idx="20">
                  <c:v>107.29200000000003</c:v>
                </c:pt>
                <c:pt idx="21">
                  <c:v>148.358</c:v>
                </c:pt>
                <c:pt idx="22">
                  <c:v>147.678</c:v>
                </c:pt>
                <c:pt idx="23">
                  <c:v>255.16799999999998</c:v>
                </c:pt>
                <c:pt idx="24">
                  <c:v>234.21500000000009</c:v>
                </c:pt>
                <c:pt idx="25">
                  <c:v>305.04599999999994</c:v>
                </c:pt>
                <c:pt idx="26">
                  <c:v>354.96499999999992</c:v>
                </c:pt>
                <c:pt idx="27">
                  <c:v>374.92399999999998</c:v>
                </c:pt>
                <c:pt idx="28">
                  <c:v>315.44999999999987</c:v>
                </c:pt>
                <c:pt idx="29">
                  <c:v>377.69499999999999</c:v>
                </c:pt>
                <c:pt idx="30">
                  <c:v>347.34600000000012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486-402C-A4CC-50F359A0183A}"/>
            </c:ext>
          </c:extLst>
        </c:ser>
        <c:ser>
          <c:idx val="19"/>
          <c:order val="19"/>
          <c:tx>
            <c:strRef>
              <c:f>'Dec 24 Graph'!$U$3:$U$4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Graph'!$U$5:$U$35</c:f>
              <c:numCache>
                <c:formatCode>General</c:formatCode>
                <c:ptCount val="31"/>
                <c:pt idx="0">
                  <c:v>39.606999999999999</c:v>
                </c:pt>
                <c:pt idx="1">
                  <c:v>37.397999999999996</c:v>
                </c:pt>
                <c:pt idx="2">
                  <c:v>14.561</c:v>
                </c:pt>
                <c:pt idx="3">
                  <c:v>41.654999999999994</c:v>
                </c:pt>
                <c:pt idx="4">
                  <c:v>20.228999999999999</c:v>
                </c:pt>
                <c:pt idx="5">
                  <c:v>30.312999999999995</c:v>
                </c:pt>
                <c:pt idx="6">
                  <c:v>30.688999999999997</c:v>
                </c:pt>
                <c:pt idx="7">
                  <c:v>19.672999999999998</c:v>
                </c:pt>
                <c:pt idx="8">
                  <c:v>24.243000000000002</c:v>
                </c:pt>
                <c:pt idx="9">
                  <c:v>24.282999999999998</c:v>
                </c:pt>
                <c:pt idx="10">
                  <c:v>28.834000000000003</c:v>
                </c:pt>
                <c:pt idx="11">
                  <c:v>35.748999999999995</c:v>
                </c:pt>
                <c:pt idx="12">
                  <c:v>40.729999999999997</c:v>
                </c:pt>
                <c:pt idx="13">
                  <c:v>26.807000000000002</c:v>
                </c:pt>
                <c:pt idx="14">
                  <c:v>25.670999999999999</c:v>
                </c:pt>
                <c:pt idx="15">
                  <c:v>14.21</c:v>
                </c:pt>
                <c:pt idx="16">
                  <c:v>41.731999999999999</c:v>
                </c:pt>
                <c:pt idx="17">
                  <c:v>26.244</c:v>
                </c:pt>
                <c:pt idx="18">
                  <c:v>31.2</c:v>
                </c:pt>
                <c:pt idx="19">
                  <c:v>18.535</c:v>
                </c:pt>
                <c:pt idx="20">
                  <c:v>41.413000000000004</c:v>
                </c:pt>
                <c:pt idx="21">
                  <c:v>21.770999999999997</c:v>
                </c:pt>
                <c:pt idx="22">
                  <c:v>36.164999999999999</c:v>
                </c:pt>
                <c:pt idx="23">
                  <c:v>35.896000000000001</c:v>
                </c:pt>
                <c:pt idx="24">
                  <c:v>20.7</c:v>
                </c:pt>
                <c:pt idx="25">
                  <c:v>36.245999999999995</c:v>
                </c:pt>
                <c:pt idx="26">
                  <c:v>26.654000000000003</c:v>
                </c:pt>
                <c:pt idx="27">
                  <c:v>12.902999999999997</c:v>
                </c:pt>
                <c:pt idx="28">
                  <c:v>45.205000000000005</c:v>
                </c:pt>
                <c:pt idx="29">
                  <c:v>23.590000000000003</c:v>
                </c:pt>
                <c:pt idx="30">
                  <c:v>31.744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486-402C-A4CC-50F359A0183A}"/>
            </c:ext>
          </c:extLst>
        </c:ser>
        <c:ser>
          <c:idx val="20"/>
          <c:order val="20"/>
          <c:tx>
            <c:strRef>
              <c:f>'Dec 24 Graph'!$V$3:$V$4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Graph'!$V$5:$V$35</c:f>
              <c:numCache>
                <c:formatCode>General</c:formatCode>
                <c:ptCount val="31"/>
                <c:pt idx="0">
                  <c:v>124.601</c:v>
                </c:pt>
                <c:pt idx="1">
                  <c:v>114.128</c:v>
                </c:pt>
                <c:pt idx="2">
                  <c:v>94.661000000000001</c:v>
                </c:pt>
                <c:pt idx="3">
                  <c:v>77.213999999999999</c:v>
                </c:pt>
                <c:pt idx="4">
                  <c:v>135.666</c:v>
                </c:pt>
                <c:pt idx="5">
                  <c:v>91.686999999999983</c:v>
                </c:pt>
                <c:pt idx="6">
                  <c:v>98.938999999999993</c:v>
                </c:pt>
                <c:pt idx="7">
                  <c:v>63.264000000000003</c:v>
                </c:pt>
                <c:pt idx="8">
                  <c:v>89.361000000000018</c:v>
                </c:pt>
                <c:pt idx="9">
                  <c:v>86.845999999999989</c:v>
                </c:pt>
                <c:pt idx="10">
                  <c:v>74.599000000000004</c:v>
                </c:pt>
                <c:pt idx="11">
                  <c:v>103.26799999999997</c:v>
                </c:pt>
                <c:pt idx="12">
                  <c:v>98.045999999999978</c:v>
                </c:pt>
                <c:pt idx="13">
                  <c:v>79.134999999999991</c:v>
                </c:pt>
                <c:pt idx="14">
                  <c:v>90.093000000000004</c:v>
                </c:pt>
                <c:pt idx="15">
                  <c:v>85.524999999999991</c:v>
                </c:pt>
                <c:pt idx="16">
                  <c:v>86.948000000000008</c:v>
                </c:pt>
                <c:pt idx="17">
                  <c:v>76.205000000000013</c:v>
                </c:pt>
                <c:pt idx="18">
                  <c:v>110.117</c:v>
                </c:pt>
                <c:pt idx="19">
                  <c:v>89.969000000000008</c:v>
                </c:pt>
                <c:pt idx="20">
                  <c:v>105.29800000000002</c:v>
                </c:pt>
                <c:pt idx="21">
                  <c:v>108.78000000000002</c:v>
                </c:pt>
                <c:pt idx="22">
                  <c:v>84.61099999999999</c:v>
                </c:pt>
                <c:pt idx="23">
                  <c:v>96.088999999999999</c:v>
                </c:pt>
                <c:pt idx="24">
                  <c:v>55.163000000000004</c:v>
                </c:pt>
                <c:pt idx="25">
                  <c:v>95.15100000000001</c:v>
                </c:pt>
                <c:pt idx="26">
                  <c:v>88.894999999999996</c:v>
                </c:pt>
                <c:pt idx="27">
                  <c:v>87.277000000000001</c:v>
                </c:pt>
                <c:pt idx="28">
                  <c:v>84.168000000000021</c:v>
                </c:pt>
                <c:pt idx="29">
                  <c:v>91.307999999999993</c:v>
                </c:pt>
                <c:pt idx="30">
                  <c:v>85.572000000000003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486-402C-A4CC-50F359A0183A}"/>
            </c:ext>
          </c:extLst>
        </c:ser>
        <c:ser>
          <c:idx val="21"/>
          <c:order val="21"/>
          <c:tx>
            <c:strRef>
              <c:f>'Dec 24 Graph'!$W$3:$W$4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Graph'!$W$5:$W$35</c:f>
              <c:numCache>
                <c:formatCode>General</c:formatCode>
                <c:ptCount val="31"/>
                <c:pt idx="0">
                  <c:v>96.879000000000019</c:v>
                </c:pt>
                <c:pt idx="1">
                  <c:v>123.13700000000001</c:v>
                </c:pt>
                <c:pt idx="2">
                  <c:v>116.69899999999998</c:v>
                </c:pt>
                <c:pt idx="3">
                  <c:v>85.934999999999988</c:v>
                </c:pt>
                <c:pt idx="4">
                  <c:v>106.66700000000002</c:v>
                </c:pt>
                <c:pt idx="5">
                  <c:v>111.33800000000004</c:v>
                </c:pt>
                <c:pt idx="6">
                  <c:v>85.220999999999989</c:v>
                </c:pt>
                <c:pt idx="7">
                  <c:v>85.527999999999992</c:v>
                </c:pt>
                <c:pt idx="8">
                  <c:v>113.37400000000001</c:v>
                </c:pt>
                <c:pt idx="9">
                  <c:v>93.839000000000013</c:v>
                </c:pt>
                <c:pt idx="10">
                  <c:v>125.78199999999997</c:v>
                </c:pt>
                <c:pt idx="11">
                  <c:v>94.11099999999999</c:v>
                </c:pt>
                <c:pt idx="12">
                  <c:v>84.678000000000011</c:v>
                </c:pt>
                <c:pt idx="13">
                  <c:v>117.83199999999999</c:v>
                </c:pt>
                <c:pt idx="14">
                  <c:v>74.59</c:v>
                </c:pt>
                <c:pt idx="15">
                  <c:v>130.483</c:v>
                </c:pt>
                <c:pt idx="16">
                  <c:v>77.064000000000007</c:v>
                </c:pt>
                <c:pt idx="17">
                  <c:v>56.923000000000002</c:v>
                </c:pt>
                <c:pt idx="18">
                  <c:v>132.08699999999999</c:v>
                </c:pt>
                <c:pt idx="19">
                  <c:v>89.537999999999997</c:v>
                </c:pt>
                <c:pt idx="20">
                  <c:v>84.509</c:v>
                </c:pt>
                <c:pt idx="21">
                  <c:v>111.92800000000003</c:v>
                </c:pt>
                <c:pt idx="22">
                  <c:v>143.506</c:v>
                </c:pt>
                <c:pt idx="23">
                  <c:v>47.345999999999997</c:v>
                </c:pt>
                <c:pt idx="24">
                  <c:v>118.49599999999998</c:v>
                </c:pt>
                <c:pt idx="25">
                  <c:v>74.165999999999997</c:v>
                </c:pt>
                <c:pt idx="26">
                  <c:v>122.30600000000003</c:v>
                </c:pt>
                <c:pt idx="27">
                  <c:v>70.675999999999988</c:v>
                </c:pt>
                <c:pt idx="28">
                  <c:v>67.260000000000005</c:v>
                </c:pt>
                <c:pt idx="29">
                  <c:v>97.657999999999987</c:v>
                </c:pt>
                <c:pt idx="30">
                  <c:v>65.838999999999999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486-402C-A4CC-50F359A0183A}"/>
            </c:ext>
          </c:extLst>
        </c:ser>
        <c:ser>
          <c:idx val="22"/>
          <c:order val="22"/>
          <c:tx>
            <c:strRef>
              <c:f>'Dec 24 Graph'!$X$3:$X$4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Graph'!$X$5:$X$35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486-402C-A4CC-50F359A0183A}"/>
            </c:ext>
          </c:extLst>
        </c:ser>
        <c:ser>
          <c:idx val="23"/>
          <c:order val="23"/>
          <c:tx>
            <c:strRef>
              <c:f>'Dec 24 Graph'!$Y$3:$Y$4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Graph'!$Y$5:$Y$35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486-402C-A4CC-50F359A0183A}"/>
            </c:ext>
          </c:extLst>
        </c:ser>
        <c:ser>
          <c:idx val="24"/>
          <c:order val="24"/>
          <c:tx>
            <c:strRef>
              <c:f>'Dec 24 Graph'!$Z$3:$Z$4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Graph'!$Z$5:$Z$35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86-402C-A4CC-50F359A0183A}"/>
            </c:ext>
          </c:extLst>
        </c:ser>
        <c:ser>
          <c:idx val="25"/>
          <c:order val="25"/>
          <c:tx>
            <c:strRef>
              <c:f>'Dec 24 Graph'!$AA$3:$AA$4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Graph'!$AA$5:$AA$35</c:f>
              <c:numCache>
                <c:formatCode>General</c:formatCode>
                <c:ptCount val="31"/>
                <c:pt idx="5">
                  <c:v>0.74299999999999999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486-402C-A4CC-50F359A0183A}"/>
            </c:ext>
          </c:extLst>
        </c:ser>
        <c:ser>
          <c:idx val="26"/>
          <c:order val="26"/>
          <c:tx>
            <c:strRef>
              <c:f>'Dec 24 Graph'!$AB$3:$AB$4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Graph'!$AB$5:$AB$35</c:f>
              <c:numCache>
                <c:formatCode>General</c:formatCode>
                <c:ptCount val="31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9.41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486-402C-A4CC-50F359A0183A}"/>
            </c:ext>
          </c:extLst>
        </c:ser>
        <c:ser>
          <c:idx val="27"/>
          <c:order val="27"/>
          <c:tx>
            <c:strRef>
              <c:f>'Dec 24 Graph'!$AC$3:$AC$4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Graph'!$AC$5:$AC$35</c:f>
              <c:numCache>
                <c:formatCode>General</c:formatCode>
                <c:ptCount val="31"/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4.9020000000000001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486-402C-A4CC-50F359A0183A}"/>
            </c:ext>
          </c:extLst>
        </c:ser>
        <c:ser>
          <c:idx val="28"/>
          <c:order val="28"/>
          <c:tx>
            <c:strRef>
              <c:f>'Dec 24 Graph'!$AD$3:$AD$4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Graph'!$AD$5:$AD$35</c:f>
              <c:numCache>
                <c:formatCode>General</c:formatCode>
                <c:ptCount val="31"/>
                <c:pt idx="16">
                  <c:v>0</c:v>
                </c:pt>
                <c:pt idx="17">
                  <c:v>2.78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486-402C-A4CC-50F359A0183A}"/>
            </c:ext>
          </c:extLst>
        </c:ser>
        <c:ser>
          <c:idx val="29"/>
          <c:order val="29"/>
          <c:tx>
            <c:strRef>
              <c:f>'Dec 24 Graph'!$AE$3:$AE$4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Graph'!$AE$5:$AE$35</c:f>
              <c:numCache>
                <c:formatCode>General</c:formatCode>
                <c:ptCount val="31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486-402C-A4CC-50F359A01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683424"/>
        <c:axId val="544682248"/>
      </c:barChart>
      <c:catAx>
        <c:axId val="5446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2248"/>
        <c:crosses val="autoZero"/>
        <c:auto val="1"/>
        <c:lblAlgn val="ctr"/>
        <c:lblOffset val="100"/>
        <c:noMultiLvlLbl val="0"/>
      </c:catAx>
      <c:valAx>
        <c:axId val="54468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Consumption.xlsx]Dec 24 Graph!PivotTable2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 24 Graph'!$B$3:$B$4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Graph'!$B$5:$B$35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3-4046-9F8A-EB5A46B0387F}"/>
            </c:ext>
          </c:extLst>
        </c:ser>
        <c:ser>
          <c:idx val="1"/>
          <c:order val="1"/>
          <c:tx>
            <c:strRef>
              <c:f>'Dec 24 Graph'!$C$3:$C$4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Graph'!$C$5:$C$35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3-4046-9F8A-EB5A46B0387F}"/>
            </c:ext>
          </c:extLst>
        </c:ser>
        <c:ser>
          <c:idx val="2"/>
          <c:order val="2"/>
          <c:tx>
            <c:strRef>
              <c:f>'Dec 24 Graph'!$D$3:$D$4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Graph'!$D$5:$D$35</c:f>
              <c:numCache>
                <c:formatCode>General</c:formatCode>
                <c:ptCount val="31"/>
                <c:pt idx="0">
                  <c:v>166.636</c:v>
                </c:pt>
                <c:pt idx="1">
                  <c:v>177.21100000000001</c:v>
                </c:pt>
                <c:pt idx="2">
                  <c:v>112.633</c:v>
                </c:pt>
                <c:pt idx="3">
                  <c:v>164.75200000000001</c:v>
                </c:pt>
                <c:pt idx="4">
                  <c:v>69.285000000000011</c:v>
                </c:pt>
                <c:pt idx="5">
                  <c:v>70.779999999999973</c:v>
                </c:pt>
                <c:pt idx="6">
                  <c:v>97.786000000000016</c:v>
                </c:pt>
                <c:pt idx="7">
                  <c:v>147.73600000000008</c:v>
                </c:pt>
                <c:pt idx="8">
                  <c:v>177.38200000000012</c:v>
                </c:pt>
                <c:pt idx="9">
                  <c:v>144.37200000000001</c:v>
                </c:pt>
                <c:pt idx="10">
                  <c:v>139.91700000000006</c:v>
                </c:pt>
                <c:pt idx="11">
                  <c:v>140.08499999999998</c:v>
                </c:pt>
                <c:pt idx="12">
                  <c:v>151.84500000000003</c:v>
                </c:pt>
                <c:pt idx="13">
                  <c:v>159.22999999999996</c:v>
                </c:pt>
                <c:pt idx="14">
                  <c:v>69.600000000000009</c:v>
                </c:pt>
                <c:pt idx="15">
                  <c:v>36.155000000000008</c:v>
                </c:pt>
                <c:pt idx="16">
                  <c:v>14.564999999999998</c:v>
                </c:pt>
                <c:pt idx="17">
                  <c:v>4.7850000000000001</c:v>
                </c:pt>
                <c:pt idx="18">
                  <c:v>119.84599999999999</c:v>
                </c:pt>
                <c:pt idx="19">
                  <c:v>39.563000000000009</c:v>
                </c:pt>
                <c:pt idx="20">
                  <c:v>0</c:v>
                </c:pt>
                <c:pt idx="21">
                  <c:v>7.6590000000000007</c:v>
                </c:pt>
                <c:pt idx="22">
                  <c:v>5.0939999999999994</c:v>
                </c:pt>
                <c:pt idx="23">
                  <c:v>208.28799999999993</c:v>
                </c:pt>
                <c:pt idx="24">
                  <c:v>142.149</c:v>
                </c:pt>
                <c:pt idx="25">
                  <c:v>161.654</c:v>
                </c:pt>
                <c:pt idx="26">
                  <c:v>154.36899999999997</c:v>
                </c:pt>
                <c:pt idx="27">
                  <c:v>175.38199999999998</c:v>
                </c:pt>
                <c:pt idx="28">
                  <c:v>173.27299999999997</c:v>
                </c:pt>
                <c:pt idx="29">
                  <c:v>181.13099999999997</c:v>
                </c:pt>
                <c:pt idx="30">
                  <c:v>179.19000000000003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93-4046-9F8A-EB5A46B0387F}"/>
            </c:ext>
          </c:extLst>
        </c:ser>
        <c:ser>
          <c:idx val="3"/>
          <c:order val="3"/>
          <c:tx>
            <c:strRef>
              <c:f>'Dec 24 Graph'!$E$3:$E$4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Graph'!$E$5:$E$35</c:f>
              <c:numCache>
                <c:formatCode>General</c:formatCode>
                <c:ptCount val="31"/>
                <c:pt idx="0">
                  <c:v>569.16399999999999</c:v>
                </c:pt>
                <c:pt idx="1">
                  <c:v>588.59699999999998</c:v>
                </c:pt>
                <c:pt idx="2">
                  <c:v>591.87699999999995</c:v>
                </c:pt>
                <c:pt idx="3">
                  <c:v>649.07899999999995</c:v>
                </c:pt>
                <c:pt idx="4">
                  <c:v>560.33100000000002</c:v>
                </c:pt>
                <c:pt idx="5">
                  <c:v>548.86800000000005</c:v>
                </c:pt>
                <c:pt idx="6">
                  <c:v>565.88199999999995</c:v>
                </c:pt>
                <c:pt idx="7">
                  <c:v>599.77</c:v>
                </c:pt>
                <c:pt idx="8">
                  <c:v>592.39599999999996</c:v>
                </c:pt>
                <c:pt idx="9">
                  <c:v>596.43500000000006</c:v>
                </c:pt>
                <c:pt idx="10">
                  <c:v>616.69899999999996</c:v>
                </c:pt>
                <c:pt idx="11">
                  <c:v>522.30099999999993</c:v>
                </c:pt>
                <c:pt idx="12">
                  <c:v>597.63299999999992</c:v>
                </c:pt>
                <c:pt idx="13">
                  <c:v>570.601</c:v>
                </c:pt>
                <c:pt idx="14">
                  <c:v>570.02600000000018</c:v>
                </c:pt>
                <c:pt idx="15">
                  <c:v>511.14800000000002</c:v>
                </c:pt>
                <c:pt idx="16">
                  <c:v>634.91600000000005</c:v>
                </c:pt>
                <c:pt idx="17">
                  <c:v>562.12399999999991</c:v>
                </c:pt>
                <c:pt idx="18">
                  <c:v>609.03899999999999</c:v>
                </c:pt>
                <c:pt idx="19">
                  <c:v>598.13900000000001</c:v>
                </c:pt>
                <c:pt idx="20">
                  <c:v>494.97</c:v>
                </c:pt>
                <c:pt idx="21">
                  <c:v>526.75100000000009</c:v>
                </c:pt>
                <c:pt idx="22">
                  <c:v>485.19700000000006</c:v>
                </c:pt>
                <c:pt idx="23">
                  <c:v>509.97</c:v>
                </c:pt>
                <c:pt idx="24">
                  <c:v>445.38600000000008</c:v>
                </c:pt>
                <c:pt idx="25">
                  <c:v>522.05900000000008</c:v>
                </c:pt>
                <c:pt idx="26">
                  <c:v>522.06700000000001</c:v>
                </c:pt>
                <c:pt idx="27">
                  <c:v>529.27800000000002</c:v>
                </c:pt>
                <c:pt idx="28">
                  <c:v>534.49599999999998</c:v>
                </c:pt>
                <c:pt idx="29">
                  <c:v>537.92100000000005</c:v>
                </c:pt>
                <c:pt idx="30">
                  <c:v>487.59899999999993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93-4046-9F8A-EB5A46B0387F}"/>
            </c:ext>
          </c:extLst>
        </c:ser>
        <c:ser>
          <c:idx val="4"/>
          <c:order val="4"/>
          <c:tx>
            <c:strRef>
              <c:f>'Dec 24 Graph'!$F$3:$F$4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Graph'!$F$5:$F$35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93-4046-9F8A-EB5A46B0387F}"/>
            </c:ext>
          </c:extLst>
        </c:ser>
        <c:ser>
          <c:idx val="5"/>
          <c:order val="5"/>
          <c:tx>
            <c:strRef>
              <c:f>'Dec 24 Graph'!$G$3:$G$4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Graph'!$G$5:$G$35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93-4046-9F8A-EB5A46B0387F}"/>
            </c:ext>
          </c:extLst>
        </c:ser>
        <c:ser>
          <c:idx val="6"/>
          <c:order val="6"/>
          <c:tx>
            <c:strRef>
              <c:f>'Dec 24 Graph'!$H$3:$H$4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Graph'!$H$5:$H$35</c:f>
              <c:numCache>
                <c:formatCode>General</c:formatCode>
                <c:ptCount val="31"/>
                <c:pt idx="0">
                  <c:v>909.85900000000004</c:v>
                </c:pt>
                <c:pt idx="1">
                  <c:v>900.34900000000005</c:v>
                </c:pt>
                <c:pt idx="2">
                  <c:v>977.07299999999998</c:v>
                </c:pt>
                <c:pt idx="3">
                  <c:v>1018.3690000000001</c:v>
                </c:pt>
                <c:pt idx="4">
                  <c:v>1081.374</c:v>
                </c:pt>
                <c:pt idx="5">
                  <c:v>1038.19</c:v>
                </c:pt>
                <c:pt idx="6">
                  <c:v>1022.1880000000002</c:v>
                </c:pt>
                <c:pt idx="7">
                  <c:v>1096.6449999999995</c:v>
                </c:pt>
                <c:pt idx="8">
                  <c:v>911.49599999999998</c:v>
                </c:pt>
                <c:pt idx="9">
                  <c:v>1036.4129999999998</c:v>
                </c:pt>
                <c:pt idx="10">
                  <c:v>1080.6300000000001</c:v>
                </c:pt>
                <c:pt idx="11">
                  <c:v>1185.2150000000001</c:v>
                </c:pt>
                <c:pt idx="12">
                  <c:v>1110.1550000000002</c:v>
                </c:pt>
                <c:pt idx="13">
                  <c:v>1042.2220000000002</c:v>
                </c:pt>
                <c:pt idx="14">
                  <c:v>1010.9890000000004</c:v>
                </c:pt>
                <c:pt idx="15">
                  <c:v>1089.2280000000001</c:v>
                </c:pt>
                <c:pt idx="16">
                  <c:v>1138.7770000000003</c:v>
                </c:pt>
                <c:pt idx="17">
                  <c:v>1145.7360000000001</c:v>
                </c:pt>
                <c:pt idx="18">
                  <c:v>1098.722</c:v>
                </c:pt>
                <c:pt idx="19">
                  <c:v>1171.9380000000006</c:v>
                </c:pt>
                <c:pt idx="20">
                  <c:v>1192.9219999999998</c:v>
                </c:pt>
                <c:pt idx="21">
                  <c:v>1154.58</c:v>
                </c:pt>
                <c:pt idx="22">
                  <c:v>1120.1500000000003</c:v>
                </c:pt>
                <c:pt idx="23">
                  <c:v>1198.8509999999999</c:v>
                </c:pt>
                <c:pt idx="24">
                  <c:v>1102.8979999999999</c:v>
                </c:pt>
                <c:pt idx="25">
                  <c:v>1329.1659999999995</c:v>
                </c:pt>
                <c:pt idx="26">
                  <c:v>1019.0100000000002</c:v>
                </c:pt>
                <c:pt idx="27">
                  <c:v>831.92800000000011</c:v>
                </c:pt>
                <c:pt idx="28">
                  <c:v>1082.557</c:v>
                </c:pt>
                <c:pt idx="29">
                  <c:v>1222.453</c:v>
                </c:pt>
                <c:pt idx="30">
                  <c:v>1105.4639999999997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93-4046-9F8A-EB5A46B0387F}"/>
            </c:ext>
          </c:extLst>
        </c:ser>
        <c:ser>
          <c:idx val="7"/>
          <c:order val="7"/>
          <c:tx>
            <c:strRef>
              <c:f>'Dec 24 Graph'!$I$3:$I$4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Graph'!$I$5:$I$35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2.8250000000000002</c:v>
                </c:pt>
                <c:pt idx="4">
                  <c:v>3.016</c:v>
                </c:pt>
                <c:pt idx="5">
                  <c:v>31.556000000000001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4.6239999999999997</c:v>
                </c:pt>
                <c:pt idx="12">
                  <c:v>10.367000000000001</c:v>
                </c:pt>
                <c:pt idx="13">
                  <c:v>0</c:v>
                </c:pt>
                <c:pt idx="14">
                  <c:v>17.471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25.808999999999997</c:v>
                </c:pt>
                <c:pt idx="22">
                  <c:v>0.626</c:v>
                </c:pt>
                <c:pt idx="23">
                  <c:v>0</c:v>
                </c:pt>
                <c:pt idx="24">
                  <c:v>0</c:v>
                </c:pt>
                <c:pt idx="25">
                  <c:v>37.773000000000003</c:v>
                </c:pt>
                <c:pt idx="26">
                  <c:v>0</c:v>
                </c:pt>
                <c:pt idx="27">
                  <c:v>8.8580000000000005</c:v>
                </c:pt>
                <c:pt idx="28">
                  <c:v>34.56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93-4046-9F8A-EB5A46B0387F}"/>
            </c:ext>
          </c:extLst>
        </c:ser>
        <c:ser>
          <c:idx val="8"/>
          <c:order val="8"/>
          <c:tx>
            <c:strRef>
              <c:f>'Dec 24 Graph'!$J$3:$J$4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Graph'!$J$5:$J$35</c:f>
              <c:numCache>
                <c:formatCode>General</c:formatCode>
                <c:ptCount val="31"/>
                <c:pt idx="0">
                  <c:v>89.74199999999999</c:v>
                </c:pt>
                <c:pt idx="1">
                  <c:v>58.93399999999999</c:v>
                </c:pt>
                <c:pt idx="2">
                  <c:v>66.815999999999988</c:v>
                </c:pt>
                <c:pt idx="3">
                  <c:v>41.271999999999998</c:v>
                </c:pt>
                <c:pt idx="4">
                  <c:v>37.125999999999991</c:v>
                </c:pt>
                <c:pt idx="5">
                  <c:v>61.529000000000003</c:v>
                </c:pt>
                <c:pt idx="6">
                  <c:v>36.164000000000001</c:v>
                </c:pt>
                <c:pt idx="7">
                  <c:v>57.431999999999995</c:v>
                </c:pt>
                <c:pt idx="8">
                  <c:v>51.265999999999998</c:v>
                </c:pt>
                <c:pt idx="9">
                  <c:v>44.024999999999999</c:v>
                </c:pt>
                <c:pt idx="10">
                  <c:v>57.78</c:v>
                </c:pt>
                <c:pt idx="11">
                  <c:v>48.730000000000004</c:v>
                </c:pt>
                <c:pt idx="12">
                  <c:v>61.723999999999997</c:v>
                </c:pt>
                <c:pt idx="13">
                  <c:v>48.384999999999998</c:v>
                </c:pt>
                <c:pt idx="14">
                  <c:v>39.981999999999999</c:v>
                </c:pt>
                <c:pt idx="15">
                  <c:v>51.847999999999999</c:v>
                </c:pt>
                <c:pt idx="16">
                  <c:v>50.277000000000008</c:v>
                </c:pt>
                <c:pt idx="17">
                  <c:v>62.278999999999996</c:v>
                </c:pt>
                <c:pt idx="18">
                  <c:v>30.355</c:v>
                </c:pt>
                <c:pt idx="19">
                  <c:v>55.481000000000009</c:v>
                </c:pt>
                <c:pt idx="20">
                  <c:v>43.070999999999998</c:v>
                </c:pt>
                <c:pt idx="21">
                  <c:v>65.166000000000011</c:v>
                </c:pt>
                <c:pt idx="22">
                  <c:v>52.646000000000001</c:v>
                </c:pt>
                <c:pt idx="23">
                  <c:v>41.350999999999992</c:v>
                </c:pt>
                <c:pt idx="24">
                  <c:v>37.235999999999997</c:v>
                </c:pt>
                <c:pt idx="25">
                  <c:v>47.660000000000004</c:v>
                </c:pt>
                <c:pt idx="26">
                  <c:v>42.195999999999998</c:v>
                </c:pt>
                <c:pt idx="27">
                  <c:v>43.598999999999997</c:v>
                </c:pt>
                <c:pt idx="28">
                  <c:v>53.748999999999995</c:v>
                </c:pt>
                <c:pt idx="29">
                  <c:v>51.565999999999995</c:v>
                </c:pt>
                <c:pt idx="30">
                  <c:v>41.960999999999999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93-4046-9F8A-EB5A46B0387F}"/>
            </c:ext>
          </c:extLst>
        </c:ser>
        <c:ser>
          <c:idx val="9"/>
          <c:order val="9"/>
          <c:tx>
            <c:strRef>
              <c:f>'Dec 24 Graph'!$K$3:$K$4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Graph'!$K$5:$K$35</c:f>
              <c:numCache>
                <c:formatCode>General</c:formatCode>
                <c:ptCount val="31"/>
                <c:pt idx="0">
                  <c:v>3334.665</c:v>
                </c:pt>
                <c:pt idx="1">
                  <c:v>3616.4869999999996</c:v>
                </c:pt>
                <c:pt idx="2">
                  <c:v>4136.1580000000013</c:v>
                </c:pt>
                <c:pt idx="3">
                  <c:v>4003.5130000000004</c:v>
                </c:pt>
                <c:pt idx="4">
                  <c:v>3897.5920000000001</c:v>
                </c:pt>
                <c:pt idx="5">
                  <c:v>4259.1890000000012</c:v>
                </c:pt>
                <c:pt idx="6">
                  <c:v>3524.8980000000001</c:v>
                </c:pt>
                <c:pt idx="7">
                  <c:v>2941.8699999999994</c:v>
                </c:pt>
                <c:pt idx="8">
                  <c:v>3516.5429999999997</c:v>
                </c:pt>
                <c:pt idx="9">
                  <c:v>3734.2530000000006</c:v>
                </c:pt>
                <c:pt idx="10">
                  <c:v>3947.2789999999991</c:v>
                </c:pt>
                <c:pt idx="11">
                  <c:v>4040.9080000000004</c:v>
                </c:pt>
                <c:pt idx="12">
                  <c:v>4069.5619999999999</c:v>
                </c:pt>
                <c:pt idx="13">
                  <c:v>3315.8180000000002</c:v>
                </c:pt>
                <c:pt idx="14">
                  <c:v>3014.7809999999999</c:v>
                </c:pt>
                <c:pt idx="15">
                  <c:v>3358.3259999999991</c:v>
                </c:pt>
                <c:pt idx="16">
                  <c:v>4235.808</c:v>
                </c:pt>
                <c:pt idx="17">
                  <c:v>3817.2780000000002</c:v>
                </c:pt>
                <c:pt idx="18">
                  <c:v>4006.2820000000006</c:v>
                </c:pt>
                <c:pt idx="19">
                  <c:v>3812.902</c:v>
                </c:pt>
                <c:pt idx="20">
                  <c:v>3154.0920000000001</c:v>
                </c:pt>
                <c:pt idx="21">
                  <c:v>3232.7440000000011</c:v>
                </c:pt>
                <c:pt idx="22">
                  <c:v>3225.5609999999997</c:v>
                </c:pt>
                <c:pt idx="23">
                  <c:v>3459.8669999999993</c:v>
                </c:pt>
                <c:pt idx="24">
                  <c:v>3336.2669999999998</c:v>
                </c:pt>
                <c:pt idx="25">
                  <c:v>3087.3979999999992</c:v>
                </c:pt>
                <c:pt idx="26">
                  <c:v>3430.5320000000006</c:v>
                </c:pt>
                <c:pt idx="27">
                  <c:v>3274.1669999999995</c:v>
                </c:pt>
                <c:pt idx="28">
                  <c:v>3215.6800000000007</c:v>
                </c:pt>
                <c:pt idx="29">
                  <c:v>3310.1039999999998</c:v>
                </c:pt>
                <c:pt idx="30">
                  <c:v>3269.8039999999992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93-4046-9F8A-EB5A46B0387F}"/>
            </c:ext>
          </c:extLst>
        </c:ser>
        <c:ser>
          <c:idx val="10"/>
          <c:order val="10"/>
          <c:tx>
            <c:strRef>
              <c:f>'Dec 24 Graph'!$L$3:$L$4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Graph'!$L$5:$L$35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7.2959999999999994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11.894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93-4046-9F8A-EB5A46B0387F}"/>
            </c:ext>
          </c:extLst>
        </c:ser>
        <c:ser>
          <c:idx val="11"/>
          <c:order val="11"/>
          <c:tx>
            <c:strRef>
              <c:f>'Dec 24 Graph'!$M$3:$M$4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Graph'!$M$5:$M$35</c:f>
              <c:numCache>
                <c:formatCode>General</c:formatCode>
                <c:ptCount val="31"/>
                <c:pt idx="0">
                  <c:v>543.32099999999991</c:v>
                </c:pt>
                <c:pt idx="1">
                  <c:v>250.92800000000003</c:v>
                </c:pt>
                <c:pt idx="2">
                  <c:v>309.95299999999997</c:v>
                </c:pt>
                <c:pt idx="3">
                  <c:v>318.26999999999987</c:v>
                </c:pt>
                <c:pt idx="4">
                  <c:v>364.92200000000003</c:v>
                </c:pt>
                <c:pt idx="5">
                  <c:v>286.08899999999988</c:v>
                </c:pt>
                <c:pt idx="6">
                  <c:v>384.61099999999999</c:v>
                </c:pt>
                <c:pt idx="7">
                  <c:v>543.81999999999994</c:v>
                </c:pt>
                <c:pt idx="8">
                  <c:v>302.28500000000003</c:v>
                </c:pt>
                <c:pt idx="9">
                  <c:v>225.23099999999999</c:v>
                </c:pt>
                <c:pt idx="10">
                  <c:v>416.63399999999996</c:v>
                </c:pt>
                <c:pt idx="11">
                  <c:v>371.86799999999999</c:v>
                </c:pt>
                <c:pt idx="12">
                  <c:v>436.35500000000013</c:v>
                </c:pt>
                <c:pt idx="13">
                  <c:v>387.50199999999995</c:v>
                </c:pt>
                <c:pt idx="14">
                  <c:v>434.79600000000005</c:v>
                </c:pt>
                <c:pt idx="15">
                  <c:v>310.85499999999996</c:v>
                </c:pt>
                <c:pt idx="16">
                  <c:v>222.00999999999996</c:v>
                </c:pt>
                <c:pt idx="17">
                  <c:v>434.70100000000002</c:v>
                </c:pt>
                <c:pt idx="18">
                  <c:v>561.28699999999992</c:v>
                </c:pt>
                <c:pt idx="19">
                  <c:v>507.32400000000013</c:v>
                </c:pt>
                <c:pt idx="20">
                  <c:v>607.99499999999989</c:v>
                </c:pt>
                <c:pt idx="21">
                  <c:v>699.47200000000021</c:v>
                </c:pt>
                <c:pt idx="22">
                  <c:v>462.54100000000017</c:v>
                </c:pt>
                <c:pt idx="23">
                  <c:v>204.20199999999997</c:v>
                </c:pt>
                <c:pt idx="24">
                  <c:v>683.346</c:v>
                </c:pt>
                <c:pt idx="25">
                  <c:v>666.36199999999974</c:v>
                </c:pt>
                <c:pt idx="26">
                  <c:v>682.16499999999996</c:v>
                </c:pt>
                <c:pt idx="27">
                  <c:v>662.11099999999988</c:v>
                </c:pt>
                <c:pt idx="28">
                  <c:v>704.9649999999998</c:v>
                </c:pt>
                <c:pt idx="29">
                  <c:v>478.55600000000004</c:v>
                </c:pt>
                <c:pt idx="30">
                  <c:v>184.749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93-4046-9F8A-EB5A46B0387F}"/>
            </c:ext>
          </c:extLst>
        </c:ser>
        <c:ser>
          <c:idx val="12"/>
          <c:order val="12"/>
          <c:tx>
            <c:strRef>
              <c:f>'Dec 24 Graph'!$N$3:$N$4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Graph'!$N$5:$N$35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93-4046-9F8A-EB5A46B0387F}"/>
            </c:ext>
          </c:extLst>
        </c:ser>
        <c:ser>
          <c:idx val="13"/>
          <c:order val="13"/>
          <c:tx>
            <c:strRef>
              <c:f>'Dec 24 Graph'!$O$3:$O$4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Graph'!$O$5:$O$35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93-4046-9F8A-EB5A46B0387F}"/>
            </c:ext>
          </c:extLst>
        </c:ser>
        <c:ser>
          <c:idx val="14"/>
          <c:order val="14"/>
          <c:tx>
            <c:strRef>
              <c:f>'Dec 24 Graph'!$P$3:$P$4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Graph'!$P$5:$P$35</c:f>
              <c:numCache>
                <c:formatCode>General</c:formatCode>
                <c:ptCount val="31"/>
                <c:pt idx="0">
                  <c:v>7.0049999999999999</c:v>
                </c:pt>
                <c:pt idx="1">
                  <c:v>10.124000000000001</c:v>
                </c:pt>
                <c:pt idx="2">
                  <c:v>14.956999999999999</c:v>
                </c:pt>
                <c:pt idx="3">
                  <c:v>17.965999999999998</c:v>
                </c:pt>
                <c:pt idx="4">
                  <c:v>41.144999999999996</c:v>
                </c:pt>
                <c:pt idx="5">
                  <c:v>39.123000000000005</c:v>
                </c:pt>
                <c:pt idx="6">
                  <c:v>25.072999999999997</c:v>
                </c:pt>
                <c:pt idx="7">
                  <c:v>12.411000000000001</c:v>
                </c:pt>
                <c:pt idx="8">
                  <c:v>21.887</c:v>
                </c:pt>
                <c:pt idx="9">
                  <c:v>31.984999999999999</c:v>
                </c:pt>
                <c:pt idx="10">
                  <c:v>45.906000000000006</c:v>
                </c:pt>
                <c:pt idx="11">
                  <c:v>20.077000000000002</c:v>
                </c:pt>
                <c:pt idx="12">
                  <c:v>35.524999999999999</c:v>
                </c:pt>
                <c:pt idx="13">
                  <c:v>68.11</c:v>
                </c:pt>
                <c:pt idx="14">
                  <c:v>50.603000000000002</c:v>
                </c:pt>
                <c:pt idx="15">
                  <c:v>46.423999999999992</c:v>
                </c:pt>
                <c:pt idx="16">
                  <c:v>42.568000000000005</c:v>
                </c:pt>
                <c:pt idx="17">
                  <c:v>42.632999999999996</c:v>
                </c:pt>
                <c:pt idx="18">
                  <c:v>91.64500000000001</c:v>
                </c:pt>
                <c:pt idx="19">
                  <c:v>112.384</c:v>
                </c:pt>
                <c:pt idx="20">
                  <c:v>51.829000000000001</c:v>
                </c:pt>
                <c:pt idx="21">
                  <c:v>96.266999999999996</c:v>
                </c:pt>
                <c:pt idx="22">
                  <c:v>83.625999999999991</c:v>
                </c:pt>
                <c:pt idx="23">
                  <c:v>85.647000000000006</c:v>
                </c:pt>
                <c:pt idx="24">
                  <c:v>90.417999999999992</c:v>
                </c:pt>
                <c:pt idx="25">
                  <c:v>73.906999999999996</c:v>
                </c:pt>
                <c:pt idx="26">
                  <c:v>90.831999999999994</c:v>
                </c:pt>
                <c:pt idx="27">
                  <c:v>70.60199999999999</c:v>
                </c:pt>
                <c:pt idx="28">
                  <c:v>42.320999999999998</c:v>
                </c:pt>
                <c:pt idx="29">
                  <c:v>63.551999999999992</c:v>
                </c:pt>
                <c:pt idx="30">
                  <c:v>61.728999999999999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93-4046-9F8A-EB5A46B0387F}"/>
            </c:ext>
          </c:extLst>
        </c:ser>
        <c:ser>
          <c:idx val="15"/>
          <c:order val="15"/>
          <c:tx>
            <c:strRef>
              <c:f>'Dec 24 Graph'!$Q$3:$Q$4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Graph'!$Q$5:$Q$35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38.079000000000001</c:v>
                </c:pt>
                <c:pt idx="5">
                  <c:v>38.180000000000007</c:v>
                </c:pt>
                <c:pt idx="6">
                  <c:v>0</c:v>
                </c:pt>
                <c:pt idx="7">
                  <c:v>0</c:v>
                </c:pt>
                <c:pt idx="8">
                  <c:v>19.626999999999999</c:v>
                </c:pt>
                <c:pt idx="9">
                  <c:v>0</c:v>
                </c:pt>
                <c:pt idx="10">
                  <c:v>19.817</c:v>
                </c:pt>
                <c:pt idx="11">
                  <c:v>0</c:v>
                </c:pt>
                <c:pt idx="12">
                  <c:v>18.71</c:v>
                </c:pt>
                <c:pt idx="13">
                  <c:v>30.806000000000004</c:v>
                </c:pt>
                <c:pt idx="14">
                  <c:v>0</c:v>
                </c:pt>
                <c:pt idx="15">
                  <c:v>0</c:v>
                </c:pt>
                <c:pt idx="16">
                  <c:v>39.768999999999998</c:v>
                </c:pt>
                <c:pt idx="17">
                  <c:v>0</c:v>
                </c:pt>
                <c:pt idx="18">
                  <c:v>0</c:v>
                </c:pt>
                <c:pt idx="19">
                  <c:v>37.589999999999996</c:v>
                </c:pt>
                <c:pt idx="20">
                  <c:v>20.733000000000001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93-4046-9F8A-EB5A46B0387F}"/>
            </c:ext>
          </c:extLst>
        </c:ser>
        <c:ser>
          <c:idx val="16"/>
          <c:order val="16"/>
          <c:tx>
            <c:strRef>
              <c:f>'Dec 24 Graph'!$R$3:$R$4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Graph'!$R$5:$R$35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93-4046-9F8A-EB5A46B0387F}"/>
            </c:ext>
          </c:extLst>
        </c:ser>
        <c:ser>
          <c:idx val="17"/>
          <c:order val="17"/>
          <c:tx>
            <c:strRef>
              <c:f>'Dec 24 Graph'!$S$3:$S$4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Graph'!$S$5:$S$35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93-4046-9F8A-EB5A46B0387F}"/>
            </c:ext>
          </c:extLst>
        </c:ser>
        <c:ser>
          <c:idx val="18"/>
          <c:order val="18"/>
          <c:tx>
            <c:strRef>
              <c:f>'Dec 24 Graph'!$T$3:$T$4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Graph'!$T$5:$T$35</c:f>
              <c:numCache>
                <c:formatCode>General</c:formatCode>
                <c:ptCount val="31"/>
                <c:pt idx="0">
                  <c:v>126.26599999999999</c:v>
                </c:pt>
                <c:pt idx="1">
                  <c:v>149.55300000000003</c:v>
                </c:pt>
                <c:pt idx="2">
                  <c:v>134.09899999999999</c:v>
                </c:pt>
                <c:pt idx="3">
                  <c:v>124.518</c:v>
                </c:pt>
                <c:pt idx="4">
                  <c:v>88.546999999999997</c:v>
                </c:pt>
                <c:pt idx="5">
                  <c:v>57.332999999999977</c:v>
                </c:pt>
                <c:pt idx="6">
                  <c:v>134.88600000000011</c:v>
                </c:pt>
                <c:pt idx="7">
                  <c:v>95.61099999999999</c:v>
                </c:pt>
                <c:pt idx="8">
                  <c:v>127.381</c:v>
                </c:pt>
                <c:pt idx="9">
                  <c:v>115.274</c:v>
                </c:pt>
                <c:pt idx="10">
                  <c:v>111.66299999999998</c:v>
                </c:pt>
                <c:pt idx="11">
                  <c:v>129.61400000000006</c:v>
                </c:pt>
                <c:pt idx="12">
                  <c:v>106.709</c:v>
                </c:pt>
                <c:pt idx="13">
                  <c:v>114.59300000000002</c:v>
                </c:pt>
                <c:pt idx="14">
                  <c:v>108.29899999999999</c:v>
                </c:pt>
                <c:pt idx="15">
                  <c:v>112.89900000000007</c:v>
                </c:pt>
                <c:pt idx="16">
                  <c:v>105.28100000000001</c:v>
                </c:pt>
                <c:pt idx="17">
                  <c:v>96.975999999999999</c:v>
                </c:pt>
                <c:pt idx="18">
                  <c:v>111.77700000000007</c:v>
                </c:pt>
                <c:pt idx="19">
                  <c:v>112.19100000000006</c:v>
                </c:pt>
                <c:pt idx="20">
                  <c:v>107.29200000000003</c:v>
                </c:pt>
                <c:pt idx="21">
                  <c:v>148.358</c:v>
                </c:pt>
                <c:pt idx="22">
                  <c:v>147.678</c:v>
                </c:pt>
                <c:pt idx="23">
                  <c:v>255.16799999999998</c:v>
                </c:pt>
                <c:pt idx="24">
                  <c:v>234.21500000000009</c:v>
                </c:pt>
                <c:pt idx="25">
                  <c:v>305.04599999999994</c:v>
                </c:pt>
                <c:pt idx="26">
                  <c:v>354.96499999999992</c:v>
                </c:pt>
                <c:pt idx="27">
                  <c:v>374.92399999999998</c:v>
                </c:pt>
                <c:pt idx="28">
                  <c:v>315.44999999999987</c:v>
                </c:pt>
                <c:pt idx="29">
                  <c:v>377.69499999999999</c:v>
                </c:pt>
                <c:pt idx="30">
                  <c:v>347.34600000000012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93-4046-9F8A-EB5A46B0387F}"/>
            </c:ext>
          </c:extLst>
        </c:ser>
        <c:ser>
          <c:idx val="19"/>
          <c:order val="19"/>
          <c:tx>
            <c:strRef>
              <c:f>'Dec 24 Graph'!$U$3:$U$4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Graph'!$U$5:$U$35</c:f>
              <c:numCache>
                <c:formatCode>General</c:formatCode>
                <c:ptCount val="31"/>
                <c:pt idx="0">
                  <c:v>39.606999999999999</c:v>
                </c:pt>
                <c:pt idx="1">
                  <c:v>37.397999999999996</c:v>
                </c:pt>
                <c:pt idx="2">
                  <c:v>14.561</c:v>
                </c:pt>
                <c:pt idx="3">
                  <c:v>41.654999999999994</c:v>
                </c:pt>
                <c:pt idx="4">
                  <c:v>20.228999999999999</c:v>
                </c:pt>
                <c:pt idx="5">
                  <c:v>30.312999999999995</c:v>
                </c:pt>
                <c:pt idx="6">
                  <c:v>30.688999999999997</c:v>
                </c:pt>
                <c:pt idx="7">
                  <c:v>19.672999999999998</c:v>
                </c:pt>
                <c:pt idx="8">
                  <c:v>24.243000000000002</c:v>
                </c:pt>
                <c:pt idx="9">
                  <c:v>24.282999999999998</c:v>
                </c:pt>
                <c:pt idx="10">
                  <c:v>28.834000000000003</c:v>
                </c:pt>
                <c:pt idx="11">
                  <c:v>35.748999999999995</c:v>
                </c:pt>
                <c:pt idx="12">
                  <c:v>40.729999999999997</c:v>
                </c:pt>
                <c:pt idx="13">
                  <c:v>26.807000000000002</c:v>
                </c:pt>
                <c:pt idx="14">
                  <c:v>25.670999999999999</c:v>
                </c:pt>
                <c:pt idx="15">
                  <c:v>14.21</c:v>
                </c:pt>
                <c:pt idx="16">
                  <c:v>41.731999999999999</c:v>
                </c:pt>
                <c:pt idx="17">
                  <c:v>26.244</c:v>
                </c:pt>
                <c:pt idx="18">
                  <c:v>31.2</c:v>
                </c:pt>
                <c:pt idx="19">
                  <c:v>18.535</c:v>
                </c:pt>
                <c:pt idx="20">
                  <c:v>41.413000000000004</c:v>
                </c:pt>
                <c:pt idx="21">
                  <c:v>21.770999999999997</c:v>
                </c:pt>
                <c:pt idx="22">
                  <c:v>36.164999999999999</c:v>
                </c:pt>
                <c:pt idx="23">
                  <c:v>35.896000000000001</c:v>
                </c:pt>
                <c:pt idx="24">
                  <c:v>20.7</c:v>
                </c:pt>
                <c:pt idx="25">
                  <c:v>36.245999999999995</c:v>
                </c:pt>
                <c:pt idx="26">
                  <c:v>26.654000000000003</c:v>
                </c:pt>
                <c:pt idx="27">
                  <c:v>12.902999999999997</c:v>
                </c:pt>
                <c:pt idx="28">
                  <c:v>45.205000000000005</c:v>
                </c:pt>
                <c:pt idx="29">
                  <c:v>23.590000000000003</c:v>
                </c:pt>
                <c:pt idx="30">
                  <c:v>31.744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93-4046-9F8A-EB5A46B0387F}"/>
            </c:ext>
          </c:extLst>
        </c:ser>
        <c:ser>
          <c:idx val="20"/>
          <c:order val="20"/>
          <c:tx>
            <c:strRef>
              <c:f>'Dec 24 Graph'!$V$3:$V$4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Graph'!$V$5:$V$35</c:f>
              <c:numCache>
                <c:formatCode>General</c:formatCode>
                <c:ptCount val="31"/>
                <c:pt idx="0">
                  <c:v>124.601</c:v>
                </c:pt>
                <c:pt idx="1">
                  <c:v>114.128</c:v>
                </c:pt>
                <c:pt idx="2">
                  <c:v>94.661000000000001</c:v>
                </c:pt>
                <c:pt idx="3">
                  <c:v>77.213999999999999</c:v>
                </c:pt>
                <c:pt idx="4">
                  <c:v>135.666</c:v>
                </c:pt>
                <c:pt idx="5">
                  <c:v>91.686999999999983</c:v>
                </c:pt>
                <c:pt idx="6">
                  <c:v>98.938999999999993</c:v>
                </c:pt>
                <c:pt idx="7">
                  <c:v>63.264000000000003</c:v>
                </c:pt>
                <c:pt idx="8">
                  <c:v>89.361000000000018</c:v>
                </c:pt>
                <c:pt idx="9">
                  <c:v>86.845999999999989</c:v>
                </c:pt>
                <c:pt idx="10">
                  <c:v>74.599000000000004</c:v>
                </c:pt>
                <c:pt idx="11">
                  <c:v>103.26799999999997</c:v>
                </c:pt>
                <c:pt idx="12">
                  <c:v>98.045999999999978</c:v>
                </c:pt>
                <c:pt idx="13">
                  <c:v>79.134999999999991</c:v>
                </c:pt>
                <c:pt idx="14">
                  <c:v>90.093000000000004</c:v>
                </c:pt>
                <c:pt idx="15">
                  <c:v>85.524999999999991</c:v>
                </c:pt>
                <c:pt idx="16">
                  <c:v>86.948000000000008</c:v>
                </c:pt>
                <c:pt idx="17">
                  <c:v>76.205000000000013</c:v>
                </c:pt>
                <c:pt idx="18">
                  <c:v>110.117</c:v>
                </c:pt>
                <c:pt idx="19">
                  <c:v>89.969000000000008</c:v>
                </c:pt>
                <c:pt idx="20">
                  <c:v>105.29800000000002</c:v>
                </c:pt>
                <c:pt idx="21">
                  <c:v>108.78000000000002</c:v>
                </c:pt>
                <c:pt idx="22">
                  <c:v>84.61099999999999</c:v>
                </c:pt>
                <c:pt idx="23">
                  <c:v>96.088999999999999</c:v>
                </c:pt>
                <c:pt idx="24">
                  <c:v>55.163000000000004</c:v>
                </c:pt>
                <c:pt idx="25">
                  <c:v>95.15100000000001</c:v>
                </c:pt>
                <c:pt idx="26">
                  <c:v>88.894999999999996</c:v>
                </c:pt>
                <c:pt idx="27">
                  <c:v>87.277000000000001</c:v>
                </c:pt>
                <c:pt idx="28">
                  <c:v>84.168000000000021</c:v>
                </c:pt>
                <c:pt idx="29">
                  <c:v>91.307999999999993</c:v>
                </c:pt>
                <c:pt idx="30">
                  <c:v>85.572000000000003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93-4046-9F8A-EB5A46B0387F}"/>
            </c:ext>
          </c:extLst>
        </c:ser>
        <c:ser>
          <c:idx val="21"/>
          <c:order val="21"/>
          <c:tx>
            <c:strRef>
              <c:f>'Dec 24 Graph'!$W$3:$W$4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Graph'!$W$5:$W$35</c:f>
              <c:numCache>
                <c:formatCode>General</c:formatCode>
                <c:ptCount val="31"/>
                <c:pt idx="0">
                  <c:v>96.879000000000019</c:v>
                </c:pt>
                <c:pt idx="1">
                  <c:v>123.13700000000001</c:v>
                </c:pt>
                <c:pt idx="2">
                  <c:v>116.69899999999998</c:v>
                </c:pt>
                <c:pt idx="3">
                  <c:v>85.934999999999988</c:v>
                </c:pt>
                <c:pt idx="4">
                  <c:v>106.66700000000002</c:v>
                </c:pt>
                <c:pt idx="5">
                  <c:v>111.33800000000004</c:v>
                </c:pt>
                <c:pt idx="6">
                  <c:v>85.220999999999989</c:v>
                </c:pt>
                <c:pt idx="7">
                  <c:v>85.527999999999992</c:v>
                </c:pt>
                <c:pt idx="8">
                  <c:v>113.37400000000001</c:v>
                </c:pt>
                <c:pt idx="9">
                  <c:v>93.839000000000013</c:v>
                </c:pt>
                <c:pt idx="10">
                  <c:v>125.78199999999997</c:v>
                </c:pt>
                <c:pt idx="11">
                  <c:v>94.11099999999999</c:v>
                </c:pt>
                <c:pt idx="12">
                  <c:v>84.678000000000011</c:v>
                </c:pt>
                <c:pt idx="13">
                  <c:v>117.83199999999999</c:v>
                </c:pt>
                <c:pt idx="14">
                  <c:v>74.59</c:v>
                </c:pt>
                <c:pt idx="15">
                  <c:v>130.483</c:v>
                </c:pt>
                <c:pt idx="16">
                  <c:v>77.064000000000007</c:v>
                </c:pt>
                <c:pt idx="17">
                  <c:v>56.923000000000002</c:v>
                </c:pt>
                <c:pt idx="18">
                  <c:v>132.08699999999999</c:v>
                </c:pt>
                <c:pt idx="19">
                  <c:v>89.537999999999997</c:v>
                </c:pt>
                <c:pt idx="20">
                  <c:v>84.509</c:v>
                </c:pt>
                <c:pt idx="21">
                  <c:v>111.92800000000003</c:v>
                </c:pt>
                <c:pt idx="22">
                  <c:v>143.506</c:v>
                </c:pt>
                <c:pt idx="23">
                  <c:v>47.345999999999997</c:v>
                </c:pt>
                <c:pt idx="24">
                  <c:v>118.49599999999998</c:v>
                </c:pt>
                <c:pt idx="25">
                  <c:v>74.165999999999997</c:v>
                </c:pt>
                <c:pt idx="26">
                  <c:v>122.30600000000003</c:v>
                </c:pt>
                <c:pt idx="27">
                  <c:v>70.675999999999988</c:v>
                </c:pt>
                <c:pt idx="28">
                  <c:v>67.260000000000005</c:v>
                </c:pt>
                <c:pt idx="29">
                  <c:v>97.657999999999987</c:v>
                </c:pt>
                <c:pt idx="30">
                  <c:v>65.838999999999999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93-4046-9F8A-EB5A46B0387F}"/>
            </c:ext>
          </c:extLst>
        </c:ser>
        <c:ser>
          <c:idx val="22"/>
          <c:order val="22"/>
          <c:tx>
            <c:strRef>
              <c:f>'Dec 24 Graph'!$X$3:$X$4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Graph'!$X$5:$X$35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93-4046-9F8A-EB5A46B0387F}"/>
            </c:ext>
          </c:extLst>
        </c:ser>
        <c:ser>
          <c:idx val="23"/>
          <c:order val="23"/>
          <c:tx>
            <c:strRef>
              <c:f>'Dec 24 Graph'!$Y$3:$Y$4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Graph'!$Y$5:$Y$35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93-4046-9F8A-EB5A46B0387F}"/>
            </c:ext>
          </c:extLst>
        </c:ser>
        <c:ser>
          <c:idx val="24"/>
          <c:order val="24"/>
          <c:tx>
            <c:strRef>
              <c:f>'Dec 24 Graph'!$Z$3:$Z$4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Graph'!$Z$5:$Z$35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93-4046-9F8A-EB5A46B0387F}"/>
            </c:ext>
          </c:extLst>
        </c:ser>
        <c:ser>
          <c:idx val="25"/>
          <c:order val="25"/>
          <c:tx>
            <c:strRef>
              <c:f>'Dec 24 Graph'!$AA$3:$AA$4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Graph'!$AA$5:$AA$35</c:f>
              <c:numCache>
                <c:formatCode>General</c:formatCode>
                <c:ptCount val="31"/>
                <c:pt idx="5">
                  <c:v>0.74299999999999999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93-4046-9F8A-EB5A46B0387F}"/>
            </c:ext>
          </c:extLst>
        </c:ser>
        <c:ser>
          <c:idx val="26"/>
          <c:order val="26"/>
          <c:tx>
            <c:strRef>
              <c:f>'Dec 24 Graph'!$AB$3:$AB$4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Graph'!$AB$5:$AB$35</c:f>
              <c:numCache>
                <c:formatCode>General</c:formatCode>
                <c:ptCount val="31"/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9.41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93-4046-9F8A-EB5A46B0387F}"/>
            </c:ext>
          </c:extLst>
        </c:ser>
        <c:ser>
          <c:idx val="27"/>
          <c:order val="27"/>
          <c:tx>
            <c:strRef>
              <c:f>'Dec 24 Graph'!$AC$3:$AC$4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Graph'!$AC$5:$AC$35</c:f>
              <c:numCache>
                <c:formatCode>General</c:formatCode>
                <c:ptCount val="31"/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4.9020000000000001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93-4046-9F8A-EB5A46B0387F}"/>
            </c:ext>
          </c:extLst>
        </c:ser>
        <c:ser>
          <c:idx val="28"/>
          <c:order val="28"/>
          <c:tx>
            <c:strRef>
              <c:f>'Dec 24 Graph'!$AD$3:$AD$4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Graph'!$AD$5:$AD$35</c:f>
              <c:numCache>
                <c:formatCode>General</c:formatCode>
                <c:ptCount val="31"/>
                <c:pt idx="16">
                  <c:v>0</c:v>
                </c:pt>
                <c:pt idx="17">
                  <c:v>2.78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093-4046-9F8A-EB5A46B0387F}"/>
            </c:ext>
          </c:extLst>
        </c:ser>
        <c:ser>
          <c:idx val="29"/>
          <c:order val="29"/>
          <c:tx>
            <c:strRef>
              <c:f>'Dec 24 Graph'!$AE$3:$AE$4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'Dec 24 Graph'!$A$5:$A$35</c:f>
              <c:strCache>
                <c:ptCount val="31"/>
                <c:pt idx="0">
                  <c:v>Sum of 01-12-2024</c:v>
                </c:pt>
                <c:pt idx="1">
                  <c:v>Sum of 02-12-2024</c:v>
                </c:pt>
                <c:pt idx="2">
                  <c:v>Sum of 03-12-2024</c:v>
                </c:pt>
                <c:pt idx="3">
                  <c:v>Sum of 04-12-2024</c:v>
                </c:pt>
                <c:pt idx="4">
                  <c:v>Sum of 05-12-2024</c:v>
                </c:pt>
                <c:pt idx="5">
                  <c:v>Sum of 06-12-2024</c:v>
                </c:pt>
                <c:pt idx="6">
                  <c:v>Sum of 07-12-2024</c:v>
                </c:pt>
                <c:pt idx="7">
                  <c:v>Sum of 08-12-2024</c:v>
                </c:pt>
                <c:pt idx="8">
                  <c:v>Sum of 09-12-2024</c:v>
                </c:pt>
                <c:pt idx="9">
                  <c:v>Sum of 10-12-2024</c:v>
                </c:pt>
                <c:pt idx="10">
                  <c:v>Sum of 11-12-2024</c:v>
                </c:pt>
                <c:pt idx="11">
                  <c:v>Sum of 12-12-2024</c:v>
                </c:pt>
                <c:pt idx="12">
                  <c:v>Sum of 13-12-2024</c:v>
                </c:pt>
                <c:pt idx="13">
                  <c:v>Sum of 14-12-2024</c:v>
                </c:pt>
                <c:pt idx="14">
                  <c:v>Sum of 15-12-2024</c:v>
                </c:pt>
                <c:pt idx="15">
                  <c:v>Sum of 16-12-2024</c:v>
                </c:pt>
                <c:pt idx="16">
                  <c:v>Sum of 17-12-2024</c:v>
                </c:pt>
                <c:pt idx="17">
                  <c:v>Sum of 18-12-2024</c:v>
                </c:pt>
                <c:pt idx="18">
                  <c:v>Sum of 19-12-2024</c:v>
                </c:pt>
                <c:pt idx="19">
                  <c:v>Sum of 20-12-2024</c:v>
                </c:pt>
                <c:pt idx="20">
                  <c:v>Sum of 21-12-2024</c:v>
                </c:pt>
                <c:pt idx="21">
                  <c:v>Sum of 22-12-2024</c:v>
                </c:pt>
                <c:pt idx="22">
                  <c:v>Sum of 23-12-2024</c:v>
                </c:pt>
                <c:pt idx="23">
                  <c:v>Sum of 24-12-2024</c:v>
                </c:pt>
                <c:pt idx="24">
                  <c:v>Sum of 25-12-2024</c:v>
                </c:pt>
                <c:pt idx="25">
                  <c:v>Sum of 26-12-2024</c:v>
                </c:pt>
                <c:pt idx="26">
                  <c:v>Sum of 27-12-2024</c:v>
                </c:pt>
                <c:pt idx="27">
                  <c:v>Sum of 28-12-2024</c:v>
                </c:pt>
                <c:pt idx="28">
                  <c:v>Sum of 29-12-2024</c:v>
                </c:pt>
                <c:pt idx="29">
                  <c:v>Sum of 30-12-2024</c:v>
                </c:pt>
                <c:pt idx="30">
                  <c:v>Sum of 31-12-2024</c:v>
                </c:pt>
              </c:strCache>
            </c:strRef>
          </c:cat>
          <c:val>
            <c:numRef>
              <c:f>'Dec 24 Graph'!$AE$5:$AE$35</c:f>
              <c:numCache>
                <c:formatCode>General</c:formatCode>
                <c:ptCount val="31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93-4046-9F8A-EB5A46B03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05736"/>
        <c:axId val="545006128"/>
      </c:barChart>
      <c:catAx>
        <c:axId val="54500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6128"/>
        <c:crosses val="autoZero"/>
        <c:auto val="1"/>
        <c:lblAlgn val="ctr"/>
        <c:lblOffset val="100"/>
        <c:noMultiLvlLbl val="0"/>
      </c:catAx>
      <c:valAx>
        <c:axId val="54500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Consumption.xlsx]Jan 25 Graph!PivotTable4</c:name>
    <c:fmtId val="5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'Jan 25 Graph'!$B$3:$B$4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Graph'!$B$5:$B$35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D-41C0-88ED-6EA9B1F325E6}"/>
            </c:ext>
          </c:extLst>
        </c:ser>
        <c:ser>
          <c:idx val="1"/>
          <c:order val="1"/>
          <c:tx>
            <c:strRef>
              <c:f>'Jan 25 Graph'!$C$3:$C$4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Graph'!$C$5:$C$35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8.09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D-41C0-88ED-6EA9B1F325E6}"/>
            </c:ext>
          </c:extLst>
        </c:ser>
        <c:ser>
          <c:idx val="2"/>
          <c:order val="2"/>
          <c:tx>
            <c:strRef>
              <c:f>'Jan 25 Graph'!$D$3:$D$4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Graph'!$D$5:$D$35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AD-41C0-88ED-6EA9B1F325E6}"/>
            </c:ext>
          </c:extLst>
        </c:ser>
        <c:ser>
          <c:idx val="3"/>
          <c:order val="3"/>
          <c:tx>
            <c:strRef>
              <c:f>'Jan 25 Graph'!$E$3:$E$4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Graph'!$E$5:$E$35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AD-41C0-88ED-6EA9B1F325E6}"/>
            </c:ext>
          </c:extLst>
        </c:ser>
        <c:ser>
          <c:idx val="4"/>
          <c:order val="4"/>
          <c:tx>
            <c:strRef>
              <c:f>'Jan 25 Graph'!$F$3:$F$4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Graph'!$F$5:$F$35</c:f>
              <c:numCache>
                <c:formatCode>General</c:formatCode>
                <c:ptCount val="31"/>
                <c:pt idx="0">
                  <c:v>139.94999999999996</c:v>
                </c:pt>
                <c:pt idx="1">
                  <c:v>66.66200000000002</c:v>
                </c:pt>
                <c:pt idx="2">
                  <c:v>135.34199999999998</c:v>
                </c:pt>
                <c:pt idx="3">
                  <c:v>146.03500000000005</c:v>
                </c:pt>
                <c:pt idx="4">
                  <c:v>164.31400000000008</c:v>
                </c:pt>
                <c:pt idx="5">
                  <c:v>158.23400000000004</c:v>
                </c:pt>
                <c:pt idx="6">
                  <c:v>160.78800000000004</c:v>
                </c:pt>
                <c:pt idx="7">
                  <c:v>138.60399999999998</c:v>
                </c:pt>
                <c:pt idx="8">
                  <c:v>153.80799999999996</c:v>
                </c:pt>
                <c:pt idx="9">
                  <c:v>163.65199999999999</c:v>
                </c:pt>
                <c:pt idx="10">
                  <c:v>93.27300000000001</c:v>
                </c:pt>
                <c:pt idx="11">
                  <c:v>46.771000000000001</c:v>
                </c:pt>
                <c:pt idx="12">
                  <c:v>174.97100000000003</c:v>
                </c:pt>
                <c:pt idx="13">
                  <c:v>94.558999999999969</c:v>
                </c:pt>
                <c:pt idx="14">
                  <c:v>0</c:v>
                </c:pt>
                <c:pt idx="15">
                  <c:v>58.175000000000011</c:v>
                </c:pt>
                <c:pt idx="16">
                  <c:v>88.297999999999988</c:v>
                </c:pt>
                <c:pt idx="17">
                  <c:v>135.08000000000001</c:v>
                </c:pt>
                <c:pt idx="18">
                  <c:v>165.92499999999995</c:v>
                </c:pt>
                <c:pt idx="19">
                  <c:v>201.09400000000008</c:v>
                </c:pt>
                <c:pt idx="20">
                  <c:v>107.071</c:v>
                </c:pt>
                <c:pt idx="21">
                  <c:v>170.83300000000003</c:v>
                </c:pt>
                <c:pt idx="22">
                  <c:v>131.26199999999997</c:v>
                </c:pt>
                <c:pt idx="23">
                  <c:v>156.09300000000005</c:v>
                </c:pt>
                <c:pt idx="24">
                  <c:v>62.061</c:v>
                </c:pt>
                <c:pt idx="25">
                  <c:v>112.45400000000005</c:v>
                </c:pt>
                <c:pt idx="26">
                  <c:v>55.072000000000003</c:v>
                </c:pt>
                <c:pt idx="27">
                  <c:v>123.15300000000002</c:v>
                </c:pt>
                <c:pt idx="28">
                  <c:v>143.126</c:v>
                </c:pt>
                <c:pt idx="29">
                  <c:v>87.576000000000022</c:v>
                </c:pt>
                <c:pt idx="30">
                  <c:v>56.479000000000013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AD-41C0-88ED-6EA9B1F325E6}"/>
            </c:ext>
          </c:extLst>
        </c:ser>
        <c:ser>
          <c:idx val="5"/>
          <c:order val="5"/>
          <c:tx>
            <c:strRef>
              <c:f>'Jan 25 Graph'!$G$3:$G$4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Graph'!$G$5:$G$35</c:f>
              <c:numCache>
                <c:formatCode>General</c:formatCode>
                <c:ptCount val="31"/>
                <c:pt idx="0">
                  <c:v>542.12</c:v>
                </c:pt>
                <c:pt idx="1">
                  <c:v>576.26799999999992</c:v>
                </c:pt>
                <c:pt idx="2">
                  <c:v>543.71899999999994</c:v>
                </c:pt>
                <c:pt idx="3">
                  <c:v>720.85900000000004</c:v>
                </c:pt>
                <c:pt idx="4">
                  <c:v>587.36400000000003</c:v>
                </c:pt>
                <c:pt idx="5">
                  <c:v>637.32300000000009</c:v>
                </c:pt>
                <c:pt idx="6">
                  <c:v>618.23500000000001</c:v>
                </c:pt>
                <c:pt idx="7">
                  <c:v>608.2700000000001</c:v>
                </c:pt>
                <c:pt idx="8">
                  <c:v>616.17900000000009</c:v>
                </c:pt>
                <c:pt idx="9">
                  <c:v>531.56499999999994</c:v>
                </c:pt>
                <c:pt idx="10">
                  <c:v>608.63</c:v>
                </c:pt>
                <c:pt idx="11">
                  <c:v>603.86300000000006</c:v>
                </c:pt>
                <c:pt idx="12">
                  <c:v>480.79699999999997</c:v>
                </c:pt>
                <c:pt idx="13">
                  <c:v>583.47499999999991</c:v>
                </c:pt>
                <c:pt idx="14">
                  <c:v>424.81099999999998</c:v>
                </c:pt>
                <c:pt idx="15">
                  <c:v>466.50600000000003</c:v>
                </c:pt>
                <c:pt idx="16">
                  <c:v>443.928</c:v>
                </c:pt>
                <c:pt idx="17">
                  <c:v>539.05799999999988</c:v>
                </c:pt>
                <c:pt idx="18">
                  <c:v>515.28399999999999</c:v>
                </c:pt>
                <c:pt idx="19">
                  <c:v>546.47399999999993</c:v>
                </c:pt>
                <c:pt idx="20">
                  <c:v>583.52700000000004</c:v>
                </c:pt>
                <c:pt idx="21">
                  <c:v>581.11500000000001</c:v>
                </c:pt>
                <c:pt idx="22">
                  <c:v>669.33100000000002</c:v>
                </c:pt>
                <c:pt idx="23">
                  <c:v>539.50800000000015</c:v>
                </c:pt>
                <c:pt idx="24">
                  <c:v>571.33799999999997</c:v>
                </c:pt>
                <c:pt idx="25">
                  <c:v>635.16200000000003</c:v>
                </c:pt>
                <c:pt idx="26">
                  <c:v>524.803</c:v>
                </c:pt>
                <c:pt idx="27">
                  <c:v>624.30399999999997</c:v>
                </c:pt>
                <c:pt idx="28">
                  <c:v>531.85199999999998</c:v>
                </c:pt>
                <c:pt idx="29">
                  <c:v>550.28200000000004</c:v>
                </c:pt>
                <c:pt idx="30">
                  <c:v>486.89799999999997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AD-41C0-88ED-6EA9B1F325E6}"/>
            </c:ext>
          </c:extLst>
        </c:ser>
        <c:ser>
          <c:idx val="6"/>
          <c:order val="6"/>
          <c:tx>
            <c:strRef>
              <c:f>'Jan 25 Graph'!$H$3:$H$4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Graph'!$H$5:$H$35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14.318999999999999</c:v>
                </c:pt>
                <c:pt idx="8">
                  <c:v>0</c:v>
                </c:pt>
                <c:pt idx="9">
                  <c:v>0.06</c:v>
                </c:pt>
                <c:pt idx="10">
                  <c:v>0.14000000000000001</c:v>
                </c:pt>
                <c:pt idx="11">
                  <c:v>0</c:v>
                </c:pt>
                <c:pt idx="12">
                  <c:v>4.21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AD-41C0-88ED-6EA9B1F325E6}"/>
            </c:ext>
          </c:extLst>
        </c:ser>
        <c:ser>
          <c:idx val="7"/>
          <c:order val="7"/>
          <c:tx>
            <c:strRef>
              <c:f>'Jan 25 Graph'!$I$3:$I$4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Graph'!$I$5:$I$35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AD-41C0-88ED-6EA9B1F325E6}"/>
            </c:ext>
          </c:extLst>
        </c:ser>
        <c:ser>
          <c:idx val="8"/>
          <c:order val="8"/>
          <c:tx>
            <c:strRef>
              <c:f>'Jan 25 Graph'!$J$3:$J$4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Graph'!$J$5:$J$35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9AD-41C0-88ED-6EA9B1F325E6}"/>
            </c:ext>
          </c:extLst>
        </c:ser>
        <c:ser>
          <c:idx val="9"/>
          <c:order val="9"/>
          <c:tx>
            <c:strRef>
              <c:f>'Jan 25 Graph'!$K$3:$K$4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Graph'!$K$5:$K$35</c:f>
              <c:numCache>
                <c:formatCode>General</c:formatCode>
                <c:ptCount val="31"/>
                <c:pt idx="0">
                  <c:v>1169.6490000000001</c:v>
                </c:pt>
                <c:pt idx="1">
                  <c:v>1089.2130000000002</c:v>
                </c:pt>
                <c:pt idx="2">
                  <c:v>1070.3739999999998</c:v>
                </c:pt>
                <c:pt idx="3">
                  <c:v>1071.42</c:v>
                </c:pt>
                <c:pt idx="4">
                  <c:v>1041.9489999999998</c:v>
                </c:pt>
                <c:pt idx="5">
                  <c:v>1096.7810000000002</c:v>
                </c:pt>
                <c:pt idx="6">
                  <c:v>1091.9700000000003</c:v>
                </c:pt>
                <c:pt idx="7">
                  <c:v>1147.9280000000003</c:v>
                </c:pt>
                <c:pt idx="8">
                  <c:v>1170.1759999999999</c:v>
                </c:pt>
                <c:pt idx="9">
                  <c:v>1215.8939999999998</c:v>
                </c:pt>
                <c:pt idx="10">
                  <c:v>1051.7970000000003</c:v>
                </c:pt>
                <c:pt idx="11">
                  <c:v>1009.2520000000002</c:v>
                </c:pt>
                <c:pt idx="12">
                  <c:v>1180.6150000000002</c:v>
                </c:pt>
                <c:pt idx="13">
                  <c:v>1007.1850000000001</c:v>
                </c:pt>
                <c:pt idx="14">
                  <c:v>1082.9710000000002</c:v>
                </c:pt>
                <c:pt idx="15">
                  <c:v>974.74799999999971</c:v>
                </c:pt>
                <c:pt idx="16">
                  <c:v>1072.8310000000001</c:v>
                </c:pt>
                <c:pt idx="17">
                  <c:v>1071.905</c:v>
                </c:pt>
                <c:pt idx="18">
                  <c:v>1301.9080000000004</c:v>
                </c:pt>
                <c:pt idx="19">
                  <c:v>1169.4630000000002</c:v>
                </c:pt>
                <c:pt idx="20">
                  <c:v>1167.8390000000002</c:v>
                </c:pt>
                <c:pt idx="21">
                  <c:v>1407.933</c:v>
                </c:pt>
                <c:pt idx="22">
                  <c:v>1242.155</c:v>
                </c:pt>
                <c:pt idx="23">
                  <c:v>1254.8000000000002</c:v>
                </c:pt>
                <c:pt idx="24">
                  <c:v>1195.9229999999998</c:v>
                </c:pt>
                <c:pt idx="25">
                  <c:v>1037.9199999999998</c:v>
                </c:pt>
                <c:pt idx="26">
                  <c:v>1015.2269999999999</c:v>
                </c:pt>
                <c:pt idx="27">
                  <c:v>1176.675</c:v>
                </c:pt>
                <c:pt idx="28">
                  <c:v>1398.3560000000002</c:v>
                </c:pt>
                <c:pt idx="29">
                  <c:v>1446.6299999999999</c:v>
                </c:pt>
                <c:pt idx="30">
                  <c:v>1364.0359999999998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9AD-41C0-88ED-6EA9B1F325E6}"/>
            </c:ext>
          </c:extLst>
        </c:ser>
        <c:ser>
          <c:idx val="10"/>
          <c:order val="10"/>
          <c:tx>
            <c:strRef>
              <c:f>'Jan 25 Graph'!$L$3:$L$4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Graph'!$L$5:$L$35</c:f>
              <c:numCache>
                <c:formatCode>General</c:formatCode>
                <c:ptCount val="31"/>
                <c:pt idx="0">
                  <c:v>26.402000000000001</c:v>
                </c:pt>
                <c:pt idx="1">
                  <c:v>3.6830000000000003</c:v>
                </c:pt>
                <c:pt idx="2">
                  <c:v>2.33</c:v>
                </c:pt>
                <c:pt idx="3">
                  <c:v>37.841999999999999</c:v>
                </c:pt>
                <c:pt idx="4">
                  <c:v>0</c:v>
                </c:pt>
                <c:pt idx="5">
                  <c:v>26.454000000000001</c:v>
                </c:pt>
                <c:pt idx="6">
                  <c:v>0</c:v>
                </c:pt>
                <c:pt idx="7">
                  <c:v>0</c:v>
                </c:pt>
                <c:pt idx="8">
                  <c:v>34.895000000000003</c:v>
                </c:pt>
                <c:pt idx="9">
                  <c:v>0</c:v>
                </c:pt>
                <c:pt idx="10">
                  <c:v>0</c:v>
                </c:pt>
                <c:pt idx="11">
                  <c:v>70.766000000000005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15.866</c:v>
                </c:pt>
                <c:pt idx="16">
                  <c:v>41.094999999999999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34.622999999999998</c:v>
                </c:pt>
                <c:pt idx="25">
                  <c:v>3.4239999999999999</c:v>
                </c:pt>
                <c:pt idx="26">
                  <c:v>0</c:v>
                </c:pt>
                <c:pt idx="27">
                  <c:v>0</c:v>
                </c:pt>
                <c:pt idx="28">
                  <c:v>32.125999999999998</c:v>
                </c:pt>
                <c:pt idx="29">
                  <c:v>0</c:v>
                </c:pt>
                <c:pt idx="30">
                  <c:v>5.798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AD-41C0-88ED-6EA9B1F325E6}"/>
            </c:ext>
          </c:extLst>
        </c:ser>
        <c:ser>
          <c:idx val="11"/>
          <c:order val="11"/>
          <c:tx>
            <c:strRef>
              <c:f>'Jan 25 Graph'!$M$3:$M$4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Graph'!$M$5:$M$35</c:f>
              <c:numCache>
                <c:formatCode>General</c:formatCode>
                <c:ptCount val="31"/>
                <c:pt idx="0">
                  <c:v>67.094999999999999</c:v>
                </c:pt>
                <c:pt idx="1">
                  <c:v>31.927</c:v>
                </c:pt>
                <c:pt idx="2">
                  <c:v>75.289999999999992</c:v>
                </c:pt>
                <c:pt idx="3">
                  <c:v>45.928999999999995</c:v>
                </c:pt>
                <c:pt idx="4">
                  <c:v>62.88300000000001</c:v>
                </c:pt>
                <c:pt idx="5">
                  <c:v>52.201000000000001</c:v>
                </c:pt>
                <c:pt idx="6">
                  <c:v>43.943999999999996</c:v>
                </c:pt>
                <c:pt idx="7">
                  <c:v>60.770999999999994</c:v>
                </c:pt>
                <c:pt idx="8">
                  <c:v>40.100999999999999</c:v>
                </c:pt>
                <c:pt idx="9">
                  <c:v>25.762</c:v>
                </c:pt>
                <c:pt idx="10">
                  <c:v>63.274999999999991</c:v>
                </c:pt>
                <c:pt idx="11">
                  <c:v>56.650000000000006</c:v>
                </c:pt>
                <c:pt idx="12">
                  <c:v>48.268999999999991</c:v>
                </c:pt>
                <c:pt idx="13">
                  <c:v>32.087000000000003</c:v>
                </c:pt>
                <c:pt idx="14">
                  <c:v>0</c:v>
                </c:pt>
                <c:pt idx="15">
                  <c:v>40.522999999999996</c:v>
                </c:pt>
                <c:pt idx="16">
                  <c:v>51.844000000000001</c:v>
                </c:pt>
                <c:pt idx="17">
                  <c:v>48.43</c:v>
                </c:pt>
                <c:pt idx="18">
                  <c:v>44.050999999999995</c:v>
                </c:pt>
                <c:pt idx="19">
                  <c:v>36.855999999999995</c:v>
                </c:pt>
                <c:pt idx="20">
                  <c:v>43.173999999999999</c:v>
                </c:pt>
                <c:pt idx="21">
                  <c:v>37.207000000000001</c:v>
                </c:pt>
                <c:pt idx="22">
                  <c:v>46.322000000000003</c:v>
                </c:pt>
                <c:pt idx="23">
                  <c:v>41.533999999999999</c:v>
                </c:pt>
                <c:pt idx="24">
                  <c:v>49.504999999999995</c:v>
                </c:pt>
                <c:pt idx="25">
                  <c:v>37.296999999999997</c:v>
                </c:pt>
                <c:pt idx="26">
                  <c:v>75.138999999999996</c:v>
                </c:pt>
                <c:pt idx="27">
                  <c:v>59.218000000000004</c:v>
                </c:pt>
                <c:pt idx="28">
                  <c:v>48.04399999999999</c:v>
                </c:pt>
                <c:pt idx="29">
                  <c:v>38.758000000000003</c:v>
                </c:pt>
                <c:pt idx="30">
                  <c:v>37.884999999999998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9AD-41C0-88ED-6EA9B1F325E6}"/>
            </c:ext>
          </c:extLst>
        </c:ser>
        <c:ser>
          <c:idx val="12"/>
          <c:order val="12"/>
          <c:tx>
            <c:strRef>
              <c:f>'Jan 25 Graph'!$N$3:$N$4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Graph'!$N$5:$N$35</c:f>
              <c:numCache>
                <c:formatCode>General</c:formatCode>
                <c:ptCount val="31"/>
                <c:pt idx="0">
                  <c:v>3298.1069999999991</c:v>
                </c:pt>
                <c:pt idx="1">
                  <c:v>3124.5729999999994</c:v>
                </c:pt>
                <c:pt idx="2">
                  <c:v>3921.6360000000004</c:v>
                </c:pt>
                <c:pt idx="3">
                  <c:v>3535.5199999999991</c:v>
                </c:pt>
                <c:pt idx="4">
                  <c:v>3006.7469999999989</c:v>
                </c:pt>
                <c:pt idx="5">
                  <c:v>3547.3509999999997</c:v>
                </c:pt>
                <c:pt idx="6">
                  <c:v>4131.607</c:v>
                </c:pt>
                <c:pt idx="7">
                  <c:v>4336.5770000000002</c:v>
                </c:pt>
                <c:pt idx="8">
                  <c:v>4342.7759999999989</c:v>
                </c:pt>
                <c:pt idx="9">
                  <c:v>4089.4740000000002</c:v>
                </c:pt>
                <c:pt idx="10">
                  <c:v>3465.5040000000008</c:v>
                </c:pt>
                <c:pt idx="11">
                  <c:v>2997.8910000000005</c:v>
                </c:pt>
                <c:pt idx="12">
                  <c:v>3138.1800000000003</c:v>
                </c:pt>
                <c:pt idx="13">
                  <c:v>2636.4009999999998</c:v>
                </c:pt>
                <c:pt idx="14">
                  <c:v>2794.3219999999997</c:v>
                </c:pt>
                <c:pt idx="15">
                  <c:v>3312.2929999999997</c:v>
                </c:pt>
                <c:pt idx="16">
                  <c:v>3893.1740000000004</c:v>
                </c:pt>
                <c:pt idx="17">
                  <c:v>3441.8270000000002</c:v>
                </c:pt>
                <c:pt idx="18">
                  <c:v>3105.434999999999</c:v>
                </c:pt>
                <c:pt idx="19">
                  <c:v>3589.74</c:v>
                </c:pt>
                <c:pt idx="20">
                  <c:v>4118.5909999999994</c:v>
                </c:pt>
                <c:pt idx="21">
                  <c:v>4252.6719999999996</c:v>
                </c:pt>
                <c:pt idx="22">
                  <c:v>4372.4099999999989</c:v>
                </c:pt>
                <c:pt idx="23">
                  <c:v>4179.4810000000007</c:v>
                </c:pt>
                <c:pt idx="24">
                  <c:v>3671.0549999999998</c:v>
                </c:pt>
                <c:pt idx="25">
                  <c:v>3133.38</c:v>
                </c:pt>
                <c:pt idx="26">
                  <c:v>3910.7650000000008</c:v>
                </c:pt>
                <c:pt idx="27">
                  <c:v>3993.3999999999987</c:v>
                </c:pt>
                <c:pt idx="28">
                  <c:v>4205.6289999999999</c:v>
                </c:pt>
                <c:pt idx="29">
                  <c:v>4332.1450000000004</c:v>
                </c:pt>
                <c:pt idx="30">
                  <c:v>4516.5759999999991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AD-41C0-88ED-6EA9B1F325E6}"/>
            </c:ext>
          </c:extLst>
        </c:ser>
        <c:ser>
          <c:idx val="13"/>
          <c:order val="13"/>
          <c:tx>
            <c:strRef>
              <c:f>'Jan 25 Graph'!$O$3:$O$4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Graph'!$O$5:$O$35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9AD-41C0-88ED-6EA9B1F325E6}"/>
            </c:ext>
          </c:extLst>
        </c:ser>
        <c:ser>
          <c:idx val="14"/>
          <c:order val="14"/>
          <c:tx>
            <c:strRef>
              <c:f>'Jan 25 Graph'!$P$3:$P$4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Graph'!$P$5:$P$35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7.4209999999999994</c:v>
                </c:pt>
                <c:pt idx="9">
                  <c:v>0</c:v>
                </c:pt>
                <c:pt idx="10">
                  <c:v>0</c:v>
                </c:pt>
                <c:pt idx="11">
                  <c:v>6.9560000000000004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9AD-41C0-88ED-6EA9B1F325E6}"/>
            </c:ext>
          </c:extLst>
        </c:ser>
        <c:ser>
          <c:idx val="15"/>
          <c:order val="15"/>
          <c:tx>
            <c:strRef>
              <c:f>'Jan 25 Graph'!$Q$3:$Q$4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Graph'!$Q$5:$Q$35</c:f>
              <c:numCache>
                <c:formatCode>General</c:formatCode>
                <c:ptCount val="31"/>
                <c:pt idx="0">
                  <c:v>647.61299999999983</c:v>
                </c:pt>
                <c:pt idx="1">
                  <c:v>604.9129999999999</c:v>
                </c:pt>
                <c:pt idx="2">
                  <c:v>604.59200000000021</c:v>
                </c:pt>
                <c:pt idx="3">
                  <c:v>559.74099999999942</c:v>
                </c:pt>
                <c:pt idx="4">
                  <c:v>562.29300000000012</c:v>
                </c:pt>
                <c:pt idx="5">
                  <c:v>327.12200000000001</c:v>
                </c:pt>
                <c:pt idx="6">
                  <c:v>143.33799999999999</c:v>
                </c:pt>
                <c:pt idx="7">
                  <c:v>474.9679999999999</c:v>
                </c:pt>
                <c:pt idx="8">
                  <c:v>436.52900000000005</c:v>
                </c:pt>
                <c:pt idx="9">
                  <c:v>483.68099999999998</c:v>
                </c:pt>
                <c:pt idx="10">
                  <c:v>517.85199999999986</c:v>
                </c:pt>
                <c:pt idx="11">
                  <c:v>565.99699999999996</c:v>
                </c:pt>
                <c:pt idx="12">
                  <c:v>364.84899999999993</c:v>
                </c:pt>
                <c:pt idx="13">
                  <c:v>184.29900000000004</c:v>
                </c:pt>
                <c:pt idx="14">
                  <c:v>607.01600000000008</c:v>
                </c:pt>
                <c:pt idx="15">
                  <c:v>475.58599999999996</c:v>
                </c:pt>
                <c:pt idx="16">
                  <c:v>414.99200000000008</c:v>
                </c:pt>
                <c:pt idx="17">
                  <c:v>475.78699999999998</c:v>
                </c:pt>
                <c:pt idx="18">
                  <c:v>363.57999999999993</c:v>
                </c:pt>
                <c:pt idx="19">
                  <c:v>309.54500000000019</c:v>
                </c:pt>
                <c:pt idx="20">
                  <c:v>138.803</c:v>
                </c:pt>
                <c:pt idx="21">
                  <c:v>395.70900000000012</c:v>
                </c:pt>
                <c:pt idx="22">
                  <c:v>412.84300000000002</c:v>
                </c:pt>
                <c:pt idx="23">
                  <c:v>374.11600000000004</c:v>
                </c:pt>
                <c:pt idx="24">
                  <c:v>455.93399999999986</c:v>
                </c:pt>
                <c:pt idx="25">
                  <c:v>467.17399999999992</c:v>
                </c:pt>
                <c:pt idx="26">
                  <c:v>326.63999999999993</c:v>
                </c:pt>
                <c:pt idx="27">
                  <c:v>117.37500000000001</c:v>
                </c:pt>
                <c:pt idx="28">
                  <c:v>395.18599999999998</c:v>
                </c:pt>
                <c:pt idx="29">
                  <c:v>410.61400000000003</c:v>
                </c:pt>
                <c:pt idx="30">
                  <c:v>398.80899999999991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9AD-41C0-88ED-6EA9B1F325E6}"/>
            </c:ext>
          </c:extLst>
        </c:ser>
        <c:ser>
          <c:idx val="16"/>
          <c:order val="16"/>
          <c:tx>
            <c:strRef>
              <c:f>'Jan 25 Graph'!$R$3:$R$4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Graph'!$R$5:$R$35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9AD-41C0-88ED-6EA9B1F325E6}"/>
            </c:ext>
          </c:extLst>
        </c:ser>
        <c:ser>
          <c:idx val="17"/>
          <c:order val="17"/>
          <c:tx>
            <c:strRef>
              <c:f>'Jan 25 Graph'!$S$3:$S$4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Graph'!$S$5:$S$35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0.56900000000000006</c:v>
                </c:pt>
                <c:pt idx="15">
                  <c:v>10.01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9AD-41C0-88ED-6EA9B1F325E6}"/>
            </c:ext>
          </c:extLst>
        </c:ser>
        <c:ser>
          <c:idx val="18"/>
          <c:order val="18"/>
          <c:tx>
            <c:strRef>
              <c:f>'Jan 25 Graph'!$T$3:$T$4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Graph'!$T$5:$T$35</c:f>
              <c:numCache>
                <c:formatCode>General</c:formatCode>
                <c:ptCount val="31"/>
                <c:pt idx="0">
                  <c:v>41.673000000000002</c:v>
                </c:pt>
                <c:pt idx="1">
                  <c:v>83.837999999999994</c:v>
                </c:pt>
                <c:pt idx="2">
                  <c:v>63.536999999999992</c:v>
                </c:pt>
                <c:pt idx="3">
                  <c:v>81.25</c:v>
                </c:pt>
                <c:pt idx="4">
                  <c:v>56.428000000000004</c:v>
                </c:pt>
                <c:pt idx="5">
                  <c:v>96.097999999999999</c:v>
                </c:pt>
                <c:pt idx="6">
                  <c:v>71.384</c:v>
                </c:pt>
                <c:pt idx="7">
                  <c:v>72.03</c:v>
                </c:pt>
                <c:pt idx="8">
                  <c:v>102.124</c:v>
                </c:pt>
                <c:pt idx="9">
                  <c:v>58.028999999999996</c:v>
                </c:pt>
                <c:pt idx="10">
                  <c:v>60.896999999999991</c:v>
                </c:pt>
                <c:pt idx="11">
                  <c:v>73.117999999999995</c:v>
                </c:pt>
                <c:pt idx="12">
                  <c:v>50.704000000000001</c:v>
                </c:pt>
                <c:pt idx="13">
                  <c:v>32.427</c:v>
                </c:pt>
                <c:pt idx="14">
                  <c:v>37.847000000000001</c:v>
                </c:pt>
                <c:pt idx="15">
                  <c:v>88.034999999999997</c:v>
                </c:pt>
                <c:pt idx="16">
                  <c:v>24.161999999999999</c:v>
                </c:pt>
                <c:pt idx="17">
                  <c:v>48.709000000000003</c:v>
                </c:pt>
                <c:pt idx="18">
                  <c:v>28.097000000000001</c:v>
                </c:pt>
                <c:pt idx="19">
                  <c:v>43.725999999999999</c:v>
                </c:pt>
                <c:pt idx="20">
                  <c:v>48.521999999999991</c:v>
                </c:pt>
                <c:pt idx="21">
                  <c:v>56.500000000000007</c:v>
                </c:pt>
                <c:pt idx="22">
                  <c:v>53.786000000000001</c:v>
                </c:pt>
                <c:pt idx="23">
                  <c:v>46.807999999999993</c:v>
                </c:pt>
                <c:pt idx="24">
                  <c:v>40.418999999999997</c:v>
                </c:pt>
                <c:pt idx="25">
                  <c:v>60.315999999999995</c:v>
                </c:pt>
                <c:pt idx="26">
                  <c:v>42.841000000000001</c:v>
                </c:pt>
                <c:pt idx="27">
                  <c:v>33.818999999999996</c:v>
                </c:pt>
                <c:pt idx="28">
                  <c:v>71.894000000000005</c:v>
                </c:pt>
                <c:pt idx="29">
                  <c:v>64.814999999999998</c:v>
                </c:pt>
                <c:pt idx="30">
                  <c:v>47.313000000000002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9AD-41C0-88ED-6EA9B1F325E6}"/>
            </c:ext>
          </c:extLst>
        </c:ser>
        <c:ser>
          <c:idx val="19"/>
          <c:order val="19"/>
          <c:tx>
            <c:strRef>
              <c:f>'Jan 25 Graph'!$U$3:$U$4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Graph'!$U$5:$U$35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18.380000000000003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18.222000000000001</c:v>
                </c:pt>
                <c:pt idx="28">
                  <c:v>0</c:v>
                </c:pt>
                <c:pt idx="29">
                  <c:v>35.515999999999998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9AD-41C0-88ED-6EA9B1F325E6}"/>
            </c:ext>
          </c:extLst>
        </c:ser>
        <c:ser>
          <c:idx val="20"/>
          <c:order val="20"/>
          <c:tx>
            <c:strRef>
              <c:f>'Jan 25 Graph'!$V$3:$V$4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Graph'!$V$5:$V$35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9AD-41C0-88ED-6EA9B1F325E6}"/>
            </c:ext>
          </c:extLst>
        </c:ser>
        <c:ser>
          <c:idx val="21"/>
          <c:order val="21"/>
          <c:tx>
            <c:strRef>
              <c:f>'Jan 25 Graph'!$W$3:$W$4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Graph'!$W$5:$W$35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9AD-41C0-88ED-6EA9B1F325E6}"/>
            </c:ext>
          </c:extLst>
        </c:ser>
        <c:ser>
          <c:idx val="22"/>
          <c:order val="22"/>
          <c:tx>
            <c:strRef>
              <c:f>'Jan 25 Graph'!$X$3:$X$4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Graph'!$X$5:$X$35</c:f>
              <c:numCache>
                <c:formatCode>General</c:formatCode>
                <c:ptCount val="31"/>
                <c:pt idx="0">
                  <c:v>326.05200000000002</c:v>
                </c:pt>
                <c:pt idx="1">
                  <c:v>345.09999999999997</c:v>
                </c:pt>
                <c:pt idx="2">
                  <c:v>311.94200000000006</c:v>
                </c:pt>
                <c:pt idx="3">
                  <c:v>353.49900000000002</c:v>
                </c:pt>
                <c:pt idx="4">
                  <c:v>318.20199999999983</c:v>
                </c:pt>
                <c:pt idx="5">
                  <c:v>370.82299999999998</c:v>
                </c:pt>
                <c:pt idx="6">
                  <c:v>393.95399999999989</c:v>
                </c:pt>
                <c:pt idx="7">
                  <c:v>328.71299999999997</c:v>
                </c:pt>
                <c:pt idx="8">
                  <c:v>382.44400000000002</c:v>
                </c:pt>
                <c:pt idx="9">
                  <c:v>304.88799999999992</c:v>
                </c:pt>
                <c:pt idx="10">
                  <c:v>445.78099999999995</c:v>
                </c:pt>
                <c:pt idx="11">
                  <c:v>454.89500000000004</c:v>
                </c:pt>
                <c:pt idx="12">
                  <c:v>518.851</c:v>
                </c:pt>
                <c:pt idx="13">
                  <c:v>238.39000000000001</c:v>
                </c:pt>
                <c:pt idx="14">
                  <c:v>350.15299999999985</c:v>
                </c:pt>
                <c:pt idx="15">
                  <c:v>347.84999999999991</c:v>
                </c:pt>
                <c:pt idx="16">
                  <c:v>390.94399999999996</c:v>
                </c:pt>
                <c:pt idx="17">
                  <c:v>303.678</c:v>
                </c:pt>
                <c:pt idx="18">
                  <c:v>433.28299999999984</c:v>
                </c:pt>
                <c:pt idx="19">
                  <c:v>312.5150000000001</c:v>
                </c:pt>
                <c:pt idx="20">
                  <c:v>418.52199999999993</c:v>
                </c:pt>
                <c:pt idx="21">
                  <c:v>332.04100000000005</c:v>
                </c:pt>
                <c:pt idx="22">
                  <c:v>346.43000000000006</c:v>
                </c:pt>
                <c:pt idx="23">
                  <c:v>328.125</c:v>
                </c:pt>
                <c:pt idx="24">
                  <c:v>313.53800000000012</c:v>
                </c:pt>
                <c:pt idx="25">
                  <c:v>348.43799999999999</c:v>
                </c:pt>
                <c:pt idx="26">
                  <c:v>319.99900000000002</c:v>
                </c:pt>
                <c:pt idx="27">
                  <c:v>237.67299999999994</c:v>
                </c:pt>
                <c:pt idx="28">
                  <c:v>36.262</c:v>
                </c:pt>
                <c:pt idx="29">
                  <c:v>213.19099999999997</c:v>
                </c:pt>
                <c:pt idx="30">
                  <c:v>352.35800000000012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9AD-41C0-88ED-6EA9B1F325E6}"/>
            </c:ext>
          </c:extLst>
        </c:ser>
        <c:ser>
          <c:idx val="23"/>
          <c:order val="23"/>
          <c:tx>
            <c:strRef>
              <c:f>'Jan 25 Graph'!$Y$3:$Y$4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Graph'!$Y$5:$Y$35</c:f>
              <c:numCache>
                <c:formatCode>General</c:formatCode>
                <c:ptCount val="31"/>
                <c:pt idx="0">
                  <c:v>14.430999999999999</c:v>
                </c:pt>
                <c:pt idx="1">
                  <c:v>34.742000000000004</c:v>
                </c:pt>
                <c:pt idx="2">
                  <c:v>21.887</c:v>
                </c:pt>
                <c:pt idx="3">
                  <c:v>27.987000000000002</c:v>
                </c:pt>
                <c:pt idx="4">
                  <c:v>32.112000000000002</c:v>
                </c:pt>
                <c:pt idx="5">
                  <c:v>27.090000000000003</c:v>
                </c:pt>
                <c:pt idx="6">
                  <c:v>28.152999999999999</c:v>
                </c:pt>
                <c:pt idx="7">
                  <c:v>25.381</c:v>
                </c:pt>
                <c:pt idx="8">
                  <c:v>26.07</c:v>
                </c:pt>
                <c:pt idx="9">
                  <c:v>4.5510000000000002</c:v>
                </c:pt>
                <c:pt idx="10">
                  <c:v>40.696000000000005</c:v>
                </c:pt>
                <c:pt idx="11">
                  <c:v>18.734999999999999</c:v>
                </c:pt>
                <c:pt idx="12">
                  <c:v>36.602000000000004</c:v>
                </c:pt>
                <c:pt idx="13">
                  <c:v>12.57</c:v>
                </c:pt>
                <c:pt idx="14">
                  <c:v>1.6949999999999998</c:v>
                </c:pt>
                <c:pt idx="15">
                  <c:v>28.174000000000003</c:v>
                </c:pt>
                <c:pt idx="16">
                  <c:v>29.86</c:v>
                </c:pt>
                <c:pt idx="17">
                  <c:v>32.881999999999998</c:v>
                </c:pt>
                <c:pt idx="18">
                  <c:v>37.805000000000007</c:v>
                </c:pt>
                <c:pt idx="19">
                  <c:v>23.937000000000001</c:v>
                </c:pt>
                <c:pt idx="20">
                  <c:v>27.110000000000003</c:v>
                </c:pt>
                <c:pt idx="21">
                  <c:v>29.317</c:v>
                </c:pt>
                <c:pt idx="22">
                  <c:v>15.918000000000001</c:v>
                </c:pt>
                <c:pt idx="23">
                  <c:v>31.014000000000003</c:v>
                </c:pt>
                <c:pt idx="24">
                  <c:v>34.433999999999997</c:v>
                </c:pt>
                <c:pt idx="25">
                  <c:v>30.838999999999999</c:v>
                </c:pt>
                <c:pt idx="26">
                  <c:v>26.323999999999998</c:v>
                </c:pt>
                <c:pt idx="27">
                  <c:v>31.848999999999997</c:v>
                </c:pt>
                <c:pt idx="28">
                  <c:v>21.443000000000001</c:v>
                </c:pt>
                <c:pt idx="29">
                  <c:v>45</c:v>
                </c:pt>
                <c:pt idx="30">
                  <c:v>17.222999999999999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9AD-41C0-88ED-6EA9B1F325E6}"/>
            </c:ext>
          </c:extLst>
        </c:ser>
        <c:ser>
          <c:idx val="24"/>
          <c:order val="24"/>
          <c:tx>
            <c:strRef>
              <c:f>'Jan 25 Graph'!$Z$3:$Z$4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Graph'!$Z$5:$Z$35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1.268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9AD-41C0-88ED-6EA9B1F325E6}"/>
            </c:ext>
          </c:extLst>
        </c:ser>
        <c:ser>
          <c:idx val="25"/>
          <c:order val="25"/>
          <c:tx>
            <c:strRef>
              <c:f>'Jan 25 Graph'!$AA$3:$AA$4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Graph'!$AA$5:$AA$35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9AD-41C0-88ED-6EA9B1F325E6}"/>
            </c:ext>
          </c:extLst>
        </c:ser>
        <c:ser>
          <c:idx val="26"/>
          <c:order val="26"/>
          <c:tx>
            <c:strRef>
              <c:f>'Jan 25 Graph'!$AB$3:$AB$4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Graph'!$AB$5:$AB$35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2.4500000000000002</c:v>
                </c:pt>
                <c:pt idx="11">
                  <c:v>0</c:v>
                </c:pt>
                <c:pt idx="12">
                  <c:v>0</c:v>
                </c:pt>
                <c:pt idx="13">
                  <c:v>6.48</c:v>
                </c:pt>
                <c:pt idx="14">
                  <c:v>0</c:v>
                </c:pt>
                <c:pt idx="15">
                  <c:v>4.5999999999999996</c:v>
                </c:pt>
                <c:pt idx="16">
                  <c:v>7.7999999999999989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25.55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9AD-41C0-88ED-6EA9B1F325E6}"/>
            </c:ext>
          </c:extLst>
        </c:ser>
        <c:ser>
          <c:idx val="27"/>
          <c:order val="27"/>
          <c:tx>
            <c:strRef>
              <c:f>'Jan 25 Graph'!$AC$3:$AC$4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Graph'!$AC$5:$AC$35</c:f>
              <c:numCache>
                <c:formatCode>General</c:formatCode>
                <c:ptCount val="31"/>
                <c:pt idx="0">
                  <c:v>87.352999999999994</c:v>
                </c:pt>
                <c:pt idx="1">
                  <c:v>69.789999999999992</c:v>
                </c:pt>
                <c:pt idx="2">
                  <c:v>102.22700000000002</c:v>
                </c:pt>
                <c:pt idx="3">
                  <c:v>77.052000000000007</c:v>
                </c:pt>
                <c:pt idx="4">
                  <c:v>89.563999999999993</c:v>
                </c:pt>
                <c:pt idx="5">
                  <c:v>92.588000000000008</c:v>
                </c:pt>
                <c:pt idx="6">
                  <c:v>86.554000000000002</c:v>
                </c:pt>
                <c:pt idx="7">
                  <c:v>99.031999999999982</c:v>
                </c:pt>
                <c:pt idx="8">
                  <c:v>88.552000000000007</c:v>
                </c:pt>
                <c:pt idx="9">
                  <c:v>83.18</c:v>
                </c:pt>
                <c:pt idx="10">
                  <c:v>73.591000000000008</c:v>
                </c:pt>
                <c:pt idx="11">
                  <c:v>92.290999999999997</c:v>
                </c:pt>
                <c:pt idx="12">
                  <c:v>100.57000000000001</c:v>
                </c:pt>
                <c:pt idx="13">
                  <c:v>81.509</c:v>
                </c:pt>
                <c:pt idx="14">
                  <c:v>23.285</c:v>
                </c:pt>
                <c:pt idx="15">
                  <c:v>82.73</c:v>
                </c:pt>
                <c:pt idx="16">
                  <c:v>75.498000000000019</c:v>
                </c:pt>
                <c:pt idx="17">
                  <c:v>62.235000000000014</c:v>
                </c:pt>
                <c:pt idx="18">
                  <c:v>87.118000000000009</c:v>
                </c:pt>
                <c:pt idx="19">
                  <c:v>82.138999999999996</c:v>
                </c:pt>
                <c:pt idx="20">
                  <c:v>95.801999999999992</c:v>
                </c:pt>
                <c:pt idx="21">
                  <c:v>73.212000000000018</c:v>
                </c:pt>
                <c:pt idx="22">
                  <c:v>73.218000000000004</c:v>
                </c:pt>
                <c:pt idx="23">
                  <c:v>85.457999999999998</c:v>
                </c:pt>
                <c:pt idx="24">
                  <c:v>94.492999999999981</c:v>
                </c:pt>
                <c:pt idx="25">
                  <c:v>95.454000000000022</c:v>
                </c:pt>
                <c:pt idx="26">
                  <c:v>72.887999999999991</c:v>
                </c:pt>
                <c:pt idx="27">
                  <c:v>95.89500000000001</c:v>
                </c:pt>
                <c:pt idx="28">
                  <c:v>89.626000000000005</c:v>
                </c:pt>
                <c:pt idx="29">
                  <c:v>83.26600000000002</c:v>
                </c:pt>
                <c:pt idx="30">
                  <c:v>83.075000000000003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9AD-41C0-88ED-6EA9B1F325E6}"/>
            </c:ext>
          </c:extLst>
        </c:ser>
        <c:ser>
          <c:idx val="28"/>
          <c:order val="28"/>
          <c:tx>
            <c:strRef>
              <c:f>'Jan 25 Graph'!$AD$3:$AD$4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Graph'!$AD$5:$AD$35</c:f>
              <c:numCache>
                <c:formatCode>General</c:formatCode>
                <c:ptCount val="31"/>
                <c:pt idx="0">
                  <c:v>154.77000000000001</c:v>
                </c:pt>
                <c:pt idx="1">
                  <c:v>73.609000000000009</c:v>
                </c:pt>
                <c:pt idx="2">
                  <c:v>123.44599999999998</c:v>
                </c:pt>
                <c:pt idx="3">
                  <c:v>83.724000000000018</c:v>
                </c:pt>
                <c:pt idx="4">
                  <c:v>87.861000000000018</c:v>
                </c:pt>
                <c:pt idx="5">
                  <c:v>108.63300000000001</c:v>
                </c:pt>
                <c:pt idx="6">
                  <c:v>122.76099999999998</c:v>
                </c:pt>
                <c:pt idx="7">
                  <c:v>127.092</c:v>
                </c:pt>
                <c:pt idx="8">
                  <c:v>103.544</c:v>
                </c:pt>
                <c:pt idx="9">
                  <c:v>95.027999999999992</c:v>
                </c:pt>
                <c:pt idx="10">
                  <c:v>101.849</c:v>
                </c:pt>
                <c:pt idx="11">
                  <c:v>81.850999999999999</c:v>
                </c:pt>
                <c:pt idx="12">
                  <c:v>93.964999999999989</c:v>
                </c:pt>
                <c:pt idx="13">
                  <c:v>68.118000000000009</c:v>
                </c:pt>
                <c:pt idx="14">
                  <c:v>0</c:v>
                </c:pt>
                <c:pt idx="15">
                  <c:v>45.785000000000011</c:v>
                </c:pt>
                <c:pt idx="16">
                  <c:v>76.850999999999985</c:v>
                </c:pt>
                <c:pt idx="17">
                  <c:v>128.92300000000003</c:v>
                </c:pt>
                <c:pt idx="18">
                  <c:v>75.22</c:v>
                </c:pt>
                <c:pt idx="19">
                  <c:v>90.387000000000015</c:v>
                </c:pt>
                <c:pt idx="20">
                  <c:v>77.940000000000012</c:v>
                </c:pt>
                <c:pt idx="21">
                  <c:v>130.13999999999999</c:v>
                </c:pt>
                <c:pt idx="22">
                  <c:v>97.231999999999985</c:v>
                </c:pt>
                <c:pt idx="23">
                  <c:v>108.17100000000002</c:v>
                </c:pt>
                <c:pt idx="24">
                  <c:v>95.49799999999999</c:v>
                </c:pt>
                <c:pt idx="25">
                  <c:v>78.135999999999996</c:v>
                </c:pt>
                <c:pt idx="26">
                  <c:v>120.88999999999999</c:v>
                </c:pt>
                <c:pt idx="27">
                  <c:v>116.05499999999998</c:v>
                </c:pt>
                <c:pt idx="28">
                  <c:v>115.58599999999996</c:v>
                </c:pt>
                <c:pt idx="29">
                  <c:v>85.522999999999996</c:v>
                </c:pt>
                <c:pt idx="30">
                  <c:v>86.52600000000001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9AD-41C0-88ED-6EA9B1F325E6}"/>
            </c:ext>
          </c:extLst>
        </c:ser>
        <c:ser>
          <c:idx val="29"/>
          <c:order val="29"/>
          <c:tx>
            <c:strRef>
              <c:f>'Jan 25 Graph'!$AE$3:$AE$4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Graph'!$AE$5:$AE$35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9AD-41C0-88ED-6EA9B1F325E6}"/>
            </c:ext>
          </c:extLst>
        </c:ser>
        <c:ser>
          <c:idx val="30"/>
          <c:order val="30"/>
          <c:tx>
            <c:strRef>
              <c:f>'Jan 25 Graph'!$AF$3:$AF$4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Graph'!$AF$5:$AF$35</c:f>
              <c:numCache>
                <c:formatCode>General</c:formatCode>
                <c:ptCount val="31"/>
                <c:pt idx="5">
                  <c:v>10.528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9AD-41C0-88ED-6EA9B1F325E6}"/>
            </c:ext>
          </c:extLst>
        </c:ser>
        <c:ser>
          <c:idx val="31"/>
          <c:order val="31"/>
          <c:tx>
            <c:strRef>
              <c:f>'Jan 25 Graph'!$AG$3:$AG$4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Graph'!$AG$5:$AG$35</c:f>
              <c:numCache>
                <c:formatCode>General</c:formatCode>
                <c:ptCount val="31"/>
                <c:pt idx="6">
                  <c:v>1.1399999999999999</c:v>
                </c:pt>
                <c:pt idx="7">
                  <c:v>2.7100000000000004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1.9400000000000002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9AD-41C0-88ED-6EA9B1F325E6}"/>
            </c:ext>
          </c:extLst>
        </c:ser>
        <c:ser>
          <c:idx val="32"/>
          <c:order val="32"/>
          <c:tx>
            <c:strRef>
              <c:f>'Jan 25 Graph'!$AH$3:$AH$4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Graph'!$AH$5:$AH$35</c:f>
              <c:numCache>
                <c:formatCode>General</c:formatCode>
                <c:ptCount val="31"/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9AD-41C0-88ED-6EA9B1F325E6}"/>
            </c:ext>
          </c:extLst>
        </c:ser>
        <c:ser>
          <c:idx val="33"/>
          <c:order val="33"/>
          <c:tx>
            <c:strRef>
              <c:f>'Jan 25 Graph'!$AI$3:$AI$4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Graph'!$AI$5:$AI$35</c:f>
              <c:numCache>
                <c:formatCode>General</c:formatCode>
                <c:ptCount val="31"/>
                <c:pt idx="19">
                  <c:v>0</c:v>
                </c:pt>
                <c:pt idx="20">
                  <c:v>2.63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9AD-41C0-88ED-6EA9B1F325E6}"/>
            </c:ext>
          </c:extLst>
        </c:ser>
        <c:ser>
          <c:idx val="34"/>
          <c:order val="34"/>
          <c:tx>
            <c:strRef>
              <c:f>'Jan 25 Graph'!$AJ$3:$AJ$4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Graph'!$AJ$5:$AJ$35</c:f>
              <c:numCache>
                <c:formatCode>General</c:formatCode>
                <c:ptCount val="31"/>
                <c:pt idx="23">
                  <c:v>10.978999999999999</c:v>
                </c:pt>
                <c:pt idx="24">
                  <c:v>0</c:v>
                </c:pt>
                <c:pt idx="25">
                  <c:v>0</c:v>
                </c:pt>
                <c:pt idx="26">
                  <c:v>6.99</c:v>
                </c:pt>
                <c:pt idx="27">
                  <c:v>15.22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9AD-41C0-88ED-6EA9B1F325E6}"/>
            </c:ext>
          </c:extLst>
        </c:ser>
        <c:ser>
          <c:idx val="35"/>
          <c:order val="35"/>
          <c:tx>
            <c:strRef>
              <c:f>'Jan 25 Graph'!$AK$3:$AK$4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Graph'!$AK$5:$AK$35</c:f>
              <c:numCache>
                <c:formatCode>General</c:formatCode>
                <c:ptCount val="31"/>
                <c:pt idx="24">
                  <c:v>7.7290000000000001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9AD-41C0-88ED-6EA9B1F3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582424"/>
        <c:axId val="548580072"/>
      </c:barChart>
      <c:catAx>
        <c:axId val="54858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80072"/>
        <c:crosses val="autoZero"/>
        <c:auto val="1"/>
        <c:lblAlgn val="ctr"/>
        <c:lblOffset val="100"/>
        <c:noMultiLvlLbl val="0"/>
      </c:catAx>
      <c:valAx>
        <c:axId val="54858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Consumption.xlsx]Jan 25 Graph!PivotTable4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'Jan 25 Graph'!$B$3:$B$4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Graph'!$B$5:$B$35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C-49C5-9D86-47C692747379}"/>
            </c:ext>
          </c:extLst>
        </c:ser>
        <c:ser>
          <c:idx val="1"/>
          <c:order val="1"/>
          <c:tx>
            <c:strRef>
              <c:f>'Jan 25 Graph'!$C$3:$C$4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Graph'!$C$5:$C$35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8.09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C-49C5-9D86-47C692747379}"/>
            </c:ext>
          </c:extLst>
        </c:ser>
        <c:ser>
          <c:idx val="2"/>
          <c:order val="2"/>
          <c:tx>
            <c:strRef>
              <c:f>'Jan 25 Graph'!$D$3:$D$4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Graph'!$D$5:$D$35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C-49C5-9D86-47C692747379}"/>
            </c:ext>
          </c:extLst>
        </c:ser>
        <c:ser>
          <c:idx val="3"/>
          <c:order val="3"/>
          <c:tx>
            <c:strRef>
              <c:f>'Jan 25 Graph'!$E$3:$E$4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Graph'!$E$5:$E$35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C-49C5-9D86-47C692747379}"/>
            </c:ext>
          </c:extLst>
        </c:ser>
        <c:ser>
          <c:idx val="4"/>
          <c:order val="4"/>
          <c:tx>
            <c:strRef>
              <c:f>'Jan 25 Graph'!$F$3:$F$4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Graph'!$F$5:$F$35</c:f>
              <c:numCache>
                <c:formatCode>General</c:formatCode>
                <c:ptCount val="31"/>
                <c:pt idx="0">
                  <c:v>139.94999999999996</c:v>
                </c:pt>
                <c:pt idx="1">
                  <c:v>66.66200000000002</c:v>
                </c:pt>
                <c:pt idx="2">
                  <c:v>135.34199999999998</c:v>
                </c:pt>
                <c:pt idx="3">
                  <c:v>146.03500000000005</c:v>
                </c:pt>
                <c:pt idx="4">
                  <c:v>164.31400000000008</c:v>
                </c:pt>
                <c:pt idx="5">
                  <c:v>158.23400000000004</c:v>
                </c:pt>
                <c:pt idx="6">
                  <c:v>160.78800000000004</c:v>
                </c:pt>
                <c:pt idx="7">
                  <c:v>138.60399999999998</c:v>
                </c:pt>
                <c:pt idx="8">
                  <c:v>153.80799999999996</c:v>
                </c:pt>
                <c:pt idx="9">
                  <c:v>163.65199999999999</c:v>
                </c:pt>
                <c:pt idx="10">
                  <c:v>93.27300000000001</c:v>
                </c:pt>
                <c:pt idx="11">
                  <c:v>46.771000000000001</c:v>
                </c:pt>
                <c:pt idx="12">
                  <c:v>174.97100000000003</c:v>
                </c:pt>
                <c:pt idx="13">
                  <c:v>94.558999999999969</c:v>
                </c:pt>
                <c:pt idx="14">
                  <c:v>0</c:v>
                </c:pt>
                <c:pt idx="15">
                  <c:v>58.175000000000011</c:v>
                </c:pt>
                <c:pt idx="16">
                  <c:v>88.297999999999988</c:v>
                </c:pt>
                <c:pt idx="17">
                  <c:v>135.08000000000001</c:v>
                </c:pt>
                <c:pt idx="18">
                  <c:v>165.92499999999995</c:v>
                </c:pt>
                <c:pt idx="19">
                  <c:v>201.09400000000008</c:v>
                </c:pt>
                <c:pt idx="20">
                  <c:v>107.071</c:v>
                </c:pt>
                <c:pt idx="21">
                  <c:v>170.83300000000003</c:v>
                </c:pt>
                <c:pt idx="22">
                  <c:v>131.26199999999997</c:v>
                </c:pt>
                <c:pt idx="23">
                  <c:v>156.09300000000005</c:v>
                </c:pt>
                <c:pt idx="24">
                  <c:v>62.061</c:v>
                </c:pt>
                <c:pt idx="25">
                  <c:v>112.45400000000005</c:v>
                </c:pt>
                <c:pt idx="26">
                  <c:v>55.072000000000003</c:v>
                </c:pt>
                <c:pt idx="27">
                  <c:v>123.15300000000002</c:v>
                </c:pt>
                <c:pt idx="28">
                  <c:v>143.126</c:v>
                </c:pt>
                <c:pt idx="29">
                  <c:v>87.576000000000022</c:v>
                </c:pt>
                <c:pt idx="30">
                  <c:v>56.479000000000013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2C-49C5-9D86-47C692747379}"/>
            </c:ext>
          </c:extLst>
        </c:ser>
        <c:ser>
          <c:idx val="5"/>
          <c:order val="5"/>
          <c:tx>
            <c:strRef>
              <c:f>'Jan 25 Graph'!$G$3:$G$4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Graph'!$G$5:$G$35</c:f>
              <c:numCache>
                <c:formatCode>General</c:formatCode>
                <c:ptCount val="31"/>
                <c:pt idx="0">
                  <c:v>542.12</c:v>
                </c:pt>
                <c:pt idx="1">
                  <c:v>576.26799999999992</c:v>
                </c:pt>
                <c:pt idx="2">
                  <c:v>543.71899999999994</c:v>
                </c:pt>
                <c:pt idx="3">
                  <c:v>720.85900000000004</c:v>
                </c:pt>
                <c:pt idx="4">
                  <c:v>587.36400000000003</c:v>
                </c:pt>
                <c:pt idx="5">
                  <c:v>637.32300000000009</c:v>
                </c:pt>
                <c:pt idx="6">
                  <c:v>618.23500000000001</c:v>
                </c:pt>
                <c:pt idx="7">
                  <c:v>608.2700000000001</c:v>
                </c:pt>
                <c:pt idx="8">
                  <c:v>616.17900000000009</c:v>
                </c:pt>
                <c:pt idx="9">
                  <c:v>531.56499999999994</c:v>
                </c:pt>
                <c:pt idx="10">
                  <c:v>608.63</c:v>
                </c:pt>
                <c:pt idx="11">
                  <c:v>603.86300000000006</c:v>
                </c:pt>
                <c:pt idx="12">
                  <c:v>480.79699999999997</c:v>
                </c:pt>
                <c:pt idx="13">
                  <c:v>583.47499999999991</c:v>
                </c:pt>
                <c:pt idx="14">
                  <c:v>424.81099999999998</c:v>
                </c:pt>
                <c:pt idx="15">
                  <c:v>466.50600000000003</c:v>
                </c:pt>
                <c:pt idx="16">
                  <c:v>443.928</c:v>
                </c:pt>
                <c:pt idx="17">
                  <c:v>539.05799999999988</c:v>
                </c:pt>
                <c:pt idx="18">
                  <c:v>515.28399999999999</c:v>
                </c:pt>
                <c:pt idx="19">
                  <c:v>546.47399999999993</c:v>
                </c:pt>
                <c:pt idx="20">
                  <c:v>583.52700000000004</c:v>
                </c:pt>
                <c:pt idx="21">
                  <c:v>581.11500000000001</c:v>
                </c:pt>
                <c:pt idx="22">
                  <c:v>669.33100000000002</c:v>
                </c:pt>
                <c:pt idx="23">
                  <c:v>539.50800000000015</c:v>
                </c:pt>
                <c:pt idx="24">
                  <c:v>571.33799999999997</c:v>
                </c:pt>
                <c:pt idx="25">
                  <c:v>635.16200000000003</c:v>
                </c:pt>
                <c:pt idx="26">
                  <c:v>524.803</c:v>
                </c:pt>
                <c:pt idx="27">
                  <c:v>624.30399999999997</c:v>
                </c:pt>
                <c:pt idx="28">
                  <c:v>531.85199999999998</c:v>
                </c:pt>
                <c:pt idx="29">
                  <c:v>550.28200000000004</c:v>
                </c:pt>
                <c:pt idx="30">
                  <c:v>486.89799999999997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2C-49C5-9D86-47C692747379}"/>
            </c:ext>
          </c:extLst>
        </c:ser>
        <c:ser>
          <c:idx val="6"/>
          <c:order val="6"/>
          <c:tx>
            <c:strRef>
              <c:f>'Jan 25 Graph'!$H$3:$H$4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Graph'!$H$5:$H$35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14.318999999999999</c:v>
                </c:pt>
                <c:pt idx="8">
                  <c:v>0</c:v>
                </c:pt>
                <c:pt idx="9">
                  <c:v>0.06</c:v>
                </c:pt>
                <c:pt idx="10">
                  <c:v>0.14000000000000001</c:v>
                </c:pt>
                <c:pt idx="11">
                  <c:v>0</c:v>
                </c:pt>
                <c:pt idx="12">
                  <c:v>4.21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2C-49C5-9D86-47C692747379}"/>
            </c:ext>
          </c:extLst>
        </c:ser>
        <c:ser>
          <c:idx val="7"/>
          <c:order val="7"/>
          <c:tx>
            <c:strRef>
              <c:f>'Jan 25 Graph'!$I$3:$I$4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Graph'!$I$5:$I$35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2C-49C5-9D86-47C692747379}"/>
            </c:ext>
          </c:extLst>
        </c:ser>
        <c:ser>
          <c:idx val="8"/>
          <c:order val="8"/>
          <c:tx>
            <c:strRef>
              <c:f>'Jan 25 Graph'!$J$3:$J$4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Graph'!$J$5:$J$35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2C-49C5-9D86-47C692747379}"/>
            </c:ext>
          </c:extLst>
        </c:ser>
        <c:ser>
          <c:idx val="9"/>
          <c:order val="9"/>
          <c:tx>
            <c:strRef>
              <c:f>'Jan 25 Graph'!$K$3:$K$4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Graph'!$K$5:$K$35</c:f>
              <c:numCache>
                <c:formatCode>General</c:formatCode>
                <c:ptCount val="31"/>
                <c:pt idx="0">
                  <c:v>1169.6490000000001</c:v>
                </c:pt>
                <c:pt idx="1">
                  <c:v>1089.2130000000002</c:v>
                </c:pt>
                <c:pt idx="2">
                  <c:v>1070.3739999999998</c:v>
                </c:pt>
                <c:pt idx="3">
                  <c:v>1071.42</c:v>
                </c:pt>
                <c:pt idx="4">
                  <c:v>1041.9489999999998</c:v>
                </c:pt>
                <c:pt idx="5">
                  <c:v>1096.7810000000002</c:v>
                </c:pt>
                <c:pt idx="6">
                  <c:v>1091.9700000000003</c:v>
                </c:pt>
                <c:pt idx="7">
                  <c:v>1147.9280000000003</c:v>
                </c:pt>
                <c:pt idx="8">
                  <c:v>1170.1759999999999</c:v>
                </c:pt>
                <c:pt idx="9">
                  <c:v>1215.8939999999998</c:v>
                </c:pt>
                <c:pt idx="10">
                  <c:v>1051.7970000000003</c:v>
                </c:pt>
                <c:pt idx="11">
                  <c:v>1009.2520000000002</c:v>
                </c:pt>
                <c:pt idx="12">
                  <c:v>1180.6150000000002</c:v>
                </c:pt>
                <c:pt idx="13">
                  <c:v>1007.1850000000001</c:v>
                </c:pt>
                <c:pt idx="14">
                  <c:v>1082.9710000000002</c:v>
                </c:pt>
                <c:pt idx="15">
                  <c:v>974.74799999999971</c:v>
                </c:pt>
                <c:pt idx="16">
                  <c:v>1072.8310000000001</c:v>
                </c:pt>
                <c:pt idx="17">
                  <c:v>1071.905</c:v>
                </c:pt>
                <c:pt idx="18">
                  <c:v>1301.9080000000004</c:v>
                </c:pt>
                <c:pt idx="19">
                  <c:v>1169.4630000000002</c:v>
                </c:pt>
                <c:pt idx="20">
                  <c:v>1167.8390000000002</c:v>
                </c:pt>
                <c:pt idx="21">
                  <c:v>1407.933</c:v>
                </c:pt>
                <c:pt idx="22">
                  <c:v>1242.155</c:v>
                </c:pt>
                <c:pt idx="23">
                  <c:v>1254.8000000000002</c:v>
                </c:pt>
                <c:pt idx="24">
                  <c:v>1195.9229999999998</c:v>
                </c:pt>
                <c:pt idx="25">
                  <c:v>1037.9199999999998</c:v>
                </c:pt>
                <c:pt idx="26">
                  <c:v>1015.2269999999999</c:v>
                </c:pt>
                <c:pt idx="27">
                  <c:v>1176.675</c:v>
                </c:pt>
                <c:pt idx="28">
                  <c:v>1398.3560000000002</c:v>
                </c:pt>
                <c:pt idx="29">
                  <c:v>1446.6299999999999</c:v>
                </c:pt>
                <c:pt idx="30">
                  <c:v>1364.0359999999998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2C-49C5-9D86-47C692747379}"/>
            </c:ext>
          </c:extLst>
        </c:ser>
        <c:ser>
          <c:idx val="10"/>
          <c:order val="10"/>
          <c:tx>
            <c:strRef>
              <c:f>'Jan 25 Graph'!$L$3:$L$4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Graph'!$L$5:$L$35</c:f>
              <c:numCache>
                <c:formatCode>General</c:formatCode>
                <c:ptCount val="31"/>
                <c:pt idx="0">
                  <c:v>26.402000000000001</c:v>
                </c:pt>
                <c:pt idx="1">
                  <c:v>3.6830000000000003</c:v>
                </c:pt>
                <c:pt idx="2">
                  <c:v>2.33</c:v>
                </c:pt>
                <c:pt idx="3">
                  <c:v>37.841999999999999</c:v>
                </c:pt>
                <c:pt idx="4">
                  <c:v>0</c:v>
                </c:pt>
                <c:pt idx="5">
                  <c:v>26.454000000000001</c:v>
                </c:pt>
                <c:pt idx="6">
                  <c:v>0</c:v>
                </c:pt>
                <c:pt idx="7">
                  <c:v>0</c:v>
                </c:pt>
                <c:pt idx="8">
                  <c:v>34.895000000000003</c:v>
                </c:pt>
                <c:pt idx="9">
                  <c:v>0</c:v>
                </c:pt>
                <c:pt idx="10">
                  <c:v>0</c:v>
                </c:pt>
                <c:pt idx="11">
                  <c:v>70.766000000000005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15.866</c:v>
                </c:pt>
                <c:pt idx="16">
                  <c:v>41.094999999999999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34.622999999999998</c:v>
                </c:pt>
                <c:pt idx="25">
                  <c:v>3.4239999999999999</c:v>
                </c:pt>
                <c:pt idx="26">
                  <c:v>0</c:v>
                </c:pt>
                <c:pt idx="27">
                  <c:v>0</c:v>
                </c:pt>
                <c:pt idx="28">
                  <c:v>32.125999999999998</c:v>
                </c:pt>
                <c:pt idx="29">
                  <c:v>0</c:v>
                </c:pt>
                <c:pt idx="30">
                  <c:v>5.798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2C-49C5-9D86-47C692747379}"/>
            </c:ext>
          </c:extLst>
        </c:ser>
        <c:ser>
          <c:idx val="11"/>
          <c:order val="11"/>
          <c:tx>
            <c:strRef>
              <c:f>'Jan 25 Graph'!$M$3:$M$4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Graph'!$M$5:$M$35</c:f>
              <c:numCache>
                <c:formatCode>General</c:formatCode>
                <c:ptCount val="31"/>
                <c:pt idx="0">
                  <c:v>67.094999999999999</c:v>
                </c:pt>
                <c:pt idx="1">
                  <c:v>31.927</c:v>
                </c:pt>
                <c:pt idx="2">
                  <c:v>75.289999999999992</c:v>
                </c:pt>
                <c:pt idx="3">
                  <c:v>45.928999999999995</c:v>
                </c:pt>
                <c:pt idx="4">
                  <c:v>62.88300000000001</c:v>
                </c:pt>
                <c:pt idx="5">
                  <c:v>52.201000000000001</c:v>
                </c:pt>
                <c:pt idx="6">
                  <c:v>43.943999999999996</c:v>
                </c:pt>
                <c:pt idx="7">
                  <c:v>60.770999999999994</c:v>
                </c:pt>
                <c:pt idx="8">
                  <c:v>40.100999999999999</c:v>
                </c:pt>
                <c:pt idx="9">
                  <c:v>25.762</c:v>
                </c:pt>
                <c:pt idx="10">
                  <c:v>63.274999999999991</c:v>
                </c:pt>
                <c:pt idx="11">
                  <c:v>56.650000000000006</c:v>
                </c:pt>
                <c:pt idx="12">
                  <c:v>48.268999999999991</c:v>
                </c:pt>
                <c:pt idx="13">
                  <c:v>32.087000000000003</c:v>
                </c:pt>
                <c:pt idx="14">
                  <c:v>0</c:v>
                </c:pt>
                <c:pt idx="15">
                  <c:v>40.522999999999996</c:v>
                </c:pt>
                <c:pt idx="16">
                  <c:v>51.844000000000001</c:v>
                </c:pt>
                <c:pt idx="17">
                  <c:v>48.43</c:v>
                </c:pt>
                <c:pt idx="18">
                  <c:v>44.050999999999995</c:v>
                </c:pt>
                <c:pt idx="19">
                  <c:v>36.855999999999995</c:v>
                </c:pt>
                <c:pt idx="20">
                  <c:v>43.173999999999999</c:v>
                </c:pt>
                <c:pt idx="21">
                  <c:v>37.207000000000001</c:v>
                </c:pt>
                <c:pt idx="22">
                  <c:v>46.322000000000003</c:v>
                </c:pt>
                <c:pt idx="23">
                  <c:v>41.533999999999999</c:v>
                </c:pt>
                <c:pt idx="24">
                  <c:v>49.504999999999995</c:v>
                </c:pt>
                <c:pt idx="25">
                  <c:v>37.296999999999997</c:v>
                </c:pt>
                <c:pt idx="26">
                  <c:v>75.138999999999996</c:v>
                </c:pt>
                <c:pt idx="27">
                  <c:v>59.218000000000004</c:v>
                </c:pt>
                <c:pt idx="28">
                  <c:v>48.04399999999999</c:v>
                </c:pt>
                <c:pt idx="29">
                  <c:v>38.758000000000003</c:v>
                </c:pt>
                <c:pt idx="30">
                  <c:v>37.884999999999998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2C-49C5-9D86-47C692747379}"/>
            </c:ext>
          </c:extLst>
        </c:ser>
        <c:ser>
          <c:idx val="12"/>
          <c:order val="12"/>
          <c:tx>
            <c:strRef>
              <c:f>'Jan 25 Graph'!$N$3:$N$4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Graph'!$N$5:$N$35</c:f>
              <c:numCache>
                <c:formatCode>General</c:formatCode>
                <c:ptCount val="31"/>
                <c:pt idx="0">
                  <c:v>3298.1069999999991</c:v>
                </c:pt>
                <c:pt idx="1">
                  <c:v>3124.5729999999994</c:v>
                </c:pt>
                <c:pt idx="2">
                  <c:v>3921.6360000000004</c:v>
                </c:pt>
                <c:pt idx="3">
                  <c:v>3535.5199999999991</c:v>
                </c:pt>
                <c:pt idx="4">
                  <c:v>3006.7469999999989</c:v>
                </c:pt>
                <c:pt idx="5">
                  <c:v>3547.3509999999997</c:v>
                </c:pt>
                <c:pt idx="6">
                  <c:v>4131.607</c:v>
                </c:pt>
                <c:pt idx="7">
                  <c:v>4336.5770000000002</c:v>
                </c:pt>
                <c:pt idx="8">
                  <c:v>4342.7759999999989</c:v>
                </c:pt>
                <c:pt idx="9">
                  <c:v>4089.4740000000002</c:v>
                </c:pt>
                <c:pt idx="10">
                  <c:v>3465.5040000000008</c:v>
                </c:pt>
                <c:pt idx="11">
                  <c:v>2997.8910000000005</c:v>
                </c:pt>
                <c:pt idx="12">
                  <c:v>3138.1800000000003</c:v>
                </c:pt>
                <c:pt idx="13">
                  <c:v>2636.4009999999998</c:v>
                </c:pt>
                <c:pt idx="14">
                  <c:v>2794.3219999999997</c:v>
                </c:pt>
                <c:pt idx="15">
                  <c:v>3312.2929999999997</c:v>
                </c:pt>
                <c:pt idx="16">
                  <c:v>3893.1740000000004</c:v>
                </c:pt>
                <c:pt idx="17">
                  <c:v>3441.8270000000002</c:v>
                </c:pt>
                <c:pt idx="18">
                  <c:v>3105.434999999999</c:v>
                </c:pt>
                <c:pt idx="19">
                  <c:v>3589.74</c:v>
                </c:pt>
                <c:pt idx="20">
                  <c:v>4118.5909999999994</c:v>
                </c:pt>
                <c:pt idx="21">
                  <c:v>4252.6719999999996</c:v>
                </c:pt>
                <c:pt idx="22">
                  <c:v>4372.4099999999989</c:v>
                </c:pt>
                <c:pt idx="23">
                  <c:v>4179.4810000000007</c:v>
                </c:pt>
                <c:pt idx="24">
                  <c:v>3671.0549999999998</c:v>
                </c:pt>
                <c:pt idx="25">
                  <c:v>3133.38</c:v>
                </c:pt>
                <c:pt idx="26">
                  <c:v>3910.7650000000008</c:v>
                </c:pt>
                <c:pt idx="27">
                  <c:v>3993.3999999999987</c:v>
                </c:pt>
                <c:pt idx="28">
                  <c:v>4205.6289999999999</c:v>
                </c:pt>
                <c:pt idx="29">
                  <c:v>4332.1450000000004</c:v>
                </c:pt>
                <c:pt idx="30">
                  <c:v>4516.5759999999991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2C-49C5-9D86-47C692747379}"/>
            </c:ext>
          </c:extLst>
        </c:ser>
        <c:ser>
          <c:idx val="13"/>
          <c:order val="13"/>
          <c:tx>
            <c:strRef>
              <c:f>'Jan 25 Graph'!$O$3:$O$4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Graph'!$O$5:$O$35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D2C-49C5-9D86-47C692747379}"/>
            </c:ext>
          </c:extLst>
        </c:ser>
        <c:ser>
          <c:idx val="14"/>
          <c:order val="14"/>
          <c:tx>
            <c:strRef>
              <c:f>'Jan 25 Graph'!$P$3:$P$4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Graph'!$P$5:$P$35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7.4209999999999994</c:v>
                </c:pt>
                <c:pt idx="9">
                  <c:v>0</c:v>
                </c:pt>
                <c:pt idx="10">
                  <c:v>0</c:v>
                </c:pt>
                <c:pt idx="11">
                  <c:v>6.9560000000000004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D2C-49C5-9D86-47C692747379}"/>
            </c:ext>
          </c:extLst>
        </c:ser>
        <c:ser>
          <c:idx val="15"/>
          <c:order val="15"/>
          <c:tx>
            <c:strRef>
              <c:f>'Jan 25 Graph'!$Q$3:$Q$4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Graph'!$Q$5:$Q$35</c:f>
              <c:numCache>
                <c:formatCode>General</c:formatCode>
                <c:ptCount val="31"/>
                <c:pt idx="0">
                  <c:v>647.61299999999983</c:v>
                </c:pt>
                <c:pt idx="1">
                  <c:v>604.9129999999999</c:v>
                </c:pt>
                <c:pt idx="2">
                  <c:v>604.59200000000021</c:v>
                </c:pt>
                <c:pt idx="3">
                  <c:v>559.74099999999942</c:v>
                </c:pt>
                <c:pt idx="4">
                  <c:v>562.29300000000012</c:v>
                </c:pt>
                <c:pt idx="5">
                  <c:v>327.12200000000001</c:v>
                </c:pt>
                <c:pt idx="6">
                  <c:v>143.33799999999999</c:v>
                </c:pt>
                <c:pt idx="7">
                  <c:v>474.9679999999999</c:v>
                </c:pt>
                <c:pt idx="8">
                  <c:v>436.52900000000005</c:v>
                </c:pt>
                <c:pt idx="9">
                  <c:v>483.68099999999998</c:v>
                </c:pt>
                <c:pt idx="10">
                  <c:v>517.85199999999986</c:v>
                </c:pt>
                <c:pt idx="11">
                  <c:v>565.99699999999996</c:v>
                </c:pt>
                <c:pt idx="12">
                  <c:v>364.84899999999993</c:v>
                </c:pt>
                <c:pt idx="13">
                  <c:v>184.29900000000004</c:v>
                </c:pt>
                <c:pt idx="14">
                  <c:v>607.01600000000008</c:v>
                </c:pt>
                <c:pt idx="15">
                  <c:v>475.58599999999996</c:v>
                </c:pt>
                <c:pt idx="16">
                  <c:v>414.99200000000008</c:v>
                </c:pt>
                <c:pt idx="17">
                  <c:v>475.78699999999998</c:v>
                </c:pt>
                <c:pt idx="18">
                  <c:v>363.57999999999993</c:v>
                </c:pt>
                <c:pt idx="19">
                  <c:v>309.54500000000019</c:v>
                </c:pt>
                <c:pt idx="20">
                  <c:v>138.803</c:v>
                </c:pt>
                <c:pt idx="21">
                  <c:v>395.70900000000012</c:v>
                </c:pt>
                <c:pt idx="22">
                  <c:v>412.84300000000002</c:v>
                </c:pt>
                <c:pt idx="23">
                  <c:v>374.11600000000004</c:v>
                </c:pt>
                <c:pt idx="24">
                  <c:v>455.93399999999986</c:v>
                </c:pt>
                <c:pt idx="25">
                  <c:v>467.17399999999992</c:v>
                </c:pt>
                <c:pt idx="26">
                  <c:v>326.63999999999993</c:v>
                </c:pt>
                <c:pt idx="27">
                  <c:v>117.37500000000001</c:v>
                </c:pt>
                <c:pt idx="28">
                  <c:v>395.18599999999998</c:v>
                </c:pt>
                <c:pt idx="29">
                  <c:v>410.61400000000003</c:v>
                </c:pt>
                <c:pt idx="30">
                  <c:v>398.80899999999991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D2C-49C5-9D86-47C692747379}"/>
            </c:ext>
          </c:extLst>
        </c:ser>
        <c:ser>
          <c:idx val="16"/>
          <c:order val="16"/>
          <c:tx>
            <c:strRef>
              <c:f>'Jan 25 Graph'!$R$3:$R$4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Graph'!$R$5:$R$35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D2C-49C5-9D86-47C692747379}"/>
            </c:ext>
          </c:extLst>
        </c:ser>
        <c:ser>
          <c:idx val="17"/>
          <c:order val="17"/>
          <c:tx>
            <c:strRef>
              <c:f>'Jan 25 Graph'!$S$3:$S$4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Graph'!$S$5:$S$35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0.56900000000000006</c:v>
                </c:pt>
                <c:pt idx="15">
                  <c:v>10.01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D2C-49C5-9D86-47C692747379}"/>
            </c:ext>
          </c:extLst>
        </c:ser>
        <c:ser>
          <c:idx val="18"/>
          <c:order val="18"/>
          <c:tx>
            <c:strRef>
              <c:f>'Jan 25 Graph'!$T$3:$T$4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Graph'!$T$5:$T$35</c:f>
              <c:numCache>
                <c:formatCode>General</c:formatCode>
                <c:ptCount val="31"/>
                <c:pt idx="0">
                  <c:v>41.673000000000002</c:v>
                </c:pt>
                <c:pt idx="1">
                  <c:v>83.837999999999994</c:v>
                </c:pt>
                <c:pt idx="2">
                  <c:v>63.536999999999992</c:v>
                </c:pt>
                <c:pt idx="3">
                  <c:v>81.25</c:v>
                </c:pt>
                <c:pt idx="4">
                  <c:v>56.428000000000004</c:v>
                </c:pt>
                <c:pt idx="5">
                  <c:v>96.097999999999999</c:v>
                </c:pt>
                <c:pt idx="6">
                  <c:v>71.384</c:v>
                </c:pt>
                <c:pt idx="7">
                  <c:v>72.03</c:v>
                </c:pt>
                <c:pt idx="8">
                  <c:v>102.124</c:v>
                </c:pt>
                <c:pt idx="9">
                  <c:v>58.028999999999996</c:v>
                </c:pt>
                <c:pt idx="10">
                  <c:v>60.896999999999991</c:v>
                </c:pt>
                <c:pt idx="11">
                  <c:v>73.117999999999995</c:v>
                </c:pt>
                <c:pt idx="12">
                  <c:v>50.704000000000001</c:v>
                </c:pt>
                <c:pt idx="13">
                  <c:v>32.427</c:v>
                </c:pt>
                <c:pt idx="14">
                  <c:v>37.847000000000001</c:v>
                </c:pt>
                <c:pt idx="15">
                  <c:v>88.034999999999997</c:v>
                </c:pt>
                <c:pt idx="16">
                  <c:v>24.161999999999999</c:v>
                </c:pt>
                <c:pt idx="17">
                  <c:v>48.709000000000003</c:v>
                </c:pt>
                <c:pt idx="18">
                  <c:v>28.097000000000001</c:v>
                </c:pt>
                <c:pt idx="19">
                  <c:v>43.725999999999999</c:v>
                </c:pt>
                <c:pt idx="20">
                  <c:v>48.521999999999991</c:v>
                </c:pt>
                <c:pt idx="21">
                  <c:v>56.500000000000007</c:v>
                </c:pt>
                <c:pt idx="22">
                  <c:v>53.786000000000001</c:v>
                </c:pt>
                <c:pt idx="23">
                  <c:v>46.807999999999993</c:v>
                </c:pt>
                <c:pt idx="24">
                  <c:v>40.418999999999997</c:v>
                </c:pt>
                <c:pt idx="25">
                  <c:v>60.315999999999995</c:v>
                </c:pt>
                <c:pt idx="26">
                  <c:v>42.841000000000001</c:v>
                </c:pt>
                <c:pt idx="27">
                  <c:v>33.818999999999996</c:v>
                </c:pt>
                <c:pt idx="28">
                  <c:v>71.894000000000005</c:v>
                </c:pt>
                <c:pt idx="29">
                  <c:v>64.814999999999998</c:v>
                </c:pt>
                <c:pt idx="30">
                  <c:v>47.313000000000002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D2C-49C5-9D86-47C692747379}"/>
            </c:ext>
          </c:extLst>
        </c:ser>
        <c:ser>
          <c:idx val="19"/>
          <c:order val="19"/>
          <c:tx>
            <c:strRef>
              <c:f>'Jan 25 Graph'!$U$3:$U$4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Graph'!$U$5:$U$35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18.380000000000003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18.222000000000001</c:v>
                </c:pt>
                <c:pt idx="28">
                  <c:v>0</c:v>
                </c:pt>
                <c:pt idx="29">
                  <c:v>35.515999999999998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D2C-49C5-9D86-47C692747379}"/>
            </c:ext>
          </c:extLst>
        </c:ser>
        <c:ser>
          <c:idx val="20"/>
          <c:order val="20"/>
          <c:tx>
            <c:strRef>
              <c:f>'Jan 25 Graph'!$V$3:$V$4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Graph'!$V$5:$V$35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D2C-49C5-9D86-47C692747379}"/>
            </c:ext>
          </c:extLst>
        </c:ser>
        <c:ser>
          <c:idx val="21"/>
          <c:order val="21"/>
          <c:tx>
            <c:strRef>
              <c:f>'Jan 25 Graph'!$W$3:$W$4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Graph'!$W$5:$W$35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D2C-49C5-9D86-47C692747379}"/>
            </c:ext>
          </c:extLst>
        </c:ser>
        <c:ser>
          <c:idx val="22"/>
          <c:order val="22"/>
          <c:tx>
            <c:strRef>
              <c:f>'Jan 25 Graph'!$X$3:$X$4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Graph'!$X$5:$X$35</c:f>
              <c:numCache>
                <c:formatCode>General</c:formatCode>
                <c:ptCount val="31"/>
                <c:pt idx="0">
                  <c:v>326.05200000000002</c:v>
                </c:pt>
                <c:pt idx="1">
                  <c:v>345.09999999999997</c:v>
                </c:pt>
                <c:pt idx="2">
                  <c:v>311.94200000000006</c:v>
                </c:pt>
                <c:pt idx="3">
                  <c:v>353.49900000000002</c:v>
                </c:pt>
                <c:pt idx="4">
                  <c:v>318.20199999999983</c:v>
                </c:pt>
                <c:pt idx="5">
                  <c:v>370.82299999999998</c:v>
                </c:pt>
                <c:pt idx="6">
                  <c:v>393.95399999999989</c:v>
                </c:pt>
                <c:pt idx="7">
                  <c:v>328.71299999999997</c:v>
                </c:pt>
                <c:pt idx="8">
                  <c:v>382.44400000000002</c:v>
                </c:pt>
                <c:pt idx="9">
                  <c:v>304.88799999999992</c:v>
                </c:pt>
                <c:pt idx="10">
                  <c:v>445.78099999999995</c:v>
                </c:pt>
                <c:pt idx="11">
                  <c:v>454.89500000000004</c:v>
                </c:pt>
                <c:pt idx="12">
                  <c:v>518.851</c:v>
                </c:pt>
                <c:pt idx="13">
                  <c:v>238.39000000000001</c:v>
                </c:pt>
                <c:pt idx="14">
                  <c:v>350.15299999999985</c:v>
                </c:pt>
                <c:pt idx="15">
                  <c:v>347.84999999999991</c:v>
                </c:pt>
                <c:pt idx="16">
                  <c:v>390.94399999999996</c:v>
                </c:pt>
                <c:pt idx="17">
                  <c:v>303.678</c:v>
                </c:pt>
                <c:pt idx="18">
                  <c:v>433.28299999999984</c:v>
                </c:pt>
                <c:pt idx="19">
                  <c:v>312.5150000000001</c:v>
                </c:pt>
                <c:pt idx="20">
                  <c:v>418.52199999999993</c:v>
                </c:pt>
                <c:pt idx="21">
                  <c:v>332.04100000000005</c:v>
                </c:pt>
                <c:pt idx="22">
                  <c:v>346.43000000000006</c:v>
                </c:pt>
                <c:pt idx="23">
                  <c:v>328.125</c:v>
                </c:pt>
                <c:pt idx="24">
                  <c:v>313.53800000000012</c:v>
                </c:pt>
                <c:pt idx="25">
                  <c:v>348.43799999999999</c:v>
                </c:pt>
                <c:pt idx="26">
                  <c:v>319.99900000000002</c:v>
                </c:pt>
                <c:pt idx="27">
                  <c:v>237.67299999999994</c:v>
                </c:pt>
                <c:pt idx="28">
                  <c:v>36.262</c:v>
                </c:pt>
                <c:pt idx="29">
                  <c:v>213.19099999999997</c:v>
                </c:pt>
                <c:pt idx="30">
                  <c:v>352.35800000000012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D2C-49C5-9D86-47C692747379}"/>
            </c:ext>
          </c:extLst>
        </c:ser>
        <c:ser>
          <c:idx val="23"/>
          <c:order val="23"/>
          <c:tx>
            <c:strRef>
              <c:f>'Jan 25 Graph'!$Y$3:$Y$4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Graph'!$Y$5:$Y$35</c:f>
              <c:numCache>
                <c:formatCode>General</c:formatCode>
                <c:ptCount val="31"/>
                <c:pt idx="0">
                  <c:v>14.430999999999999</c:v>
                </c:pt>
                <c:pt idx="1">
                  <c:v>34.742000000000004</c:v>
                </c:pt>
                <c:pt idx="2">
                  <c:v>21.887</c:v>
                </c:pt>
                <c:pt idx="3">
                  <c:v>27.987000000000002</c:v>
                </c:pt>
                <c:pt idx="4">
                  <c:v>32.112000000000002</c:v>
                </c:pt>
                <c:pt idx="5">
                  <c:v>27.090000000000003</c:v>
                </c:pt>
                <c:pt idx="6">
                  <c:v>28.152999999999999</c:v>
                </c:pt>
                <c:pt idx="7">
                  <c:v>25.381</c:v>
                </c:pt>
                <c:pt idx="8">
                  <c:v>26.07</c:v>
                </c:pt>
                <c:pt idx="9">
                  <c:v>4.5510000000000002</c:v>
                </c:pt>
                <c:pt idx="10">
                  <c:v>40.696000000000005</c:v>
                </c:pt>
                <c:pt idx="11">
                  <c:v>18.734999999999999</c:v>
                </c:pt>
                <c:pt idx="12">
                  <c:v>36.602000000000004</c:v>
                </c:pt>
                <c:pt idx="13">
                  <c:v>12.57</c:v>
                </c:pt>
                <c:pt idx="14">
                  <c:v>1.6949999999999998</c:v>
                </c:pt>
                <c:pt idx="15">
                  <c:v>28.174000000000003</c:v>
                </c:pt>
                <c:pt idx="16">
                  <c:v>29.86</c:v>
                </c:pt>
                <c:pt idx="17">
                  <c:v>32.881999999999998</c:v>
                </c:pt>
                <c:pt idx="18">
                  <c:v>37.805000000000007</c:v>
                </c:pt>
                <c:pt idx="19">
                  <c:v>23.937000000000001</c:v>
                </c:pt>
                <c:pt idx="20">
                  <c:v>27.110000000000003</c:v>
                </c:pt>
                <c:pt idx="21">
                  <c:v>29.317</c:v>
                </c:pt>
                <c:pt idx="22">
                  <c:v>15.918000000000001</c:v>
                </c:pt>
                <c:pt idx="23">
                  <c:v>31.014000000000003</c:v>
                </c:pt>
                <c:pt idx="24">
                  <c:v>34.433999999999997</c:v>
                </c:pt>
                <c:pt idx="25">
                  <c:v>30.838999999999999</c:v>
                </c:pt>
                <c:pt idx="26">
                  <c:v>26.323999999999998</c:v>
                </c:pt>
                <c:pt idx="27">
                  <c:v>31.848999999999997</c:v>
                </c:pt>
                <c:pt idx="28">
                  <c:v>21.443000000000001</c:v>
                </c:pt>
                <c:pt idx="29">
                  <c:v>45</c:v>
                </c:pt>
                <c:pt idx="30">
                  <c:v>17.222999999999999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D2C-49C5-9D86-47C692747379}"/>
            </c:ext>
          </c:extLst>
        </c:ser>
        <c:ser>
          <c:idx val="24"/>
          <c:order val="24"/>
          <c:tx>
            <c:strRef>
              <c:f>'Jan 25 Graph'!$Z$3:$Z$4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Graph'!$Z$5:$Z$35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1.268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D2C-49C5-9D86-47C692747379}"/>
            </c:ext>
          </c:extLst>
        </c:ser>
        <c:ser>
          <c:idx val="25"/>
          <c:order val="25"/>
          <c:tx>
            <c:strRef>
              <c:f>'Jan 25 Graph'!$AA$3:$AA$4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Graph'!$AA$5:$AA$35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D2C-49C5-9D86-47C692747379}"/>
            </c:ext>
          </c:extLst>
        </c:ser>
        <c:ser>
          <c:idx val="26"/>
          <c:order val="26"/>
          <c:tx>
            <c:strRef>
              <c:f>'Jan 25 Graph'!$AB$3:$AB$4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Graph'!$AB$5:$AB$35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2.4500000000000002</c:v>
                </c:pt>
                <c:pt idx="11">
                  <c:v>0</c:v>
                </c:pt>
                <c:pt idx="12">
                  <c:v>0</c:v>
                </c:pt>
                <c:pt idx="13">
                  <c:v>6.48</c:v>
                </c:pt>
                <c:pt idx="14">
                  <c:v>0</c:v>
                </c:pt>
                <c:pt idx="15">
                  <c:v>4.5999999999999996</c:v>
                </c:pt>
                <c:pt idx="16">
                  <c:v>7.7999999999999989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25.55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D2C-49C5-9D86-47C692747379}"/>
            </c:ext>
          </c:extLst>
        </c:ser>
        <c:ser>
          <c:idx val="27"/>
          <c:order val="27"/>
          <c:tx>
            <c:strRef>
              <c:f>'Jan 25 Graph'!$AC$3:$AC$4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Graph'!$AC$5:$AC$35</c:f>
              <c:numCache>
                <c:formatCode>General</c:formatCode>
                <c:ptCount val="31"/>
                <c:pt idx="0">
                  <c:v>87.352999999999994</c:v>
                </c:pt>
                <c:pt idx="1">
                  <c:v>69.789999999999992</c:v>
                </c:pt>
                <c:pt idx="2">
                  <c:v>102.22700000000002</c:v>
                </c:pt>
                <c:pt idx="3">
                  <c:v>77.052000000000007</c:v>
                </c:pt>
                <c:pt idx="4">
                  <c:v>89.563999999999993</c:v>
                </c:pt>
                <c:pt idx="5">
                  <c:v>92.588000000000008</c:v>
                </c:pt>
                <c:pt idx="6">
                  <c:v>86.554000000000002</c:v>
                </c:pt>
                <c:pt idx="7">
                  <c:v>99.031999999999982</c:v>
                </c:pt>
                <c:pt idx="8">
                  <c:v>88.552000000000007</c:v>
                </c:pt>
                <c:pt idx="9">
                  <c:v>83.18</c:v>
                </c:pt>
                <c:pt idx="10">
                  <c:v>73.591000000000008</c:v>
                </c:pt>
                <c:pt idx="11">
                  <c:v>92.290999999999997</c:v>
                </c:pt>
                <c:pt idx="12">
                  <c:v>100.57000000000001</c:v>
                </c:pt>
                <c:pt idx="13">
                  <c:v>81.509</c:v>
                </c:pt>
                <c:pt idx="14">
                  <c:v>23.285</c:v>
                </c:pt>
                <c:pt idx="15">
                  <c:v>82.73</c:v>
                </c:pt>
                <c:pt idx="16">
                  <c:v>75.498000000000019</c:v>
                </c:pt>
                <c:pt idx="17">
                  <c:v>62.235000000000014</c:v>
                </c:pt>
                <c:pt idx="18">
                  <c:v>87.118000000000009</c:v>
                </c:pt>
                <c:pt idx="19">
                  <c:v>82.138999999999996</c:v>
                </c:pt>
                <c:pt idx="20">
                  <c:v>95.801999999999992</c:v>
                </c:pt>
                <c:pt idx="21">
                  <c:v>73.212000000000018</c:v>
                </c:pt>
                <c:pt idx="22">
                  <c:v>73.218000000000004</c:v>
                </c:pt>
                <c:pt idx="23">
                  <c:v>85.457999999999998</c:v>
                </c:pt>
                <c:pt idx="24">
                  <c:v>94.492999999999981</c:v>
                </c:pt>
                <c:pt idx="25">
                  <c:v>95.454000000000022</c:v>
                </c:pt>
                <c:pt idx="26">
                  <c:v>72.887999999999991</c:v>
                </c:pt>
                <c:pt idx="27">
                  <c:v>95.89500000000001</c:v>
                </c:pt>
                <c:pt idx="28">
                  <c:v>89.626000000000005</c:v>
                </c:pt>
                <c:pt idx="29">
                  <c:v>83.26600000000002</c:v>
                </c:pt>
                <c:pt idx="30">
                  <c:v>83.075000000000003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D2C-49C5-9D86-47C692747379}"/>
            </c:ext>
          </c:extLst>
        </c:ser>
        <c:ser>
          <c:idx val="28"/>
          <c:order val="28"/>
          <c:tx>
            <c:strRef>
              <c:f>'Jan 25 Graph'!$AD$3:$AD$4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Graph'!$AD$5:$AD$35</c:f>
              <c:numCache>
                <c:formatCode>General</c:formatCode>
                <c:ptCount val="31"/>
                <c:pt idx="0">
                  <c:v>154.77000000000001</c:v>
                </c:pt>
                <c:pt idx="1">
                  <c:v>73.609000000000009</c:v>
                </c:pt>
                <c:pt idx="2">
                  <c:v>123.44599999999998</c:v>
                </c:pt>
                <c:pt idx="3">
                  <c:v>83.724000000000018</c:v>
                </c:pt>
                <c:pt idx="4">
                  <c:v>87.861000000000018</c:v>
                </c:pt>
                <c:pt idx="5">
                  <c:v>108.63300000000001</c:v>
                </c:pt>
                <c:pt idx="6">
                  <c:v>122.76099999999998</c:v>
                </c:pt>
                <c:pt idx="7">
                  <c:v>127.092</c:v>
                </c:pt>
                <c:pt idx="8">
                  <c:v>103.544</c:v>
                </c:pt>
                <c:pt idx="9">
                  <c:v>95.027999999999992</c:v>
                </c:pt>
                <c:pt idx="10">
                  <c:v>101.849</c:v>
                </c:pt>
                <c:pt idx="11">
                  <c:v>81.850999999999999</c:v>
                </c:pt>
                <c:pt idx="12">
                  <c:v>93.964999999999989</c:v>
                </c:pt>
                <c:pt idx="13">
                  <c:v>68.118000000000009</c:v>
                </c:pt>
                <c:pt idx="14">
                  <c:v>0</c:v>
                </c:pt>
                <c:pt idx="15">
                  <c:v>45.785000000000011</c:v>
                </c:pt>
                <c:pt idx="16">
                  <c:v>76.850999999999985</c:v>
                </c:pt>
                <c:pt idx="17">
                  <c:v>128.92300000000003</c:v>
                </c:pt>
                <c:pt idx="18">
                  <c:v>75.22</c:v>
                </c:pt>
                <c:pt idx="19">
                  <c:v>90.387000000000015</c:v>
                </c:pt>
                <c:pt idx="20">
                  <c:v>77.940000000000012</c:v>
                </c:pt>
                <c:pt idx="21">
                  <c:v>130.13999999999999</c:v>
                </c:pt>
                <c:pt idx="22">
                  <c:v>97.231999999999985</c:v>
                </c:pt>
                <c:pt idx="23">
                  <c:v>108.17100000000002</c:v>
                </c:pt>
                <c:pt idx="24">
                  <c:v>95.49799999999999</c:v>
                </c:pt>
                <c:pt idx="25">
                  <c:v>78.135999999999996</c:v>
                </c:pt>
                <c:pt idx="26">
                  <c:v>120.88999999999999</c:v>
                </c:pt>
                <c:pt idx="27">
                  <c:v>116.05499999999998</c:v>
                </c:pt>
                <c:pt idx="28">
                  <c:v>115.58599999999996</c:v>
                </c:pt>
                <c:pt idx="29">
                  <c:v>85.522999999999996</c:v>
                </c:pt>
                <c:pt idx="30">
                  <c:v>86.52600000000001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D2C-49C5-9D86-47C692747379}"/>
            </c:ext>
          </c:extLst>
        </c:ser>
        <c:ser>
          <c:idx val="29"/>
          <c:order val="29"/>
          <c:tx>
            <c:strRef>
              <c:f>'Jan 25 Graph'!$AE$3:$AE$4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Graph'!$AE$5:$AE$35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D2C-49C5-9D86-47C692747379}"/>
            </c:ext>
          </c:extLst>
        </c:ser>
        <c:ser>
          <c:idx val="30"/>
          <c:order val="30"/>
          <c:tx>
            <c:strRef>
              <c:f>'Jan 25 Graph'!$AF$3:$AF$4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Graph'!$AF$5:$AF$35</c:f>
              <c:numCache>
                <c:formatCode>General</c:formatCode>
                <c:ptCount val="31"/>
                <c:pt idx="5">
                  <c:v>10.528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D2C-49C5-9D86-47C692747379}"/>
            </c:ext>
          </c:extLst>
        </c:ser>
        <c:ser>
          <c:idx val="31"/>
          <c:order val="31"/>
          <c:tx>
            <c:strRef>
              <c:f>'Jan 25 Graph'!$AG$3:$AG$4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Graph'!$AG$5:$AG$35</c:f>
              <c:numCache>
                <c:formatCode>General</c:formatCode>
                <c:ptCount val="31"/>
                <c:pt idx="6">
                  <c:v>1.1399999999999999</c:v>
                </c:pt>
                <c:pt idx="7">
                  <c:v>2.7100000000000004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1.9400000000000002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D2C-49C5-9D86-47C692747379}"/>
            </c:ext>
          </c:extLst>
        </c:ser>
        <c:ser>
          <c:idx val="32"/>
          <c:order val="32"/>
          <c:tx>
            <c:strRef>
              <c:f>'Jan 25 Graph'!$AH$3:$AH$4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Graph'!$AH$5:$AH$35</c:f>
              <c:numCache>
                <c:formatCode>General</c:formatCode>
                <c:ptCount val="31"/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D2C-49C5-9D86-47C692747379}"/>
            </c:ext>
          </c:extLst>
        </c:ser>
        <c:ser>
          <c:idx val="33"/>
          <c:order val="33"/>
          <c:tx>
            <c:strRef>
              <c:f>'Jan 25 Graph'!$AI$3:$AI$4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Graph'!$AI$5:$AI$35</c:f>
              <c:numCache>
                <c:formatCode>General</c:formatCode>
                <c:ptCount val="31"/>
                <c:pt idx="19">
                  <c:v>0</c:v>
                </c:pt>
                <c:pt idx="20">
                  <c:v>2.63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D2C-49C5-9D86-47C692747379}"/>
            </c:ext>
          </c:extLst>
        </c:ser>
        <c:ser>
          <c:idx val="34"/>
          <c:order val="34"/>
          <c:tx>
            <c:strRef>
              <c:f>'Jan 25 Graph'!$AJ$3:$AJ$4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Graph'!$AJ$5:$AJ$35</c:f>
              <c:numCache>
                <c:formatCode>General</c:formatCode>
                <c:ptCount val="31"/>
                <c:pt idx="23">
                  <c:v>10.978999999999999</c:v>
                </c:pt>
                <c:pt idx="24">
                  <c:v>0</c:v>
                </c:pt>
                <c:pt idx="25">
                  <c:v>0</c:v>
                </c:pt>
                <c:pt idx="26">
                  <c:v>6.99</c:v>
                </c:pt>
                <c:pt idx="27">
                  <c:v>15.22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D2C-49C5-9D86-47C692747379}"/>
            </c:ext>
          </c:extLst>
        </c:ser>
        <c:ser>
          <c:idx val="35"/>
          <c:order val="35"/>
          <c:tx>
            <c:strRef>
              <c:f>'Jan 25 Graph'!$AK$3:$AK$4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'Jan 25 Graph'!$A$5:$A$35</c:f>
              <c:strCache>
                <c:ptCount val="31"/>
                <c:pt idx="0">
                  <c:v>Sum of 01-01-2025</c:v>
                </c:pt>
                <c:pt idx="1">
                  <c:v>Sum of 02-01-2025</c:v>
                </c:pt>
                <c:pt idx="2">
                  <c:v>Sum of 03-01-2025</c:v>
                </c:pt>
                <c:pt idx="3">
                  <c:v>Sum of 04-01-2025</c:v>
                </c:pt>
                <c:pt idx="4">
                  <c:v>Sum of 05-01-2025</c:v>
                </c:pt>
                <c:pt idx="5">
                  <c:v>Sum of 06-01-2025</c:v>
                </c:pt>
                <c:pt idx="6">
                  <c:v>Sum of 07-01-2025</c:v>
                </c:pt>
                <c:pt idx="7">
                  <c:v>Sum of 08-01-2025</c:v>
                </c:pt>
                <c:pt idx="8">
                  <c:v>Sum of 09-01-2025</c:v>
                </c:pt>
                <c:pt idx="9">
                  <c:v>Sum of 10-01-2025</c:v>
                </c:pt>
                <c:pt idx="10">
                  <c:v>Sum of 11-01-2025</c:v>
                </c:pt>
                <c:pt idx="11">
                  <c:v>Sum of 12-01-2025</c:v>
                </c:pt>
                <c:pt idx="12">
                  <c:v>Sum of 13-01-2025</c:v>
                </c:pt>
                <c:pt idx="13">
                  <c:v>Sum of 14-01-2025</c:v>
                </c:pt>
                <c:pt idx="14">
                  <c:v>Sum of 15-01-2025</c:v>
                </c:pt>
                <c:pt idx="15">
                  <c:v>Sum of 16-01-2025</c:v>
                </c:pt>
                <c:pt idx="16">
                  <c:v>Sum of 17-01-2025</c:v>
                </c:pt>
                <c:pt idx="17">
                  <c:v>Sum of 18-01-2025</c:v>
                </c:pt>
                <c:pt idx="18">
                  <c:v>Sum of 19-01-2025</c:v>
                </c:pt>
                <c:pt idx="19">
                  <c:v>Sum of 20-01-2025</c:v>
                </c:pt>
                <c:pt idx="20">
                  <c:v>Sum of 21-01-2025</c:v>
                </c:pt>
                <c:pt idx="21">
                  <c:v>Sum of 22-01-2025</c:v>
                </c:pt>
                <c:pt idx="22">
                  <c:v>Sum of 23-01-2025</c:v>
                </c:pt>
                <c:pt idx="23">
                  <c:v>Sum of 24-01-2025</c:v>
                </c:pt>
                <c:pt idx="24">
                  <c:v>Sum of 25-01-2025</c:v>
                </c:pt>
                <c:pt idx="25">
                  <c:v>Sum of 26-01-2025</c:v>
                </c:pt>
                <c:pt idx="26">
                  <c:v>Sum of 27-01-2025</c:v>
                </c:pt>
                <c:pt idx="27">
                  <c:v>Sum of 28-01-2025</c:v>
                </c:pt>
                <c:pt idx="28">
                  <c:v>Sum of 29-01-2025</c:v>
                </c:pt>
                <c:pt idx="29">
                  <c:v>Sum of 30-01-2025</c:v>
                </c:pt>
                <c:pt idx="30">
                  <c:v>Sum of 31-01-2025</c:v>
                </c:pt>
              </c:strCache>
            </c:strRef>
          </c:cat>
          <c:val>
            <c:numRef>
              <c:f>'Jan 25 Graph'!$AK$5:$AK$35</c:f>
              <c:numCache>
                <c:formatCode>General</c:formatCode>
                <c:ptCount val="31"/>
                <c:pt idx="24">
                  <c:v>7.7290000000000001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D2C-49C5-9D86-47C69274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04560"/>
        <c:axId val="545006912"/>
      </c:barChart>
      <c:catAx>
        <c:axId val="5450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6912"/>
        <c:crosses val="autoZero"/>
        <c:auto val="1"/>
        <c:lblAlgn val="ctr"/>
        <c:lblOffset val="100"/>
        <c:noMultiLvlLbl val="0"/>
      </c:catAx>
      <c:valAx>
        <c:axId val="5450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Consumption.xlsx]Feb 25 Graph!PivotTable4</c:name>
    <c:fmtId val="4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'Feb 25 Graph'!$B$3:$B$4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Graph'!$B$5:$B$32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7-4B69-80AF-73E17FD43CB6}"/>
            </c:ext>
          </c:extLst>
        </c:ser>
        <c:ser>
          <c:idx val="1"/>
          <c:order val="1"/>
          <c:tx>
            <c:strRef>
              <c:f>'Feb 25 Graph'!$C$3:$C$4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Graph'!$C$5:$C$32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7-4B69-80AF-73E17FD43CB6}"/>
            </c:ext>
          </c:extLst>
        </c:ser>
        <c:ser>
          <c:idx val="2"/>
          <c:order val="2"/>
          <c:tx>
            <c:strRef>
              <c:f>'Feb 25 Graph'!$D$3:$D$4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Graph'!$D$5:$D$32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87-4B69-80AF-73E17FD43CB6}"/>
            </c:ext>
          </c:extLst>
        </c:ser>
        <c:ser>
          <c:idx val="3"/>
          <c:order val="3"/>
          <c:tx>
            <c:strRef>
              <c:f>'Feb 25 Graph'!$E$3:$E$4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Graph'!$E$5:$E$32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87-4B69-80AF-73E17FD43CB6}"/>
            </c:ext>
          </c:extLst>
        </c:ser>
        <c:ser>
          <c:idx val="4"/>
          <c:order val="4"/>
          <c:tx>
            <c:strRef>
              <c:f>'Feb 25 Graph'!$F$3:$F$4</c:f>
              <c:strCache>
                <c:ptCount val="1"/>
                <c:pt idx="0">
                  <c:v>Allied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Graph'!$F$5:$F$32</c:f>
              <c:numCache>
                <c:formatCode>General</c:formatCode>
                <c:ptCount val="28"/>
                <c:pt idx="0">
                  <c:v>5.57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33.26</c:v>
                </c:pt>
                <c:pt idx="14">
                  <c:v>26.659999999999997</c:v>
                </c:pt>
                <c:pt idx="15">
                  <c:v>0</c:v>
                </c:pt>
                <c:pt idx="16">
                  <c:v>0</c:v>
                </c:pt>
                <c:pt idx="17">
                  <c:v>28.81</c:v>
                </c:pt>
                <c:pt idx="18">
                  <c:v>29.49</c:v>
                </c:pt>
                <c:pt idx="19">
                  <c:v>39.489999999999995</c:v>
                </c:pt>
                <c:pt idx="20">
                  <c:v>18.52</c:v>
                </c:pt>
                <c:pt idx="21">
                  <c:v>0</c:v>
                </c:pt>
                <c:pt idx="22">
                  <c:v>0</c:v>
                </c:pt>
                <c:pt idx="23">
                  <c:v>7.58</c:v>
                </c:pt>
                <c:pt idx="24">
                  <c:v>21.490000000000002</c:v>
                </c:pt>
                <c:pt idx="25">
                  <c:v>0</c:v>
                </c:pt>
                <c:pt idx="26">
                  <c:v>12.66</c:v>
                </c:pt>
                <c:pt idx="27">
                  <c:v>15.149999999999999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87-4B69-80AF-73E17FD43CB6}"/>
            </c:ext>
          </c:extLst>
        </c:ser>
        <c:ser>
          <c:idx val="5"/>
          <c:order val="5"/>
          <c:tx>
            <c:strRef>
              <c:f>'Feb 25 Graph'!$G$3:$G$4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Graph'!$G$5:$G$32</c:f>
              <c:numCache>
                <c:formatCode>General</c:formatCode>
                <c:ptCount val="28"/>
                <c:pt idx="0">
                  <c:v>168.32000000000002</c:v>
                </c:pt>
                <c:pt idx="1">
                  <c:v>128.465</c:v>
                </c:pt>
                <c:pt idx="2">
                  <c:v>116.07500000000002</c:v>
                </c:pt>
                <c:pt idx="3">
                  <c:v>48.638999999999982</c:v>
                </c:pt>
                <c:pt idx="4">
                  <c:v>28.983999999999998</c:v>
                </c:pt>
                <c:pt idx="5">
                  <c:v>114.31399999999999</c:v>
                </c:pt>
                <c:pt idx="6">
                  <c:v>83.316000000000003</c:v>
                </c:pt>
                <c:pt idx="7">
                  <c:v>67.100000000000023</c:v>
                </c:pt>
                <c:pt idx="8">
                  <c:v>59.79</c:v>
                </c:pt>
                <c:pt idx="9">
                  <c:v>42.876999999999995</c:v>
                </c:pt>
                <c:pt idx="10">
                  <c:v>54.466999999999999</c:v>
                </c:pt>
                <c:pt idx="11">
                  <c:v>37.10199999999999</c:v>
                </c:pt>
                <c:pt idx="12">
                  <c:v>47.495999999999995</c:v>
                </c:pt>
                <c:pt idx="13">
                  <c:v>31.416999999999998</c:v>
                </c:pt>
                <c:pt idx="14">
                  <c:v>28.887</c:v>
                </c:pt>
                <c:pt idx="15">
                  <c:v>28.54600000000001</c:v>
                </c:pt>
                <c:pt idx="16">
                  <c:v>14.923999999999998</c:v>
                </c:pt>
                <c:pt idx="17">
                  <c:v>21.765000000000001</c:v>
                </c:pt>
                <c:pt idx="18">
                  <c:v>23.102999999999998</c:v>
                </c:pt>
                <c:pt idx="19">
                  <c:v>5.58</c:v>
                </c:pt>
                <c:pt idx="20">
                  <c:v>11.483000000000001</c:v>
                </c:pt>
                <c:pt idx="21">
                  <c:v>11</c:v>
                </c:pt>
                <c:pt idx="22">
                  <c:v>3.4950000000000001</c:v>
                </c:pt>
                <c:pt idx="23">
                  <c:v>13.821</c:v>
                </c:pt>
                <c:pt idx="24">
                  <c:v>6.5950000000000006</c:v>
                </c:pt>
                <c:pt idx="25">
                  <c:v>2.7450000000000001</c:v>
                </c:pt>
                <c:pt idx="26">
                  <c:v>2.7850000000000001</c:v>
                </c:pt>
                <c:pt idx="27">
                  <c:v>21.146000000000004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87-4B69-80AF-73E17FD43CB6}"/>
            </c:ext>
          </c:extLst>
        </c:ser>
        <c:ser>
          <c:idx val="6"/>
          <c:order val="6"/>
          <c:tx>
            <c:strRef>
              <c:f>'Feb 25 Graph'!$H$3:$H$4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Graph'!$H$5:$H$32</c:f>
              <c:numCache>
                <c:formatCode>General</c:formatCode>
                <c:ptCount val="28"/>
                <c:pt idx="0">
                  <c:v>527.41899999999998</c:v>
                </c:pt>
                <c:pt idx="1">
                  <c:v>559.88800000000003</c:v>
                </c:pt>
                <c:pt idx="2">
                  <c:v>551.86099999999999</c:v>
                </c:pt>
                <c:pt idx="3">
                  <c:v>571.49799999999993</c:v>
                </c:pt>
                <c:pt idx="4">
                  <c:v>605.03699999999992</c:v>
                </c:pt>
                <c:pt idx="5">
                  <c:v>576.65300000000002</c:v>
                </c:pt>
                <c:pt idx="6">
                  <c:v>557.27999999999986</c:v>
                </c:pt>
                <c:pt idx="7">
                  <c:v>530.89699999999993</c:v>
                </c:pt>
                <c:pt idx="8">
                  <c:v>512.31699999999989</c:v>
                </c:pt>
                <c:pt idx="9">
                  <c:v>420.38400000000001</c:v>
                </c:pt>
                <c:pt idx="10">
                  <c:v>432.98299999999995</c:v>
                </c:pt>
                <c:pt idx="11">
                  <c:v>504.19400000000002</c:v>
                </c:pt>
                <c:pt idx="12">
                  <c:v>517.81200000000001</c:v>
                </c:pt>
                <c:pt idx="13">
                  <c:v>444.22200000000004</c:v>
                </c:pt>
                <c:pt idx="14">
                  <c:v>490.91700000000009</c:v>
                </c:pt>
                <c:pt idx="15">
                  <c:v>566.62300000000005</c:v>
                </c:pt>
                <c:pt idx="16">
                  <c:v>568.327</c:v>
                </c:pt>
                <c:pt idx="17">
                  <c:v>547.52800000000013</c:v>
                </c:pt>
                <c:pt idx="18">
                  <c:v>450.00200000000001</c:v>
                </c:pt>
                <c:pt idx="19">
                  <c:v>533.46199999999999</c:v>
                </c:pt>
                <c:pt idx="20">
                  <c:v>460.71599999999995</c:v>
                </c:pt>
                <c:pt idx="21">
                  <c:v>480.17700000000002</c:v>
                </c:pt>
                <c:pt idx="22">
                  <c:v>431.17200000000008</c:v>
                </c:pt>
                <c:pt idx="23">
                  <c:v>516.36900000000003</c:v>
                </c:pt>
                <c:pt idx="24">
                  <c:v>550.75599999999997</c:v>
                </c:pt>
                <c:pt idx="25">
                  <c:v>495.55500000000012</c:v>
                </c:pt>
                <c:pt idx="26">
                  <c:v>437.411</c:v>
                </c:pt>
                <c:pt idx="27">
                  <c:v>486.52300000000002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87-4B69-80AF-73E17FD43CB6}"/>
            </c:ext>
          </c:extLst>
        </c:ser>
        <c:ser>
          <c:idx val="7"/>
          <c:order val="7"/>
          <c:tx>
            <c:strRef>
              <c:f>'Feb 25 Graph'!$I$3:$I$4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Graph'!$I$5:$I$32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87-4B69-80AF-73E17FD43CB6}"/>
            </c:ext>
          </c:extLst>
        </c:ser>
        <c:ser>
          <c:idx val="8"/>
          <c:order val="8"/>
          <c:tx>
            <c:strRef>
              <c:f>'Feb 25 Graph'!$J$3:$J$4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Graph'!$J$5:$J$32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5.22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3.6399999999999997</c:v>
                </c:pt>
                <c:pt idx="17">
                  <c:v>0</c:v>
                </c:pt>
                <c:pt idx="18">
                  <c:v>0</c:v>
                </c:pt>
                <c:pt idx="19">
                  <c:v>2.2600000000000002</c:v>
                </c:pt>
                <c:pt idx="20">
                  <c:v>0</c:v>
                </c:pt>
                <c:pt idx="21">
                  <c:v>0</c:v>
                </c:pt>
                <c:pt idx="22">
                  <c:v>11.231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87-4B69-80AF-73E17FD43CB6}"/>
            </c:ext>
          </c:extLst>
        </c:ser>
        <c:ser>
          <c:idx val="9"/>
          <c:order val="9"/>
          <c:tx>
            <c:strRef>
              <c:f>'Feb 25 Graph'!$K$3:$K$4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Graph'!$K$5:$K$32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87-4B69-80AF-73E17FD43CB6}"/>
            </c:ext>
          </c:extLst>
        </c:ser>
        <c:ser>
          <c:idx val="10"/>
          <c:order val="10"/>
          <c:tx>
            <c:strRef>
              <c:f>'Feb 25 Graph'!$L$3:$L$4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Graph'!$L$5:$L$32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87-4B69-80AF-73E17FD43CB6}"/>
            </c:ext>
          </c:extLst>
        </c:ser>
        <c:ser>
          <c:idx val="11"/>
          <c:order val="11"/>
          <c:tx>
            <c:strRef>
              <c:f>'Feb 25 Graph'!$M$3:$M$4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Graph'!$M$5:$M$32</c:f>
              <c:numCache>
                <c:formatCode>General</c:formatCode>
                <c:ptCount val="28"/>
                <c:pt idx="0">
                  <c:v>1327.5940000000001</c:v>
                </c:pt>
                <c:pt idx="1">
                  <c:v>1158.2980000000002</c:v>
                </c:pt>
                <c:pt idx="2">
                  <c:v>1190.239</c:v>
                </c:pt>
                <c:pt idx="3">
                  <c:v>1176.4299999999998</c:v>
                </c:pt>
                <c:pt idx="4">
                  <c:v>1002.5479999999998</c:v>
                </c:pt>
                <c:pt idx="5">
                  <c:v>1063.9960000000001</c:v>
                </c:pt>
                <c:pt idx="6">
                  <c:v>1399.7920000000001</c:v>
                </c:pt>
                <c:pt idx="7">
                  <c:v>1356.6670000000001</c:v>
                </c:pt>
                <c:pt idx="8">
                  <c:v>1293.0569999999998</c:v>
                </c:pt>
                <c:pt idx="9">
                  <c:v>1315.8930000000003</c:v>
                </c:pt>
                <c:pt idx="10">
                  <c:v>1335.2760000000001</c:v>
                </c:pt>
                <c:pt idx="11">
                  <c:v>1238.9029999999998</c:v>
                </c:pt>
                <c:pt idx="12">
                  <c:v>1416.3889999999997</c:v>
                </c:pt>
                <c:pt idx="13">
                  <c:v>1506.7750000000001</c:v>
                </c:pt>
                <c:pt idx="14">
                  <c:v>1265.914</c:v>
                </c:pt>
                <c:pt idx="15">
                  <c:v>1358.8089999999997</c:v>
                </c:pt>
                <c:pt idx="16">
                  <c:v>1355.38</c:v>
                </c:pt>
                <c:pt idx="17">
                  <c:v>1441.4169999999999</c:v>
                </c:pt>
                <c:pt idx="18">
                  <c:v>1628.875</c:v>
                </c:pt>
                <c:pt idx="19">
                  <c:v>1537.5540000000001</c:v>
                </c:pt>
                <c:pt idx="20">
                  <c:v>1579.3310000000001</c:v>
                </c:pt>
                <c:pt idx="21">
                  <c:v>1509.3039999999999</c:v>
                </c:pt>
                <c:pt idx="22">
                  <c:v>1315.3420000000003</c:v>
                </c:pt>
                <c:pt idx="23">
                  <c:v>1461.2029999999997</c:v>
                </c:pt>
                <c:pt idx="24">
                  <c:v>1561.3110000000001</c:v>
                </c:pt>
                <c:pt idx="25">
                  <c:v>1402.7279999999998</c:v>
                </c:pt>
                <c:pt idx="26">
                  <c:v>1543.508</c:v>
                </c:pt>
                <c:pt idx="27">
                  <c:v>1574.538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87-4B69-80AF-73E17FD43CB6}"/>
            </c:ext>
          </c:extLst>
        </c:ser>
        <c:ser>
          <c:idx val="12"/>
          <c:order val="12"/>
          <c:tx>
            <c:strRef>
              <c:f>'Feb 25 Graph'!$N$3:$N$4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Graph'!$N$5:$N$32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8.7889999999999997</c:v>
                </c:pt>
                <c:pt idx="4">
                  <c:v>19.939999999999998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0.95099999999999996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7.4489999999999998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87-4B69-80AF-73E17FD43CB6}"/>
            </c:ext>
          </c:extLst>
        </c:ser>
        <c:ser>
          <c:idx val="13"/>
          <c:order val="13"/>
          <c:tx>
            <c:strRef>
              <c:f>'Feb 25 Graph'!$O$3:$O$4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Graph'!$O$5:$O$32</c:f>
              <c:numCache>
                <c:formatCode>General</c:formatCode>
                <c:ptCount val="28"/>
                <c:pt idx="0">
                  <c:v>0</c:v>
                </c:pt>
                <c:pt idx="1">
                  <c:v>37.93</c:v>
                </c:pt>
                <c:pt idx="2">
                  <c:v>0</c:v>
                </c:pt>
                <c:pt idx="3">
                  <c:v>0</c:v>
                </c:pt>
                <c:pt idx="4">
                  <c:v>32.966000000000001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32.624000000000002</c:v>
                </c:pt>
                <c:pt idx="9">
                  <c:v>0</c:v>
                </c:pt>
                <c:pt idx="10">
                  <c:v>0</c:v>
                </c:pt>
                <c:pt idx="11">
                  <c:v>32.325000000000003</c:v>
                </c:pt>
                <c:pt idx="12">
                  <c:v>0</c:v>
                </c:pt>
                <c:pt idx="13">
                  <c:v>4.5609999999999999</c:v>
                </c:pt>
                <c:pt idx="14">
                  <c:v>36.093000000000004</c:v>
                </c:pt>
                <c:pt idx="15">
                  <c:v>0</c:v>
                </c:pt>
                <c:pt idx="16">
                  <c:v>31.547000000000001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34.941000000000003</c:v>
                </c:pt>
                <c:pt idx="21">
                  <c:v>39.71</c:v>
                </c:pt>
                <c:pt idx="22">
                  <c:v>0</c:v>
                </c:pt>
                <c:pt idx="23">
                  <c:v>64.295000000000002</c:v>
                </c:pt>
                <c:pt idx="24">
                  <c:v>13.525</c:v>
                </c:pt>
                <c:pt idx="25">
                  <c:v>36.014000000000003</c:v>
                </c:pt>
                <c:pt idx="26">
                  <c:v>11.929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87-4B69-80AF-73E17FD43CB6}"/>
            </c:ext>
          </c:extLst>
        </c:ser>
        <c:ser>
          <c:idx val="14"/>
          <c:order val="14"/>
          <c:tx>
            <c:strRef>
              <c:f>'Feb 25 Graph'!$P$3:$P$4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Graph'!$P$5:$P$32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2.7519999999999998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87-4B69-80AF-73E17FD43CB6}"/>
            </c:ext>
          </c:extLst>
        </c:ser>
        <c:ser>
          <c:idx val="15"/>
          <c:order val="15"/>
          <c:tx>
            <c:strRef>
              <c:f>'Feb 25 Graph'!$Q$3:$Q$4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Graph'!$Q$5:$Q$32</c:f>
              <c:numCache>
                <c:formatCode>General</c:formatCode>
                <c:ptCount val="28"/>
                <c:pt idx="0">
                  <c:v>36.368000000000002</c:v>
                </c:pt>
                <c:pt idx="1">
                  <c:v>65.033999999999992</c:v>
                </c:pt>
                <c:pt idx="2">
                  <c:v>37.078000000000003</c:v>
                </c:pt>
                <c:pt idx="3">
                  <c:v>44.030999999999999</c:v>
                </c:pt>
                <c:pt idx="4">
                  <c:v>33.396999999999998</c:v>
                </c:pt>
                <c:pt idx="5">
                  <c:v>45.178000000000004</c:v>
                </c:pt>
                <c:pt idx="6">
                  <c:v>25.411999999999995</c:v>
                </c:pt>
                <c:pt idx="7">
                  <c:v>49.771999999999998</c:v>
                </c:pt>
                <c:pt idx="8">
                  <c:v>47.957999999999991</c:v>
                </c:pt>
                <c:pt idx="9">
                  <c:v>52.617000000000004</c:v>
                </c:pt>
                <c:pt idx="10">
                  <c:v>58.158999999999992</c:v>
                </c:pt>
                <c:pt idx="11">
                  <c:v>63.37299999999999</c:v>
                </c:pt>
                <c:pt idx="12">
                  <c:v>31.458000000000002</c:v>
                </c:pt>
                <c:pt idx="13">
                  <c:v>29.788999999999998</c:v>
                </c:pt>
                <c:pt idx="14">
                  <c:v>28.542000000000002</c:v>
                </c:pt>
                <c:pt idx="15">
                  <c:v>56.687000000000005</c:v>
                </c:pt>
                <c:pt idx="16">
                  <c:v>36.408000000000001</c:v>
                </c:pt>
                <c:pt idx="17">
                  <c:v>38.707000000000001</c:v>
                </c:pt>
                <c:pt idx="18">
                  <c:v>41.261999999999993</c:v>
                </c:pt>
                <c:pt idx="19">
                  <c:v>49.234999999999999</c:v>
                </c:pt>
                <c:pt idx="20">
                  <c:v>31.479999999999997</c:v>
                </c:pt>
                <c:pt idx="21">
                  <c:v>59.817000000000007</c:v>
                </c:pt>
                <c:pt idx="22">
                  <c:v>32.569000000000003</c:v>
                </c:pt>
                <c:pt idx="23">
                  <c:v>36.483000000000004</c:v>
                </c:pt>
                <c:pt idx="24">
                  <c:v>40.796999999999997</c:v>
                </c:pt>
                <c:pt idx="25">
                  <c:v>23.379000000000001</c:v>
                </c:pt>
                <c:pt idx="26">
                  <c:v>28.223000000000006</c:v>
                </c:pt>
                <c:pt idx="27">
                  <c:v>66.538999999999987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87-4B69-80AF-73E17FD43CB6}"/>
            </c:ext>
          </c:extLst>
        </c:ser>
        <c:ser>
          <c:idx val="16"/>
          <c:order val="16"/>
          <c:tx>
            <c:strRef>
              <c:f>'Feb 25 Graph'!$R$3:$R$4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Graph'!$R$5:$R$32</c:f>
              <c:numCache>
                <c:formatCode>General</c:formatCode>
                <c:ptCount val="28"/>
                <c:pt idx="0">
                  <c:v>4005.5779999999995</c:v>
                </c:pt>
                <c:pt idx="1">
                  <c:v>3201.9649999999997</c:v>
                </c:pt>
                <c:pt idx="2">
                  <c:v>3745.3059999999996</c:v>
                </c:pt>
                <c:pt idx="3">
                  <c:v>4391.9089999999987</c:v>
                </c:pt>
                <c:pt idx="4">
                  <c:v>4735.1330000000016</c:v>
                </c:pt>
                <c:pt idx="5">
                  <c:v>4159.1190000000006</c:v>
                </c:pt>
                <c:pt idx="6">
                  <c:v>4384.8170000000018</c:v>
                </c:pt>
                <c:pt idx="7">
                  <c:v>3676.56</c:v>
                </c:pt>
                <c:pt idx="8">
                  <c:v>3155.3189999999995</c:v>
                </c:pt>
                <c:pt idx="9">
                  <c:v>3671.4489999999987</c:v>
                </c:pt>
                <c:pt idx="10">
                  <c:v>4379.2570000000014</c:v>
                </c:pt>
                <c:pt idx="11">
                  <c:v>4645.5980000000009</c:v>
                </c:pt>
                <c:pt idx="12">
                  <c:v>4240.3450000000003</c:v>
                </c:pt>
                <c:pt idx="13">
                  <c:v>4142.6509999999998</c:v>
                </c:pt>
                <c:pt idx="14">
                  <c:v>3708.4459999999999</c:v>
                </c:pt>
                <c:pt idx="15">
                  <c:v>3550.1840000000011</c:v>
                </c:pt>
                <c:pt idx="16">
                  <c:v>3651.6149999999998</c:v>
                </c:pt>
                <c:pt idx="17">
                  <c:v>4070.8179999999988</c:v>
                </c:pt>
                <c:pt idx="18">
                  <c:v>4091.9799999999996</c:v>
                </c:pt>
                <c:pt idx="19">
                  <c:v>4268.6720000000014</c:v>
                </c:pt>
                <c:pt idx="20">
                  <c:v>4062.963999999999</c:v>
                </c:pt>
                <c:pt idx="21">
                  <c:v>3680.4820000000004</c:v>
                </c:pt>
                <c:pt idx="22">
                  <c:v>3004.7630000000004</c:v>
                </c:pt>
                <c:pt idx="23">
                  <c:v>3728.9539999999984</c:v>
                </c:pt>
                <c:pt idx="24">
                  <c:v>4364.2539999999999</c:v>
                </c:pt>
                <c:pt idx="25">
                  <c:v>4025.9449999999997</c:v>
                </c:pt>
                <c:pt idx="26">
                  <c:v>3541.8179999999993</c:v>
                </c:pt>
                <c:pt idx="27">
                  <c:v>4075.6860000000006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87-4B69-80AF-73E17FD43CB6}"/>
            </c:ext>
          </c:extLst>
        </c:ser>
        <c:ser>
          <c:idx val="17"/>
          <c:order val="17"/>
          <c:tx>
            <c:strRef>
              <c:f>'Feb 25 Graph'!$S$3:$S$4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Graph'!$S$5:$S$32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4.7300000000000004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487-4B69-80AF-73E17FD43CB6}"/>
            </c:ext>
          </c:extLst>
        </c:ser>
        <c:ser>
          <c:idx val="18"/>
          <c:order val="18"/>
          <c:tx>
            <c:strRef>
              <c:f>'Feb 25 Graph'!$T$3:$T$4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Graph'!$T$5:$T$32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2.48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487-4B69-80AF-73E17FD43CB6}"/>
            </c:ext>
          </c:extLst>
        </c:ser>
        <c:ser>
          <c:idx val="19"/>
          <c:order val="19"/>
          <c:tx>
            <c:strRef>
              <c:f>'Feb 25 Graph'!$U$3:$U$4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Graph'!$U$5:$U$32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487-4B69-80AF-73E17FD43CB6}"/>
            </c:ext>
          </c:extLst>
        </c:ser>
        <c:ser>
          <c:idx val="20"/>
          <c:order val="20"/>
          <c:tx>
            <c:strRef>
              <c:f>'Feb 25 Graph'!$V$3:$V$4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Graph'!$V$5:$V$32</c:f>
              <c:numCache>
                <c:formatCode>General</c:formatCode>
                <c:ptCount val="28"/>
                <c:pt idx="0">
                  <c:v>449.59699999999998</c:v>
                </c:pt>
                <c:pt idx="1">
                  <c:v>463.11999999999983</c:v>
                </c:pt>
                <c:pt idx="2">
                  <c:v>323.30700000000007</c:v>
                </c:pt>
                <c:pt idx="3">
                  <c:v>113.32299999999999</c:v>
                </c:pt>
                <c:pt idx="4">
                  <c:v>391.25700000000006</c:v>
                </c:pt>
                <c:pt idx="5">
                  <c:v>366.54699999999997</c:v>
                </c:pt>
                <c:pt idx="6">
                  <c:v>317.54299999999995</c:v>
                </c:pt>
                <c:pt idx="7">
                  <c:v>471.71900000000005</c:v>
                </c:pt>
                <c:pt idx="8">
                  <c:v>513.928</c:v>
                </c:pt>
                <c:pt idx="9">
                  <c:v>310.23099999999988</c:v>
                </c:pt>
                <c:pt idx="10">
                  <c:v>140.14100000000002</c:v>
                </c:pt>
                <c:pt idx="11">
                  <c:v>379.91099999999994</c:v>
                </c:pt>
                <c:pt idx="12">
                  <c:v>374.84699999999998</c:v>
                </c:pt>
                <c:pt idx="13">
                  <c:v>269.815</c:v>
                </c:pt>
                <c:pt idx="14">
                  <c:v>417.51100000000014</c:v>
                </c:pt>
                <c:pt idx="15">
                  <c:v>369.51400000000007</c:v>
                </c:pt>
                <c:pt idx="16">
                  <c:v>341.84300000000002</c:v>
                </c:pt>
                <c:pt idx="17">
                  <c:v>121.464</c:v>
                </c:pt>
                <c:pt idx="18">
                  <c:v>371.89900000000011</c:v>
                </c:pt>
                <c:pt idx="19">
                  <c:v>365.33800000000014</c:v>
                </c:pt>
                <c:pt idx="20">
                  <c:v>361.18399999999991</c:v>
                </c:pt>
                <c:pt idx="21">
                  <c:v>398.20799999999991</c:v>
                </c:pt>
                <c:pt idx="22">
                  <c:v>398.69800000000004</c:v>
                </c:pt>
                <c:pt idx="23">
                  <c:v>333.14699999999999</c:v>
                </c:pt>
                <c:pt idx="24">
                  <c:v>135.65799999999996</c:v>
                </c:pt>
                <c:pt idx="25">
                  <c:v>304.23099999999999</c:v>
                </c:pt>
                <c:pt idx="26">
                  <c:v>291.42500000000018</c:v>
                </c:pt>
                <c:pt idx="27">
                  <c:v>147.334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87-4B69-80AF-73E17FD43CB6}"/>
            </c:ext>
          </c:extLst>
        </c:ser>
        <c:ser>
          <c:idx val="21"/>
          <c:order val="21"/>
          <c:tx>
            <c:strRef>
              <c:f>'Feb 25 Graph'!$W$3:$W$4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Graph'!$W$5:$W$32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487-4B69-80AF-73E17FD43CB6}"/>
            </c:ext>
          </c:extLst>
        </c:ser>
        <c:ser>
          <c:idx val="22"/>
          <c:order val="22"/>
          <c:tx>
            <c:strRef>
              <c:f>'Feb 25 Graph'!$X$3:$X$4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Graph'!$X$5:$X$32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487-4B69-80AF-73E17FD43CB6}"/>
            </c:ext>
          </c:extLst>
        </c:ser>
        <c:ser>
          <c:idx val="23"/>
          <c:order val="23"/>
          <c:tx>
            <c:strRef>
              <c:f>'Feb 25 Graph'!$Y$3:$Y$4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Graph'!$Y$5:$Y$32</c:f>
              <c:numCache>
                <c:formatCode>General</c:formatCode>
                <c:ptCount val="28"/>
                <c:pt idx="0">
                  <c:v>53.897999999999996</c:v>
                </c:pt>
                <c:pt idx="1">
                  <c:v>76.353000000000009</c:v>
                </c:pt>
                <c:pt idx="2">
                  <c:v>77.397999999999996</c:v>
                </c:pt>
                <c:pt idx="3">
                  <c:v>61.257000000000005</c:v>
                </c:pt>
                <c:pt idx="4">
                  <c:v>40.391999999999996</c:v>
                </c:pt>
                <c:pt idx="5">
                  <c:v>142.625</c:v>
                </c:pt>
                <c:pt idx="6">
                  <c:v>87.301999999999992</c:v>
                </c:pt>
                <c:pt idx="7">
                  <c:v>77.908999999999992</c:v>
                </c:pt>
                <c:pt idx="8">
                  <c:v>78.694000000000003</c:v>
                </c:pt>
                <c:pt idx="9">
                  <c:v>61.125999999999991</c:v>
                </c:pt>
                <c:pt idx="10">
                  <c:v>81.634000000000015</c:v>
                </c:pt>
                <c:pt idx="11">
                  <c:v>42.147000000000006</c:v>
                </c:pt>
                <c:pt idx="12">
                  <c:v>36.923999999999999</c:v>
                </c:pt>
                <c:pt idx="13">
                  <c:v>43.557000000000002</c:v>
                </c:pt>
                <c:pt idx="14">
                  <c:v>6.843</c:v>
                </c:pt>
                <c:pt idx="15">
                  <c:v>13.234999999999999</c:v>
                </c:pt>
                <c:pt idx="16">
                  <c:v>26.645</c:v>
                </c:pt>
                <c:pt idx="17">
                  <c:v>33.518999999999998</c:v>
                </c:pt>
                <c:pt idx="18">
                  <c:v>15.092000000000001</c:v>
                </c:pt>
                <c:pt idx="19">
                  <c:v>20.634</c:v>
                </c:pt>
                <c:pt idx="20">
                  <c:v>32.216000000000001</c:v>
                </c:pt>
                <c:pt idx="21">
                  <c:v>18.638999999999999</c:v>
                </c:pt>
                <c:pt idx="22">
                  <c:v>6.5590000000000002</c:v>
                </c:pt>
                <c:pt idx="23">
                  <c:v>14.164000000000001</c:v>
                </c:pt>
                <c:pt idx="24">
                  <c:v>29.138000000000002</c:v>
                </c:pt>
                <c:pt idx="25">
                  <c:v>8.827</c:v>
                </c:pt>
                <c:pt idx="26">
                  <c:v>15.364000000000001</c:v>
                </c:pt>
                <c:pt idx="27">
                  <c:v>174.98699999999999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487-4B69-80AF-73E17FD43CB6}"/>
            </c:ext>
          </c:extLst>
        </c:ser>
        <c:ser>
          <c:idx val="24"/>
          <c:order val="24"/>
          <c:tx>
            <c:strRef>
              <c:f>'Feb 25 Graph'!$Z$3:$Z$4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Graph'!$Z$5:$Z$32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18.792999999999999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2.04</c:v>
                </c:pt>
                <c:pt idx="11">
                  <c:v>0</c:v>
                </c:pt>
                <c:pt idx="12">
                  <c:v>0</c:v>
                </c:pt>
                <c:pt idx="13">
                  <c:v>7.7320000000000002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39.984000000000002</c:v>
                </c:pt>
                <c:pt idx="25">
                  <c:v>20.050999999999998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487-4B69-80AF-73E17FD43CB6}"/>
            </c:ext>
          </c:extLst>
        </c:ser>
        <c:ser>
          <c:idx val="25"/>
          <c:order val="25"/>
          <c:tx>
            <c:strRef>
              <c:f>'Feb 25 Graph'!$AA$3:$AA$4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Graph'!$AA$5:$AA$32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5.6999999999999995E-2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487-4B69-80AF-73E17FD43CB6}"/>
            </c:ext>
          </c:extLst>
        </c:ser>
        <c:ser>
          <c:idx val="26"/>
          <c:order val="26"/>
          <c:tx>
            <c:strRef>
              <c:f>'Feb 25 Graph'!$AB$3:$AB$4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Graph'!$AB$5:$AB$32</c:f>
              <c:numCache>
                <c:formatCode>General</c:formatCode>
                <c:ptCount val="28"/>
                <c:pt idx="0">
                  <c:v>0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487-4B69-80AF-73E17FD43CB6}"/>
            </c:ext>
          </c:extLst>
        </c:ser>
        <c:ser>
          <c:idx val="27"/>
          <c:order val="27"/>
          <c:tx>
            <c:strRef>
              <c:f>'Feb 25 Graph'!$AC$3:$AC$4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Graph'!$AC$5:$AC$32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487-4B69-80AF-73E17FD43CB6}"/>
            </c:ext>
          </c:extLst>
        </c:ser>
        <c:ser>
          <c:idx val="28"/>
          <c:order val="28"/>
          <c:tx>
            <c:strRef>
              <c:f>'Feb 25 Graph'!$AD$3:$AD$4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Graph'!$AD$5:$AD$32</c:f>
              <c:numCache>
                <c:formatCode>General</c:formatCode>
                <c:ptCount val="28"/>
                <c:pt idx="0">
                  <c:v>356.56199999999995</c:v>
                </c:pt>
                <c:pt idx="1">
                  <c:v>272.57400000000007</c:v>
                </c:pt>
                <c:pt idx="2">
                  <c:v>174.82599999999996</c:v>
                </c:pt>
                <c:pt idx="3">
                  <c:v>227.40100000000001</c:v>
                </c:pt>
                <c:pt idx="4">
                  <c:v>344.48700000000014</c:v>
                </c:pt>
                <c:pt idx="5">
                  <c:v>384.57500000000005</c:v>
                </c:pt>
                <c:pt idx="6">
                  <c:v>390.49700000000013</c:v>
                </c:pt>
                <c:pt idx="7">
                  <c:v>330.89499999999998</c:v>
                </c:pt>
                <c:pt idx="8">
                  <c:v>276.06700000000006</c:v>
                </c:pt>
                <c:pt idx="9">
                  <c:v>393.3060000000001</c:v>
                </c:pt>
                <c:pt idx="10">
                  <c:v>342.2299999999999</c:v>
                </c:pt>
                <c:pt idx="11">
                  <c:v>298.97300000000001</c:v>
                </c:pt>
                <c:pt idx="12">
                  <c:v>342.00200000000007</c:v>
                </c:pt>
                <c:pt idx="13">
                  <c:v>373.89799999999997</c:v>
                </c:pt>
                <c:pt idx="14">
                  <c:v>300.59000000000009</c:v>
                </c:pt>
                <c:pt idx="15">
                  <c:v>301.5329999999999</c:v>
                </c:pt>
                <c:pt idx="16">
                  <c:v>321.24900000000002</c:v>
                </c:pt>
                <c:pt idx="17">
                  <c:v>331.65900000000011</c:v>
                </c:pt>
                <c:pt idx="18">
                  <c:v>265.37400000000002</c:v>
                </c:pt>
                <c:pt idx="19">
                  <c:v>261.27900000000005</c:v>
                </c:pt>
                <c:pt idx="20">
                  <c:v>291.88900000000001</c:v>
                </c:pt>
                <c:pt idx="21">
                  <c:v>264.04699999999997</c:v>
                </c:pt>
                <c:pt idx="22">
                  <c:v>252.15699999999998</c:v>
                </c:pt>
                <c:pt idx="23">
                  <c:v>275.28899999999999</c:v>
                </c:pt>
                <c:pt idx="24">
                  <c:v>286.73000000000013</c:v>
                </c:pt>
                <c:pt idx="25">
                  <c:v>271.71000000000004</c:v>
                </c:pt>
                <c:pt idx="26">
                  <c:v>290.24000000000007</c:v>
                </c:pt>
                <c:pt idx="27">
                  <c:v>281.20400000000012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87-4B69-80AF-73E17FD43CB6}"/>
            </c:ext>
          </c:extLst>
        </c:ser>
        <c:ser>
          <c:idx val="29"/>
          <c:order val="29"/>
          <c:tx>
            <c:strRef>
              <c:f>'Feb 25 Graph'!$AE$3:$AE$4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Graph'!$AE$5:$AE$32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487-4B69-80AF-73E17FD43CB6}"/>
            </c:ext>
          </c:extLst>
        </c:ser>
        <c:ser>
          <c:idx val="30"/>
          <c:order val="30"/>
          <c:tx>
            <c:strRef>
              <c:f>'Feb 25 Graph'!$AF$3:$AF$4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Graph'!$AF$5:$AF$32</c:f>
              <c:numCache>
                <c:formatCode>General</c:formatCode>
                <c:ptCount val="28"/>
                <c:pt idx="0">
                  <c:v>52.747</c:v>
                </c:pt>
                <c:pt idx="1">
                  <c:v>18.719000000000001</c:v>
                </c:pt>
                <c:pt idx="2">
                  <c:v>29.606000000000002</c:v>
                </c:pt>
                <c:pt idx="3">
                  <c:v>38.218000000000004</c:v>
                </c:pt>
                <c:pt idx="4">
                  <c:v>27.617999999999999</c:v>
                </c:pt>
                <c:pt idx="5">
                  <c:v>29.834</c:v>
                </c:pt>
                <c:pt idx="6">
                  <c:v>21.895</c:v>
                </c:pt>
                <c:pt idx="7">
                  <c:v>27.471000000000004</c:v>
                </c:pt>
                <c:pt idx="8">
                  <c:v>53.110999999999997</c:v>
                </c:pt>
                <c:pt idx="9">
                  <c:v>46.616999999999997</c:v>
                </c:pt>
                <c:pt idx="10">
                  <c:v>22.688000000000002</c:v>
                </c:pt>
                <c:pt idx="11">
                  <c:v>67.688000000000002</c:v>
                </c:pt>
                <c:pt idx="12">
                  <c:v>18.898999999999997</c:v>
                </c:pt>
                <c:pt idx="13">
                  <c:v>40.807000000000002</c:v>
                </c:pt>
                <c:pt idx="14">
                  <c:v>46.591999999999999</c:v>
                </c:pt>
                <c:pt idx="15">
                  <c:v>61.414000000000001</c:v>
                </c:pt>
                <c:pt idx="16">
                  <c:v>19.477</c:v>
                </c:pt>
                <c:pt idx="17">
                  <c:v>57.064000000000007</c:v>
                </c:pt>
                <c:pt idx="18">
                  <c:v>42.091000000000008</c:v>
                </c:pt>
                <c:pt idx="19">
                  <c:v>59.442</c:v>
                </c:pt>
                <c:pt idx="20">
                  <c:v>36.565999999999995</c:v>
                </c:pt>
                <c:pt idx="21">
                  <c:v>24.454999999999998</c:v>
                </c:pt>
                <c:pt idx="22">
                  <c:v>55.417000000000002</c:v>
                </c:pt>
                <c:pt idx="23">
                  <c:v>24.125</c:v>
                </c:pt>
                <c:pt idx="24">
                  <c:v>44.457000000000001</c:v>
                </c:pt>
                <c:pt idx="25">
                  <c:v>40.183</c:v>
                </c:pt>
                <c:pt idx="26">
                  <c:v>31.229999999999997</c:v>
                </c:pt>
                <c:pt idx="27">
                  <c:v>61.016000000000005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487-4B69-80AF-73E17FD43CB6}"/>
            </c:ext>
          </c:extLst>
        </c:ser>
        <c:ser>
          <c:idx val="31"/>
          <c:order val="31"/>
          <c:tx>
            <c:strRef>
              <c:f>'Feb 25 Graph'!$AG$3:$AG$4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Graph'!$AG$5:$AG$32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1.2129999999999999</c:v>
                </c:pt>
                <c:pt idx="27">
                  <c:v>15.221000000000002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487-4B69-80AF-73E17FD43CB6}"/>
            </c:ext>
          </c:extLst>
        </c:ser>
        <c:ser>
          <c:idx val="32"/>
          <c:order val="32"/>
          <c:tx>
            <c:strRef>
              <c:f>'Feb 25 Graph'!$AH$3:$AH$4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Graph'!$AH$5:$AH$32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487-4B69-80AF-73E17FD43CB6}"/>
            </c:ext>
          </c:extLst>
        </c:ser>
        <c:ser>
          <c:idx val="33"/>
          <c:order val="33"/>
          <c:tx>
            <c:strRef>
              <c:f>'Feb 25 Graph'!$AI$3:$AI$4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Graph'!$AI$5:$AI$32</c:f>
              <c:numCache>
                <c:formatCode>General</c:formatCode>
                <c:ptCount val="28"/>
                <c:pt idx="0">
                  <c:v>15.530000000000001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7.0990000000000002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487-4B69-80AF-73E17FD43CB6}"/>
            </c:ext>
          </c:extLst>
        </c:ser>
        <c:ser>
          <c:idx val="34"/>
          <c:order val="34"/>
          <c:tx>
            <c:strRef>
              <c:f>'Feb 25 Graph'!$AJ$3:$AJ$4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Graph'!$AJ$5:$AJ$32</c:f>
              <c:numCache>
                <c:formatCode>General</c:formatCode>
                <c:ptCount val="28"/>
                <c:pt idx="0">
                  <c:v>62.358000000000011</c:v>
                </c:pt>
                <c:pt idx="1">
                  <c:v>73.587000000000003</c:v>
                </c:pt>
                <c:pt idx="2">
                  <c:v>92.134999999999991</c:v>
                </c:pt>
                <c:pt idx="3">
                  <c:v>79.279999999999987</c:v>
                </c:pt>
                <c:pt idx="4">
                  <c:v>90.329000000000008</c:v>
                </c:pt>
                <c:pt idx="5">
                  <c:v>97.411000000000001</c:v>
                </c:pt>
                <c:pt idx="6">
                  <c:v>89.900999999999982</c:v>
                </c:pt>
                <c:pt idx="7">
                  <c:v>75.822000000000003</c:v>
                </c:pt>
                <c:pt idx="8">
                  <c:v>81.768000000000001</c:v>
                </c:pt>
                <c:pt idx="9">
                  <c:v>81.746999999999986</c:v>
                </c:pt>
                <c:pt idx="10">
                  <c:v>90.186999999999998</c:v>
                </c:pt>
                <c:pt idx="11">
                  <c:v>65.448000000000008</c:v>
                </c:pt>
                <c:pt idx="12">
                  <c:v>84.069000000000017</c:v>
                </c:pt>
                <c:pt idx="13">
                  <c:v>69.398999999999987</c:v>
                </c:pt>
                <c:pt idx="14">
                  <c:v>93.008999999999986</c:v>
                </c:pt>
                <c:pt idx="15">
                  <c:v>68.376999999999995</c:v>
                </c:pt>
                <c:pt idx="16">
                  <c:v>92.21599999999998</c:v>
                </c:pt>
                <c:pt idx="17">
                  <c:v>67.47999999999999</c:v>
                </c:pt>
                <c:pt idx="18">
                  <c:v>71.667000000000002</c:v>
                </c:pt>
                <c:pt idx="19">
                  <c:v>84.618000000000009</c:v>
                </c:pt>
                <c:pt idx="20">
                  <c:v>63.269999999999989</c:v>
                </c:pt>
                <c:pt idx="21">
                  <c:v>74.323999999999998</c:v>
                </c:pt>
                <c:pt idx="22">
                  <c:v>85.010999999999996</c:v>
                </c:pt>
                <c:pt idx="23">
                  <c:v>72.928000000000011</c:v>
                </c:pt>
                <c:pt idx="24">
                  <c:v>76.745999999999995</c:v>
                </c:pt>
                <c:pt idx="25">
                  <c:v>60.73</c:v>
                </c:pt>
                <c:pt idx="26">
                  <c:v>94.424999999999997</c:v>
                </c:pt>
                <c:pt idx="27">
                  <c:v>96.431999999999988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487-4B69-80AF-73E17FD43CB6}"/>
            </c:ext>
          </c:extLst>
        </c:ser>
        <c:ser>
          <c:idx val="35"/>
          <c:order val="35"/>
          <c:tx>
            <c:strRef>
              <c:f>'Feb 25 Graph'!$AK$3:$AK$4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Graph'!$AK$5:$AK$32</c:f>
              <c:numCache>
                <c:formatCode>General</c:formatCode>
                <c:ptCount val="28"/>
                <c:pt idx="0">
                  <c:v>104.31099999999998</c:v>
                </c:pt>
                <c:pt idx="1">
                  <c:v>110.13</c:v>
                </c:pt>
                <c:pt idx="2">
                  <c:v>122.83900000000001</c:v>
                </c:pt>
                <c:pt idx="3">
                  <c:v>89.278999999999996</c:v>
                </c:pt>
                <c:pt idx="4">
                  <c:v>144.697</c:v>
                </c:pt>
                <c:pt idx="5">
                  <c:v>58.552</c:v>
                </c:pt>
                <c:pt idx="6">
                  <c:v>130.36100000000002</c:v>
                </c:pt>
                <c:pt idx="7">
                  <c:v>98.376000000000005</c:v>
                </c:pt>
                <c:pt idx="8">
                  <c:v>87.310999999999979</c:v>
                </c:pt>
                <c:pt idx="9">
                  <c:v>150.87200000000001</c:v>
                </c:pt>
                <c:pt idx="10">
                  <c:v>115.92300000000002</c:v>
                </c:pt>
                <c:pt idx="11">
                  <c:v>90.126000000000019</c:v>
                </c:pt>
                <c:pt idx="12">
                  <c:v>99.069000000000017</c:v>
                </c:pt>
                <c:pt idx="13">
                  <c:v>126.22</c:v>
                </c:pt>
                <c:pt idx="14">
                  <c:v>39.704999999999998</c:v>
                </c:pt>
                <c:pt idx="15">
                  <c:v>130.09799999999998</c:v>
                </c:pt>
                <c:pt idx="16">
                  <c:v>109.47499999999998</c:v>
                </c:pt>
                <c:pt idx="17">
                  <c:v>110.56299999999999</c:v>
                </c:pt>
                <c:pt idx="18">
                  <c:v>87.397000000000006</c:v>
                </c:pt>
                <c:pt idx="19">
                  <c:v>140.45400000000004</c:v>
                </c:pt>
                <c:pt idx="20">
                  <c:v>104.97300000000001</c:v>
                </c:pt>
                <c:pt idx="21">
                  <c:v>80.835999999999999</c:v>
                </c:pt>
                <c:pt idx="22">
                  <c:v>97.629999999999981</c:v>
                </c:pt>
                <c:pt idx="23">
                  <c:v>113.61500000000001</c:v>
                </c:pt>
                <c:pt idx="24">
                  <c:v>104.39400000000002</c:v>
                </c:pt>
                <c:pt idx="25">
                  <c:v>116.10299999999999</c:v>
                </c:pt>
                <c:pt idx="26">
                  <c:v>86.557999999999993</c:v>
                </c:pt>
                <c:pt idx="27">
                  <c:v>91.461000000000027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487-4B69-80AF-73E17FD43CB6}"/>
            </c:ext>
          </c:extLst>
        </c:ser>
        <c:ser>
          <c:idx val="36"/>
          <c:order val="36"/>
          <c:tx>
            <c:strRef>
              <c:f>'Feb 25 Graph'!$AL$3:$AL$4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Graph'!$AL$5:$AL$32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487-4B69-80AF-73E17FD43CB6}"/>
            </c:ext>
          </c:extLst>
        </c:ser>
        <c:ser>
          <c:idx val="37"/>
          <c:order val="37"/>
          <c:tx>
            <c:strRef>
              <c:f>'Feb 25 Graph'!$AM$3:$AM$4</c:f>
              <c:strCache>
                <c:ptCount val="1"/>
                <c:pt idx="0">
                  <c:v>Dhanbad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Graph'!$AM$5:$AM$32</c:f>
              <c:numCache>
                <c:formatCode>General</c:formatCode>
                <c:ptCount val="28"/>
                <c:pt idx="7">
                  <c:v>13.86</c:v>
                </c:pt>
                <c:pt idx="8">
                  <c:v>19</c:v>
                </c:pt>
                <c:pt idx="9">
                  <c:v>0</c:v>
                </c:pt>
                <c:pt idx="10">
                  <c:v>11.7</c:v>
                </c:pt>
                <c:pt idx="11">
                  <c:v>22.099999999999998</c:v>
                </c:pt>
                <c:pt idx="12">
                  <c:v>1.07</c:v>
                </c:pt>
                <c:pt idx="13">
                  <c:v>0</c:v>
                </c:pt>
                <c:pt idx="14">
                  <c:v>9.16</c:v>
                </c:pt>
                <c:pt idx="15">
                  <c:v>4.82</c:v>
                </c:pt>
                <c:pt idx="16">
                  <c:v>20.09</c:v>
                </c:pt>
                <c:pt idx="17">
                  <c:v>13.55</c:v>
                </c:pt>
                <c:pt idx="18">
                  <c:v>37.89</c:v>
                </c:pt>
                <c:pt idx="19">
                  <c:v>0</c:v>
                </c:pt>
                <c:pt idx="20">
                  <c:v>21.39</c:v>
                </c:pt>
                <c:pt idx="21">
                  <c:v>21.65</c:v>
                </c:pt>
                <c:pt idx="22">
                  <c:v>15.89</c:v>
                </c:pt>
                <c:pt idx="23">
                  <c:v>26.64</c:v>
                </c:pt>
                <c:pt idx="24">
                  <c:v>31.419999999999998</c:v>
                </c:pt>
                <c:pt idx="25">
                  <c:v>28.36</c:v>
                </c:pt>
                <c:pt idx="26">
                  <c:v>26.61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487-4B69-80AF-73E17FD43CB6}"/>
            </c:ext>
          </c:extLst>
        </c:ser>
        <c:ser>
          <c:idx val="38"/>
          <c:order val="38"/>
          <c:tx>
            <c:strRef>
              <c:f>'Feb 25 Graph'!$AN$3:$AN$4</c:f>
              <c:strCache>
                <c:ptCount val="1"/>
                <c:pt idx="0">
                  <c:v>Panikoli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Graph'!$AN$5:$AN$32</c:f>
              <c:numCache>
                <c:formatCode>General</c:formatCode>
                <c:ptCount val="28"/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487-4B69-80AF-73E17FD4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08088"/>
        <c:axId val="545009656"/>
      </c:barChart>
      <c:catAx>
        <c:axId val="54500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9656"/>
        <c:crosses val="autoZero"/>
        <c:auto val="1"/>
        <c:lblAlgn val="ctr"/>
        <c:lblOffset val="100"/>
        <c:noMultiLvlLbl val="0"/>
      </c:catAx>
      <c:valAx>
        <c:axId val="54500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Consumption.xlsx]Feb 25 Graph!PivotTable4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'Feb 25 Graph'!$B$3:$B$4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Graph'!$B$5:$B$32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7-4C47-B0B3-BEC1BC9BC980}"/>
            </c:ext>
          </c:extLst>
        </c:ser>
        <c:ser>
          <c:idx val="1"/>
          <c:order val="1"/>
          <c:tx>
            <c:strRef>
              <c:f>'Feb 25 Graph'!$C$3:$C$4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Graph'!$C$5:$C$32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7-4C47-B0B3-BEC1BC9BC980}"/>
            </c:ext>
          </c:extLst>
        </c:ser>
        <c:ser>
          <c:idx val="2"/>
          <c:order val="2"/>
          <c:tx>
            <c:strRef>
              <c:f>'Feb 25 Graph'!$D$3:$D$4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Graph'!$D$5:$D$32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07-4C47-B0B3-BEC1BC9BC980}"/>
            </c:ext>
          </c:extLst>
        </c:ser>
        <c:ser>
          <c:idx val="3"/>
          <c:order val="3"/>
          <c:tx>
            <c:strRef>
              <c:f>'Feb 25 Graph'!$E$3:$E$4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Graph'!$E$5:$E$32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07-4C47-B0B3-BEC1BC9BC980}"/>
            </c:ext>
          </c:extLst>
        </c:ser>
        <c:ser>
          <c:idx val="4"/>
          <c:order val="4"/>
          <c:tx>
            <c:strRef>
              <c:f>'Feb 25 Graph'!$F$3:$F$4</c:f>
              <c:strCache>
                <c:ptCount val="1"/>
                <c:pt idx="0">
                  <c:v>Allied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Graph'!$F$5:$F$32</c:f>
              <c:numCache>
                <c:formatCode>General</c:formatCode>
                <c:ptCount val="28"/>
                <c:pt idx="0">
                  <c:v>5.57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33.26</c:v>
                </c:pt>
                <c:pt idx="14">
                  <c:v>26.659999999999997</c:v>
                </c:pt>
                <c:pt idx="15">
                  <c:v>0</c:v>
                </c:pt>
                <c:pt idx="16">
                  <c:v>0</c:v>
                </c:pt>
                <c:pt idx="17">
                  <c:v>28.81</c:v>
                </c:pt>
                <c:pt idx="18">
                  <c:v>29.49</c:v>
                </c:pt>
                <c:pt idx="19">
                  <c:v>39.489999999999995</c:v>
                </c:pt>
                <c:pt idx="20">
                  <c:v>18.52</c:v>
                </c:pt>
                <c:pt idx="21">
                  <c:v>0</c:v>
                </c:pt>
                <c:pt idx="22">
                  <c:v>0</c:v>
                </c:pt>
                <c:pt idx="23">
                  <c:v>7.58</c:v>
                </c:pt>
                <c:pt idx="24">
                  <c:v>21.490000000000002</c:v>
                </c:pt>
                <c:pt idx="25">
                  <c:v>0</c:v>
                </c:pt>
                <c:pt idx="26">
                  <c:v>12.66</c:v>
                </c:pt>
                <c:pt idx="27">
                  <c:v>15.149999999999999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07-4C47-B0B3-BEC1BC9BC980}"/>
            </c:ext>
          </c:extLst>
        </c:ser>
        <c:ser>
          <c:idx val="5"/>
          <c:order val="5"/>
          <c:tx>
            <c:strRef>
              <c:f>'Feb 25 Graph'!$G$3:$G$4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Graph'!$G$5:$G$32</c:f>
              <c:numCache>
                <c:formatCode>General</c:formatCode>
                <c:ptCount val="28"/>
                <c:pt idx="0">
                  <c:v>168.32000000000002</c:v>
                </c:pt>
                <c:pt idx="1">
                  <c:v>128.465</c:v>
                </c:pt>
                <c:pt idx="2">
                  <c:v>116.07500000000002</c:v>
                </c:pt>
                <c:pt idx="3">
                  <c:v>48.638999999999982</c:v>
                </c:pt>
                <c:pt idx="4">
                  <c:v>28.983999999999998</c:v>
                </c:pt>
                <c:pt idx="5">
                  <c:v>114.31399999999999</c:v>
                </c:pt>
                <c:pt idx="6">
                  <c:v>83.316000000000003</c:v>
                </c:pt>
                <c:pt idx="7">
                  <c:v>67.100000000000023</c:v>
                </c:pt>
                <c:pt idx="8">
                  <c:v>59.79</c:v>
                </c:pt>
                <c:pt idx="9">
                  <c:v>42.876999999999995</c:v>
                </c:pt>
                <c:pt idx="10">
                  <c:v>54.466999999999999</c:v>
                </c:pt>
                <c:pt idx="11">
                  <c:v>37.10199999999999</c:v>
                </c:pt>
                <c:pt idx="12">
                  <c:v>47.495999999999995</c:v>
                </c:pt>
                <c:pt idx="13">
                  <c:v>31.416999999999998</c:v>
                </c:pt>
                <c:pt idx="14">
                  <c:v>28.887</c:v>
                </c:pt>
                <c:pt idx="15">
                  <c:v>28.54600000000001</c:v>
                </c:pt>
                <c:pt idx="16">
                  <c:v>14.923999999999998</c:v>
                </c:pt>
                <c:pt idx="17">
                  <c:v>21.765000000000001</c:v>
                </c:pt>
                <c:pt idx="18">
                  <c:v>23.102999999999998</c:v>
                </c:pt>
                <c:pt idx="19">
                  <c:v>5.58</c:v>
                </c:pt>
                <c:pt idx="20">
                  <c:v>11.483000000000001</c:v>
                </c:pt>
                <c:pt idx="21">
                  <c:v>11</c:v>
                </c:pt>
                <c:pt idx="22">
                  <c:v>3.4950000000000001</c:v>
                </c:pt>
                <c:pt idx="23">
                  <c:v>13.821</c:v>
                </c:pt>
                <c:pt idx="24">
                  <c:v>6.5950000000000006</c:v>
                </c:pt>
                <c:pt idx="25">
                  <c:v>2.7450000000000001</c:v>
                </c:pt>
                <c:pt idx="26">
                  <c:v>2.7850000000000001</c:v>
                </c:pt>
                <c:pt idx="27">
                  <c:v>21.146000000000004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07-4C47-B0B3-BEC1BC9BC980}"/>
            </c:ext>
          </c:extLst>
        </c:ser>
        <c:ser>
          <c:idx val="6"/>
          <c:order val="6"/>
          <c:tx>
            <c:strRef>
              <c:f>'Feb 25 Graph'!$H$3:$H$4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Graph'!$H$5:$H$32</c:f>
              <c:numCache>
                <c:formatCode>General</c:formatCode>
                <c:ptCount val="28"/>
                <c:pt idx="0">
                  <c:v>527.41899999999998</c:v>
                </c:pt>
                <c:pt idx="1">
                  <c:v>559.88800000000003</c:v>
                </c:pt>
                <c:pt idx="2">
                  <c:v>551.86099999999999</c:v>
                </c:pt>
                <c:pt idx="3">
                  <c:v>571.49799999999993</c:v>
                </c:pt>
                <c:pt idx="4">
                  <c:v>605.03699999999992</c:v>
                </c:pt>
                <c:pt idx="5">
                  <c:v>576.65300000000002</c:v>
                </c:pt>
                <c:pt idx="6">
                  <c:v>557.27999999999986</c:v>
                </c:pt>
                <c:pt idx="7">
                  <c:v>530.89699999999993</c:v>
                </c:pt>
                <c:pt idx="8">
                  <c:v>512.31699999999989</c:v>
                </c:pt>
                <c:pt idx="9">
                  <c:v>420.38400000000001</c:v>
                </c:pt>
                <c:pt idx="10">
                  <c:v>432.98299999999995</c:v>
                </c:pt>
                <c:pt idx="11">
                  <c:v>504.19400000000002</c:v>
                </c:pt>
                <c:pt idx="12">
                  <c:v>517.81200000000001</c:v>
                </c:pt>
                <c:pt idx="13">
                  <c:v>444.22200000000004</c:v>
                </c:pt>
                <c:pt idx="14">
                  <c:v>490.91700000000009</c:v>
                </c:pt>
                <c:pt idx="15">
                  <c:v>566.62300000000005</c:v>
                </c:pt>
                <c:pt idx="16">
                  <c:v>568.327</c:v>
                </c:pt>
                <c:pt idx="17">
                  <c:v>547.52800000000013</c:v>
                </c:pt>
                <c:pt idx="18">
                  <c:v>450.00200000000001</c:v>
                </c:pt>
                <c:pt idx="19">
                  <c:v>533.46199999999999</c:v>
                </c:pt>
                <c:pt idx="20">
                  <c:v>460.71599999999995</c:v>
                </c:pt>
                <c:pt idx="21">
                  <c:v>480.17700000000002</c:v>
                </c:pt>
                <c:pt idx="22">
                  <c:v>431.17200000000008</c:v>
                </c:pt>
                <c:pt idx="23">
                  <c:v>516.36900000000003</c:v>
                </c:pt>
                <c:pt idx="24">
                  <c:v>550.75599999999997</c:v>
                </c:pt>
                <c:pt idx="25">
                  <c:v>495.55500000000012</c:v>
                </c:pt>
                <c:pt idx="26">
                  <c:v>437.411</c:v>
                </c:pt>
                <c:pt idx="27">
                  <c:v>486.52300000000002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07-4C47-B0B3-BEC1BC9BC980}"/>
            </c:ext>
          </c:extLst>
        </c:ser>
        <c:ser>
          <c:idx val="7"/>
          <c:order val="7"/>
          <c:tx>
            <c:strRef>
              <c:f>'Feb 25 Graph'!$I$3:$I$4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Graph'!$I$5:$I$32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07-4C47-B0B3-BEC1BC9BC980}"/>
            </c:ext>
          </c:extLst>
        </c:ser>
        <c:ser>
          <c:idx val="8"/>
          <c:order val="8"/>
          <c:tx>
            <c:strRef>
              <c:f>'Feb 25 Graph'!$J$3:$J$4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Graph'!$J$5:$J$32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5.22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3.6399999999999997</c:v>
                </c:pt>
                <c:pt idx="17">
                  <c:v>0</c:v>
                </c:pt>
                <c:pt idx="18">
                  <c:v>0</c:v>
                </c:pt>
                <c:pt idx="19">
                  <c:v>2.2600000000000002</c:v>
                </c:pt>
                <c:pt idx="20">
                  <c:v>0</c:v>
                </c:pt>
                <c:pt idx="21">
                  <c:v>0</c:v>
                </c:pt>
                <c:pt idx="22">
                  <c:v>11.231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07-4C47-B0B3-BEC1BC9BC980}"/>
            </c:ext>
          </c:extLst>
        </c:ser>
        <c:ser>
          <c:idx val="9"/>
          <c:order val="9"/>
          <c:tx>
            <c:strRef>
              <c:f>'Feb 25 Graph'!$K$3:$K$4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Graph'!$K$5:$K$32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07-4C47-B0B3-BEC1BC9BC980}"/>
            </c:ext>
          </c:extLst>
        </c:ser>
        <c:ser>
          <c:idx val="10"/>
          <c:order val="10"/>
          <c:tx>
            <c:strRef>
              <c:f>'Feb 25 Graph'!$L$3:$L$4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Graph'!$L$5:$L$32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07-4C47-B0B3-BEC1BC9BC980}"/>
            </c:ext>
          </c:extLst>
        </c:ser>
        <c:ser>
          <c:idx val="11"/>
          <c:order val="11"/>
          <c:tx>
            <c:strRef>
              <c:f>'Feb 25 Graph'!$M$3:$M$4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Graph'!$M$5:$M$32</c:f>
              <c:numCache>
                <c:formatCode>General</c:formatCode>
                <c:ptCount val="28"/>
                <c:pt idx="0">
                  <c:v>1327.5940000000001</c:v>
                </c:pt>
                <c:pt idx="1">
                  <c:v>1158.2980000000002</c:v>
                </c:pt>
                <c:pt idx="2">
                  <c:v>1190.239</c:v>
                </c:pt>
                <c:pt idx="3">
                  <c:v>1176.4299999999998</c:v>
                </c:pt>
                <c:pt idx="4">
                  <c:v>1002.5479999999998</c:v>
                </c:pt>
                <c:pt idx="5">
                  <c:v>1063.9960000000001</c:v>
                </c:pt>
                <c:pt idx="6">
                  <c:v>1399.7920000000001</c:v>
                </c:pt>
                <c:pt idx="7">
                  <c:v>1356.6670000000001</c:v>
                </c:pt>
                <c:pt idx="8">
                  <c:v>1293.0569999999998</c:v>
                </c:pt>
                <c:pt idx="9">
                  <c:v>1315.8930000000003</c:v>
                </c:pt>
                <c:pt idx="10">
                  <c:v>1335.2760000000001</c:v>
                </c:pt>
                <c:pt idx="11">
                  <c:v>1238.9029999999998</c:v>
                </c:pt>
                <c:pt idx="12">
                  <c:v>1416.3889999999997</c:v>
                </c:pt>
                <c:pt idx="13">
                  <c:v>1506.7750000000001</c:v>
                </c:pt>
                <c:pt idx="14">
                  <c:v>1265.914</c:v>
                </c:pt>
                <c:pt idx="15">
                  <c:v>1358.8089999999997</c:v>
                </c:pt>
                <c:pt idx="16">
                  <c:v>1355.38</c:v>
                </c:pt>
                <c:pt idx="17">
                  <c:v>1441.4169999999999</c:v>
                </c:pt>
                <c:pt idx="18">
                  <c:v>1628.875</c:v>
                </c:pt>
                <c:pt idx="19">
                  <c:v>1537.5540000000001</c:v>
                </c:pt>
                <c:pt idx="20">
                  <c:v>1579.3310000000001</c:v>
                </c:pt>
                <c:pt idx="21">
                  <c:v>1509.3039999999999</c:v>
                </c:pt>
                <c:pt idx="22">
                  <c:v>1315.3420000000003</c:v>
                </c:pt>
                <c:pt idx="23">
                  <c:v>1461.2029999999997</c:v>
                </c:pt>
                <c:pt idx="24">
                  <c:v>1561.3110000000001</c:v>
                </c:pt>
                <c:pt idx="25">
                  <c:v>1402.7279999999998</c:v>
                </c:pt>
                <c:pt idx="26">
                  <c:v>1543.508</c:v>
                </c:pt>
                <c:pt idx="27">
                  <c:v>1574.538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07-4C47-B0B3-BEC1BC9BC980}"/>
            </c:ext>
          </c:extLst>
        </c:ser>
        <c:ser>
          <c:idx val="12"/>
          <c:order val="12"/>
          <c:tx>
            <c:strRef>
              <c:f>'Feb 25 Graph'!$N$3:$N$4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Graph'!$N$5:$N$32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8.7889999999999997</c:v>
                </c:pt>
                <c:pt idx="4">
                  <c:v>19.939999999999998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0.95099999999999996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7.4489999999999998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07-4C47-B0B3-BEC1BC9BC980}"/>
            </c:ext>
          </c:extLst>
        </c:ser>
        <c:ser>
          <c:idx val="13"/>
          <c:order val="13"/>
          <c:tx>
            <c:strRef>
              <c:f>'Feb 25 Graph'!$O$3:$O$4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Graph'!$O$5:$O$32</c:f>
              <c:numCache>
                <c:formatCode>General</c:formatCode>
                <c:ptCount val="28"/>
                <c:pt idx="0">
                  <c:v>0</c:v>
                </c:pt>
                <c:pt idx="1">
                  <c:v>37.93</c:v>
                </c:pt>
                <c:pt idx="2">
                  <c:v>0</c:v>
                </c:pt>
                <c:pt idx="3">
                  <c:v>0</c:v>
                </c:pt>
                <c:pt idx="4">
                  <c:v>32.966000000000001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32.624000000000002</c:v>
                </c:pt>
                <c:pt idx="9">
                  <c:v>0</c:v>
                </c:pt>
                <c:pt idx="10">
                  <c:v>0</c:v>
                </c:pt>
                <c:pt idx="11">
                  <c:v>32.325000000000003</c:v>
                </c:pt>
                <c:pt idx="12">
                  <c:v>0</c:v>
                </c:pt>
                <c:pt idx="13">
                  <c:v>4.5609999999999999</c:v>
                </c:pt>
                <c:pt idx="14">
                  <c:v>36.093000000000004</c:v>
                </c:pt>
                <c:pt idx="15">
                  <c:v>0</c:v>
                </c:pt>
                <c:pt idx="16">
                  <c:v>31.547000000000001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34.941000000000003</c:v>
                </c:pt>
                <c:pt idx="21">
                  <c:v>39.71</c:v>
                </c:pt>
                <c:pt idx="22">
                  <c:v>0</c:v>
                </c:pt>
                <c:pt idx="23">
                  <c:v>64.295000000000002</c:v>
                </c:pt>
                <c:pt idx="24">
                  <c:v>13.525</c:v>
                </c:pt>
                <c:pt idx="25">
                  <c:v>36.014000000000003</c:v>
                </c:pt>
                <c:pt idx="26">
                  <c:v>11.929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07-4C47-B0B3-BEC1BC9BC980}"/>
            </c:ext>
          </c:extLst>
        </c:ser>
        <c:ser>
          <c:idx val="14"/>
          <c:order val="14"/>
          <c:tx>
            <c:strRef>
              <c:f>'Feb 25 Graph'!$P$3:$P$4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Graph'!$P$5:$P$32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2.7519999999999998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07-4C47-B0B3-BEC1BC9BC980}"/>
            </c:ext>
          </c:extLst>
        </c:ser>
        <c:ser>
          <c:idx val="15"/>
          <c:order val="15"/>
          <c:tx>
            <c:strRef>
              <c:f>'Feb 25 Graph'!$Q$3:$Q$4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Graph'!$Q$5:$Q$32</c:f>
              <c:numCache>
                <c:formatCode>General</c:formatCode>
                <c:ptCount val="28"/>
                <c:pt idx="0">
                  <c:v>36.368000000000002</c:v>
                </c:pt>
                <c:pt idx="1">
                  <c:v>65.033999999999992</c:v>
                </c:pt>
                <c:pt idx="2">
                  <c:v>37.078000000000003</c:v>
                </c:pt>
                <c:pt idx="3">
                  <c:v>44.030999999999999</c:v>
                </c:pt>
                <c:pt idx="4">
                  <c:v>33.396999999999998</c:v>
                </c:pt>
                <c:pt idx="5">
                  <c:v>45.178000000000004</c:v>
                </c:pt>
                <c:pt idx="6">
                  <c:v>25.411999999999995</c:v>
                </c:pt>
                <c:pt idx="7">
                  <c:v>49.771999999999998</c:v>
                </c:pt>
                <c:pt idx="8">
                  <c:v>47.957999999999991</c:v>
                </c:pt>
                <c:pt idx="9">
                  <c:v>52.617000000000004</c:v>
                </c:pt>
                <c:pt idx="10">
                  <c:v>58.158999999999992</c:v>
                </c:pt>
                <c:pt idx="11">
                  <c:v>63.37299999999999</c:v>
                </c:pt>
                <c:pt idx="12">
                  <c:v>31.458000000000002</c:v>
                </c:pt>
                <c:pt idx="13">
                  <c:v>29.788999999999998</c:v>
                </c:pt>
                <c:pt idx="14">
                  <c:v>28.542000000000002</c:v>
                </c:pt>
                <c:pt idx="15">
                  <c:v>56.687000000000005</c:v>
                </c:pt>
                <c:pt idx="16">
                  <c:v>36.408000000000001</c:v>
                </c:pt>
                <c:pt idx="17">
                  <c:v>38.707000000000001</c:v>
                </c:pt>
                <c:pt idx="18">
                  <c:v>41.261999999999993</c:v>
                </c:pt>
                <c:pt idx="19">
                  <c:v>49.234999999999999</c:v>
                </c:pt>
                <c:pt idx="20">
                  <c:v>31.479999999999997</c:v>
                </c:pt>
                <c:pt idx="21">
                  <c:v>59.817000000000007</c:v>
                </c:pt>
                <c:pt idx="22">
                  <c:v>32.569000000000003</c:v>
                </c:pt>
                <c:pt idx="23">
                  <c:v>36.483000000000004</c:v>
                </c:pt>
                <c:pt idx="24">
                  <c:v>40.796999999999997</c:v>
                </c:pt>
                <c:pt idx="25">
                  <c:v>23.379000000000001</c:v>
                </c:pt>
                <c:pt idx="26">
                  <c:v>28.223000000000006</c:v>
                </c:pt>
                <c:pt idx="27">
                  <c:v>66.538999999999987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07-4C47-B0B3-BEC1BC9BC980}"/>
            </c:ext>
          </c:extLst>
        </c:ser>
        <c:ser>
          <c:idx val="16"/>
          <c:order val="16"/>
          <c:tx>
            <c:strRef>
              <c:f>'Feb 25 Graph'!$R$3:$R$4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Graph'!$R$5:$R$32</c:f>
              <c:numCache>
                <c:formatCode>General</c:formatCode>
                <c:ptCount val="28"/>
                <c:pt idx="0">
                  <c:v>4005.5779999999995</c:v>
                </c:pt>
                <c:pt idx="1">
                  <c:v>3201.9649999999997</c:v>
                </c:pt>
                <c:pt idx="2">
                  <c:v>3745.3059999999996</c:v>
                </c:pt>
                <c:pt idx="3">
                  <c:v>4391.9089999999987</c:v>
                </c:pt>
                <c:pt idx="4">
                  <c:v>4735.1330000000016</c:v>
                </c:pt>
                <c:pt idx="5">
                  <c:v>4159.1190000000006</c:v>
                </c:pt>
                <c:pt idx="6">
                  <c:v>4384.8170000000018</c:v>
                </c:pt>
                <c:pt idx="7">
                  <c:v>3676.56</c:v>
                </c:pt>
                <c:pt idx="8">
                  <c:v>3155.3189999999995</c:v>
                </c:pt>
                <c:pt idx="9">
                  <c:v>3671.4489999999987</c:v>
                </c:pt>
                <c:pt idx="10">
                  <c:v>4379.2570000000014</c:v>
                </c:pt>
                <c:pt idx="11">
                  <c:v>4645.5980000000009</c:v>
                </c:pt>
                <c:pt idx="12">
                  <c:v>4240.3450000000003</c:v>
                </c:pt>
                <c:pt idx="13">
                  <c:v>4142.6509999999998</c:v>
                </c:pt>
                <c:pt idx="14">
                  <c:v>3708.4459999999999</c:v>
                </c:pt>
                <c:pt idx="15">
                  <c:v>3550.1840000000011</c:v>
                </c:pt>
                <c:pt idx="16">
                  <c:v>3651.6149999999998</c:v>
                </c:pt>
                <c:pt idx="17">
                  <c:v>4070.8179999999988</c:v>
                </c:pt>
                <c:pt idx="18">
                  <c:v>4091.9799999999996</c:v>
                </c:pt>
                <c:pt idx="19">
                  <c:v>4268.6720000000014</c:v>
                </c:pt>
                <c:pt idx="20">
                  <c:v>4062.963999999999</c:v>
                </c:pt>
                <c:pt idx="21">
                  <c:v>3680.4820000000004</c:v>
                </c:pt>
                <c:pt idx="22">
                  <c:v>3004.7630000000004</c:v>
                </c:pt>
                <c:pt idx="23">
                  <c:v>3728.9539999999984</c:v>
                </c:pt>
                <c:pt idx="24">
                  <c:v>4364.2539999999999</c:v>
                </c:pt>
                <c:pt idx="25">
                  <c:v>4025.9449999999997</c:v>
                </c:pt>
                <c:pt idx="26">
                  <c:v>3541.8179999999993</c:v>
                </c:pt>
                <c:pt idx="27">
                  <c:v>4075.6860000000006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07-4C47-B0B3-BEC1BC9BC980}"/>
            </c:ext>
          </c:extLst>
        </c:ser>
        <c:ser>
          <c:idx val="17"/>
          <c:order val="17"/>
          <c:tx>
            <c:strRef>
              <c:f>'Feb 25 Graph'!$S$3:$S$4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Graph'!$S$5:$S$32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4.7300000000000004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C07-4C47-B0B3-BEC1BC9BC980}"/>
            </c:ext>
          </c:extLst>
        </c:ser>
        <c:ser>
          <c:idx val="18"/>
          <c:order val="18"/>
          <c:tx>
            <c:strRef>
              <c:f>'Feb 25 Graph'!$T$3:$T$4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Graph'!$T$5:$T$32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2.48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C07-4C47-B0B3-BEC1BC9BC980}"/>
            </c:ext>
          </c:extLst>
        </c:ser>
        <c:ser>
          <c:idx val="19"/>
          <c:order val="19"/>
          <c:tx>
            <c:strRef>
              <c:f>'Feb 25 Graph'!$U$3:$U$4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Graph'!$U$5:$U$32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C07-4C47-B0B3-BEC1BC9BC980}"/>
            </c:ext>
          </c:extLst>
        </c:ser>
        <c:ser>
          <c:idx val="20"/>
          <c:order val="20"/>
          <c:tx>
            <c:strRef>
              <c:f>'Feb 25 Graph'!$V$3:$V$4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Graph'!$V$5:$V$32</c:f>
              <c:numCache>
                <c:formatCode>General</c:formatCode>
                <c:ptCount val="28"/>
                <c:pt idx="0">
                  <c:v>449.59699999999998</c:v>
                </c:pt>
                <c:pt idx="1">
                  <c:v>463.11999999999983</c:v>
                </c:pt>
                <c:pt idx="2">
                  <c:v>323.30700000000007</c:v>
                </c:pt>
                <c:pt idx="3">
                  <c:v>113.32299999999999</c:v>
                </c:pt>
                <c:pt idx="4">
                  <c:v>391.25700000000006</c:v>
                </c:pt>
                <c:pt idx="5">
                  <c:v>366.54699999999997</c:v>
                </c:pt>
                <c:pt idx="6">
                  <c:v>317.54299999999995</c:v>
                </c:pt>
                <c:pt idx="7">
                  <c:v>471.71900000000005</c:v>
                </c:pt>
                <c:pt idx="8">
                  <c:v>513.928</c:v>
                </c:pt>
                <c:pt idx="9">
                  <c:v>310.23099999999988</c:v>
                </c:pt>
                <c:pt idx="10">
                  <c:v>140.14100000000002</c:v>
                </c:pt>
                <c:pt idx="11">
                  <c:v>379.91099999999994</c:v>
                </c:pt>
                <c:pt idx="12">
                  <c:v>374.84699999999998</c:v>
                </c:pt>
                <c:pt idx="13">
                  <c:v>269.815</c:v>
                </c:pt>
                <c:pt idx="14">
                  <c:v>417.51100000000014</c:v>
                </c:pt>
                <c:pt idx="15">
                  <c:v>369.51400000000007</c:v>
                </c:pt>
                <c:pt idx="16">
                  <c:v>341.84300000000002</c:v>
                </c:pt>
                <c:pt idx="17">
                  <c:v>121.464</c:v>
                </c:pt>
                <c:pt idx="18">
                  <c:v>371.89900000000011</c:v>
                </c:pt>
                <c:pt idx="19">
                  <c:v>365.33800000000014</c:v>
                </c:pt>
                <c:pt idx="20">
                  <c:v>361.18399999999991</c:v>
                </c:pt>
                <c:pt idx="21">
                  <c:v>398.20799999999991</c:v>
                </c:pt>
                <c:pt idx="22">
                  <c:v>398.69800000000004</c:v>
                </c:pt>
                <c:pt idx="23">
                  <c:v>333.14699999999999</c:v>
                </c:pt>
                <c:pt idx="24">
                  <c:v>135.65799999999996</c:v>
                </c:pt>
                <c:pt idx="25">
                  <c:v>304.23099999999999</c:v>
                </c:pt>
                <c:pt idx="26">
                  <c:v>291.42500000000018</c:v>
                </c:pt>
                <c:pt idx="27">
                  <c:v>147.334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C07-4C47-B0B3-BEC1BC9BC980}"/>
            </c:ext>
          </c:extLst>
        </c:ser>
        <c:ser>
          <c:idx val="21"/>
          <c:order val="21"/>
          <c:tx>
            <c:strRef>
              <c:f>'Feb 25 Graph'!$W$3:$W$4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Graph'!$W$5:$W$32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C07-4C47-B0B3-BEC1BC9BC980}"/>
            </c:ext>
          </c:extLst>
        </c:ser>
        <c:ser>
          <c:idx val="22"/>
          <c:order val="22"/>
          <c:tx>
            <c:strRef>
              <c:f>'Feb 25 Graph'!$X$3:$X$4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Graph'!$X$5:$X$32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C07-4C47-B0B3-BEC1BC9BC980}"/>
            </c:ext>
          </c:extLst>
        </c:ser>
        <c:ser>
          <c:idx val="23"/>
          <c:order val="23"/>
          <c:tx>
            <c:strRef>
              <c:f>'Feb 25 Graph'!$Y$3:$Y$4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Graph'!$Y$5:$Y$32</c:f>
              <c:numCache>
                <c:formatCode>General</c:formatCode>
                <c:ptCount val="28"/>
                <c:pt idx="0">
                  <c:v>53.897999999999996</c:v>
                </c:pt>
                <c:pt idx="1">
                  <c:v>76.353000000000009</c:v>
                </c:pt>
                <c:pt idx="2">
                  <c:v>77.397999999999996</c:v>
                </c:pt>
                <c:pt idx="3">
                  <c:v>61.257000000000005</c:v>
                </c:pt>
                <c:pt idx="4">
                  <c:v>40.391999999999996</c:v>
                </c:pt>
                <c:pt idx="5">
                  <c:v>142.625</c:v>
                </c:pt>
                <c:pt idx="6">
                  <c:v>87.301999999999992</c:v>
                </c:pt>
                <c:pt idx="7">
                  <c:v>77.908999999999992</c:v>
                </c:pt>
                <c:pt idx="8">
                  <c:v>78.694000000000003</c:v>
                </c:pt>
                <c:pt idx="9">
                  <c:v>61.125999999999991</c:v>
                </c:pt>
                <c:pt idx="10">
                  <c:v>81.634000000000015</c:v>
                </c:pt>
                <c:pt idx="11">
                  <c:v>42.147000000000006</c:v>
                </c:pt>
                <c:pt idx="12">
                  <c:v>36.923999999999999</c:v>
                </c:pt>
                <c:pt idx="13">
                  <c:v>43.557000000000002</c:v>
                </c:pt>
                <c:pt idx="14">
                  <c:v>6.843</c:v>
                </c:pt>
                <c:pt idx="15">
                  <c:v>13.234999999999999</c:v>
                </c:pt>
                <c:pt idx="16">
                  <c:v>26.645</c:v>
                </c:pt>
                <c:pt idx="17">
                  <c:v>33.518999999999998</c:v>
                </c:pt>
                <c:pt idx="18">
                  <c:v>15.092000000000001</c:v>
                </c:pt>
                <c:pt idx="19">
                  <c:v>20.634</c:v>
                </c:pt>
                <c:pt idx="20">
                  <c:v>32.216000000000001</c:v>
                </c:pt>
                <c:pt idx="21">
                  <c:v>18.638999999999999</c:v>
                </c:pt>
                <c:pt idx="22">
                  <c:v>6.5590000000000002</c:v>
                </c:pt>
                <c:pt idx="23">
                  <c:v>14.164000000000001</c:v>
                </c:pt>
                <c:pt idx="24">
                  <c:v>29.138000000000002</c:v>
                </c:pt>
                <c:pt idx="25">
                  <c:v>8.827</c:v>
                </c:pt>
                <c:pt idx="26">
                  <c:v>15.364000000000001</c:v>
                </c:pt>
                <c:pt idx="27">
                  <c:v>174.98699999999999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C07-4C47-B0B3-BEC1BC9BC980}"/>
            </c:ext>
          </c:extLst>
        </c:ser>
        <c:ser>
          <c:idx val="24"/>
          <c:order val="24"/>
          <c:tx>
            <c:strRef>
              <c:f>'Feb 25 Graph'!$Z$3:$Z$4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Graph'!$Z$5:$Z$32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18.792999999999999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2.04</c:v>
                </c:pt>
                <c:pt idx="11">
                  <c:v>0</c:v>
                </c:pt>
                <c:pt idx="12">
                  <c:v>0</c:v>
                </c:pt>
                <c:pt idx="13">
                  <c:v>7.7320000000000002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39.984000000000002</c:v>
                </c:pt>
                <c:pt idx="25">
                  <c:v>20.050999999999998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C07-4C47-B0B3-BEC1BC9BC980}"/>
            </c:ext>
          </c:extLst>
        </c:ser>
        <c:ser>
          <c:idx val="25"/>
          <c:order val="25"/>
          <c:tx>
            <c:strRef>
              <c:f>'Feb 25 Graph'!$AA$3:$AA$4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Graph'!$AA$5:$AA$32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5.6999999999999995E-2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C07-4C47-B0B3-BEC1BC9BC980}"/>
            </c:ext>
          </c:extLst>
        </c:ser>
        <c:ser>
          <c:idx val="26"/>
          <c:order val="26"/>
          <c:tx>
            <c:strRef>
              <c:f>'Feb 25 Graph'!$AB$3:$AB$4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Graph'!$AB$5:$AB$32</c:f>
              <c:numCache>
                <c:formatCode>General</c:formatCode>
                <c:ptCount val="28"/>
                <c:pt idx="0">
                  <c:v>0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C07-4C47-B0B3-BEC1BC9BC980}"/>
            </c:ext>
          </c:extLst>
        </c:ser>
        <c:ser>
          <c:idx val="27"/>
          <c:order val="27"/>
          <c:tx>
            <c:strRef>
              <c:f>'Feb 25 Graph'!$AC$3:$AC$4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Graph'!$AC$5:$AC$32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C07-4C47-B0B3-BEC1BC9BC980}"/>
            </c:ext>
          </c:extLst>
        </c:ser>
        <c:ser>
          <c:idx val="28"/>
          <c:order val="28"/>
          <c:tx>
            <c:strRef>
              <c:f>'Feb 25 Graph'!$AD$3:$AD$4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Graph'!$AD$5:$AD$32</c:f>
              <c:numCache>
                <c:formatCode>General</c:formatCode>
                <c:ptCount val="28"/>
                <c:pt idx="0">
                  <c:v>356.56199999999995</c:v>
                </c:pt>
                <c:pt idx="1">
                  <c:v>272.57400000000007</c:v>
                </c:pt>
                <c:pt idx="2">
                  <c:v>174.82599999999996</c:v>
                </c:pt>
                <c:pt idx="3">
                  <c:v>227.40100000000001</c:v>
                </c:pt>
                <c:pt idx="4">
                  <c:v>344.48700000000014</c:v>
                </c:pt>
                <c:pt idx="5">
                  <c:v>384.57500000000005</c:v>
                </c:pt>
                <c:pt idx="6">
                  <c:v>390.49700000000013</c:v>
                </c:pt>
                <c:pt idx="7">
                  <c:v>330.89499999999998</c:v>
                </c:pt>
                <c:pt idx="8">
                  <c:v>276.06700000000006</c:v>
                </c:pt>
                <c:pt idx="9">
                  <c:v>393.3060000000001</c:v>
                </c:pt>
                <c:pt idx="10">
                  <c:v>342.2299999999999</c:v>
                </c:pt>
                <c:pt idx="11">
                  <c:v>298.97300000000001</c:v>
                </c:pt>
                <c:pt idx="12">
                  <c:v>342.00200000000007</c:v>
                </c:pt>
                <c:pt idx="13">
                  <c:v>373.89799999999997</c:v>
                </c:pt>
                <c:pt idx="14">
                  <c:v>300.59000000000009</c:v>
                </c:pt>
                <c:pt idx="15">
                  <c:v>301.5329999999999</c:v>
                </c:pt>
                <c:pt idx="16">
                  <c:v>321.24900000000002</c:v>
                </c:pt>
                <c:pt idx="17">
                  <c:v>331.65900000000011</c:v>
                </c:pt>
                <c:pt idx="18">
                  <c:v>265.37400000000002</c:v>
                </c:pt>
                <c:pt idx="19">
                  <c:v>261.27900000000005</c:v>
                </c:pt>
                <c:pt idx="20">
                  <c:v>291.88900000000001</c:v>
                </c:pt>
                <c:pt idx="21">
                  <c:v>264.04699999999997</c:v>
                </c:pt>
                <c:pt idx="22">
                  <c:v>252.15699999999998</c:v>
                </c:pt>
                <c:pt idx="23">
                  <c:v>275.28899999999999</c:v>
                </c:pt>
                <c:pt idx="24">
                  <c:v>286.73000000000013</c:v>
                </c:pt>
                <c:pt idx="25">
                  <c:v>271.71000000000004</c:v>
                </c:pt>
                <c:pt idx="26">
                  <c:v>290.24000000000007</c:v>
                </c:pt>
                <c:pt idx="27">
                  <c:v>281.20400000000012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C07-4C47-B0B3-BEC1BC9BC980}"/>
            </c:ext>
          </c:extLst>
        </c:ser>
        <c:ser>
          <c:idx val="29"/>
          <c:order val="29"/>
          <c:tx>
            <c:strRef>
              <c:f>'Feb 25 Graph'!$AE$3:$AE$4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Graph'!$AE$5:$AE$32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C07-4C47-B0B3-BEC1BC9BC980}"/>
            </c:ext>
          </c:extLst>
        </c:ser>
        <c:ser>
          <c:idx val="30"/>
          <c:order val="30"/>
          <c:tx>
            <c:strRef>
              <c:f>'Feb 25 Graph'!$AF$3:$AF$4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Graph'!$AF$5:$AF$32</c:f>
              <c:numCache>
                <c:formatCode>General</c:formatCode>
                <c:ptCount val="28"/>
                <c:pt idx="0">
                  <c:v>52.747</c:v>
                </c:pt>
                <c:pt idx="1">
                  <c:v>18.719000000000001</c:v>
                </c:pt>
                <c:pt idx="2">
                  <c:v>29.606000000000002</c:v>
                </c:pt>
                <c:pt idx="3">
                  <c:v>38.218000000000004</c:v>
                </c:pt>
                <c:pt idx="4">
                  <c:v>27.617999999999999</c:v>
                </c:pt>
                <c:pt idx="5">
                  <c:v>29.834</c:v>
                </c:pt>
                <c:pt idx="6">
                  <c:v>21.895</c:v>
                </c:pt>
                <c:pt idx="7">
                  <c:v>27.471000000000004</c:v>
                </c:pt>
                <c:pt idx="8">
                  <c:v>53.110999999999997</c:v>
                </c:pt>
                <c:pt idx="9">
                  <c:v>46.616999999999997</c:v>
                </c:pt>
                <c:pt idx="10">
                  <c:v>22.688000000000002</c:v>
                </c:pt>
                <c:pt idx="11">
                  <c:v>67.688000000000002</c:v>
                </c:pt>
                <c:pt idx="12">
                  <c:v>18.898999999999997</c:v>
                </c:pt>
                <c:pt idx="13">
                  <c:v>40.807000000000002</c:v>
                </c:pt>
                <c:pt idx="14">
                  <c:v>46.591999999999999</c:v>
                </c:pt>
                <c:pt idx="15">
                  <c:v>61.414000000000001</c:v>
                </c:pt>
                <c:pt idx="16">
                  <c:v>19.477</c:v>
                </c:pt>
                <c:pt idx="17">
                  <c:v>57.064000000000007</c:v>
                </c:pt>
                <c:pt idx="18">
                  <c:v>42.091000000000008</c:v>
                </c:pt>
                <c:pt idx="19">
                  <c:v>59.442</c:v>
                </c:pt>
                <c:pt idx="20">
                  <c:v>36.565999999999995</c:v>
                </c:pt>
                <c:pt idx="21">
                  <c:v>24.454999999999998</c:v>
                </c:pt>
                <c:pt idx="22">
                  <c:v>55.417000000000002</c:v>
                </c:pt>
                <c:pt idx="23">
                  <c:v>24.125</c:v>
                </c:pt>
                <c:pt idx="24">
                  <c:v>44.457000000000001</c:v>
                </c:pt>
                <c:pt idx="25">
                  <c:v>40.183</c:v>
                </c:pt>
                <c:pt idx="26">
                  <c:v>31.229999999999997</c:v>
                </c:pt>
                <c:pt idx="27">
                  <c:v>61.016000000000005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C07-4C47-B0B3-BEC1BC9BC980}"/>
            </c:ext>
          </c:extLst>
        </c:ser>
        <c:ser>
          <c:idx val="31"/>
          <c:order val="31"/>
          <c:tx>
            <c:strRef>
              <c:f>'Feb 25 Graph'!$AG$3:$AG$4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Graph'!$AG$5:$AG$32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1.2129999999999999</c:v>
                </c:pt>
                <c:pt idx="27">
                  <c:v>15.221000000000002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C07-4C47-B0B3-BEC1BC9BC980}"/>
            </c:ext>
          </c:extLst>
        </c:ser>
        <c:ser>
          <c:idx val="32"/>
          <c:order val="32"/>
          <c:tx>
            <c:strRef>
              <c:f>'Feb 25 Graph'!$AH$3:$AH$4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Graph'!$AH$5:$AH$32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C07-4C47-B0B3-BEC1BC9BC980}"/>
            </c:ext>
          </c:extLst>
        </c:ser>
        <c:ser>
          <c:idx val="33"/>
          <c:order val="33"/>
          <c:tx>
            <c:strRef>
              <c:f>'Feb 25 Graph'!$AI$3:$AI$4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Graph'!$AI$5:$AI$32</c:f>
              <c:numCache>
                <c:formatCode>General</c:formatCode>
                <c:ptCount val="28"/>
                <c:pt idx="0">
                  <c:v>15.530000000000001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7.0990000000000002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C07-4C47-B0B3-BEC1BC9BC980}"/>
            </c:ext>
          </c:extLst>
        </c:ser>
        <c:ser>
          <c:idx val="34"/>
          <c:order val="34"/>
          <c:tx>
            <c:strRef>
              <c:f>'Feb 25 Graph'!$AJ$3:$AJ$4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Graph'!$AJ$5:$AJ$32</c:f>
              <c:numCache>
                <c:formatCode>General</c:formatCode>
                <c:ptCount val="28"/>
                <c:pt idx="0">
                  <c:v>62.358000000000011</c:v>
                </c:pt>
                <c:pt idx="1">
                  <c:v>73.587000000000003</c:v>
                </c:pt>
                <c:pt idx="2">
                  <c:v>92.134999999999991</c:v>
                </c:pt>
                <c:pt idx="3">
                  <c:v>79.279999999999987</c:v>
                </c:pt>
                <c:pt idx="4">
                  <c:v>90.329000000000008</c:v>
                </c:pt>
                <c:pt idx="5">
                  <c:v>97.411000000000001</c:v>
                </c:pt>
                <c:pt idx="6">
                  <c:v>89.900999999999982</c:v>
                </c:pt>
                <c:pt idx="7">
                  <c:v>75.822000000000003</c:v>
                </c:pt>
                <c:pt idx="8">
                  <c:v>81.768000000000001</c:v>
                </c:pt>
                <c:pt idx="9">
                  <c:v>81.746999999999986</c:v>
                </c:pt>
                <c:pt idx="10">
                  <c:v>90.186999999999998</c:v>
                </c:pt>
                <c:pt idx="11">
                  <c:v>65.448000000000008</c:v>
                </c:pt>
                <c:pt idx="12">
                  <c:v>84.069000000000017</c:v>
                </c:pt>
                <c:pt idx="13">
                  <c:v>69.398999999999987</c:v>
                </c:pt>
                <c:pt idx="14">
                  <c:v>93.008999999999986</c:v>
                </c:pt>
                <c:pt idx="15">
                  <c:v>68.376999999999995</c:v>
                </c:pt>
                <c:pt idx="16">
                  <c:v>92.21599999999998</c:v>
                </c:pt>
                <c:pt idx="17">
                  <c:v>67.47999999999999</c:v>
                </c:pt>
                <c:pt idx="18">
                  <c:v>71.667000000000002</c:v>
                </c:pt>
                <c:pt idx="19">
                  <c:v>84.618000000000009</c:v>
                </c:pt>
                <c:pt idx="20">
                  <c:v>63.269999999999989</c:v>
                </c:pt>
                <c:pt idx="21">
                  <c:v>74.323999999999998</c:v>
                </c:pt>
                <c:pt idx="22">
                  <c:v>85.010999999999996</c:v>
                </c:pt>
                <c:pt idx="23">
                  <c:v>72.928000000000011</c:v>
                </c:pt>
                <c:pt idx="24">
                  <c:v>76.745999999999995</c:v>
                </c:pt>
                <c:pt idx="25">
                  <c:v>60.73</c:v>
                </c:pt>
                <c:pt idx="26">
                  <c:v>94.424999999999997</c:v>
                </c:pt>
                <c:pt idx="27">
                  <c:v>96.431999999999988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C07-4C47-B0B3-BEC1BC9BC980}"/>
            </c:ext>
          </c:extLst>
        </c:ser>
        <c:ser>
          <c:idx val="35"/>
          <c:order val="35"/>
          <c:tx>
            <c:strRef>
              <c:f>'Feb 25 Graph'!$AK$3:$AK$4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Graph'!$AK$5:$AK$32</c:f>
              <c:numCache>
                <c:formatCode>General</c:formatCode>
                <c:ptCount val="28"/>
                <c:pt idx="0">
                  <c:v>104.31099999999998</c:v>
                </c:pt>
                <c:pt idx="1">
                  <c:v>110.13</c:v>
                </c:pt>
                <c:pt idx="2">
                  <c:v>122.83900000000001</c:v>
                </c:pt>
                <c:pt idx="3">
                  <c:v>89.278999999999996</c:v>
                </c:pt>
                <c:pt idx="4">
                  <c:v>144.697</c:v>
                </c:pt>
                <c:pt idx="5">
                  <c:v>58.552</c:v>
                </c:pt>
                <c:pt idx="6">
                  <c:v>130.36100000000002</c:v>
                </c:pt>
                <c:pt idx="7">
                  <c:v>98.376000000000005</c:v>
                </c:pt>
                <c:pt idx="8">
                  <c:v>87.310999999999979</c:v>
                </c:pt>
                <c:pt idx="9">
                  <c:v>150.87200000000001</c:v>
                </c:pt>
                <c:pt idx="10">
                  <c:v>115.92300000000002</c:v>
                </c:pt>
                <c:pt idx="11">
                  <c:v>90.126000000000019</c:v>
                </c:pt>
                <c:pt idx="12">
                  <c:v>99.069000000000017</c:v>
                </c:pt>
                <c:pt idx="13">
                  <c:v>126.22</c:v>
                </c:pt>
                <c:pt idx="14">
                  <c:v>39.704999999999998</c:v>
                </c:pt>
                <c:pt idx="15">
                  <c:v>130.09799999999998</c:v>
                </c:pt>
                <c:pt idx="16">
                  <c:v>109.47499999999998</c:v>
                </c:pt>
                <c:pt idx="17">
                  <c:v>110.56299999999999</c:v>
                </c:pt>
                <c:pt idx="18">
                  <c:v>87.397000000000006</c:v>
                </c:pt>
                <c:pt idx="19">
                  <c:v>140.45400000000004</c:v>
                </c:pt>
                <c:pt idx="20">
                  <c:v>104.97300000000001</c:v>
                </c:pt>
                <c:pt idx="21">
                  <c:v>80.835999999999999</c:v>
                </c:pt>
                <c:pt idx="22">
                  <c:v>97.629999999999981</c:v>
                </c:pt>
                <c:pt idx="23">
                  <c:v>113.61500000000001</c:v>
                </c:pt>
                <c:pt idx="24">
                  <c:v>104.39400000000002</c:v>
                </c:pt>
                <c:pt idx="25">
                  <c:v>116.10299999999999</c:v>
                </c:pt>
                <c:pt idx="26">
                  <c:v>86.557999999999993</c:v>
                </c:pt>
                <c:pt idx="27">
                  <c:v>91.461000000000027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C07-4C47-B0B3-BEC1BC9BC980}"/>
            </c:ext>
          </c:extLst>
        </c:ser>
        <c:ser>
          <c:idx val="36"/>
          <c:order val="36"/>
          <c:tx>
            <c:strRef>
              <c:f>'Feb 25 Graph'!$AL$3:$AL$4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Graph'!$AL$5:$AL$32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C07-4C47-B0B3-BEC1BC9BC980}"/>
            </c:ext>
          </c:extLst>
        </c:ser>
        <c:ser>
          <c:idx val="37"/>
          <c:order val="37"/>
          <c:tx>
            <c:strRef>
              <c:f>'Feb 25 Graph'!$AM$3:$AM$4</c:f>
              <c:strCache>
                <c:ptCount val="1"/>
                <c:pt idx="0">
                  <c:v>Dhanbad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Graph'!$AM$5:$AM$32</c:f>
              <c:numCache>
                <c:formatCode>General</c:formatCode>
                <c:ptCount val="28"/>
                <c:pt idx="7">
                  <c:v>13.86</c:v>
                </c:pt>
                <c:pt idx="8">
                  <c:v>19</c:v>
                </c:pt>
                <c:pt idx="9">
                  <c:v>0</c:v>
                </c:pt>
                <c:pt idx="10">
                  <c:v>11.7</c:v>
                </c:pt>
                <c:pt idx="11">
                  <c:v>22.099999999999998</c:v>
                </c:pt>
                <c:pt idx="12">
                  <c:v>1.07</c:v>
                </c:pt>
                <c:pt idx="13">
                  <c:v>0</c:v>
                </c:pt>
                <c:pt idx="14">
                  <c:v>9.16</c:v>
                </c:pt>
                <c:pt idx="15">
                  <c:v>4.82</c:v>
                </c:pt>
                <c:pt idx="16">
                  <c:v>20.09</c:v>
                </c:pt>
                <c:pt idx="17">
                  <c:v>13.55</c:v>
                </c:pt>
                <c:pt idx="18">
                  <c:v>37.89</c:v>
                </c:pt>
                <c:pt idx="19">
                  <c:v>0</c:v>
                </c:pt>
                <c:pt idx="20">
                  <c:v>21.39</c:v>
                </c:pt>
                <c:pt idx="21">
                  <c:v>21.65</c:v>
                </c:pt>
                <c:pt idx="22">
                  <c:v>15.89</c:v>
                </c:pt>
                <c:pt idx="23">
                  <c:v>26.64</c:v>
                </c:pt>
                <c:pt idx="24">
                  <c:v>31.419999999999998</c:v>
                </c:pt>
                <c:pt idx="25">
                  <c:v>28.36</c:v>
                </c:pt>
                <c:pt idx="26">
                  <c:v>26.61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C07-4C47-B0B3-BEC1BC9BC980}"/>
            </c:ext>
          </c:extLst>
        </c:ser>
        <c:ser>
          <c:idx val="38"/>
          <c:order val="38"/>
          <c:tx>
            <c:strRef>
              <c:f>'Feb 25 Graph'!$AN$3:$AN$4</c:f>
              <c:strCache>
                <c:ptCount val="1"/>
                <c:pt idx="0">
                  <c:v>Panikoli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'Feb 25 Graph'!$A$5:$A$32</c:f>
              <c:strCache>
                <c:ptCount val="28"/>
                <c:pt idx="0">
                  <c:v>Sum of 01-02-2025</c:v>
                </c:pt>
                <c:pt idx="1">
                  <c:v>Sum of 02-02-2025</c:v>
                </c:pt>
                <c:pt idx="2">
                  <c:v>Sum of 03-02-2025</c:v>
                </c:pt>
                <c:pt idx="3">
                  <c:v>Sum of 04-02-2025</c:v>
                </c:pt>
                <c:pt idx="4">
                  <c:v>Sum of 05-02-2025</c:v>
                </c:pt>
                <c:pt idx="5">
                  <c:v>Sum of 06-02-2025</c:v>
                </c:pt>
                <c:pt idx="6">
                  <c:v>Sum of 07-02-2025</c:v>
                </c:pt>
                <c:pt idx="7">
                  <c:v>Sum of 08-02-2025</c:v>
                </c:pt>
                <c:pt idx="8">
                  <c:v>Sum of 09-02-2025</c:v>
                </c:pt>
                <c:pt idx="9">
                  <c:v>Sum of 10-02-2025</c:v>
                </c:pt>
                <c:pt idx="10">
                  <c:v>Sum of 11-02-2025</c:v>
                </c:pt>
                <c:pt idx="11">
                  <c:v>Sum of 12-02-2025</c:v>
                </c:pt>
                <c:pt idx="12">
                  <c:v>Sum of 13-02-2025</c:v>
                </c:pt>
                <c:pt idx="13">
                  <c:v>Sum of 14-02-2025</c:v>
                </c:pt>
                <c:pt idx="14">
                  <c:v>Sum of 15-02-2025</c:v>
                </c:pt>
                <c:pt idx="15">
                  <c:v>Sum of 16-02-2025</c:v>
                </c:pt>
                <c:pt idx="16">
                  <c:v>Sum of 17-02-2025</c:v>
                </c:pt>
                <c:pt idx="17">
                  <c:v>Sum of 18-02-2025</c:v>
                </c:pt>
                <c:pt idx="18">
                  <c:v>Sum of 19-02-2025</c:v>
                </c:pt>
                <c:pt idx="19">
                  <c:v>Sum of 20-02-2025</c:v>
                </c:pt>
                <c:pt idx="20">
                  <c:v>Sum of 21-02-2025</c:v>
                </c:pt>
                <c:pt idx="21">
                  <c:v>Sum of 22-02-2025</c:v>
                </c:pt>
                <c:pt idx="22">
                  <c:v>Sum of 23-02-2025</c:v>
                </c:pt>
                <c:pt idx="23">
                  <c:v>Sum of 24-02-2025</c:v>
                </c:pt>
                <c:pt idx="24">
                  <c:v>Sum of 25-02-2025</c:v>
                </c:pt>
                <c:pt idx="25">
                  <c:v>Sum of 26-02-2025</c:v>
                </c:pt>
                <c:pt idx="26">
                  <c:v>Sum of 27-02-2025</c:v>
                </c:pt>
                <c:pt idx="27">
                  <c:v>Sum of 28-02-2025</c:v>
                </c:pt>
              </c:strCache>
            </c:strRef>
          </c:cat>
          <c:val>
            <c:numRef>
              <c:f>'Feb 25 Graph'!$AN$5:$AN$32</c:f>
              <c:numCache>
                <c:formatCode>General</c:formatCode>
                <c:ptCount val="28"/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C07-4C47-B0B3-BEC1BC9BC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10832"/>
        <c:axId val="545011224"/>
      </c:barChart>
      <c:catAx>
        <c:axId val="54501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1224"/>
        <c:crosses val="autoZero"/>
        <c:auto val="1"/>
        <c:lblAlgn val="ctr"/>
        <c:lblOffset val="100"/>
        <c:noMultiLvlLbl val="0"/>
      </c:catAx>
      <c:valAx>
        <c:axId val="54501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Consumption.xlsx]March 25 graph!PivotTable4</c:name>
    <c:fmtId val="4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'March 25 graph'!$B$3:$B$4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graph'!$B$5:$B$35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3-469F-85EF-29140A7FBCF1}"/>
            </c:ext>
          </c:extLst>
        </c:ser>
        <c:ser>
          <c:idx val="1"/>
          <c:order val="1"/>
          <c:tx>
            <c:strRef>
              <c:f>'March 25 graph'!$C$3:$C$4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graph'!$C$5:$C$35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10.62</c:v>
                </c:pt>
                <c:pt idx="5">
                  <c:v>0</c:v>
                </c:pt>
                <c:pt idx="6">
                  <c:v>0</c:v>
                </c:pt>
                <c:pt idx="7">
                  <c:v>8.41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5.629999999999999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3-469F-85EF-29140A7FBCF1}"/>
            </c:ext>
          </c:extLst>
        </c:ser>
        <c:ser>
          <c:idx val="2"/>
          <c:order val="2"/>
          <c:tx>
            <c:strRef>
              <c:f>'March 25 graph'!$D$3:$D$4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graph'!$D$5:$D$35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3-469F-85EF-29140A7FBCF1}"/>
            </c:ext>
          </c:extLst>
        </c:ser>
        <c:ser>
          <c:idx val="3"/>
          <c:order val="3"/>
          <c:tx>
            <c:strRef>
              <c:f>'March 25 graph'!$E$3:$E$4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graph'!$E$5:$E$35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53-469F-85EF-29140A7FBCF1}"/>
            </c:ext>
          </c:extLst>
        </c:ser>
        <c:ser>
          <c:idx val="4"/>
          <c:order val="4"/>
          <c:tx>
            <c:strRef>
              <c:f>'March 25 graph'!$F$3:$F$4</c:f>
              <c:strCache>
                <c:ptCount val="1"/>
                <c:pt idx="0">
                  <c:v>Allied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graph'!$F$5:$F$35</c:f>
              <c:numCache>
                <c:formatCode>General</c:formatCode>
                <c:ptCount val="31"/>
                <c:pt idx="0">
                  <c:v>14.790000000000001</c:v>
                </c:pt>
                <c:pt idx="1">
                  <c:v>43.93</c:v>
                </c:pt>
                <c:pt idx="2">
                  <c:v>0</c:v>
                </c:pt>
                <c:pt idx="3">
                  <c:v>35.909999999999997</c:v>
                </c:pt>
                <c:pt idx="4">
                  <c:v>12.09</c:v>
                </c:pt>
                <c:pt idx="5">
                  <c:v>14.660000000000002</c:v>
                </c:pt>
                <c:pt idx="6">
                  <c:v>8.6300000000000008</c:v>
                </c:pt>
                <c:pt idx="7">
                  <c:v>6.15</c:v>
                </c:pt>
                <c:pt idx="8">
                  <c:v>0</c:v>
                </c:pt>
                <c:pt idx="9">
                  <c:v>7.92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11.27</c:v>
                </c:pt>
                <c:pt idx="15">
                  <c:v>0</c:v>
                </c:pt>
                <c:pt idx="16">
                  <c:v>36.590000000000003</c:v>
                </c:pt>
                <c:pt idx="17">
                  <c:v>9.89</c:v>
                </c:pt>
                <c:pt idx="18">
                  <c:v>0</c:v>
                </c:pt>
                <c:pt idx="19">
                  <c:v>7.18</c:v>
                </c:pt>
                <c:pt idx="20">
                  <c:v>11.29</c:v>
                </c:pt>
                <c:pt idx="21">
                  <c:v>44.339999999999996</c:v>
                </c:pt>
                <c:pt idx="22">
                  <c:v>0</c:v>
                </c:pt>
                <c:pt idx="23">
                  <c:v>10.180000000000001</c:v>
                </c:pt>
                <c:pt idx="24">
                  <c:v>21.659999999999997</c:v>
                </c:pt>
                <c:pt idx="25">
                  <c:v>0.25</c:v>
                </c:pt>
                <c:pt idx="26">
                  <c:v>5.8400000000000007</c:v>
                </c:pt>
                <c:pt idx="27">
                  <c:v>33.160000000000004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53-469F-85EF-29140A7FBCF1}"/>
            </c:ext>
          </c:extLst>
        </c:ser>
        <c:ser>
          <c:idx val="5"/>
          <c:order val="5"/>
          <c:tx>
            <c:strRef>
              <c:f>'March 25 graph'!$G$3:$G$4</c:f>
              <c:strCache>
                <c:ptCount val="1"/>
                <c:pt idx="0">
                  <c:v>Angul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graph'!$G$5:$G$35</c:f>
              <c:numCache>
                <c:formatCode>General</c:formatCode>
                <c:ptCount val="31"/>
                <c:pt idx="0">
                  <c:v>16.548999999999999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8.3409999999999993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18.91</c:v>
                </c:pt>
                <c:pt idx="29">
                  <c:v>0</c:v>
                </c:pt>
                <c:pt idx="30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53-469F-85EF-29140A7FBCF1}"/>
            </c:ext>
          </c:extLst>
        </c:ser>
        <c:ser>
          <c:idx val="6"/>
          <c:order val="6"/>
          <c:tx>
            <c:strRef>
              <c:f>'March 25 graph'!$H$3:$H$4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graph'!$H$5:$H$35</c:f>
              <c:numCache>
                <c:formatCode>General</c:formatCode>
                <c:ptCount val="31"/>
                <c:pt idx="0">
                  <c:v>19.718</c:v>
                </c:pt>
                <c:pt idx="1">
                  <c:v>7.87</c:v>
                </c:pt>
                <c:pt idx="2">
                  <c:v>7.1310000000000002</c:v>
                </c:pt>
                <c:pt idx="3">
                  <c:v>11.059000000000001</c:v>
                </c:pt>
                <c:pt idx="4">
                  <c:v>13.044</c:v>
                </c:pt>
                <c:pt idx="5">
                  <c:v>8.1760000000000002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2.6920000000000002</c:v>
                </c:pt>
                <c:pt idx="10">
                  <c:v>10.872</c:v>
                </c:pt>
                <c:pt idx="11">
                  <c:v>13.084999999999997</c:v>
                </c:pt>
                <c:pt idx="12">
                  <c:v>18.081000000000003</c:v>
                </c:pt>
                <c:pt idx="13">
                  <c:v>7.0500000000000007</c:v>
                </c:pt>
                <c:pt idx="14">
                  <c:v>5.431</c:v>
                </c:pt>
                <c:pt idx="15">
                  <c:v>18.558</c:v>
                </c:pt>
                <c:pt idx="16">
                  <c:v>9.93</c:v>
                </c:pt>
                <c:pt idx="17">
                  <c:v>19.684999999999999</c:v>
                </c:pt>
                <c:pt idx="18">
                  <c:v>13.027999999999999</c:v>
                </c:pt>
                <c:pt idx="19">
                  <c:v>31.339000000000002</c:v>
                </c:pt>
                <c:pt idx="20">
                  <c:v>5.508</c:v>
                </c:pt>
                <c:pt idx="21">
                  <c:v>11.257</c:v>
                </c:pt>
                <c:pt idx="22">
                  <c:v>36.453000000000003</c:v>
                </c:pt>
                <c:pt idx="23">
                  <c:v>32.212999999999994</c:v>
                </c:pt>
                <c:pt idx="24">
                  <c:v>43.193000000000005</c:v>
                </c:pt>
                <c:pt idx="25">
                  <c:v>50.598999999999997</c:v>
                </c:pt>
                <c:pt idx="26">
                  <c:v>40.202999999999996</c:v>
                </c:pt>
                <c:pt idx="27">
                  <c:v>35.909999999999997</c:v>
                </c:pt>
                <c:pt idx="28">
                  <c:v>19.989000000000001</c:v>
                </c:pt>
                <c:pt idx="29">
                  <c:v>7.6379999999999999</c:v>
                </c:pt>
                <c:pt idx="30">
                  <c:v>13.321000000000002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53-469F-85EF-29140A7FBCF1}"/>
            </c:ext>
          </c:extLst>
        </c:ser>
        <c:ser>
          <c:idx val="7"/>
          <c:order val="7"/>
          <c:tx>
            <c:strRef>
              <c:f>'March 25 graph'!$I$3:$I$4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graph'!$I$5:$I$35</c:f>
              <c:numCache>
                <c:formatCode>General</c:formatCode>
                <c:ptCount val="31"/>
                <c:pt idx="0">
                  <c:v>536.02699999999993</c:v>
                </c:pt>
                <c:pt idx="1">
                  <c:v>515.02900000000011</c:v>
                </c:pt>
                <c:pt idx="2">
                  <c:v>506.16700000000003</c:v>
                </c:pt>
                <c:pt idx="3">
                  <c:v>606.82000000000005</c:v>
                </c:pt>
                <c:pt idx="4">
                  <c:v>496.49299999999999</c:v>
                </c:pt>
                <c:pt idx="5">
                  <c:v>540.19800000000009</c:v>
                </c:pt>
                <c:pt idx="6">
                  <c:v>552.71300000000008</c:v>
                </c:pt>
                <c:pt idx="7">
                  <c:v>527.30600000000004</c:v>
                </c:pt>
                <c:pt idx="8">
                  <c:v>574.9559999999999</c:v>
                </c:pt>
                <c:pt idx="9">
                  <c:v>431.25400000000002</c:v>
                </c:pt>
                <c:pt idx="10">
                  <c:v>457.80000000000007</c:v>
                </c:pt>
                <c:pt idx="11">
                  <c:v>421.13800000000003</c:v>
                </c:pt>
                <c:pt idx="12">
                  <c:v>419.29199999999997</c:v>
                </c:pt>
                <c:pt idx="13">
                  <c:v>476.8599999999999</c:v>
                </c:pt>
                <c:pt idx="14">
                  <c:v>484.89400000000006</c:v>
                </c:pt>
                <c:pt idx="15">
                  <c:v>476.37099999999998</c:v>
                </c:pt>
                <c:pt idx="16">
                  <c:v>415.82</c:v>
                </c:pt>
                <c:pt idx="17">
                  <c:v>464.31200000000001</c:v>
                </c:pt>
                <c:pt idx="18">
                  <c:v>523.46900000000005</c:v>
                </c:pt>
                <c:pt idx="19">
                  <c:v>419.69899999999996</c:v>
                </c:pt>
                <c:pt idx="20">
                  <c:v>434.96800000000002</c:v>
                </c:pt>
                <c:pt idx="21">
                  <c:v>459.79699999999997</c:v>
                </c:pt>
                <c:pt idx="22">
                  <c:v>459.81100000000004</c:v>
                </c:pt>
                <c:pt idx="23">
                  <c:v>522.29399999999998</c:v>
                </c:pt>
                <c:pt idx="24">
                  <c:v>444.22800000000007</c:v>
                </c:pt>
                <c:pt idx="25">
                  <c:v>573.97799999999995</c:v>
                </c:pt>
                <c:pt idx="26">
                  <c:v>426.34</c:v>
                </c:pt>
                <c:pt idx="27">
                  <c:v>425.19600000000008</c:v>
                </c:pt>
                <c:pt idx="28">
                  <c:v>438.96499999999997</c:v>
                </c:pt>
                <c:pt idx="29">
                  <c:v>307.27800000000002</c:v>
                </c:pt>
                <c:pt idx="30">
                  <c:v>334.334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53-469F-85EF-29140A7FBCF1}"/>
            </c:ext>
          </c:extLst>
        </c:ser>
        <c:ser>
          <c:idx val="8"/>
          <c:order val="8"/>
          <c:tx>
            <c:strRef>
              <c:f>'March 25 graph'!$J$3:$J$4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graph'!$J$5:$J$35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53-469F-85EF-29140A7FBCF1}"/>
            </c:ext>
          </c:extLst>
        </c:ser>
        <c:ser>
          <c:idx val="9"/>
          <c:order val="9"/>
          <c:tx>
            <c:strRef>
              <c:f>'March 25 graph'!$K$3:$K$4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graph'!$K$5:$K$35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10.539</c:v>
                </c:pt>
                <c:pt idx="7">
                  <c:v>5.25</c:v>
                </c:pt>
                <c:pt idx="8">
                  <c:v>12.55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9.129999999999999</c:v>
                </c:pt>
                <c:pt idx="13">
                  <c:v>0</c:v>
                </c:pt>
                <c:pt idx="14">
                  <c:v>4.08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53-469F-85EF-29140A7FBCF1}"/>
            </c:ext>
          </c:extLst>
        </c:ser>
        <c:ser>
          <c:idx val="10"/>
          <c:order val="10"/>
          <c:tx>
            <c:strRef>
              <c:f>'March 25 graph'!$L$3:$L$4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graph'!$L$5:$L$35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1.9089999999999998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53-469F-85EF-29140A7FBCF1}"/>
            </c:ext>
          </c:extLst>
        </c:ser>
        <c:ser>
          <c:idx val="11"/>
          <c:order val="11"/>
          <c:tx>
            <c:strRef>
              <c:f>'March 25 graph'!$M$3:$M$4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graph'!$M$5:$M$35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53-469F-85EF-29140A7FBCF1}"/>
            </c:ext>
          </c:extLst>
        </c:ser>
        <c:ser>
          <c:idx val="12"/>
          <c:order val="12"/>
          <c:tx>
            <c:strRef>
              <c:f>'March 25 graph'!$N$3:$N$4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graph'!$N$5:$N$35</c:f>
              <c:numCache>
                <c:formatCode>General</c:formatCode>
                <c:ptCount val="31"/>
                <c:pt idx="0">
                  <c:v>1566.0559999999998</c:v>
                </c:pt>
                <c:pt idx="1">
                  <c:v>1432.5680000000002</c:v>
                </c:pt>
                <c:pt idx="2">
                  <c:v>1648.4230000000002</c:v>
                </c:pt>
                <c:pt idx="3">
                  <c:v>1716.8830000000003</c:v>
                </c:pt>
                <c:pt idx="4">
                  <c:v>1653.5</c:v>
                </c:pt>
                <c:pt idx="5">
                  <c:v>1821.3219999999994</c:v>
                </c:pt>
                <c:pt idx="6">
                  <c:v>1809.3179999999998</c:v>
                </c:pt>
                <c:pt idx="7">
                  <c:v>1913.3619999999999</c:v>
                </c:pt>
                <c:pt idx="8">
                  <c:v>1531.5599999999995</c:v>
                </c:pt>
                <c:pt idx="9">
                  <c:v>1686.1709999999998</c:v>
                </c:pt>
                <c:pt idx="10">
                  <c:v>1557.7820000000002</c:v>
                </c:pt>
                <c:pt idx="11">
                  <c:v>1597.5119999999999</c:v>
                </c:pt>
                <c:pt idx="12">
                  <c:v>1685.3240000000001</c:v>
                </c:pt>
                <c:pt idx="13">
                  <c:v>1026.0609999999999</c:v>
                </c:pt>
                <c:pt idx="14">
                  <c:v>1023.4690000000002</c:v>
                </c:pt>
                <c:pt idx="15">
                  <c:v>1324.2709999999997</c:v>
                </c:pt>
                <c:pt idx="16">
                  <c:v>1463.1180000000002</c:v>
                </c:pt>
                <c:pt idx="17">
                  <c:v>1794.9270000000001</c:v>
                </c:pt>
                <c:pt idx="18">
                  <c:v>1717.5950000000005</c:v>
                </c:pt>
                <c:pt idx="19">
                  <c:v>1683.0289999999998</c:v>
                </c:pt>
                <c:pt idx="20">
                  <c:v>1642.944</c:v>
                </c:pt>
                <c:pt idx="21">
                  <c:v>1700.7310000000004</c:v>
                </c:pt>
                <c:pt idx="22">
                  <c:v>1546.7110000000002</c:v>
                </c:pt>
                <c:pt idx="23">
                  <c:v>1542.2119999999998</c:v>
                </c:pt>
                <c:pt idx="24">
                  <c:v>1667.1</c:v>
                </c:pt>
                <c:pt idx="25">
                  <c:v>1565.3779999999999</c:v>
                </c:pt>
                <c:pt idx="26">
                  <c:v>1767.5330000000004</c:v>
                </c:pt>
                <c:pt idx="27">
                  <c:v>1632.3659999999995</c:v>
                </c:pt>
                <c:pt idx="28">
                  <c:v>1753.0160000000001</c:v>
                </c:pt>
                <c:pt idx="29">
                  <c:v>1652.9129999999998</c:v>
                </c:pt>
                <c:pt idx="30">
                  <c:v>1384.5040000000001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53-469F-85EF-29140A7FBCF1}"/>
            </c:ext>
          </c:extLst>
        </c:ser>
        <c:ser>
          <c:idx val="13"/>
          <c:order val="13"/>
          <c:tx>
            <c:strRef>
              <c:f>'March 25 graph'!$O$3:$O$4</c:f>
              <c:strCache>
                <c:ptCount val="1"/>
                <c:pt idx="0">
                  <c:v>Dhanbad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graph'!$O$5:$O$35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24.98</c:v>
                </c:pt>
                <c:pt idx="3">
                  <c:v>44.11</c:v>
                </c:pt>
                <c:pt idx="4">
                  <c:v>15.65</c:v>
                </c:pt>
                <c:pt idx="5">
                  <c:v>29.119999999999997</c:v>
                </c:pt>
                <c:pt idx="6">
                  <c:v>9.9600000000000009</c:v>
                </c:pt>
                <c:pt idx="7">
                  <c:v>33</c:v>
                </c:pt>
                <c:pt idx="8">
                  <c:v>27.03</c:v>
                </c:pt>
                <c:pt idx="9">
                  <c:v>11.389999999999999</c:v>
                </c:pt>
                <c:pt idx="10">
                  <c:v>9.0499999999999989</c:v>
                </c:pt>
                <c:pt idx="11">
                  <c:v>28.34</c:v>
                </c:pt>
                <c:pt idx="12">
                  <c:v>18.100000000000001</c:v>
                </c:pt>
                <c:pt idx="13">
                  <c:v>22.11</c:v>
                </c:pt>
                <c:pt idx="14">
                  <c:v>23.5</c:v>
                </c:pt>
                <c:pt idx="15">
                  <c:v>3.13</c:v>
                </c:pt>
                <c:pt idx="16">
                  <c:v>27.990000000000002</c:v>
                </c:pt>
                <c:pt idx="17">
                  <c:v>15.600000000000001</c:v>
                </c:pt>
                <c:pt idx="18">
                  <c:v>11.04</c:v>
                </c:pt>
                <c:pt idx="19">
                  <c:v>17.309999999999999</c:v>
                </c:pt>
                <c:pt idx="20">
                  <c:v>0.14000000000000001</c:v>
                </c:pt>
                <c:pt idx="21">
                  <c:v>0</c:v>
                </c:pt>
                <c:pt idx="22">
                  <c:v>23.09</c:v>
                </c:pt>
                <c:pt idx="23">
                  <c:v>22.03</c:v>
                </c:pt>
                <c:pt idx="24">
                  <c:v>26.21</c:v>
                </c:pt>
                <c:pt idx="25">
                  <c:v>9.98</c:v>
                </c:pt>
                <c:pt idx="26">
                  <c:v>6.44</c:v>
                </c:pt>
                <c:pt idx="27">
                  <c:v>10.48</c:v>
                </c:pt>
                <c:pt idx="28">
                  <c:v>10.23</c:v>
                </c:pt>
                <c:pt idx="29">
                  <c:v>33.14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53-469F-85EF-29140A7FBCF1}"/>
            </c:ext>
          </c:extLst>
        </c:ser>
        <c:ser>
          <c:idx val="14"/>
          <c:order val="14"/>
          <c:tx>
            <c:strRef>
              <c:f>'March 25 graph'!$P$3:$P$4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graph'!$P$5:$P$35</c:f>
              <c:numCache>
                <c:formatCode>General</c:formatCode>
                <c:ptCount val="31"/>
                <c:pt idx="0">
                  <c:v>21.121000000000002</c:v>
                </c:pt>
                <c:pt idx="1">
                  <c:v>0</c:v>
                </c:pt>
                <c:pt idx="2">
                  <c:v>0</c:v>
                </c:pt>
                <c:pt idx="3">
                  <c:v>8.9600000000000009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3.47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4.8310000000000004</c:v>
                </c:pt>
                <c:pt idx="18">
                  <c:v>2.899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8.7609999999999992</c:v>
                </c:pt>
                <c:pt idx="25">
                  <c:v>10.989000000000001</c:v>
                </c:pt>
                <c:pt idx="26">
                  <c:v>8.39</c:v>
                </c:pt>
                <c:pt idx="27">
                  <c:v>7.2009999999999996</c:v>
                </c:pt>
                <c:pt idx="28">
                  <c:v>9.0500000000000007</c:v>
                </c:pt>
                <c:pt idx="29">
                  <c:v>0</c:v>
                </c:pt>
                <c:pt idx="30">
                  <c:v>12.7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53-469F-85EF-29140A7FBCF1}"/>
            </c:ext>
          </c:extLst>
        </c:ser>
        <c:ser>
          <c:idx val="15"/>
          <c:order val="15"/>
          <c:tx>
            <c:strRef>
              <c:f>'March 25 graph'!$Q$3:$Q$4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graph'!$Q$5:$Q$35</c:f>
              <c:numCache>
                <c:formatCode>General</c:formatCode>
                <c:ptCount val="31"/>
                <c:pt idx="0">
                  <c:v>0</c:v>
                </c:pt>
                <c:pt idx="1">
                  <c:v>39.497999999999998</c:v>
                </c:pt>
                <c:pt idx="2">
                  <c:v>0</c:v>
                </c:pt>
                <c:pt idx="3">
                  <c:v>0</c:v>
                </c:pt>
                <c:pt idx="4">
                  <c:v>29.495999999999999</c:v>
                </c:pt>
                <c:pt idx="5">
                  <c:v>30.722000000000001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36.649000000000001</c:v>
                </c:pt>
                <c:pt idx="10">
                  <c:v>0</c:v>
                </c:pt>
                <c:pt idx="11">
                  <c:v>30.099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45.727000000000004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38.853999999999999</c:v>
                </c:pt>
                <c:pt idx="20">
                  <c:v>0</c:v>
                </c:pt>
                <c:pt idx="21">
                  <c:v>0</c:v>
                </c:pt>
                <c:pt idx="22">
                  <c:v>39.100999999999999</c:v>
                </c:pt>
                <c:pt idx="23">
                  <c:v>39.692</c:v>
                </c:pt>
                <c:pt idx="24">
                  <c:v>0</c:v>
                </c:pt>
                <c:pt idx="25">
                  <c:v>0</c:v>
                </c:pt>
                <c:pt idx="26">
                  <c:v>38.968000000000004</c:v>
                </c:pt>
                <c:pt idx="27">
                  <c:v>3.7370000000000001</c:v>
                </c:pt>
                <c:pt idx="28">
                  <c:v>0</c:v>
                </c:pt>
                <c:pt idx="29">
                  <c:v>38.750999999999998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53-469F-85EF-29140A7FBCF1}"/>
            </c:ext>
          </c:extLst>
        </c:ser>
        <c:ser>
          <c:idx val="16"/>
          <c:order val="16"/>
          <c:tx>
            <c:strRef>
              <c:f>'March 25 graph'!$R$3:$R$4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graph'!$R$5:$R$35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53-469F-85EF-29140A7FBCF1}"/>
            </c:ext>
          </c:extLst>
        </c:ser>
        <c:ser>
          <c:idx val="17"/>
          <c:order val="17"/>
          <c:tx>
            <c:strRef>
              <c:f>'March 25 graph'!$S$3:$S$4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graph'!$S$5:$S$35</c:f>
              <c:numCache>
                <c:formatCode>General</c:formatCode>
                <c:ptCount val="31"/>
                <c:pt idx="0">
                  <c:v>25.302</c:v>
                </c:pt>
                <c:pt idx="1">
                  <c:v>27.204000000000001</c:v>
                </c:pt>
                <c:pt idx="2">
                  <c:v>56.147999999999996</c:v>
                </c:pt>
                <c:pt idx="3">
                  <c:v>53.87700000000001</c:v>
                </c:pt>
                <c:pt idx="4">
                  <c:v>50.326999999999998</c:v>
                </c:pt>
                <c:pt idx="5">
                  <c:v>47.094999999999999</c:v>
                </c:pt>
                <c:pt idx="6">
                  <c:v>36.478999999999999</c:v>
                </c:pt>
                <c:pt idx="7">
                  <c:v>46.58</c:v>
                </c:pt>
                <c:pt idx="8">
                  <c:v>28.867000000000004</c:v>
                </c:pt>
                <c:pt idx="9">
                  <c:v>27.731000000000005</c:v>
                </c:pt>
                <c:pt idx="10">
                  <c:v>42.673000000000002</c:v>
                </c:pt>
                <c:pt idx="11">
                  <c:v>34.308999999999997</c:v>
                </c:pt>
                <c:pt idx="12">
                  <c:v>44.981999999999999</c:v>
                </c:pt>
                <c:pt idx="13">
                  <c:v>40.290999999999997</c:v>
                </c:pt>
                <c:pt idx="14">
                  <c:v>34.392000000000003</c:v>
                </c:pt>
                <c:pt idx="15">
                  <c:v>49.404000000000003</c:v>
                </c:pt>
                <c:pt idx="16">
                  <c:v>43.187999999999995</c:v>
                </c:pt>
                <c:pt idx="17">
                  <c:v>27.258999999999997</c:v>
                </c:pt>
                <c:pt idx="18">
                  <c:v>33.459000000000003</c:v>
                </c:pt>
                <c:pt idx="19">
                  <c:v>54.858999999999995</c:v>
                </c:pt>
                <c:pt idx="20">
                  <c:v>46.756999999999991</c:v>
                </c:pt>
                <c:pt idx="21">
                  <c:v>26.978000000000002</c:v>
                </c:pt>
                <c:pt idx="22">
                  <c:v>26.180999999999997</c:v>
                </c:pt>
                <c:pt idx="23">
                  <c:v>47.218000000000004</c:v>
                </c:pt>
                <c:pt idx="24">
                  <c:v>32.819000000000003</c:v>
                </c:pt>
                <c:pt idx="25">
                  <c:v>42.106999999999999</c:v>
                </c:pt>
                <c:pt idx="26">
                  <c:v>27.923000000000002</c:v>
                </c:pt>
                <c:pt idx="27">
                  <c:v>20.718</c:v>
                </c:pt>
                <c:pt idx="28">
                  <c:v>51.37700000000001</c:v>
                </c:pt>
                <c:pt idx="29">
                  <c:v>31.278999999999996</c:v>
                </c:pt>
                <c:pt idx="30">
                  <c:v>39.094999999999999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53-469F-85EF-29140A7FBCF1}"/>
            </c:ext>
          </c:extLst>
        </c:ser>
        <c:ser>
          <c:idx val="18"/>
          <c:order val="18"/>
          <c:tx>
            <c:strRef>
              <c:f>'March 25 graph'!$T$3:$T$4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graph'!$T$5:$T$35</c:f>
              <c:numCache>
                <c:formatCode>General</c:formatCode>
                <c:ptCount val="31"/>
                <c:pt idx="0">
                  <c:v>3811.7429999999995</c:v>
                </c:pt>
                <c:pt idx="1">
                  <c:v>3130.3599999999997</c:v>
                </c:pt>
                <c:pt idx="2">
                  <c:v>3503.0979999999995</c:v>
                </c:pt>
                <c:pt idx="3">
                  <c:v>4045.1729999999993</c:v>
                </c:pt>
                <c:pt idx="4">
                  <c:v>4047.8239999999983</c:v>
                </c:pt>
                <c:pt idx="5">
                  <c:v>4204.9659999999985</c:v>
                </c:pt>
                <c:pt idx="6">
                  <c:v>3889.8300000000004</c:v>
                </c:pt>
                <c:pt idx="7">
                  <c:v>3596.2570000000005</c:v>
                </c:pt>
                <c:pt idx="8">
                  <c:v>2839.7679999999991</c:v>
                </c:pt>
                <c:pt idx="9">
                  <c:v>3561.9129999999996</c:v>
                </c:pt>
                <c:pt idx="10">
                  <c:v>4235.8770000000013</c:v>
                </c:pt>
                <c:pt idx="11">
                  <c:v>4655.0879999999979</c:v>
                </c:pt>
                <c:pt idx="12">
                  <c:v>4331.5480000000007</c:v>
                </c:pt>
                <c:pt idx="13">
                  <c:v>4034.7319999999995</c:v>
                </c:pt>
                <c:pt idx="14">
                  <c:v>4579.938000000001</c:v>
                </c:pt>
                <c:pt idx="15">
                  <c:v>4221.0239999999994</c:v>
                </c:pt>
                <c:pt idx="16">
                  <c:v>4167.4490000000005</c:v>
                </c:pt>
                <c:pt idx="17">
                  <c:v>4599.3260000000009</c:v>
                </c:pt>
                <c:pt idx="18">
                  <c:v>4311.0909999999994</c:v>
                </c:pt>
                <c:pt idx="19">
                  <c:v>4622.683</c:v>
                </c:pt>
                <c:pt idx="20">
                  <c:v>4665.5480000000007</c:v>
                </c:pt>
                <c:pt idx="21">
                  <c:v>3551.9989999999989</c:v>
                </c:pt>
                <c:pt idx="22">
                  <c:v>2907.5339999999997</c:v>
                </c:pt>
                <c:pt idx="23">
                  <c:v>3551.3809999999989</c:v>
                </c:pt>
                <c:pt idx="24">
                  <c:v>4557.0389999999989</c:v>
                </c:pt>
                <c:pt idx="25">
                  <c:v>4215.2060000000001</c:v>
                </c:pt>
                <c:pt idx="26">
                  <c:v>4904.674</c:v>
                </c:pt>
                <c:pt idx="27">
                  <c:v>4083.2650000000003</c:v>
                </c:pt>
                <c:pt idx="28">
                  <c:v>3701.25</c:v>
                </c:pt>
                <c:pt idx="29">
                  <c:v>2896.293000000001</c:v>
                </c:pt>
                <c:pt idx="30">
                  <c:v>2349.9169999999995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53-469F-85EF-29140A7FBCF1}"/>
            </c:ext>
          </c:extLst>
        </c:ser>
        <c:ser>
          <c:idx val="19"/>
          <c:order val="19"/>
          <c:tx>
            <c:strRef>
              <c:f>'March 25 graph'!$U$3:$U$4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graph'!$U$5:$U$35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53-469F-85EF-29140A7FBCF1}"/>
            </c:ext>
          </c:extLst>
        </c:ser>
        <c:ser>
          <c:idx val="20"/>
          <c:order val="20"/>
          <c:tx>
            <c:strRef>
              <c:f>'March 25 graph'!$V$3:$V$4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graph'!$V$5:$V$35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53-469F-85EF-29140A7FBCF1}"/>
            </c:ext>
          </c:extLst>
        </c:ser>
        <c:ser>
          <c:idx val="21"/>
          <c:order val="21"/>
          <c:tx>
            <c:strRef>
              <c:f>'March 25 graph'!$W$3:$W$4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graph'!$W$5:$W$35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C53-469F-85EF-29140A7FBCF1}"/>
            </c:ext>
          </c:extLst>
        </c:ser>
        <c:ser>
          <c:idx val="22"/>
          <c:order val="22"/>
          <c:tx>
            <c:strRef>
              <c:f>'March 25 graph'!$X$3:$X$4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graph'!$X$5:$X$35</c:f>
              <c:numCache>
                <c:formatCode>General</c:formatCode>
                <c:ptCount val="31"/>
                <c:pt idx="0">
                  <c:v>355.43200000000002</c:v>
                </c:pt>
                <c:pt idx="1">
                  <c:v>370.90699999999993</c:v>
                </c:pt>
                <c:pt idx="2">
                  <c:v>141.86799999999997</c:v>
                </c:pt>
                <c:pt idx="3">
                  <c:v>155.51300000000001</c:v>
                </c:pt>
                <c:pt idx="4">
                  <c:v>308.14199999999994</c:v>
                </c:pt>
                <c:pt idx="5">
                  <c:v>230.566</c:v>
                </c:pt>
                <c:pt idx="6">
                  <c:v>367.90900000000005</c:v>
                </c:pt>
                <c:pt idx="7">
                  <c:v>347.125</c:v>
                </c:pt>
                <c:pt idx="8">
                  <c:v>380.59699999999998</c:v>
                </c:pt>
                <c:pt idx="9">
                  <c:v>303.41099999999994</c:v>
                </c:pt>
                <c:pt idx="10">
                  <c:v>108.74999999999999</c:v>
                </c:pt>
                <c:pt idx="11">
                  <c:v>311.06499999999988</c:v>
                </c:pt>
                <c:pt idx="12">
                  <c:v>220.62899999999988</c:v>
                </c:pt>
                <c:pt idx="13">
                  <c:v>405.0949999999998</c:v>
                </c:pt>
                <c:pt idx="14">
                  <c:v>622.40499999999963</c:v>
                </c:pt>
                <c:pt idx="15">
                  <c:v>619.7109999999999</c:v>
                </c:pt>
                <c:pt idx="16">
                  <c:v>363.90300000000002</c:v>
                </c:pt>
                <c:pt idx="17">
                  <c:v>118.38299999999998</c:v>
                </c:pt>
                <c:pt idx="18">
                  <c:v>364.98600000000016</c:v>
                </c:pt>
                <c:pt idx="19">
                  <c:v>324.49899999999997</c:v>
                </c:pt>
                <c:pt idx="20">
                  <c:v>310.79200000000009</c:v>
                </c:pt>
                <c:pt idx="21">
                  <c:v>391.32399999999984</c:v>
                </c:pt>
                <c:pt idx="22">
                  <c:v>588.86599999999999</c:v>
                </c:pt>
                <c:pt idx="23">
                  <c:v>406.79099999999994</c:v>
                </c:pt>
                <c:pt idx="24">
                  <c:v>105.53999999999999</c:v>
                </c:pt>
                <c:pt idx="25">
                  <c:v>336.31399999999996</c:v>
                </c:pt>
                <c:pt idx="26">
                  <c:v>346.66999999999979</c:v>
                </c:pt>
                <c:pt idx="27">
                  <c:v>315.94100000000003</c:v>
                </c:pt>
                <c:pt idx="28">
                  <c:v>342.6110000000001</c:v>
                </c:pt>
                <c:pt idx="29">
                  <c:v>450.25199999999995</c:v>
                </c:pt>
                <c:pt idx="30">
                  <c:v>410.82099999999997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53-469F-85EF-29140A7FBCF1}"/>
            </c:ext>
          </c:extLst>
        </c:ser>
        <c:ser>
          <c:idx val="23"/>
          <c:order val="23"/>
          <c:tx>
            <c:strRef>
              <c:f>'March 25 graph'!$Y$3:$Y$4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graph'!$Y$5:$Y$35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C53-469F-85EF-29140A7FBCF1}"/>
            </c:ext>
          </c:extLst>
        </c:ser>
        <c:ser>
          <c:idx val="24"/>
          <c:order val="24"/>
          <c:tx>
            <c:strRef>
              <c:f>'March 25 graph'!$Z$3:$Z$4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graph'!$Z$5:$Z$35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53-469F-85EF-29140A7FBCF1}"/>
            </c:ext>
          </c:extLst>
        </c:ser>
        <c:ser>
          <c:idx val="25"/>
          <c:order val="25"/>
          <c:tx>
            <c:strRef>
              <c:f>'March 25 graph'!$AA$3:$AA$4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graph'!$AA$5:$AA$35</c:f>
              <c:numCache>
                <c:formatCode>General</c:formatCode>
                <c:ptCount val="31"/>
                <c:pt idx="0">
                  <c:v>137.42400000000001</c:v>
                </c:pt>
                <c:pt idx="1">
                  <c:v>31.822000000000003</c:v>
                </c:pt>
                <c:pt idx="2">
                  <c:v>34.758000000000003</c:v>
                </c:pt>
                <c:pt idx="3">
                  <c:v>48.127000000000002</c:v>
                </c:pt>
                <c:pt idx="4">
                  <c:v>48.462000000000003</c:v>
                </c:pt>
                <c:pt idx="5">
                  <c:v>24.457000000000001</c:v>
                </c:pt>
                <c:pt idx="6">
                  <c:v>27.36</c:v>
                </c:pt>
                <c:pt idx="7">
                  <c:v>45.872999999999998</c:v>
                </c:pt>
                <c:pt idx="8">
                  <c:v>33.021000000000001</c:v>
                </c:pt>
                <c:pt idx="9">
                  <c:v>27.506</c:v>
                </c:pt>
                <c:pt idx="10">
                  <c:v>38.088999999999999</c:v>
                </c:pt>
                <c:pt idx="11">
                  <c:v>38.076000000000001</c:v>
                </c:pt>
                <c:pt idx="12">
                  <c:v>59.588999999999999</c:v>
                </c:pt>
                <c:pt idx="13">
                  <c:v>32.382000000000005</c:v>
                </c:pt>
                <c:pt idx="14">
                  <c:v>10.322000000000001</c:v>
                </c:pt>
                <c:pt idx="15">
                  <c:v>19.636000000000003</c:v>
                </c:pt>
                <c:pt idx="16">
                  <c:v>21.917000000000002</c:v>
                </c:pt>
                <c:pt idx="17">
                  <c:v>34.980000000000004</c:v>
                </c:pt>
                <c:pt idx="18">
                  <c:v>35.847000000000001</c:v>
                </c:pt>
                <c:pt idx="19">
                  <c:v>20.483000000000001</c:v>
                </c:pt>
                <c:pt idx="20">
                  <c:v>20.420000000000002</c:v>
                </c:pt>
                <c:pt idx="21">
                  <c:v>29.399000000000001</c:v>
                </c:pt>
                <c:pt idx="22">
                  <c:v>36.618000000000002</c:v>
                </c:pt>
                <c:pt idx="23">
                  <c:v>22.253999999999998</c:v>
                </c:pt>
                <c:pt idx="24">
                  <c:v>30.983000000000004</c:v>
                </c:pt>
                <c:pt idx="25">
                  <c:v>44.323</c:v>
                </c:pt>
                <c:pt idx="26">
                  <c:v>20.52</c:v>
                </c:pt>
                <c:pt idx="27">
                  <c:v>29.518999999999998</c:v>
                </c:pt>
                <c:pt idx="28">
                  <c:v>41.986000000000004</c:v>
                </c:pt>
                <c:pt idx="29">
                  <c:v>25.975999999999999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C53-469F-85EF-29140A7FBCF1}"/>
            </c:ext>
          </c:extLst>
        </c:ser>
        <c:ser>
          <c:idx val="26"/>
          <c:order val="26"/>
          <c:tx>
            <c:strRef>
              <c:f>'March 25 graph'!$AB$3:$AB$4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graph'!$AB$5:$AB$35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C53-469F-85EF-29140A7FBCF1}"/>
            </c:ext>
          </c:extLst>
        </c:ser>
        <c:ser>
          <c:idx val="27"/>
          <c:order val="27"/>
          <c:tx>
            <c:strRef>
              <c:f>'March 25 graph'!$AC$3:$AC$4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graph'!$AC$5:$AC$35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1.321</c:v>
                </c:pt>
                <c:pt idx="12">
                  <c:v>1.6139999999999999</c:v>
                </c:pt>
                <c:pt idx="13">
                  <c:v>1.3109999999999999</c:v>
                </c:pt>
                <c:pt idx="14">
                  <c:v>0</c:v>
                </c:pt>
                <c:pt idx="15">
                  <c:v>0.72299999999999998</c:v>
                </c:pt>
                <c:pt idx="16">
                  <c:v>0.53600000000000003</c:v>
                </c:pt>
                <c:pt idx="17">
                  <c:v>0.14199999999999999</c:v>
                </c:pt>
                <c:pt idx="18">
                  <c:v>0.63700000000000001</c:v>
                </c:pt>
                <c:pt idx="19">
                  <c:v>0.84299999999999997</c:v>
                </c:pt>
                <c:pt idx="20">
                  <c:v>0.82</c:v>
                </c:pt>
                <c:pt idx="21">
                  <c:v>0.77400000000000002</c:v>
                </c:pt>
                <c:pt idx="22">
                  <c:v>0.60099999999999998</c:v>
                </c:pt>
                <c:pt idx="23">
                  <c:v>0.51300000000000001</c:v>
                </c:pt>
                <c:pt idx="24">
                  <c:v>0.874</c:v>
                </c:pt>
                <c:pt idx="25">
                  <c:v>1.05</c:v>
                </c:pt>
                <c:pt idx="26">
                  <c:v>1.7389999999999999</c:v>
                </c:pt>
                <c:pt idx="27">
                  <c:v>1.627</c:v>
                </c:pt>
                <c:pt idx="28">
                  <c:v>0</c:v>
                </c:pt>
                <c:pt idx="29">
                  <c:v>0.68600000000000005</c:v>
                </c:pt>
                <c:pt idx="30">
                  <c:v>0.626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C53-469F-85EF-29140A7FBCF1}"/>
            </c:ext>
          </c:extLst>
        </c:ser>
        <c:ser>
          <c:idx val="28"/>
          <c:order val="28"/>
          <c:tx>
            <c:strRef>
              <c:f>'March 25 graph'!$AD$3:$AD$4</c:f>
              <c:strCache>
                <c:ptCount val="1"/>
                <c:pt idx="0">
                  <c:v>Panikoli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graph'!$AD$5:$AD$35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C53-469F-85EF-29140A7FBCF1}"/>
            </c:ext>
          </c:extLst>
        </c:ser>
        <c:ser>
          <c:idx val="29"/>
          <c:order val="29"/>
          <c:tx>
            <c:strRef>
              <c:f>'March 25 graph'!$AE$3:$AE$4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graph'!$AE$5:$AE$35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C53-469F-85EF-29140A7FBCF1}"/>
            </c:ext>
          </c:extLst>
        </c:ser>
        <c:ser>
          <c:idx val="30"/>
          <c:order val="30"/>
          <c:tx>
            <c:strRef>
              <c:f>'March 25 graph'!$AF$3:$AF$4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graph'!$AF$5:$AF$35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5.3390000000000004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C53-469F-85EF-29140A7FBCF1}"/>
            </c:ext>
          </c:extLst>
        </c:ser>
        <c:ser>
          <c:idx val="31"/>
          <c:order val="31"/>
          <c:tx>
            <c:strRef>
              <c:f>'March 25 graph'!$AG$3:$AG$4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graph'!$AG$5:$AG$35</c:f>
              <c:numCache>
                <c:formatCode>General</c:formatCode>
                <c:ptCount val="31"/>
                <c:pt idx="0">
                  <c:v>212.11299999999994</c:v>
                </c:pt>
                <c:pt idx="1">
                  <c:v>200.04599999999999</c:v>
                </c:pt>
                <c:pt idx="2">
                  <c:v>170.38800000000001</c:v>
                </c:pt>
                <c:pt idx="3">
                  <c:v>194.64300000000003</c:v>
                </c:pt>
                <c:pt idx="4">
                  <c:v>212.36599999999999</c:v>
                </c:pt>
                <c:pt idx="5">
                  <c:v>205.04999999999998</c:v>
                </c:pt>
                <c:pt idx="6">
                  <c:v>225.41999999999993</c:v>
                </c:pt>
                <c:pt idx="7">
                  <c:v>222.38000000000002</c:v>
                </c:pt>
                <c:pt idx="8">
                  <c:v>235.68399999999997</c:v>
                </c:pt>
                <c:pt idx="9">
                  <c:v>232.15999999999997</c:v>
                </c:pt>
                <c:pt idx="10">
                  <c:v>239.43799999999993</c:v>
                </c:pt>
                <c:pt idx="11">
                  <c:v>238.73399999999998</c:v>
                </c:pt>
                <c:pt idx="12">
                  <c:v>193.02899999999997</c:v>
                </c:pt>
                <c:pt idx="13">
                  <c:v>125.41899999999998</c:v>
                </c:pt>
                <c:pt idx="14">
                  <c:v>54.402999999999992</c:v>
                </c:pt>
                <c:pt idx="15">
                  <c:v>120.01300000000001</c:v>
                </c:pt>
                <c:pt idx="16">
                  <c:v>219.61399999999998</c:v>
                </c:pt>
                <c:pt idx="17">
                  <c:v>223.64500000000001</c:v>
                </c:pt>
                <c:pt idx="18">
                  <c:v>230.41600000000003</c:v>
                </c:pt>
                <c:pt idx="19">
                  <c:v>219.12100000000004</c:v>
                </c:pt>
                <c:pt idx="20">
                  <c:v>244.80900000000005</c:v>
                </c:pt>
                <c:pt idx="21">
                  <c:v>329.04199999999992</c:v>
                </c:pt>
                <c:pt idx="22">
                  <c:v>301.54300000000006</c:v>
                </c:pt>
                <c:pt idx="23">
                  <c:v>295.57599999999996</c:v>
                </c:pt>
                <c:pt idx="24">
                  <c:v>209.24700000000004</c:v>
                </c:pt>
                <c:pt idx="25">
                  <c:v>300.14100000000002</c:v>
                </c:pt>
                <c:pt idx="26">
                  <c:v>267.06300000000005</c:v>
                </c:pt>
                <c:pt idx="27">
                  <c:v>237.73399999999998</c:v>
                </c:pt>
                <c:pt idx="28">
                  <c:v>294.60500000000008</c:v>
                </c:pt>
                <c:pt idx="29">
                  <c:v>298.90399999999988</c:v>
                </c:pt>
                <c:pt idx="30">
                  <c:v>227.13500000000005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C53-469F-85EF-29140A7FBCF1}"/>
            </c:ext>
          </c:extLst>
        </c:ser>
        <c:ser>
          <c:idx val="32"/>
          <c:order val="32"/>
          <c:tx>
            <c:strRef>
              <c:f>'March 25 graph'!$AH$3:$AH$4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graph'!$AH$5:$AH$35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C53-469F-85EF-29140A7FBCF1}"/>
            </c:ext>
          </c:extLst>
        </c:ser>
        <c:ser>
          <c:idx val="33"/>
          <c:order val="33"/>
          <c:tx>
            <c:strRef>
              <c:f>'March 25 graph'!$AI$3:$AI$4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graph'!$AI$5:$AI$35</c:f>
              <c:numCache>
                <c:formatCode>General</c:formatCode>
                <c:ptCount val="31"/>
                <c:pt idx="0">
                  <c:v>28.317</c:v>
                </c:pt>
                <c:pt idx="1">
                  <c:v>28.186</c:v>
                </c:pt>
                <c:pt idx="2">
                  <c:v>24.173000000000002</c:v>
                </c:pt>
                <c:pt idx="3">
                  <c:v>37.165999999999997</c:v>
                </c:pt>
                <c:pt idx="4">
                  <c:v>22.551000000000002</c:v>
                </c:pt>
                <c:pt idx="5">
                  <c:v>26.432000000000002</c:v>
                </c:pt>
                <c:pt idx="6">
                  <c:v>18.957000000000001</c:v>
                </c:pt>
                <c:pt idx="7">
                  <c:v>37.682999999999993</c:v>
                </c:pt>
                <c:pt idx="8">
                  <c:v>15.356</c:v>
                </c:pt>
                <c:pt idx="9">
                  <c:v>41.746000000000002</c:v>
                </c:pt>
                <c:pt idx="10">
                  <c:v>24.600999999999999</c:v>
                </c:pt>
                <c:pt idx="11">
                  <c:v>27.436</c:v>
                </c:pt>
                <c:pt idx="12">
                  <c:v>12.861999999999998</c:v>
                </c:pt>
                <c:pt idx="13">
                  <c:v>36.615000000000002</c:v>
                </c:pt>
                <c:pt idx="14">
                  <c:v>20.93</c:v>
                </c:pt>
                <c:pt idx="15">
                  <c:v>24.349</c:v>
                </c:pt>
                <c:pt idx="16">
                  <c:v>33.185000000000002</c:v>
                </c:pt>
                <c:pt idx="17">
                  <c:v>19.974000000000004</c:v>
                </c:pt>
                <c:pt idx="18">
                  <c:v>35.277999999999999</c:v>
                </c:pt>
                <c:pt idx="19">
                  <c:v>28.199000000000002</c:v>
                </c:pt>
                <c:pt idx="20">
                  <c:v>45.354999999999997</c:v>
                </c:pt>
                <c:pt idx="21">
                  <c:v>16.970999999999997</c:v>
                </c:pt>
                <c:pt idx="22">
                  <c:v>44.894000000000005</c:v>
                </c:pt>
                <c:pt idx="23">
                  <c:v>33.015000000000001</c:v>
                </c:pt>
                <c:pt idx="24">
                  <c:v>41.278999999999996</c:v>
                </c:pt>
                <c:pt idx="25">
                  <c:v>26.843999999999998</c:v>
                </c:pt>
                <c:pt idx="26">
                  <c:v>29.868000000000002</c:v>
                </c:pt>
                <c:pt idx="27">
                  <c:v>21.319000000000003</c:v>
                </c:pt>
                <c:pt idx="28">
                  <c:v>34.954999999999998</c:v>
                </c:pt>
                <c:pt idx="29">
                  <c:v>39.975999999999999</c:v>
                </c:pt>
                <c:pt idx="30">
                  <c:v>18.819000000000003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C53-469F-85EF-29140A7FBCF1}"/>
            </c:ext>
          </c:extLst>
        </c:ser>
        <c:ser>
          <c:idx val="34"/>
          <c:order val="34"/>
          <c:tx>
            <c:strRef>
              <c:f>'March 25 graph'!$AJ$3:$AJ$4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graph'!$AJ$5:$AJ$35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C53-469F-85EF-29140A7FBCF1}"/>
            </c:ext>
          </c:extLst>
        </c:ser>
        <c:ser>
          <c:idx val="35"/>
          <c:order val="35"/>
          <c:tx>
            <c:strRef>
              <c:f>'March 25 graph'!$AK$3:$AK$4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graph'!$AK$5:$AK$35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C53-469F-85EF-29140A7FBCF1}"/>
            </c:ext>
          </c:extLst>
        </c:ser>
        <c:ser>
          <c:idx val="36"/>
          <c:order val="36"/>
          <c:tx>
            <c:strRef>
              <c:f>'March 25 graph'!$AL$3:$AL$4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graph'!$AL$5:$AL$35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C53-469F-85EF-29140A7FBCF1}"/>
            </c:ext>
          </c:extLst>
        </c:ser>
        <c:ser>
          <c:idx val="37"/>
          <c:order val="37"/>
          <c:tx>
            <c:strRef>
              <c:f>'March 25 graph'!$AM$3:$AM$4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graph'!$AM$5:$AM$35</c:f>
              <c:numCache>
                <c:formatCode>General</c:formatCode>
                <c:ptCount val="31"/>
                <c:pt idx="0">
                  <c:v>91.265999999999991</c:v>
                </c:pt>
                <c:pt idx="1">
                  <c:v>64.608000000000004</c:v>
                </c:pt>
                <c:pt idx="2">
                  <c:v>85.760999999999996</c:v>
                </c:pt>
                <c:pt idx="3">
                  <c:v>85.239000000000004</c:v>
                </c:pt>
                <c:pt idx="4">
                  <c:v>81.982000000000014</c:v>
                </c:pt>
                <c:pt idx="5">
                  <c:v>64.785000000000011</c:v>
                </c:pt>
                <c:pt idx="6">
                  <c:v>83.502999999999986</c:v>
                </c:pt>
                <c:pt idx="7">
                  <c:v>71.183999999999997</c:v>
                </c:pt>
                <c:pt idx="8">
                  <c:v>73.528999999999996</c:v>
                </c:pt>
                <c:pt idx="9">
                  <c:v>76.772999999999996</c:v>
                </c:pt>
                <c:pt idx="10">
                  <c:v>69.894999999999982</c:v>
                </c:pt>
                <c:pt idx="11">
                  <c:v>54.917000000000002</c:v>
                </c:pt>
                <c:pt idx="12">
                  <c:v>67.515999999999991</c:v>
                </c:pt>
                <c:pt idx="13">
                  <c:v>89.90300000000002</c:v>
                </c:pt>
                <c:pt idx="14">
                  <c:v>52.226000000000006</c:v>
                </c:pt>
                <c:pt idx="15">
                  <c:v>79.698000000000008</c:v>
                </c:pt>
                <c:pt idx="16">
                  <c:v>53.115999999999993</c:v>
                </c:pt>
                <c:pt idx="17">
                  <c:v>64.939000000000007</c:v>
                </c:pt>
                <c:pt idx="18">
                  <c:v>43.752999999999986</c:v>
                </c:pt>
                <c:pt idx="19">
                  <c:v>67</c:v>
                </c:pt>
                <c:pt idx="20">
                  <c:v>84.456000000000003</c:v>
                </c:pt>
                <c:pt idx="21">
                  <c:v>58.83</c:v>
                </c:pt>
                <c:pt idx="22">
                  <c:v>56.935999999999993</c:v>
                </c:pt>
                <c:pt idx="23">
                  <c:v>71.316999999999993</c:v>
                </c:pt>
                <c:pt idx="24">
                  <c:v>63.097999999999992</c:v>
                </c:pt>
                <c:pt idx="25">
                  <c:v>52.524000000000001</c:v>
                </c:pt>
                <c:pt idx="26">
                  <c:v>72.430000000000007</c:v>
                </c:pt>
                <c:pt idx="27">
                  <c:v>117.62299999999999</c:v>
                </c:pt>
                <c:pt idx="28">
                  <c:v>101.95299999999999</c:v>
                </c:pt>
                <c:pt idx="29">
                  <c:v>47.034000000000006</c:v>
                </c:pt>
                <c:pt idx="30">
                  <c:v>116.38600000000001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C53-469F-85EF-29140A7FBCF1}"/>
            </c:ext>
          </c:extLst>
        </c:ser>
        <c:ser>
          <c:idx val="38"/>
          <c:order val="38"/>
          <c:tx>
            <c:strRef>
              <c:f>'March 25 graph'!$AN$3:$AN$4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graph'!$AN$5:$AN$35</c:f>
              <c:numCache>
                <c:formatCode>General</c:formatCode>
                <c:ptCount val="31"/>
                <c:pt idx="0">
                  <c:v>146.595</c:v>
                </c:pt>
                <c:pt idx="1">
                  <c:v>81.227999999999994</c:v>
                </c:pt>
                <c:pt idx="2">
                  <c:v>84.080999999999989</c:v>
                </c:pt>
                <c:pt idx="3">
                  <c:v>140.11699999999996</c:v>
                </c:pt>
                <c:pt idx="4">
                  <c:v>97.609000000000023</c:v>
                </c:pt>
                <c:pt idx="5">
                  <c:v>125.255</c:v>
                </c:pt>
                <c:pt idx="6">
                  <c:v>87.45</c:v>
                </c:pt>
                <c:pt idx="7">
                  <c:v>85.075000000000003</c:v>
                </c:pt>
                <c:pt idx="8">
                  <c:v>102.32300000000001</c:v>
                </c:pt>
                <c:pt idx="9">
                  <c:v>95.161999999999992</c:v>
                </c:pt>
                <c:pt idx="10">
                  <c:v>90.945999999999998</c:v>
                </c:pt>
                <c:pt idx="11">
                  <c:v>42.75</c:v>
                </c:pt>
                <c:pt idx="12">
                  <c:v>43.82</c:v>
                </c:pt>
                <c:pt idx="13">
                  <c:v>59.603999999999999</c:v>
                </c:pt>
                <c:pt idx="14">
                  <c:v>26.021000000000001</c:v>
                </c:pt>
                <c:pt idx="15">
                  <c:v>35.403999999999996</c:v>
                </c:pt>
                <c:pt idx="16">
                  <c:v>34.762</c:v>
                </c:pt>
                <c:pt idx="17">
                  <c:v>32.03</c:v>
                </c:pt>
                <c:pt idx="18">
                  <c:v>56.321999999999996</c:v>
                </c:pt>
                <c:pt idx="19">
                  <c:v>32.43</c:v>
                </c:pt>
                <c:pt idx="20">
                  <c:v>23.907</c:v>
                </c:pt>
                <c:pt idx="21">
                  <c:v>33.290999999999997</c:v>
                </c:pt>
                <c:pt idx="22">
                  <c:v>59.135999999999996</c:v>
                </c:pt>
                <c:pt idx="23">
                  <c:v>36.587000000000003</c:v>
                </c:pt>
                <c:pt idx="24">
                  <c:v>32.182000000000002</c:v>
                </c:pt>
                <c:pt idx="25">
                  <c:v>44.014000000000003</c:v>
                </c:pt>
                <c:pt idx="26">
                  <c:v>37.211999999999996</c:v>
                </c:pt>
                <c:pt idx="27">
                  <c:v>34.677</c:v>
                </c:pt>
                <c:pt idx="28">
                  <c:v>47.435000000000002</c:v>
                </c:pt>
                <c:pt idx="29">
                  <c:v>40.215000000000003</c:v>
                </c:pt>
                <c:pt idx="30">
                  <c:v>22.846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C53-469F-85EF-29140A7FBCF1}"/>
            </c:ext>
          </c:extLst>
        </c:ser>
        <c:ser>
          <c:idx val="39"/>
          <c:order val="39"/>
          <c:tx>
            <c:strRef>
              <c:f>'March 25 graph'!$AO$3:$AO$4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graph'!$AO$5:$AO$35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26.003999999999998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C53-469F-85EF-29140A7FBCF1}"/>
            </c:ext>
          </c:extLst>
        </c:ser>
        <c:ser>
          <c:idx val="40"/>
          <c:order val="40"/>
          <c:tx>
            <c:strRef>
              <c:f>'March 25 graph'!$AP$3:$AP$4</c:f>
              <c:strCache>
                <c:ptCount val="1"/>
                <c:pt idx="0">
                  <c:v>Suryapet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graph'!$AP$5:$AP$35</c:f>
              <c:numCache>
                <c:formatCode>General</c:formatCode>
                <c:ptCount val="31"/>
                <c:pt idx="6">
                  <c:v>5.0999999999999996</c:v>
                </c:pt>
                <c:pt idx="7">
                  <c:v>409.4</c:v>
                </c:pt>
                <c:pt idx="8">
                  <c:v>0</c:v>
                </c:pt>
                <c:pt idx="9">
                  <c:v>0</c:v>
                </c:pt>
                <c:pt idx="10">
                  <c:v>3.7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48.650000000000006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27.1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36.173999999999999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C53-469F-85EF-29140A7FBCF1}"/>
            </c:ext>
          </c:extLst>
        </c:ser>
        <c:ser>
          <c:idx val="41"/>
          <c:order val="41"/>
          <c:tx>
            <c:strRef>
              <c:f>'March 25 graph'!$AQ$3:$AQ$4</c:f>
              <c:strCache>
                <c:ptCount val="1"/>
                <c:pt idx="0">
                  <c:v>Turkaplly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graph'!$AQ$5:$AQ$35</c:f>
              <c:numCache>
                <c:formatCode>General</c:formatCode>
                <c:ptCount val="31"/>
                <c:pt idx="23">
                  <c:v>0.29699999999999999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C53-469F-85EF-29140A7FBCF1}"/>
            </c:ext>
          </c:extLst>
        </c:ser>
        <c:ser>
          <c:idx val="42"/>
          <c:order val="42"/>
          <c:tx>
            <c:strRef>
              <c:f>'March 25 graph'!$AR$3:$AR$4</c:f>
              <c:strCache>
                <c:ptCount val="1"/>
                <c:pt idx="0">
                  <c:v>Karaikudi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graph'!$AR$5:$AR$35</c:f>
              <c:numCache>
                <c:formatCode>General</c:formatCode>
                <c:ptCount val="31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C53-469F-85EF-29140A7FBCF1}"/>
            </c:ext>
          </c:extLst>
        </c:ser>
        <c:ser>
          <c:idx val="43"/>
          <c:order val="43"/>
          <c:tx>
            <c:strRef>
              <c:f>'March 25 graph'!$AS$3:$AS$4</c:f>
              <c:strCache>
                <c:ptCount val="1"/>
                <c:pt idx="0">
                  <c:v>Pandharpur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graph'!$AS$5:$AS$35</c:f>
              <c:numCache>
                <c:formatCode>General</c:formatCode>
                <c:ptCount val="31"/>
                <c:pt idx="23">
                  <c:v>0</c:v>
                </c:pt>
                <c:pt idx="24">
                  <c:v>7.69</c:v>
                </c:pt>
                <c:pt idx="25">
                  <c:v>0</c:v>
                </c:pt>
                <c:pt idx="26">
                  <c:v>20.45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C53-469F-85EF-29140A7F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793856"/>
        <c:axId val="545787976"/>
      </c:barChart>
      <c:catAx>
        <c:axId val="5457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87976"/>
        <c:crosses val="autoZero"/>
        <c:auto val="1"/>
        <c:lblAlgn val="ctr"/>
        <c:lblOffset val="100"/>
        <c:noMultiLvlLbl val="0"/>
      </c:catAx>
      <c:valAx>
        <c:axId val="54578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Consumption.xlsx]March 25 graph!PivotTable4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'March 25 graph'!$B$3:$B$4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graph'!$B$5:$B$35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8-444B-A559-5428A37AA137}"/>
            </c:ext>
          </c:extLst>
        </c:ser>
        <c:ser>
          <c:idx val="1"/>
          <c:order val="1"/>
          <c:tx>
            <c:strRef>
              <c:f>'March 25 graph'!$C$3:$C$4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graph'!$C$5:$C$35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10.62</c:v>
                </c:pt>
                <c:pt idx="5">
                  <c:v>0</c:v>
                </c:pt>
                <c:pt idx="6">
                  <c:v>0</c:v>
                </c:pt>
                <c:pt idx="7">
                  <c:v>8.41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5.629999999999999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8-444B-A559-5428A37AA137}"/>
            </c:ext>
          </c:extLst>
        </c:ser>
        <c:ser>
          <c:idx val="2"/>
          <c:order val="2"/>
          <c:tx>
            <c:strRef>
              <c:f>'March 25 graph'!$D$3:$D$4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graph'!$D$5:$D$35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8-444B-A559-5428A37AA137}"/>
            </c:ext>
          </c:extLst>
        </c:ser>
        <c:ser>
          <c:idx val="3"/>
          <c:order val="3"/>
          <c:tx>
            <c:strRef>
              <c:f>'March 25 graph'!$E$3:$E$4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graph'!$E$5:$E$35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8-444B-A559-5428A37AA137}"/>
            </c:ext>
          </c:extLst>
        </c:ser>
        <c:ser>
          <c:idx val="4"/>
          <c:order val="4"/>
          <c:tx>
            <c:strRef>
              <c:f>'March 25 graph'!$F$3:$F$4</c:f>
              <c:strCache>
                <c:ptCount val="1"/>
                <c:pt idx="0">
                  <c:v>Allied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graph'!$F$5:$F$35</c:f>
              <c:numCache>
                <c:formatCode>General</c:formatCode>
                <c:ptCount val="31"/>
                <c:pt idx="0">
                  <c:v>14.790000000000001</c:v>
                </c:pt>
                <c:pt idx="1">
                  <c:v>43.93</c:v>
                </c:pt>
                <c:pt idx="2">
                  <c:v>0</c:v>
                </c:pt>
                <c:pt idx="3">
                  <c:v>35.909999999999997</c:v>
                </c:pt>
                <c:pt idx="4">
                  <c:v>12.09</c:v>
                </c:pt>
                <c:pt idx="5">
                  <c:v>14.660000000000002</c:v>
                </c:pt>
                <c:pt idx="6">
                  <c:v>8.6300000000000008</c:v>
                </c:pt>
                <c:pt idx="7">
                  <c:v>6.15</c:v>
                </c:pt>
                <c:pt idx="8">
                  <c:v>0</c:v>
                </c:pt>
                <c:pt idx="9">
                  <c:v>7.92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11.27</c:v>
                </c:pt>
                <c:pt idx="15">
                  <c:v>0</c:v>
                </c:pt>
                <c:pt idx="16">
                  <c:v>36.590000000000003</c:v>
                </c:pt>
                <c:pt idx="17">
                  <c:v>9.89</c:v>
                </c:pt>
                <c:pt idx="18">
                  <c:v>0</c:v>
                </c:pt>
                <c:pt idx="19">
                  <c:v>7.18</c:v>
                </c:pt>
                <c:pt idx="20">
                  <c:v>11.29</c:v>
                </c:pt>
                <c:pt idx="21">
                  <c:v>44.339999999999996</c:v>
                </c:pt>
                <c:pt idx="22">
                  <c:v>0</c:v>
                </c:pt>
                <c:pt idx="23">
                  <c:v>10.180000000000001</c:v>
                </c:pt>
                <c:pt idx="24">
                  <c:v>21.659999999999997</c:v>
                </c:pt>
                <c:pt idx="25">
                  <c:v>0.25</c:v>
                </c:pt>
                <c:pt idx="26">
                  <c:v>5.8400000000000007</c:v>
                </c:pt>
                <c:pt idx="27">
                  <c:v>33.160000000000004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B8-444B-A559-5428A37AA137}"/>
            </c:ext>
          </c:extLst>
        </c:ser>
        <c:ser>
          <c:idx val="5"/>
          <c:order val="5"/>
          <c:tx>
            <c:strRef>
              <c:f>'March 25 graph'!$G$3:$G$4</c:f>
              <c:strCache>
                <c:ptCount val="1"/>
                <c:pt idx="0">
                  <c:v>Angul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graph'!$G$5:$G$35</c:f>
              <c:numCache>
                <c:formatCode>General</c:formatCode>
                <c:ptCount val="31"/>
                <c:pt idx="0">
                  <c:v>16.548999999999999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8.3409999999999993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18.91</c:v>
                </c:pt>
                <c:pt idx="29">
                  <c:v>0</c:v>
                </c:pt>
                <c:pt idx="30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B8-444B-A559-5428A37AA137}"/>
            </c:ext>
          </c:extLst>
        </c:ser>
        <c:ser>
          <c:idx val="6"/>
          <c:order val="6"/>
          <c:tx>
            <c:strRef>
              <c:f>'March 25 graph'!$H$3:$H$4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graph'!$H$5:$H$35</c:f>
              <c:numCache>
                <c:formatCode>General</c:formatCode>
                <c:ptCount val="31"/>
                <c:pt idx="0">
                  <c:v>19.718</c:v>
                </c:pt>
                <c:pt idx="1">
                  <c:v>7.87</c:v>
                </c:pt>
                <c:pt idx="2">
                  <c:v>7.1310000000000002</c:v>
                </c:pt>
                <c:pt idx="3">
                  <c:v>11.059000000000001</c:v>
                </c:pt>
                <c:pt idx="4">
                  <c:v>13.044</c:v>
                </c:pt>
                <c:pt idx="5">
                  <c:v>8.1760000000000002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2.6920000000000002</c:v>
                </c:pt>
                <c:pt idx="10">
                  <c:v>10.872</c:v>
                </c:pt>
                <c:pt idx="11">
                  <c:v>13.084999999999997</c:v>
                </c:pt>
                <c:pt idx="12">
                  <c:v>18.081000000000003</c:v>
                </c:pt>
                <c:pt idx="13">
                  <c:v>7.0500000000000007</c:v>
                </c:pt>
                <c:pt idx="14">
                  <c:v>5.431</c:v>
                </c:pt>
                <c:pt idx="15">
                  <c:v>18.558</c:v>
                </c:pt>
                <c:pt idx="16">
                  <c:v>9.93</c:v>
                </c:pt>
                <c:pt idx="17">
                  <c:v>19.684999999999999</c:v>
                </c:pt>
                <c:pt idx="18">
                  <c:v>13.027999999999999</c:v>
                </c:pt>
                <c:pt idx="19">
                  <c:v>31.339000000000002</c:v>
                </c:pt>
                <c:pt idx="20">
                  <c:v>5.508</c:v>
                </c:pt>
                <c:pt idx="21">
                  <c:v>11.257</c:v>
                </c:pt>
                <c:pt idx="22">
                  <c:v>36.453000000000003</c:v>
                </c:pt>
                <c:pt idx="23">
                  <c:v>32.212999999999994</c:v>
                </c:pt>
                <c:pt idx="24">
                  <c:v>43.193000000000005</c:v>
                </c:pt>
                <c:pt idx="25">
                  <c:v>50.598999999999997</c:v>
                </c:pt>
                <c:pt idx="26">
                  <c:v>40.202999999999996</c:v>
                </c:pt>
                <c:pt idx="27">
                  <c:v>35.909999999999997</c:v>
                </c:pt>
                <c:pt idx="28">
                  <c:v>19.989000000000001</c:v>
                </c:pt>
                <c:pt idx="29">
                  <c:v>7.6379999999999999</c:v>
                </c:pt>
                <c:pt idx="30">
                  <c:v>13.321000000000002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B8-444B-A559-5428A37AA137}"/>
            </c:ext>
          </c:extLst>
        </c:ser>
        <c:ser>
          <c:idx val="7"/>
          <c:order val="7"/>
          <c:tx>
            <c:strRef>
              <c:f>'March 25 graph'!$I$3:$I$4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graph'!$I$5:$I$35</c:f>
              <c:numCache>
                <c:formatCode>General</c:formatCode>
                <c:ptCount val="31"/>
                <c:pt idx="0">
                  <c:v>536.02699999999993</c:v>
                </c:pt>
                <c:pt idx="1">
                  <c:v>515.02900000000011</c:v>
                </c:pt>
                <c:pt idx="2">
                  <c:v>506.16700000000003</c:v>
                </c:pt>
                <c:pt idx="3">
                  <c:v>606.82000000000005</c:v>
                </c:pt>
                <c:pt idx="4">
                  <c:v>496.49299999999999</c:v>
                </c:pt>
                <c:pt idx="5">
                  <c:v>540.19800000000009</c:v>
                </c:pt>
                <c:pt idx="6">
                  <c:v>552.71300000000008</c:v>
                </c:pt>
                <c:pt idx="7">
                  <c:v>527.30600000000004</c:v>
                </c:pt>
                <c:pt idx="8">
                  <c:v>574.9559999999999</c:v>
                </c:pt>
                <c:pt idx="9">
                  <c:v>431.25400000000002</c:v>
                </c:pt>
                <c:pt idx="10">
                  <c:v>457.80000000000007</c:v>
                </c:pt>
                <c:pt idx="11">
                  <c:v>421.13800000000003</c:v>
                </c:pt>
                <c:pt idx="12">
                  <c:v>419.29199999999997</c:v>
                </c:pt>
                <c:pt idx="13">
                  <c:v>476.8599999999999</c:v>
                </c:pt>
                <c:pt idx="14">
                  <c:v>484.89400000000006</c:v>
                </c:pt>
                <c:pt idx="15">
                  <c:v>476.37099999999998</c:v>
                </c:pt>
                <c:pt idx="16">
                  <c:v>415.82</c:v>
                </c:pt>
                <c:pt idx="17">
                  <c:v>464.31200000000001</c:v>
                </c:pt>
                <c:pt idx="18">
                  <c:v>523.46900000000005</c:v>
                </c:pt>
                <c:pt idx="19">
                  <c:v>419.69899999999996</c:v>
                </c:pt>
                <c:pt idx="20">
                  <c:v>434.96800000000002</c:v>
                </c:pt>
                <c:pt idx="21">
                  <c:v>459.79699999999997</c:v>
                </c:pt>
                <c:pt idx="22">
                  <c:v>459.81100000000004</c:v>
                </c:pt>
                <c:pt idx="23">
                  <c:v>522.29399999999998</c:v>
                </c:pt>
                <c:pt idx="24">
                  <c:v>444.22800000000007</c:v>
                </c:pt>
                <c:pt idx="25">
                  <c:v>573.97799999999995</c:v>
                </c:pt>
                <c:pt idx="26">
                  <c:v>426.34</c:v>
                </c:pt>
                <c:pt idx="27">
                  <c:v>425.19600000000008</c:v>
                </c:pt>
                <c:pt idx="28">
                  <c:v>438.96499999999997</c:v>
                </c:pt>
                <c:pt idx="29">
                  <c:v>307.27800000000002</c:v>
                </c:pt>
                <c:pt idx="30">
                  <c:v>334.334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B8-444B-A559-5428A37AA137}"/>
            </c:ext>
          </c:extLst>
        </c:ser>
        <c:ser>
          <c:idx val="8"/>
          <c:order val="8"/>
          <c:tx>
            <c:strRef>
              <c:f>'March 25 graph'!$J$3:$J$4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graph'!$J$5:$J$35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B8-444B-A559-5428A37AA137}"/>
            </c:ext>
          </c:extLst>
        </c:ser>
        <c:ser>
          <c:idx val="9"/>
          <c:order val="9"/>
          <c:tx>
            <c:strRef>
              <c:f>'March 25 graph'!$K$3:$K$4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graph'!$K$5:$K$35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10.539</c:v>
                </c:pt>
                <c:pt idx="7">
                  <c:v>5.25</c:v>
                </c:pt>
                <c:pt idx="8">
                  <c:v>12.55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9.129999999999999</c:v>
                </c:pt>
                <c:pt idx="13">
                  <c:v>0</c:v>
                </c:pt>
                <c:pt idx="14">
                  <c:v>4.08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5.97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B8-444B-A559-5428A37AA137}"/>
            </c:ext>
          </c:extLst>
        </c:ser>
        <c:ser>
          <c:idx val="10"/>
          <c:order val="10"/>
          <c:tx>
            <c:strRef>
              <c:f>'March 25 graph'!$L$3:$L$4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graph'!$L$5:$L$35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1.9089999999999998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B8-444B-A559-5428A37AA137}"/>
            </c:ext>
          </c:extLst>
        </c:ser>
        <c:ser>
          <c:idx val="11"/>
          <c:order val="11"/>
          <c:tx>
            <c:strRef>
              <c:f>'March 25 graph'!$M$3:$M$4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graph'!$M$5:$M$35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FB8-444B-A559-5428A37AA137}"/>
            </c:ext>
          </c:extLst>
        </c:ser>
        <c:ser>
          <c:idx val="12"/>
          <c:order val="12"/>
          <c:tx>
            <c:strRef>
              <c:f>'March 25 graph'!$N$3:$N$4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graph'!$N$5:$N$35</c:f>
              <c:numCache>
                <c:formatCode>General</c:formatCode>
                <c:ptCount val="31"/>
                <c:pt idx="0">
                  <c:v>1566.0559999999998</c:v>
                </c:pt>
                <c:pt idx="1">
                  <c:v>1432.5680000000002</c:v>
                </c:pt>
                <c:pt idx="2">
                  <c:v>1648.4230000000002</c:v>
                </c:pt>
                <c:pt idx="3">
                  <c:v>1716.8830000000003</c:v>
                </c:pt>
                <c:pt idx="4">
                  <c:v>1653.5</c:v>
                </c:pt>
                <c:pt idx="5">
                  <c:v>1821.3219999999994</c:v>
                </c:pt>
                <c:pt idx="6">
                  <c:v>1809.3179999999998</c:v>
                </c:pt>
                <c:pt idx="7">
                  <c:v>1913.3619999999999</c:v>
                </c:pt>
                <c:pt idx="8">
                  <c:v>1531.5599999999995</c:v>
                </c:pt>
                <c:pt idx="9">
                  <c:v>1686.1709999999998</c:v>
                </c:pt>
                <c:pt idx="10">
                  <c:v>1557.7820000000002</c:v>
                </c:pt>
                <c:pt idx="11">
                  <c:v>1597.5119999999999</c:v>
                </c:pt>
                <c:pt idx="12">
                  <c:v>1685.3240000000001</c:v>
                </c:pt>
                <c:pt idx="13">
                  <c:v>1026.0609999999999</c:v>
                </c:pt>
                <c:pt idx="14">
                  <c:v>1023.4690000000002</c:v>
                </c:pt>
                <c:pt idx="15">
                  <c:v>1324.2709999999997</c:v>
                </c:pt>
                <c:pt idx="16">
                  <c:v>1463.1180000000002</c:v>
                </c:pt>
                <c:pt idx="17">
                  <c:v>1794.9270000000001</c:v>
                </c:pt>
                <c:pt idx="18">
                  <c:v>1717.5950000000005</c:v>
                </c:pt>
                <c:pt idx="19">
                  <c:v>1683.0289999999998</c:v>
                </c:pt>
                <c:pt idx="20">
                  <c:v>1642.944</c:v>
                </c:pt>
                <c:pt idx="21">
                  <c:v>1700.7310000000004</c:v>
                </c:pt>
                <c:pt idx="22">
                  <c:v>1546.7110000000002</c:v>
                </c:pt>
                <c:pt idx="23">
                  <c:v>1542.2119999999998</c:v>
                </c:pt>
                <c:pt idx="24">
                  <c:v>1667.1</c:v>
                </c:pt>
                <c:pt idx="25">
                  <c:v>1565.3779999999999</c:v>
                </c:pt>
                <c:pt idx="26">
                  <c:v>1767.5330000000004</c:v>
                </c:pt>
                <c:pt idx="27">
                  <c:v>1632.3659999999995</c:v>
                </c:pt>
                <c:pt idx="28">
                  <c:v>1753.0160000000001</c:v>
                </c:pt>
                <c:pt idx="29">
                  <c:v>1652.9129999999998</c:v>
                </c:pt>
                <c:pt idx="30">
                  <c:v>1384.5040000000001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B8-444B-A559-5428A37AA137}"/>
            </c:ext>
          </c:extLst>
        </c:ser>
        <c:ser>
          <c:idx val="13"/>
          <c:order val="13"/>
          <c:tx>
            <c:strRef>
              <c:f>'March 25 graph'!$O$3:$O$4</c:f>
              <c:strCache>
                <c:ptCount val="1"/>
                <c:pt idx="0">
                  <c:v>Dhanbad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graph'!$O$5:$O$35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24.98</c:v>
                </c:pt>
                <c:pt idx="3">
                  <c:v>44.11</c:v>
                </c:pt>
                <c:pt idx="4">
                  <c:v>15.65</c:v>
                </c:pt>
                <c:pt idx="5">
                  <c:v>29.119999999999997</c:v>
                </c:pt>
                <c:pt idx="6">
                  <c:v>9.9600000000000009</c:v>
                </c:pt>
                <c:pt idx="7">
                  <c:v>33</c:v>
                </c:pt>
                <c:pt idx="8">
                  <c:v>27.03</c:v>
                </c:pt>
                <c:pt idx="9">
                  <c:v>11.389999999999999</c:v>
                </c:pt>
                <c:pt idx="10">
                  <c:v>9.0499999999999989</c:v>
                </c:pt>
                <c:pt idx="11">
                  <c:v>28.34</c:v>
                </c:pt>
                <c:pt idx="12">
                  <c:v>18.100000000000001</c:v>
                </c:pt>
                <c:pt idx="13">
                  <c:v>22.11</c:v>
                </c:pt>
                <c:pt idx="14">
                  <c:v>23.5</c:v>
                </c:pt>
                <c:pt idx="15">
                  <c:v>3.13</c:v>
                </c:pt>
                <c:pt idx="16">
                  <c:v>27.990000000000002</c:v>
                </c:pt>
                <c:pt idx="17">
                  <c:v>15.600000000000001</c:v>
                </c:pt>
                <c:pt idx="18">
                  <c:v>11.04</c:v>
                </c:pt>
                <c:pt idx="19">
                  <c:v>17.309999999999999</c:v>
                </c:pt>
                <c:pt idx="20">
                  <c:v>0.14000000000000001</c:v>
                </c:pt>
                <c:pt idx="21">
                  <c:v>0</c:v>
                </c:pt>
                <c:pt idx="22">
                  <c:v>23.09</c:v>
                </c:pt>
                <c:pt idx="23">
                  <c:v>22.03</c:v>
                </c:pt>
                <c:pt idx="24">
                  <c:v>26.21</c:v>
                </c:pt>
                <c:pt idx="25">
                  <c:v>9.98</c:v>
                </c:pt>
                <c:pt idx="26">
                  <c:v>6.44</c:v>
                </c:pt>
                <c:pt idx="27">
                  <c:v>10.48</c:v>
                </c:pt>
                <c:pt idx="28">
                  <c:v>10.23</c:v>
                </c:pt>
                <c:pt idx="29">
                  <c:v>33.14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B8-444B-A559-5428A37AA137}"/>
            </c:ext>
          </c:extLst>
        </c:ser>
        <c:ser>
          <c:idx val="14"/>
          <c:order val="14"/>
          <c:tx>
            <c:strRef>
              <c:f>'March 25 graph'!$P$3:$P$4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graph'!$P$5:$P$35</c:f>
              <c:numCache>
                <c:formatCode>General</c:formatCode>
                <c:ptCount val="31"/>
                <c:pt idx="0">
                  <c:v>21.121000000000002</c:v>
                </c:pt>
                <c:pt idx="1">
                  <c:v>0</c:v>
                </c:pt>
                <c:pt idx="2">
                  <c:v>0</c:v>
                </c:pt>
                <c:pt idx="3">
                  <c:v>8.9600000000000009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3.47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4.8310000000000004</c:v>
                </c:pt>
                <c:pt idx="18">
                  <c:v>2.899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8.7609999999999992</c:v>
                </c:pt>
                <c:pt idx="25">
                  <c:v>10.989000000000001</c:v>
                </c:pt>
                <c:pt idx="26">
                  <c:v>8.39</c:v>
                </c:pt>
                <c:pt idx="27">
                  <c:v>7.2009999999999996</c:v>
                </c:pt>
                <c:pt idx="28">
                  <c:v>9.0500000000000007</c:v>
                </c:pt>
                <c:pt idx="29">
                  <c:v>0</c:v>
                </c:pt>
                <c:pt idx="30">
                  <c:v>12.7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B8-444B-A559-5428A37AA137}"/>
            </c:ext>
          </c:extLst>
        </c:ser>
        <c:ser>
          <c:idx val="15"/>
          <c:order val="15"/>
          <c:tx>
            <c:strRef>
              <c:f>'March 25 graph'!$Q$3:$Q$4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graph'!$Q$5:$Q$35</c:f>
              <c:numCache>
                <c:formatCode>General</c:formatCode>
                <c:ptCount val="31"/>
                <c:pt idx="0">
                  <c:v>0</c:v>
                </c:pt>
                <c:pt idx="1">
                  <c:v>39.497999999999998</c:v>
                </c:pt>
                <c:pt idx="2">
                  <c:v>0</c:v>
                </c:pt>
                <c:pt idx="3">
                  <c:v>0</c:v>
                </c:pt>
                <c:pt idx="4">
                  <c:v>29.495999999999999</c:v>
                </c:pt>
                <c:pt idx="5">
                  <c:v>30.722000000000001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36.649000000000001</c:v>
                </c:pt>
                <c:pt idx="10">
                  <c:v>0</c:v>
                </c:pt>
                <c:pt idx="11">
                  <c:v>30.099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45.727000000000004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38.853999999999999</c:v>
                </c:pt>
                <c:pt idx="20">
                  <c:v>0</c:v>
                </c:pt>
                <c:pt idx="21">
                  <c:v>0</c:v>
                </c:pt>
                <c:pt idx="22">
                  <c:v>39.100999999999999</c:v>
                </c:pt>
                <c:pt idx="23">
                  <c:v>39.692</c:v>
                </c:pt>
                <c:pt idx="24">
                  <c:v>0</c:v>
                </c:pt>
                <c:pt idx="25">
                  <c:v>0</c:v>
                </c:pt>
                <c:pt idx="26">
                  <c:v>38.968000000000004</c:v>
                </c:pt>
                <c:pt idx="27">
                  <c:v>3.7370000000000001</c:v>
                </c:pt>
                <c:pt idx="28">
                  <c:v>0</c:v>
                </c:pt>
                <c:pt idx="29">
                  <c:v>38.750999999999998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B8-444B-A559-5428A37AA137}"/>
            </c:ext>
          </c:extLst>
        </c:ser>
        <c:ser>
          <c:idx val="16"/>
          <c:order val="16"/>
          <c:tx>
            <c:strRef>
              <c:f>'March 25 graph'!$R$3:$R$4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graph'!$R$5:$R$35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FB8-444B-A559-5428A37AA137}"/>
            </c:ext>
          </c:extLst>
        </c:ser>
        <c:ser>
          <c:idx val="17"/>
          <c:order val="17"/>
          <c:tx>
            <c:strRef>
              <c:f>'March 25 graph'!$S$3:$S$4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graph'!$S$5:$S$35</c:f>
              <c:numCache>
                <c:formatCode>General</c:formatCode>
                <c:ptCount val="31"/>
                <c:pt idx="0">
                  <c:v>25.302</c:v>
                </c:pt>
                <c:pt idx="1">
                  <c:v>27.204000000000001</c:v>
                </c:pt>
                <c:pt idx="2">
                  <c:v>56.147999999999996</c:v>
                </c:pt>
                <c:pt idx="3">
                  <c:v>53.87700000000001</c:v>
                </c:pt>
                <c:pt idx="4">
                  <c:v>50.326999999999998</c:v>
                </c:pt>
                <c:pt idx="5">
                  <c:v>47.094999999999999</c:v>
                </c:pt>
                <c:pt idx="6">
                  <c:v>36.478999999999999</c:v>
                </c:pt>
                <c:pt idx="7">
                  <c:v>46.58</c:v>
                </c:pt>
                <c:pt idx="8">
                  <c:v>28.867000000000004</c:v>
                </c:pt>
                <c:pt idx="9">
                  <c:v>27.731000000000005</c:v>
                </c:pt>
                <c:pt idx="10">
                  <c:v>42.673000000000002</c:v>
                </c:pt>
                <c:pt idx="11">
                  <c:v>34.308999999999997</c:v>
                </c:pt>
                <c:pt idx="12">
                  <c:v>44.981999999999999</c:v>
                </c:pt>
                <c:pt idx="13">
                  <c:v>40.290999999999997</c:v>
                </c:pt>
                <c:pt idx="14">
                  <c:v>34.392000000000003</c:v>
                </c:pt>
                <c:pt idx="15">
                  <c:v>49.404000000000003</c:v>
                </c:pt>
                <c:pt idx="16">
                  <c:v>43.187999999999995</c:v>
                </c:pt>
                <c:pt idx="17">
                  <c:v>27.258999999999997</c:v>
                </c:pt>
                <c:pt idx="18">
                  <c:v>33.459000000000003</c:v>
                </c:pt>
                <c:pt idx="19">
                  <c:v>54.858999999999995</c:v>
                </c:pt>
                <c:pt idx="20">
                  <c:v>46.756999999999991</c:v>
                </c:pt>
                <c:pt idx="21">
                  <c:v>26.978000000000002</c:v>
                </c:pt>
                <c:pt idx="22">
                  <c:v>26.180999999999997</c:v>
                </c:pt>
                <c:pt idx="23">
                  <c:v>47.218000000000004</c:v>
                </c:pt>
                <c:pt idx="24">
                  <c:v>32.819000000000003</c:v>
                </c:pt>
                <c:pt idx="25">
                  <c:v>42.106999999999999</c:v>
                </c:pt>
                <c:pt idx="26">
                  <c:v>27.923000000000002</c:v>
                </c:pt>
                <c:pt idx="27">
                  <c:v>20.718</c:v>
                </c:pt>
                <c:pt idx="28">
                  <c:v>51.37700000000001</c:v>
                </c:pt>
                <c:pt idx="29">
                  <c:v>31.278999999999996</c:v>
                </c:pt>
                <c:pt idx="30">
                  <c:v>39.094999999999999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FB8-444B-A559-5428A37AA137}"/>
            </c:ext>
          </c:extLst>
        </c:ser>
        <c:ser>
          <c:idx val="18"/>
          <c:order val="18"/>
          <c:tx>
            <c:strRef>
              <c:f>'March 25 graph'!$T$3:$T$4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graph'!$T$5:$T$35</c:f>
              <c:numCache>
                <c:formatCode>General</c:formatCode>
                <c:ptCount val="31"/>
                <c:pt idx="0">
                  <c:v>3811.7429999999995</c:v>
                </c:pt>
                <c:pt idx="1">
                  <c:v>3130.3599999999997</c:v>
                </c:pt>
                <c:pt idx="2">
                  <c:v>3503.0979999999995</c:v>
                </c:pt>
                <c:pt idx="3">
                  <c:v>4045.1729999999993</c:v>
                </c:pt>
                <c:pt idx="4">
                  <c:v>4047.8239999999983</c:v>
                </c:pt>
                <c:pt idx="5">
                  <c:v>4204.9659999999985</c:v>
                </c:pt>
                <c:pt idx="6">
                  <c:v>3889.8300000000004</c:v>
                </c:pt>
                <c:pt idx="7">
                  <c:v>3596.2570000000005</c:v>
                </c:pt>
                <c:pt idx="8">
                  <c:v>2839.7679999999991</c:v>
                </c:pt>
                <c:pt idx="9">
                  <c:v>3561.9129999999996</c:v>
                </c:pt>
                <c:pt idx="10">
                  <c:v>4235.8770000000013</c:v>
                </c:pt>
                <c:pt idx="11">
                  <c:v>4655.0879999999979</c:v>
                </c:pt>
                <c:pt idx="12">
                  <c:v>4331.5480000000007</c:v>
                </c:pt>
                <c:pt idx="13">
                  <c:v>4034.7319999999995</c:v>
                </c:pt>
                <c:pt idx="14">
                  <c:v>4579.938000000001</c:v>
                </c:pt>
                <c:pt idx="15">
                  <c:v>4221.0239999999994</c:v>
                </c:pt>
                <c:pt idx="16">
                  <c:v>4167.4490000000005</c:v>
                </c:pt>
                <c:pt idx="17">
                  <c:v>4599.3260000000009</c:v>
                </c:pt>
                <c:pt idx="18">
                  <c:v>4311.0909999999994</c:v>
                </c:pt>
                <c:pt idx="19">
                  <c:v>4622.683</c:v>
                </c:pt>
                <c:pt idx="20">
                  <c:v>4665.5480000000007</c:v>
                </c:pt>
                <c:pt idx="21">
                  <c:v>3551.9989999999989</c:v>
                </c:pt>
                <c:pt idx="22">
                  <c:v>2907.5339999999997</c:v>
                </c:pt>
                <c:pt idx="23">
                  <c:v>3551.3809999999989</c:v>
                </c:pt>
                <c:pt idx="24">
                  <c:v>4557.0389999999989</c:v>
                </c:pt>
                <c:pt idx="25">
                  <c:v>4215.2060000000001</c:v>
                </c:pt>
                <c:pt idx="26">
                  <c:v>4904.674</c:v>
                </c:pt>
                <c:pt idx="27">
                  <c:v>4083.2650000000003</c:v>
                </c:pt>
                <c:pt idx="28">
                  <c:v>3701.25</c:v>
                </c:pt>
                <c:pt idx="29">
                  <c:v>2896.293000000001</c:v>
                </c:pt>
                <c:pt idx="30">
                  <c:v>2349.9169999999995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B8-444B-A559-5428A37AA137}"/>
            </c:ext>
          </c:extLst>
        </c:ser>
        <c:ser>
          <c:idx val="19"/>
          <c:order val="19"/>
          <c:tx>
            <c:strRef>
              <c:f>'March 25 graph'!$U$3:$U$4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graph'!$U$5:$U$35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FB8-444B-A559-5428A37AA137}"/>
            </c:ext>
          </c:extLst>
        </c:ser>
        <c:ser>
          <c:idx val="20"/>
          <c:order val="20"/>
          <c:tx>
            <c:strRef>
              <c:f>'March 25 graph'!$V$3:$V$4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graph'!$V$5:$V$35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B8-444B-A559-5428A37AA137}"/>
            </c:ext>
          </c:extLst>
        </c:ser>
        <c:ser>
          <c:idx val="21"/>
          <c:order val="21"/>
          <c:tx>
            <c:strRef>
              <c:f>'March 25 graph'!$W$3:$W$4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graph'!$W$5:$W$35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B8-444B-A559-5428A37AA137}"/>
            </c:ext>
          </c:extLst>
        </c:ser>
        <c:ser>
          <c:idx val="22"/>
          <c:order val="22"/>
          <c:tx>
            <c:strRef>
              <c:f>'March 25 graph'!$X$3:$X$4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graph'!$X$5:$X$35</c:f>
              <c:numCache>
                <c:formatCode>General</c:formatCode>
                <c:ptCount val="31"/>
                <c:pt idx="0">
                  <c:v>355.43200000000002</c:v>
                </c:pt>
                <c:pt idx="1">
                  <c:v>370.90699999999993</c:v>
                </c:pt>
                <c:pt idx="2">
                  <c:v>141.86799999999997</c:v>
                </c:pt>
                <c:pt idx="3">
                  <c:v>155.51300000000001</c:v>
                </c:pt>
                <c:pt idx="4">
                  <c:v>308.14199999999994</c:v>
                </c:pt>
                <c:pt idx="5">
                  <c:v>230.566</c:v>
                </c:pt>
                <c:pt idx="6">
                  <c:v>367.90900000000005</c:v>
                </c:pt>
                <c:pt idx="7">
                  <c:v>347.125</c:v>
                </c:pt>
                <c:pt idx="8">
                  <c:v>380.59699999999998</c:v>
                </c:pt>
                <c:pt idx="9">
                  <c:v>303.41099999999994</c:v>
                </c:pt>
                <c:pt idx="10">
                  <c:v>108.74999999999999</c:v>
                </c:pt>
                <c:pt idx="11">
                  <c:v>311.06499999999988</c:v>
                </c:pt>
                <c:pt idx="12">
                  <c:v>220.62899999999988</c:v>
                </c:pt>
                <c:pt idx="13">
                  <c:v>405.0949999999998</c:v>
                </c:pt>
                <c:pt idx="14">
                  <c:v>622.40499999999963</c:v>
                </c:pt>
                <c:pt idx="15">
                  <c:v>619.7109999999999</c:v>
                </c:pt>
                <c:pt idx="16">
                  <c:v>363.90300000000002</c:v>
                </c:pt>
                <c:pt idx="17">
                  <c:v>118.38299999999998</c:v>
                </c:pt>
                <c:pt idx="18">
                  <c:v>364.98600000000016</c:v>
                </c:pt>
                <c:pt idx="19">
                  <c:v>324.49899999999997</c:v>
                </c:pt>
                <c:pt idx="20">
                  <c:v>310.79200000000009</c:v>
                </c:pt>
                <c:pt idx="21">
                  <c:v>391.32399999999984</c:v>
                </c:pt>
                <c:pt idx="22">
                  <c:v>588.86599999999999</c:v>
                </c:pt>
                <c:pt idx="23">
                  <c:v>406.79099999999994</c:v>
                </c:pt>
                <c:pt idx="24">
                  <c:v>105.53999999999999</c:v>
                </c:pt>
                <c:pt idx="25">
                  <c:v>336.31399999999996</c:v>
                </c:pt>
                <c:pt idx="26">
                  <c:v>346.66999999999979</c:v>
                </c:pt>
                <c:pt idx="27">
                  <c:v>315.94100000000003</c:v>
                </c:pt>
                <c:pt idx="28">
                  <c:v>342.6110000000001</c:v>
                </c:pt>
                <c:pt idx="29">
                  <c:v>450.25199999999995</c:v>
                </c:pt>
                <c:pt idx="30">
                  <c:v>410.82099999999997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B8-444B-A559-5428A37AA137}"/>
            </c:ext>
          </c:extLst>
        </c:ser>
        <c:ser>
          <c:idx val="23"/>
          <c:order val="23"/>
          <c:tx>
            <c:strRef>
              <c:f>'March 25 graph'!$Y$3:$Y$4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graph'!$Y$5:$Y$35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B8-444B-A559-5428A37AA137}"/>
            </c:ext>
          </c:extLst>
        </c:ser>
        <c:ser>
          <c:idx val="24"/>
          <c:order val="24"/>
          <c:tx>
            <c:strRef>
              <c:f>'March 25 graph'!$Z$3:$Z$4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graph'!$Z$5:$Z$35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B8-444B-A559-5428A37AA137}"/>
            </c:ext>
          </c:extLst>
        </c:ser>
        <c:ser>
          <c:idx val="25"/>
          <c:order val="25"/>
          <c:tx>
            <c:strRef>
              <c:f>'March 25 graph'!$AA$3:$AA$4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graph'!$AA$5:$AA$35</c:f>
              <c:numCache>
                <c:formatCode>General</c:formatCode>
                <c:ptCount val="31"/>
                <c:pt idx="0">
                  <c:v>137.42400000000001</c:v>
                </c:pt>
                <c:pt idx="1">
                  <c:v>31.822000000000003</c:v>
                </c:pt>
                <c:pt idx="2">
                  <c:v>34.758000000000003</c:v>
                </c:pt>
                <c:pt idx="3">
                  <c:v>48.127000000000002</c:v>
                </c:pt>
                <c:pt idx="4">
                  <c:v>48.462000000000003</c:v>
                </c:pt>
                <c:pt idx="5">
                  <c:v>24.457000000000001</c:v>
                </c:pt>
                <c:pt idx="6">
                  <c:v>27.36</c:v>
                </c:pt>
                <c:pt idx="7">
                  <c:v>45.872999999999998</c:v>
                </c:pt>
                <c:pt idx="8">
                  <c:v>33.021000000000001</c:v>
                </c:pt>
                <c:pt idx="9">
                  <c:v>27.506</c:v>
                </c:pt>
                <c:pt idx="10">
                  <c:v>38.088999999999999</c:v>
                </c:pt>
                <c:pt idx="11">
                  <c:v>38.076000000000001</c:v>
                </c:pt>
                <c:pt idx="12">
                  <c:v>59.588999999999999</c:v>
                </c:pt>
                <c:pt idx="13">
                  <c:v>32.382000000000005</c:v>
                </c:pt>
                <c:pt idx="14">
                  <c:v>10.322000000000001</c:v>
                </c:pt>
                <c:pt idx="15">
                  <c:v>19.636000000000003</c:v>
                </c:pt>
                <c:pt idx="16">
                  <c:v>21.917000000000002</c:v>
                </c:pt>
                <c:pt idx="17">
                  <c:v>34.980000000000004</c:v>
                </c:pt>
                <c:pt idx="18">
                  <c:v>35.847000000000001</c:v>
                </c:pt>
                <c:pt idx="19">
                  <c:v>20.483000000000001</c:v>
                </c:pt>
                <c:pt idx="20">
                  <c:v>20.420000000000002</c:v>
                </c:pt>
                <c:pt idx="21">
                  <c:v>29.399000000000001</c:v>
                </c:pt>
                <c:pt idx="22">
                  <c:v>36.618000000000002</c:v>
                </c:pt>
                <c:pt idx="23">
                  <c:v>22.253999999999998</c:v>
                </c:pt>
                <c:pt idx="24">
                  <c:v>30.983000000000004</c:v>
                </c:pt>
                <c:pt idx="25">
                  <c:v>44.323</c:v>
                </c:pt>
                <c:pt idx="26">
                  <c:v>20.52</c:v>
                </c:pt>
                <c:pt idx="27">
                  <c:v>29.518999999999998</c:v>
                </c:pt>
                <c:pt idx="28">
                  <c:v>41.986000000000004</c:v>
                </c:pt>
                <c:pt idx="29">
                  <c:v>25.975999999999999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B8-444B-A559-5428A37AA137}"/>
            </c:ext>
          </c:extLst>
        </c:ser>
        <c:ser>
          <c:idx val="26"/>
          <c:order val="26"/>
          <c:tx>
            <c:strRef>
              <c:f>'March 25 graph'!$AB$3:$AB$4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graph'!$AB$5:$AB$35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FB8-444B-A559-5428A37AA137}"/>
            </c:ext>
          </c:extLst>
        </c:ser>
        <c:ser>
          <c:idx val="27"/>
          <c:order val="27"/>
          <c:tx>
            <c:strRef>
              <c:f>'March 25 graph'!$AC$3:$AC$4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graph'!$AC$5:$AC$35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1.321</c:v>
                </c:pt>
                <c:pt idx="12">
                  <c:v>1.6139999999999999</c:v>
                </c:pt>
                <c:pt idx="13">
                  <c:v>1.3109999999999999</c:v>
                </c:pt>
                <c:pt idx="14">
                  <c:v>0</c:v>
                </c:pt>
                <c:pt idx="15">
                  <c:v>0.72299999999999998</c:v>
                </c:pt>
                <c:pt idx="16">
                  <c:v>0.53600000000000003</c:v>
                </c:pt>
                <c:pt idx="17">
                  <c:v>0.14199999999999999</c:v>
                </c:pt>
                <c:pt idx="18">
                  <c:v>0.63700000000000001</c:v>
                </c:pt>
                <c:pt idx="19">
                  <c:v>0.84299999999999997</c:v>
                </c:pt>
                <c:pt idx="20">
                  <c:v>0.82</c:v>
                </c:pt>
                <c:pt idx="21">
                  <c:v>0.77400000000000002</c:v>
                </c:pt>
                <c:pt idx="22">
                  <c:v>0.60099999999999998</c:v>
                </c:pt>
                <c:pt idx="23">
                  <c:v>0.51300000000000001</c:v>
                </c:pt>
                <c:pt idx="24">
                  <c:v>0.874</c:v>
                </c:pt>
                <c:pt idx="25">
                  <c:v>1.05</c:v>
                </c:pt>
                <c:pt idx="26">
                  <c:v>1.7389999999999999</c:v>
                </c:pt>
                <c:pt idx="27">
                  <c:v>1.627</c:v>
                </c:pt>
                <c:pt idx="28">
                  <c:v>0</c:v>
                </c:pt>
                <c:pt idx="29">
                  <c:v>0.68600000000000005</c:v>
                </c:pt>
                <c:pt idx="30">
                  <c:v>0.626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FB8-444B-A559-5428A37AA137}"/>
            </c:ext>
          </c:extLst>
        </c:ser>
        <c:ser>
          <c:idx val="28"/>
          <c:order val="28"/>
          <c:tx>
            <c:strRef>
              <c:f>'March 25 graph'!$AD$3:$AD$4</c:f>
              <c:strCache>
                <c:ptCount val="1"/>
                <c:pt idx="0">
                  <c:v>Panikoli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graph'!$AD$5:$AD$35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FB8-444B-A559-5428A37AA137}"/>
            </c:ext>
          </c:extLst>
        </c:ser>
        <c:ser>
          <c:idx val="29"/>
          <c:order val="29"/>
          <c:tx>
            <c:strRef>
              <c:f>'March 25 graph'!$AE$3:$AE$4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graph'!$AE$5:$AE$35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FB8-444B-A559-5428A37AA137}"/>
            </c:ext>
          </c:extLst>
        </c:ser>
        <c:ser>
          <c:idx val="30"/>
          <c:order val="30"/>
          <c:tx>
            <c:strRef>
              <c:f>'March 25 graph'!$AF$3:$AF$4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graph'!$AF$5:$AF$35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5.3390000000000004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FB8-444B-A559-5428A37AA137}"/>
            </c:ext>
          </c:extLst>
        </c:ser>
        <c:ser>
          <c:idx val="31"/>
          <c:order val="31"/>
          <c:tx>
            <c:strRef>
              <c:f>'March 25 graph'!$AG$3:$AG$4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graph'!$AG$5:$AG$35</c:f>
              <c:numCache>
                <c:formatCode>General</c:formatCode>
                <c:ptCount val="31"/>
                <c:pt idx="0">
                  <c:v>212.11299999999994</c:v>
                </c:pt>
                <c:pt idx="1">
                  <c:v>200.04599999999999</c:v>
                </c:pt>
                <c:pt idx="2">
                  <c:v>170.38800000000001</c:v>
                </c:pt>
                <c:pt idx="3">
                  <c:v>194.64300000000003</c:v>
                </c:pt>
                <c:pt idx="4">
                  <c:v>212.36599999999999</c:v>
                </c:pt>
                <c:pt idx="5">
                  <c:v>205.04999999999998</c:v>
                </c:pt>
                <c:pt idx="6">
                  <c:v>225.41999999999993</c:v>
                </c:pt>
                <c:pt idx="7">
                  <c:v>222.38000000000002</c:v>
                </c:pt>
                <c:pt idx="8">
                  <c:v>235.68399999999997</c:v>
                </c:pt>
                <c:pt idx="9">
                  <c:v>232.15999999999997</c:v>
                </c:pt>
                <c:pt idx="10">
                  <c:v>239.43799999999993</c:v>
                </c:pt>
                <c:pt idx="11">
                  <c:v>238.73399999999998</c:v>
                </c:pt>
                <c:pt idx="12">
                  <c:v>193.02899999999997</c:v>
                </c:pt>
                <c:pt idx="13">
                  <c:v>125.41899999999998</c:v>
                </c:pt>
                <c:pt idx="14">
                  <c:v>54.402999999999992</c:v>
                </c:pt>
                <c:pt idx="15">
                  <c:v>120.01300000000001</c:v>
                </c:pt>
                <c:pt idx="16">
                  <c:v>219.61399999999998</c:v>
                </c:pt>
                <c:pt idx="17">
                  <c:v>223.64500000000001</c:v>
                </c:pt>
                <c:pt idx="18">
                  <c:v>230.41600000000003</c:v>
                </c:pt>
                <c:pt idx="19">
                  <c:v>219.12100000000004</c:v>
                </c:pt>
                <c:pt idx="20">
                  <c:v>244.80900000000005</c:v>
                </c:pt>
                <c:pt idx="21">
                  <c:v>329.04199999999992</c:v>
                </c:pt>
                <c:pt idx="22">
                  <c:v>301.54300000000006</c:v>
                </c:pt>
                <c:pt idx="23">
                  <c:v>295.57599999999996</c:v>
                </c:pt>
                <c:pt idx="24">
                  <c:v>209.24700000000004</c:v>
                </c:pt>
                <c:pt idx="25">
                  <c:v>300.14100000000002</c:v>
                </c:pt>
                <c:pt idx="26">
                  <c:v>267.06300000000005</c:v>
                </c:pt>
                <c:pt idx="27">
                  <c:v>237.73399999999998</c:v>
                </c:pt>
                <c:pt idx="28">
                  <c:v>294.60500000000008</c:v>
                </c:pt>
                <c:pt idx="29">
                  <c:v>298.90399999999988</c:v>
                </c:pt>
                <c:pt idx="30">
                  <c:v>227.13500000000005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FB8-444B-A559-5428A37AA137}"/>
            </c:ext>
          </c:extLst>
        </c:ser>
        <c:ser>
          <c:idx val="32"/>
          <c:order val="32"/>
          <c:tx>
            <c:strRef>
              <c:f>'March 25 graph'!$AH$3:$AH$4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graph'!$AH$5:$AH$35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FB8-444B-A559-5428A37AA137}"/>
            </c:ext>
          </c:extLst>
        </c:ser>
        <c:ser>
          <c:idx val="33"/>
          <c:order val="33"/>
          <c:tx>
            <c:strRef>
              <c:f>'March 25 graph'!$AI$3:$AI$4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graph'!$AI$5:$AI$35</c:f>
              <c:numCache>
                <c:formatCode>General</c:formatCode>
                <c:ptCount val="31"/>
                <c:pt idx="0">
                  <c:v>28.317</c:v>
                </c:pt>
                <c:pt idx="1">
                  <c:v>28.186</c:v>
                </c:pt>
                <c:pt idx="2">
                  <c:v>24.173000000000002</c:v>
                </c:pt>
                <c:pt idx="3">
                  <c:v>37.165999999999997</c:v>
                </c:pt>
                <c:pt idx="4">
                  <c:v>22.551000000000002</c:v>
                </c:pt>
                <c:pt idx="5">
                  <c:v>26.432000000000002</c:v>
                </c:pt>
                <c:pt idx="6">
                  <c:v>18.957000000000001</c:v>
                </c:pt>
                <c:pt idx="7">
                  <c:v>37.682999999999993</c:v>
                </c:pt>
                <c:pt idx="8">
                  <c:v>15.356</c:v>
                </c:pt>
                <c:pt idx="9">
                  <c:v>41.746000000000002</c:v>
                </c:pt>
                <c:pt idx="10">
                  <c:v>24.600999999999999</c:v>
                </c:pt>
                <c:pt idx="11">
                  <c:v>27.436</c:v>
                </c:pt>
                <c:pt idx="12">
                  <c:v>12.861999999999998</c:v>
                </c:pt>
                <c:pt idx="13">
                  <c:v>36.615000000000002</c:v>
                </c:pt>
                <c:pt idx="14">
                  <c:v>20.93</c:v>
                </c:pt>
                <c:pt idx="15">
                  <c:v>24.349</c:v>
                </c:pt>
                <c:pt idx="16">
                  <c:v>33.185000000000002</c:v>
                </c:pt>
                <c:pt idx="17">
                  <c:v>19.974000000000004</c:v>
                </c:pt>
                <c:pt idx="18">
                  <c:v>35.277999999999999</c:v>
                </c:pt>
                <c:pt idx="19">
                  <c:v>28.199000000000002</c:v>
                </c:pt>
                <c:pt idx="20">
                  <c:v>45.354999999999997</c:v>
                </c:pt>
                <c:pt idx="21">
                  <c:v>16.970999999999997</c:v>
                </c:pt>
                <c:pt idx="22">
                  <c:v>44.894000000000005</c:v>
                </c:pt>
                <c:pt idx="23">
                  <c:v>33.015000000000001</c:v>
                </c:pt>
                <c:pt idx="24">
                  <c:v>41.278999999999996</c:v>
                </c:pt>
                <c:pt idx="25">
                  <c:v>26.843999999999998</c:v>
                </c:pt>
                <c:pt idx="26">
                  <c:v>29.868000000000002</c:v>
                </c:pt>
                <c:pt idx="27">
                  <c:v>21.319000000000003</c:v>
                </c:pt>
                <c:pt idx="28">
                  <c:v>34.954999999999998</c:v>
                </c:pt>
                <c:pt idx="29">
                  <c:v>39.975999999999999</c:v>
                </c:pt>
                <c:pt idx="30">
                  <c:v>18.819000000000003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FB8-444B-A559-5428A37AA137}"/>
            </c:ext>
          </c:extLst>
        </c:ser>
        <c:ser>
          <c:idx val="34"/>
          <c:order val="34"/>
          <c:tx>
            <c:strRef>
              <c:f>'March 25 graph'!$AJ$3:$AJ$4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graph'!$AJ$5:$AJ$35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FB8-444B-A559-5428A37AA137}"/>
            </c:ext>
          </c:extLst>
        </c:ser>
        <c:ser>
          <c:idx val="35"/>
          <c:order val="35"/>
          <c:tx>
            <c:strRef>
              <c:f>'March 25 graph'!$AK$3:$AK$4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graph'!$AK$5:$AK$35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B8-444B-A559-5428A37AA137}"/>
            </c:ext>
          </c:extLst>
        </c:ser>
        <c:ser>
          <c:idx val="36"/>
          <c:order val="36"/>
          <c:tx>
            <c:strRef>
              <c:f>'March 25 graph'!$AL$3:$AL$4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graph'!$AL$5:$AL$35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B8-444B-A559-5428A37AA137}"/>
            </c:ext>
          </c:extLst>
        </c:ser>
        <c:ser>
          <c:idx val="37"/>
          <c:order val="37"/>
          <c:tx>
            <c:strRef>
              <c:f>'March 25 graph'!$AM$3:$AM$4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graph'!$AM$5:$AM$35</c:f>
              <c:numCache>
                <c:formatCode>General</c:formatCode>
                <c:ptCount val="31"/>
                <c:pt idx="0">
                  <c:v>91.265999999999991</c:v>
                </c:pt>
                <c:pt idx="1">
                  <c:v>64.608000000000004</c:v>
                </c:pt>
                <c:pt idx="2">
                  <c:v>85.760999999999996</c:v>
                </c:pt>
                <c:pt idx="3">
                  <c:v>85.239000000000004</c:v>
                </c:pt>
                <c:pt idx="4">
                  <c:v>81.982000000000014</c:v>
                </c:pt>
                <c:pt idx="5">
                  <c:v>64.785000000000011</c:v>
                </c:pt>
                <c:pt idx="6">
                  <c:v>83.502999999999986</c:v>
                </c:pt>
                <c:pt idx="7">
                  <c:v>71.183999999999997</c:v>
                </c:pt>
                <c:pt idx="8">
                  <c:v>73.528999999999996</c:v>
                </c:pt>
                <c:pt idx="9">
                  <c:v>76.772999999999996</c:v>
                </c:pt>
                <c:pt idx="10">
                  <c:v>69.894999999999982</c:v>
                </c:pt>
                <c:pt idx="11">
                  <c:v>54.917000000000002</c:v>
                </c:pt>
                <c:pt idx="12">
                  <c:v>67.515999999999991</c:v>
                </c:pt>
                <c:pt idx="13">
                  <c:v>89.90300000000002</c:v>
                </c:pt>
                <c:pt idx="14">
                  <c:v>52.226000000000006</c:v>
                </c:pt>
                <c:pt idx="15">
                  <c:v>79.698000000000008</c:v>
                </c:pt>
                <c:pt idx="16">
                  <c:v>53.115999999999993</c:v>
                </c:pt>
                <c:pt idx="17">
                  <c:v>64.939000000000007</c:v>
                </c:pt>
                <c:pt idx="18">
                  <c:v>43.752999999999986</c:v>
                </c:pt>
                <c:pt idx="19">
                  <c:v>67</c:v>
                </c:pt>
                <c:pt idx="20">
                  <c:v>84.456000000000003</c:v>
                </c:pt>
                <c:pt idx="21">
                  <c:v>58.83</c:v>
                </c:pt>
                <c:pt idx="22">
                  <c:v>56.935999999999993</c:v>
                </c:pt>
                <c:pt idx="23">
                  <c:v>71.316999999999993</c:v>
                </c:pt>
                <c:pt idx="24">
                  <c:v>63.097999999999992</c:v>
                </c:pt>
                <c:pt idx="25">
                  <c:v>52.524000000000001</c:v>
                </c:pt>
                <c:pt idx="26">
                  <c:v>72.430000000000007</c:v>
                </c:pt>
                <c:pt idx="27">
                  <c:v>117.62299999999999</c:v>
                </c:pt>
                <c:pt idx="28">
                  <c:v>101.95299999999999</c:v>
                </c:pt>
                <c:pt idx="29">
                  <c:v>47.034000000000006</c:v>
                </c:pt>
                <c:pt idx="30">
                  <c:v>116.38600000000001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FB8-444B-A559-5428A37AA137}"/>
            </c:ext>
          </c:extLst>
        </c:ser>
        <c:ser>
          <c:idx val="38"/>
          <c:order val="38"/>
          <c:tx>
            <c:strRef>
              <c:f>'March 25 graph'!$AN$3:$AN$4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graph'!$AN$5:$AN$35</c:f>
              <c:numCache>
                <c:formatCode>General</c:formatCode>
                <c:ptCount val="31"/>
                <c:pt idx="0">
                  <c:v>146.595</c:v>
                </c:pt>
                <c:pt idx="1">
                  <c:v>81.227999999999994</c:v>
                </c:pt>
                <c:pt idx="2">
                  <c:v>84.080999999999989</c:v>
                </c:pt>
                <c:pt idx="3">
                  <c:v>140.11699999999996</c:v>
                </c:pt>
                <c:pt idx="4">
                  <c:v>97.609000000000023</c:v>
                </c:pt>
                <c:pt idx="5">
                  <c:v>125.255</c:v>
                </c:pt>
                <c:pt idx="6">
                  <c:v>87.45</c:v>
                </c:pt>
                <c:pt idx="7">
                  <c:v>85.075000000000003</c:v>
                </c:pt>
                <c:pt idx="8">
                  <c:v>102.32300000000001</c:v>
                </c:pt>
                <c:pt idx="9">
                  <c:v>95.161999999999992</c:v>
                </c:pt>
                <c:pt idx="10">
                  <c:v>90.945999999999998</c:v>
                </c:pt>
                <c:pt idx="11">
                  <c:v>42.75</c:v>
                </c:pt>
                <c:pt idx="12">
                  <c:v>43.82</c:v>
                </c:pt>
                <c:pt idx="13">
                  <c:v>59.603999999999999</c:v>
                </c:pt>
                <c:pt idx="14">
                  <c:v>26.021000000000001</c:v>
                </c:pt>
                <c:pt idx="15">
                  <c:v>35.403999999999996</c:v>
                </c:pt>
                <c:pt idx="16">
                  <c:v>34.762</c:v>
                </c:pt>
                <c:pt idx="17">
                  <c:v>32.03</c:v>
                </c:pt>
                <c:pt idx="18">
                  <c:v>56.321999999999996</c:v>
                </c:pt>
                <c:pt idx="19">
                  <c:v>32.43</c:v>
                </c:pt>
                <c:pt idx="20">
                  <c:v>23.907</c:v>
                </c:pt>
                <c:pt idx="21">
                  <c:v>33.290999999999997</c:v>
                </c:pt>
                <c:pt idx="22">
                  <c:v>59.135999999999996</c:v>
                </c:pt>
                <c:pt idx="23">
                  <c:v>36.587000000000003</c:v>
                </c:pt>
                <c:pt idx="24">
                  <c:v>32.182000000000002</c:v>
                </c:pt>
                <c:pt idx="25">
                  <c:v>44.014000000000003</c:v>
                </c:pt>
                <c:pt idx="26">
                  <c:v>37.211999999999996</c:v>
                </c:pt>
                <c:pt idx="27">
                  <c:v>34.677</c:v>
                </c:pt>
                <c:pt idx="28">
                  <c:v>47.435000000000002</c:v>
                </c:pt>
                <c:pt idx="29">
                  <c:v>40.215000000000003</c:v>
                </c:pt>
                <c:pt idx="30">
                  <c:v>22.846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FB8-444B-A559-5428A37AA137}"/>
            </c:ext>
          </c:extLst>
        </c:ser>
        <c:ser>
          <c:idx val="39"/>
          <c:order val="39"/>
          <c:tx>
            <c:strRef>
              <c:f>'March 25 graph'!$AO$3:$AO$4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graph'!$AO$5:$AO$35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26.003999999999998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FB8-444B-A559-5428A37AA137}"/>
            </c:ext>
          </c:extLst>
        </c:ser>
        <c:ser>
          <c:idx val="40"/>
          <c:order val="40"/>
          <c:tx>
            <c:strRef>
              <c:f>'March 25 graph'!$AP$3:$AP$4</c:f>
              <c:strCache>
                <c:ptCount val="1"/>
                <c:pt idx="0">
                  <c:v>Suryapet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graph'!$AP$5:$AP$35</c:f>
              <c:numCache>
                <c:formatCode>General</c:formatCode>
                <c:ptCount val="31"/>
                <c:pt idx="6">
                  <c:v>5.0999999999999996</c:v>
                </c:pt>
                <c:pt idx="7">
                  <c:v>409.4</c:v>
                </c:pt>
                <c:pt idx="8">
                  <c:v>0</c:v>
                </c:pt>
                <c:pt idx="9">
                  <c:v>0</c:v>
                </c:pt>
                <c:pt idx="10">
                  <c:v>3.7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48.650000000000006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27.1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36.173999999999999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FB8-444B-A559-5428A37AA137}"/>
            </c:ext>
          </c:extLst>
        </c:ser>
        <c:ser>
          <c:idx val="41"/>
          <c:order val="41"/>
          <c:tx>
            <c:strRef>
              <c:f>'March 25 graph'!$AQ$3:$AQ$4</c:f>
              <c:strCache>
                <c:ptCount val="1"/>
                <c:pt idx="0">
                  <c:v>Turkaplly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graph'!$AQ$5:$AQ$35</c:f>
              <c:numCache>
                <c:formatCode>General</c:formatCode>
                <c:ptCount val="31"/>
                <c:pt idx="23">
                  <c:v>0.29699999999999999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FB8-444B-A559-5428A37AA137}"/>
            </c:ext>
          </c:extLst>
        </c:ser>
        <c:ser>
          <c:idx val="42"/>
          <c:order val="42"/>
          <c:tx>
            <c:strRef>
              <c:f>'March 25 graph'!$AR$3:$AR$4</c:f>
              <c:strCache>
                <c:ptCount val="1"/>
                <c:pt idx="0">
                  <c:v>Karaikudi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graph'!$AR$5:$AR$35</c:f>
              <c:numCache>
                <c:formatCode>General</c:formatCode>
                <c:ptCount val="31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FB8-444B-A559-5428A37AA137}"/>
            </c:ext>
          </c:extLst>
        </c:ser>
        <c:ser>
          <c:idx val="43"/>
          <c:order val="43"/>
          <c:tx>
            <c:strRef>
              <c:f>'March 25 graph'!$AS$3:$AS$4</c:f>
              <c:strCache>
                <c:ptCount val="1"/>
                <c:pt idx="0">
                  <c:v>Pandharpur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'March 25 graph'!$A$5:$A$35</c:f>
              <c:strCache>
                <c:ptCount val="31"/>
                <c:pt idx="0">
                  <c:v>Sum of 01-03-2025</c:v>
                </c:pt>
                <c:pt idx="1">
                  <c:v>Sum of 02-03-2025</c:v>
                </c:pt>
                <c:pt idx="2">
                  <c:v>Sum of 03-03-2025</c:v>
                </c:pt>
                <c:pt idx="3">
                  <c:v>Sum of 04-03-2025</c:v>
                </c:pt>
                <c:pt idx="4">
                  <c:v>Sum of 05-03-2025</c:v>
                </c:pt>
                <c:pt idx="5">
                  <c:v>Sum of 06-03-2025</c:v>
                </c:pt>
                <c:pt idx="6">
                  <c:v>Sum of 07-03-2025</c:v>
                </c:pt>
                <c:pt idx="7">
                  <c:v>Sum of 08-03-2025</c:v>
                </c:pt>
                <c:pt idx="8">
                  <c:v>Sum of 09-03-2025</c:v>
                </c:pt>
                <c:pt idx="9">
                  <c:v>Sum of 10-03-2025</c:v>
                </c:pt>
                <c:pt idx="10">
                  <c:v>Sum of 11-03-2025</c:v>
                </c:pt>
                <c:pt idx="11">
                  <c:v>Sum of 12-03-2025</c:v>
                </c:pt>
                <c:pt idx="12">
                  <c:v>Sum of 13-03-2025</c:v>
                </c:pt>
                <c:pt idx="13">
                  <c:v>Sum of 14-03-2025</c:v>
                </c:pt>
                <c:pt idx="14">
                  <c:v>Sum of 15-03-2025</c:v>
                </c:pt>
                <c:pt idx="15">
                  <c:v>Sum of 16-03-2025</c:v>
                </c:pt>
                <c:pt idx="16">
                  <c:v>Sum of 17-03-2025</c:v>
                </c:pt>
                <c:pt idx="17">
                  <c:v>Sum of 18-03-2025</c:v>
                </c:pt>
                <c:pt idx="18">
                  <c:v>Sum of 19-03-2025</c:v>
                </c:pt>
                <c:pt idx="19">
                  <c:v>Sum of 20-03-2025</c:v>
                </c:pt>
                <c:pt idx="20">
                  <c:v>Sum of 21-03-2025</c:v>
                </c:pt>
                <c:pt idx="21">
                  <c:v>Sum of 22-03-2025</c:v>
                </c:pt>
                <c:pt idx="22">
                  <c:v>Sum of 23-03-2025</c:v>
                </c:pt>
                <c:pt idx="23">
                  <c:v>Sum of 24-03-2025</c:v>
                </c:pt>
                <c:pt idx="24">
                  <c:v>Sum of 25-03-2025</c:v>
                </c:pt>
                <c:pt idx="25">
                  <c:v>Sum of 26-03-2025</c:v>
                </c:pt>
                <c:pt idx="26">
                  <c:v>Sum of 27-03-2025</c:v>
                </c:pt>
                <c:pt idx="27">
                  <c:v>Sum of 28-03-2025</c:v>
                </c:pt>
                <c:pt idx="28">
                  <c:v>Sum of 29-03-2025</c:v>
                </c:pt>
                <c:pt idx="29">
                  <c:v>Sum of 30-03-2025</c:v>
                </c:pt>
                <c:pt idx="30">
                  <c:v>Sum of 31-03-2025</c:v>
                </c:pt>
              </c:strCache>
            </c:strRef>
          </c:cat>
          <c:val>
            <c:numRef>
              <c:f>'March 25 graph'!$AS$5:$AS$35</c:f>
              <c:numCache>
                <c:formatCode>General</c:formatCode>
                <c:ptCount val="31"/>
                <c:pt idx="23">
                  <c:v>0</c:v>
                </c:pt>
                <c:pt idx="24">
                  <c:v>7.69</c:v>
                </c:pt>
                <c:pt idx="25">
                  <c:v>0</c:v>
                </c:pt>
                <c:pt idx="26">
                  <c:v>20.45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FB8-444B-A559-5428A37AA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684208"/>
        <c:axId val="544679504"/>
      </c:barChart>
      <c:catAx>
        <c:axId val="54468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79504"/>
        <c:crosses val="autoZero"/>
        <c:auto val="1"/>
        <c:lblAlgn val="ctr"/>
        <c:lblOffset val="100"/>
        <c:noMultiLvlLbl val="0"/>
      </c:catAx>
      <c:valAx>
        <c:axId val="5446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Consumption.xlsx]April 25 Graph!PivotTable8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684600"/>
        <c:axId val="544679896"/>
      </c:barChart>
      <c:catAx>
        <c:axId val="54468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79896"/>
        <c:crosses val="autoZero"/>
        <c:auto val="1"/>
        <c:lblAlgn val="ctr"/>
        <c:lblOffset val="100"/>
        <c:noMultiLvlLbl val="0"/>
      </c:catAx>
      <c:valAx>
        <c:axId val="54467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Consumption.xlsx]April 25 Graph!PivotTable8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680680"/>
        <c:axId val="544681464"/>
      </c:barChart>
      <c:catAx>
        <c:axId val="54468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1464"/>
        <c:crosses val="autoZero"/>
        <c:auto val="1"/>
        <c:lblAlgn val="ctr"/>
        <c:lblOffset val="100"/>
        <c:noMultiLvlLbl val="0"/>
      </c:catAx>
      <c:valAx>
        <c:axId val="54468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Consumption.xlsx]May 25 Graph!PivotTable2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25 Graph'!$B$1:$B$2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Graph'!$B$3:$B$26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0-41BB-9440-864A7E4395F5}"/>
            </c:ext>
          </c:extLst>
        </c:ser>
        <c:ser>
          <c:idx val="1"/>
          <c:order val="1"/>
          <c:tx>
            <c:strRef>
              <c:f>'May 25 Graph'!$C$1:$C$2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Graph'!$C$3:$C$26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11.479999999999999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0.92999999999999994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0-41BB-9440-864A7E4395F5}"/>
            </c:ext>
          </c:extLst>
        </c:ser>
        <c:ser>
          <c:idx val="2"/>
          <c:order val="2"/>
          <c:tx>
            <c:strRef>
              <c:f>'May 25 Graph'!$D$1:$D$2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Graph'!$D$3:$D$26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0-41BB-9440-864A7E4395F5}"/>
            </c:ext>
          </c:extLst>
        </c:ser>
        <c:ser>
          <c:idx val="3"/>
          <c:order val="3"/>
          <c:tx>
            <c:strRef>
              <c:f>'May 25 Graph'!$E$1:$E$2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Graph'!$E$3:$E$26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40-41BB-9440-864A7E4395F5}"/>
            </c:ext>
          </c:extLst>
        </c:ser>
        <c:ser>
          <c:idx val="4"/>
          <c:order val="4"/>
          <c:tx>
            <c:strRef>
              <c:f>'May 25 Graph'!$F$1:$F$2</c:f>
              <c:strCache>
                <c:ptCount val="1"/>
                <c:pt idx="0">
                  <c:v>Allied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Graph'!$F$3:$F$26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14.18</c:v>
                </c:pt>
                <c:pt idx="5">
                  <c:v>19.02</c:v>
                </c:pt>
                <c:pt idx="6">
                  <c:v>0.67</c:v>
                </c:pt>
                <c:pt idx="7">
                  <c:v>32.83</c:v>
                </c:pt>
                <c:pt idx="8">
                  <c:v>19.13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19.63</c:v>
                </c:pt>
                <c:pt idx="17">
                  <c:v>0</c:v>
                </c:pt>
                <c:pt idx="18">
                  <c:v>0.52</c:v>
                </c:pt>
                <c:pt idx="19">
                  <c:v>8.27</c:v>
                </c:pt>
                <c:pt idx="20">
                  <c:v>27.46</c:v>
                </c:pt>
                <c:pt idx="21">
                  <c:v>28.830000000000002</c:v>
                </c:pt>
                <c:pt idx="22">
                  <c:v>1.52</c:v>
                </c:pt>
                <c:pt idx="23">
                  <c:v>26.97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40-41BB-9440-864A7E4395F5}"/>
            </c:ext>
          </c:extLst>
        </c:ser>
        <c:ser>
          <c:idx val="5"/>
          <c:order val="5"/>
          <c:tx>
            <c:strRef>
              <c:f>'May 25 Graph'!$G$1:$G$2</c:f>
              <c:strCache>
                <c:ptCount val="1"/>
                <c:pt idx="0">
                  <c:v>Angul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Graph'!$G$3:$G$26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40-41BB-9440-864A7E4395F5}"/>
            </c:ext>
          </c:extLst>
        </c:ser>
        <c:ser>
          <c:idx val="6"/>
          <c:order val="6"/>
          <c:tx>
            <c:strRef>
              <c:f>'May 25 Graph'!$H$1:$H$2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Graph'!$H$3:$H$26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40-41BB-9440-864A7E4395F5}"/>
            </c:ext>
          </c:extLst>
        </c:ser>
        <c:ser>
          <c:idx val="7"/>
          <c:order val="7"/>
          <c:tx>
            <c:strRef>
              <c:f>'May 25 Graph'!$I$1:$I$2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Graph'!$I$3:$I$26</c:f>
              <c:numCache>
                <c:formatCode>General</c:formatCode>
                <c:ptCount val="24"/>
                <c:pt idx="0">
                  <c:v>387.19600000000003</c:v>
                </c:pt>
                <c:pt idx="1">
                  <c:v>269.61600000000004</c:v>
                </c:pt>
                <c:pt idx="2">
                  <c:v>330.32700000000006</c:v>
                </c:pt>
                <c:pt idx="3">
                  <c:v>323.50400000000002</c:v>
                </c:pt>
                <c:pt idx="4">
                  <c:v>339.11600000000004</c:v>
                </c:pt>
                <c:pt idx="5">
                  <c:v>378.59600000000006</c:v>
                </c:pt>
                <c:pt idx="6">
                  <c:v>370.79499999999996</c:v>
                </c:pt>
                <c:pt idx="7">
                  <c:v>459.43300000000011</c:v>
                </c:pt>
                <c:pt idx="8">
                  <c:v>484.53899999999999</c:v>
                </c:pt>
                <c:pt idx="9">
                  <c:v>446.32299999999998</c:v>
                </c:pt>
                <c:pt idx="10">
                  <c:v>395.97300000000001</c:v>
                </c:pt>
                <c:pt idx="11">
                  <c:v>398.39399999999995</c:v>
                </c:pt>
                <c:pt idx="12">
                  <c:v>376.428</c:v>
                </c:pt>
                <c:pt idx="13">
                  <c:v>352.92700000000002</c:v>
                </c:pt>
                <c:pt idx="14">
                  <c:v>315.21200000000005</c:v>
                </c:pt>
                <c:pt idx="15">
                  <c:v>254.07100000000003</c:v>
                </c:pt>
                <c:pt idx="16">
                  <c:v>200.858</c:v>
                </c:pt>
                <c:pt idx="17">
                  <c:v>248.82300000000001</c:v>
                </c:pt>
                <c:pt idx="18">
                  <c:v>249.19200000000001</c:v>
                </c:pt>
                <c:pt idx="19">
                  <c:v>255.51299999999998</c:v>
                </c:pt>
                <c:pt idx="20">
                  <c:v>210.03100000000003</c:v>
                </c:pt>
                <c:pt idx="21">
                  <c:v>228.52900000000005</c:v>
                </c:pt>
                <c:pt idx="22">
                  <c:v>224.62899999999996</c:v>
                </c:pt>
                <c:pt idx="23">
                  <c:v>492.29199999999992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40-41BB-9440-864A7E4395F5}"/>
            </c:ext>
          </c:extLst>
        </c:ser>
        <c:ser>
          <c:idx val="8"/>
          <c:order val="8"/>
          <c:tx>
            <c:strRef>
              <c:f>'May 25 Graph'!$J$1:$J$2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Graph'!$J$3:$J$26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12.558999999999999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40-41BB-9440-864A7E4395F5}"/>
            </c:ext>
          </c:extLst>
        </c:ser>
        <c:ser>
          <c:idx val="9"/>
          <c:order val="9"/>
          <c:tx>
            <c:strRef>
              <c:f>'May 25 Graph'!$K$1:$K$2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Graph'!$K$3:$K$26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40-41BB-9440-864A7E4395F5}"/>
            </c:ext>
          </c:extLst>
        </c:ser>
        <c:ser>
          <c:idx val="10"/>
          <c:order val="10"/>
          <c:tx>
            <c:strRef>
              <c:f>'May 25 Graph'!$L$1:$L$2</c:f>
              <c:strCache>
                <c:ptCount val="1"/>
                <c:pt idx="0">
                  <c:v>Chandigarh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Graph'!$L$3:$L$26</c:f>
              <c:numCache>
                <c:formatCode>General</c:formatCode>
                <c:ptCount val="24"/>
                <c:pt idx="0">
                  <c:v>0</c:v>
                </c:pt>
                <c:pt idx="1">
                  <c:v>7.05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18.018000000000001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30.242999999999999</c:v>
                </c:pt>
                <c:pt idx="21">
                  <c:v>0.66200000000000003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40-41BB-9440-864A7E4395F5}"/>
            </c:ext>
          </c:extLst>
        </c:ser>
        <c:ser>
          <c:idx val="11"/>
          <c:order val="11"/>
          <c:tx>
            <c:strRef>
              <c:f>'May 25 Graph'!$M$1:$M$2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Graph'!$M$3:$M$26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2.6480000000000001</c:v>
                </c:pt>
                <c:pt idx="5">
                  <c:v>2.3289999999999997</c:v>
                </c:pt>
                <c:pt idx="6">
                  <c:v>0</c:v>
                </c:pt>
                <c:pt idx="7">
                  <c:v>1.141</c:v>
                </c:pt>
                <c:pt idx="8">
                  <c:v>2.3109999999999999</c:v>
                </c:pt>
                <c:pt idx="9">
                  <c:v>1.286</c:v>
                </c:pt>
                <c:pt idx="10">
                  <c:v>2.8940000000000001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440-41BB-9440-864A7E4395F5}"/>
            </c:ext>
          </c:extLst>
        </c:ser>
        <c:ser>
          <c:idx val="12"/>
          <c:order val="12"/>
          <c:tx>
            <c:strRef>
              <c:f>'May 25 Graph'!$N$1:$N$2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Graph'!$N$3:$N$26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40-41BB-9440-864A7E4395F5}"/>
            </c:ext>
          </c:extLst>
        </c:ser>
        <c:ser>
          <c:idx val="13"/>
          <c:order val="13"/>
          <c:tx>
            <c:strRef>
              <c:f>'May 25 Graph'!$O$1:$O$2</c:f>
              <c:strCache>
                <c:ptCount val="1"/>
                <c:pt idx="0">
                  <c:v>Dehradun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Graph'!$O$3:$O$26</c:f>
              <c:numCache>
                <c:formatCode>General</c:formatCode>
                <c:ptCount val="24"/>
                <c:pt idx="0">
                  <c:v>0</c:v>
                </c:pt>
                <c:pt idx="1">
                  <c:v>5.52</c:v>
                </c:pt>
                <c:pt idx="2">
                  <c:v>0</c:v>
                </c:pt>
                <c:pt idx="3">
                  <c:v>0</c:v>
                </c:pt>
                <c:pt idx="4">
                  <c:v>16.169999999999998</c:v>
                </c:pt>
                <c:pt idx="5">
                  <c:v>0</c:v>
                </c:pt>
                <c:pt idx="6">
                  <c:v>0</c:v>
                </c:pt>
                <c:pt idx="7">
                  <c:v>2.2200000000000002</c:v>
                </c:pt>
                <c:pt idx="8">
                  <c:v>12.76</c:v>
                </c:pt>
                <c:pt idx="9">
                  <c:v>0</c:v>
                </c:pt>
                <c:pt idx="10">
                  <c:v>0</c:v>
                </c:pt>
                <c:pt idx="11">
                  <c:v>3.77</c:v>
                </c:pt>
                <c:pt idx="12">
                  <c:v>25.5</c:v>
                </c:pt>
                <c:pt idx="13">
                  <c:v>3.94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3.8</c:v>
                </c:pt>
                <c:pt idx="18">
                  <c:v>5.48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12.55</c:v>
                </c:pt>
                <c:pt idx="23">
                  <c:v>11.12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40-41BB-9440-864A7E4395F5}"/>
            </c:ext>
          </c:extLst>
        </c:ser>
        <c:ser>
          <c:idx val="14"/>
          <c:order val="14"/>
          <c:tx>
            <c:strRef>
              <c:f>'May 25 Graph'!$P$1:$P$2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Graph'!$P$3:$P$26</c:f>
              <c:numCache>
                <c:formatCode>General</c:formatCode>
                <c:ptCount val="24"/>
                <c:pt idx="0">
                  <c:v>1400.192</c:v>
                </c:pt>
                <c:pt idx="1">
                  <c:v>1056.8300000000002</c:v>
                </c:pt>
                <c:pt idx="2">
                  <c:v>1139.498</c:v>
                </c:pt>
                <c:pt idx="3">
                  <c:v>1223.4829999999999</c:v>
                </c:pt>
                <c:pt idx="4">
                  <c:v>1046.6840000000002</c:v>
                </c:pt>
                <c:pt idx="5">
                  <c:v>1186.8979999999999</c:v>
                </c:pt>
                <c:pt idx="6">
                  <c:v>1348.2710000000002</c:v>
                </c:pt>
                <c:pt idx="7">
                  <c:v>1267.2140000000004</c:v>
                </c:pt>
                <c:pt idx="8">
                  <c:v>1266.2260000000001</c:v>
                </c:pt>
                <c:pt idx="9">
                  <c:v>1088.8789999999999</c:v>
                </c:pt>
                <c:pt idx="10">
                  <c:v>1101.9719999999998</c:v>
                </c:pt>
                <c:pt idx="11">
                  <c:v>1234.4589999999998</c:v>
                </c:pt>
                <c:pt idx="12">
                  <c:v>1169</c:v>
                </c:pt>
                <c:pt idx="13">
                  <c:v>1086.614</c:v>
                </c:pt>
                <c:pt idx="14">
                  <c:v>1106.9649999999999</c:v>
                </c:pt>
                <c:pt idx="15">
                  <c:v>1085.7569999999998</c:v>
                </c:pt>
                <c:pt idx="16">
                  <c:v>1187.9110000000001</c:v>
                </c:pt>
                <c:pt idx="17">
                  <c:v>1015.326</c:v>
                </c:pt>
                <c:pt idx="18">
                  <c:v>990.68499999999983</c:v>
                </c:pt>
                <c:pt idx="19">
                  <c:v>1110.3039999999999</c:v>
                </c:pt>
                <c:pt idx="20">
                  <c:v>1101.0219999999999</c:v>
                </c:pt>
                <c:pt idx="21">
                  <c:v>1103.1460000000002</c:v>
                </c:pt>
                <c:pt idx="22">
                  <c:v>1143.6090000000002</c:v>
                </c:pt>
                <c:pt idx="23">
                  <c:v>2363.819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40-41BB-9440-864A7E4395F5}"/>
            </c:ext>
          </c:extLst>
        </c:ser>
        <c:ser>
          <c:idx val="15"/>
          <c:order val="15"/>
          <c:tx>
            <c:strRef>
              <c:f>'May 25 Graph'!$Q$1:$Q$2</c:f>
              <c:strCache>
                <c:ptCount val="1"/>
                <c:pt idx="0">
                  <c:v>Dhanbad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Graph'!$Q$3:$Q$26</c:f>
              <c:numCache>
                <c:formatCode>General</c:formatCode>
                <c:ptCount val="24"/>
                <c:pt idx="0">
                  <c:v>3.33</c:v>
                </c:pt>
                <c:pt idx="1">
                  <c:v>16.100000000000001</c:v>
                </c:pt>
                <c:pt idx="2">
                  <c:v>21.07</c:v>
                </c:pt>
                <c:pt idx="3">
                  <c:v>23.14</c:v>
                </c:pt>
                <c:pt idx="4">
                  <c:v>54.3</c:v>
                </c:pt>
                <c:pt idx="5">
                  <c:v>42.68</c:v>
                </c:pt>
                <c:pt idx="6">
                  <c:v>54.519999999999996</c:v>
                </c:pt>
                <c:pt idx="7">
                  <c:v>31.870000000000005</c:v>
                </c:pt>
                <c:pt idx="8">
                  <c:v>1.44</c:v>
                </c:pt>
                <c:pt idx="9">
                  <c:v>50.92</c:v>
                </c:pt>
                <c:pt idx="10">
                  <c:v>41.6</c:v>
                </c:pt>
                <c:pt idx="11">
                  <c:v>21.720000000000002</c:v>
                </c:pt>
                <c:pt idx="12">
                  <c:v>51.09</c:v>
                </c:pt>
                <c:pt idx="13">
                  <c:v>46.46</c:v>
                </c:pt>
                <c:pt idx="14">
                  <c:v>43.16</c:v>
                </c:pt>
                <c:pt idx="15">
                  <c:v>0</c:v>
                </c:pt>
                <c:pt idx="16">
                  <c:v>28.669999999999998</c:v>
                </c:pt>
                <c:pt idx="17">
                  <c:v>28.540000000000003</c:v>
                </c:pt>
                <c:pt idx="18">
                  <c:v>43.510000000000005</c:v>
                </c:pt>
                <c:pt idx="19">
                  <c:v>28.28</c:v>
                </c:pt>
                <c:pt idx="20">
                  <c:v>24.32</c:v>
                </c:pt>
                <c:pt idx="21">
                  <c:v>27.92</c:v>
                </c:pt>
                <c:pt idx="22">
                  <c:v>6.3500000000000005</c:v>
                </c:pt>
                <c:pt idx="23">
                  <c:v>63.519999999999996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40-41BB-9440-864A7E4395F5}"/>
            </c:ext>
          </c:extLst>
        </c:ser>
        <c:ser>
          <c:idx val="16"/>
          <c:order val="16"/>
          <c:tx>
            <c:strRef>
              <c:f>'May 25 Graph'!$R$1:$R$2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Graph'!$R$3:$R$26</c:f>
              <c:numCache>
                <c:formatCode>General</c:formatCode>
                <c:ptCount val="24"/>
                <c:pt idx="0">
                  <c:v>10.210000000000001</c:v>
                </c:pt>
                <c:pt idx="1">
                  <c:v>6.41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5.43</c:v>
                </c:pt>
                <c:pt idx="19">
                  <c:v>1.94</c:v>
                </c:pt>
                <c:pt idx="20">
                  <c:v>5.01</c:v>
                </c:pt>
                <c:pt idx="21">
                  <c:v>14.84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440-41BB-9440-864A7E4395F5}"/>
            </c:ext>
          </c:extLst>
        </c:ser>
        <c:ser>
          <c:idx val="17"/>
          <c:order val="17"/>
          <c:tx>
            <c:strRef>
              <c:f>'May 25 Graph'!$S$1:$S$2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Graph'!$S$3:$S$26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26.183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6.8879999999999999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17.199000000000002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31.931999999999999</c:v>
                </c:pt>
                <c:pt idx="22">
                  <c:v>0</c:v>
                </c:pt>
                <c:pt idx="23">
                  <c:v>19.55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440-41BB-9440-864A7E4395F5}"/>
            </c:ext>
          </c:extLst>
        </c:ser>
        <c:ser>
          <c:idx val="18"/>
          <c:order val="18"/>
          <c:tx>
            <c:strRef>
              <c:f>'May 25 Graph'!$T$1:$T$2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Graph'!$T$3:$T$26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40-41BB-9440-864A7E4395F5}"/>
            </c:ext>
          </c:extLst>
        </c:ser>
        <c:ser>
          <c:idx val="19"/>
          <c:order val="19"/>
          <c:tx>
            <c:strRef>
              <c:f>'May 25 Graph'!$U$1:$U$2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Graph'!$U$3:$U$26</c:f>
              <c:numCache>
                <c:formatCode>General</c:formatCode>
                <c:ptCount val="24"/>
                <c:pt idx="0">
                  <c:v>26.778000000000002</c:v>
                </c:pt>
                <c:pt idx="1">
                  <c:v>43.997999999999998</c:v>
                </c:pt>
                <c:pt idx="2">
                  <c:v>25.472999999999999</c:v>
                </c:pt>
                <c:pt idx="3">
                  <c:v>58.86</c:v>
                </c:pt>
                <c:pt idx="4">
                  <c:v>47.088000000000001</c:v>
                </c:pt>
                <c:pt idx="5">
                  <c:v>32.853999999999999</c:v>
                </c:pt>
                <c:pt idx="6">
                  <c:v>33.282000000000004</c:v>
                </c:pt>
                <c:pt idx="7">
                  <c:v>39.67</c:v>
                </c:pt>
                <c:pt idx="8">
                  <c:v>17.692999999999998</c:v>
                </c:pt>
                <c:pt idx="9">
                  <c:v>69.397000000000006</c:v>
                </c:pt>
                <c:pt idx="10">
                  <c:v>48.360999999999997</c:v>
                </c:pt>
                <c:pt idx="11">
                  <c:v>33.713999999999999</c:v>
                </c:pt>
                <c:pt idx="12">
                  <c:v>25.17</c:v>
                </c:pt>
                <c:pt idx="13">
                  <c:v>62.939000000000007</c:v>
                </c:pt>
                <c:pt idx="14">
                  <c:v>23.157</c:v>
                </c:pt>
                <c:pt idx="15">
                  <c:v>0</c:v>
                </c:pt>
                <c:pt idx="16">
                  <c:v>47.265999999999998</c:v>
                </c:pt>
                <c:pt idx="17">
                  <c:v>28.631</c:v>
                </c:pt>
                <c:pt idx="18">
                  <c:v>35.363999999999997</c:v>
                </c:pt>
                <c:pt idx="19">
                  <c:v>36</c:v>
                </c:pt>
                <c:pt idx="20">
                  <c:v>41.406999999999996</c:v>
                </c:pt>
                <c:pt idx="21">
                  <c:v>45.182000000000002</c:v>
                </c:pt>
                <c:pt idx="22">
                  <c:v>56.646999999999998</c:v>
                </c:pt>
                <c:pt idx="23">
                  <c:v>84.114999999999995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440-41BB-9440-864A7E4395F5}"/>
            </c:ext>
          </c:extLst>
        </c:ser>
        <c:ser>
          <c:idx val="20"/>
          <c:order val="20"/>
          <c:tx>
            <c:strRef>
              <c:f>'May 25 Graph'!$V$1:$V$2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Graph'!$V$3:$V$26</c:f>
              <c:numCache>
                <c:formatCode>General</c:formatCode>
                <c:ptCount val="24"/>
                <c:pt idx="0">
                  <c:v>4286.6100000000006</c:v>
                </c:pt>
                <c:pt idx="1">
                  <c:v>4380.3559999999989</c:v>
                </c:pt>
                <c:pt idx="2">
                  <c:v>4753.8379999999997</c:v>
                </c:pt>
                <c:pt idx="3">
                  <c:v>4059.1860000000001</c:v>
                </c:pt>
                <c:pt idx="4">
                  <c:v>4500.7410000000009</c:v>
                </c:pt>
                <c:pt idx="5">
                  <c:v>4872.8459999999986</c:v>
                </c:pt>
                <c:pt idx="6">
                  <c:v>5504.2859999999991</c:v>
                </c:pt>
                <c:pt idx="7">
                  <c:v>4521.1360000000004</c:v>
                </c:pt>
                <c:pt idx="8">
                  <c:v>5002.1499999999996</c:v>
                </c:pt>
                <c:pt idx="9">
                  <c:v>4405.6010000000015</c:v>
                </c:pt>
                <c:pt idx="10">
                  <c:v>3514.7549999999992</c:v>
                </c:pt>
                <c:pt idx="11">
                  <c:v>4493.577000000002</c:v>
                </c:pt>
                <c:pt idx="12">
                  <c:v>4847.7179999999998</c:v>
                </c:pt>
                <c:pt idx="13">
                  <c:v>5517.857</c:v>
                </c:pt>
                <c:pt idx="14">
                  <c:v>5006.74</c:v>
                </c:pt>
                <c:pt idx="15">
                  <c:v>5424.3149999999987</c:v>
                </c:pt>
                <c:pt idx="16">
                  <c:v>5069.9859999999999</c:v>
                </c:pt>
                <c:pt idx="17">
                  <c:v>4053.4130000000009</c:v>
                </c:pt>
                <c:pt idx="18">
                  <c:v>5110.1799999999985</c:v>
                </c:pt>
                <c:pt idx="19">
                  <c:v>5578.1039999999994</c:v>
                </c:pt>
                <c:pt idx="20">
                  <c:v>4975.6559999999999</c:v>
                </c:pt>
                <c:pt idx="21">
                  <c:v>5065.6669999999986</c:v>
                </c:pt>
                <c:pt idx="22">
                  <c:v>5221.692</c:v>
                </c:pt>
                <c:pt idx="23">
                  <c:v>8728.0049999999974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440-41BB-9440-864A7E4395F5}"/>
            </c:ext>
          </c:extLst>
        </c:ser>
        <c:ser>
          <c:idx val="21"/>
          <c:order val="21"/>
          <c:tx>
            <c:strRef>
              <c:f>'May 25 Graph'!$W$1:$W$2</c:f>
              <c:strCache>
                <c:ptCount val="1"/>
                <c:pt idx="0">
                  <c:v>Karaikudi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Graph'!$W$3:$W$26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440-41BB-9440-864A7E4395F5}"/>
            </c:ext>
          </c:extLst>
        </c:ser>
        <c:ser>
          <c:idx val="22"/>
          <c:order val="22"/>
          <c:tx>
            <c:strRef>
              <c:f>'May 25 Graph'!$X$1:$X$2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Graph'!$X$3:$X$26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440-41BB-9440-864A7E4395F5}"/>
            </c:ext>
          </c:extLst>
        </c:ser>
        <c:ser>
          <c:idx val="23"/>
          <c:order val="23"/>
          <c:tx>
            <c:strRef>
              <c:f>'May 25 Graph'!$Y$1:$Y$2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Graph'!$Y$3:$Y$26</c:f>
              <c:numCache>
                <c:formatCode>General</c:formatCode>
                <c:ptCount val="24"/>
                <c:pt idx="0">
                  <c:v>0</c:v>
                </c:pt>
                <c:pt idx="1">
                  <c:v>2.5</c:v>
                </c:pt>
                <c:pt idx="2">
                  <c:v>5.43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440-41BB-9440-864A7E4395F5}"/>
            </c:ext>
          </c:extLst>
        </c:ser>
        <c:ser>
          <c:idx val="24"/>
          <c:order val="24"/>
          <c:tx>
            <c:strRef>
              <c:f>'May 25 Graph'!$Z$1:$Z$2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Graph'!$Z$3:$Z$26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16.559000000000001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440-41BB-9440-864A7E4395F5}"/>
            </c:ext>
          </c:extLst>
        </c:ser>
        <c:ser>
          <c:idx val="25"/>
          <c:order val="25"/>
          <c:tx>
            <c:strRef>
              <c:f>'May 25 Graph'!$AA$1:$AA$2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Graph'!$AA$3:$AA$26</c:f>
              <c:numCache>
                <c:formatCode>General</c:formatCode>
                <c:ptCount val="24"/>
                <c:pt idx="0">
                  <c:v>99.204999999999998</c:v>
                </c:pt>
                <c:pt idx="1">
                  <c:v>308.28800000000012</c:v>
                </c:pt>
                <c:pt idx="2">
                  <c:v>341.62699999999995</c:v>
                </c:pt>
                <c:pt idx="3">
                  <c:v>397.43799999999987</c:v>
                </c:pt>
                <c:pt idx="4">
                  <c:v>338.09999999999991</c:v>
                </c:pt>
                <c:pt idx="5">
                  <c:v>136.00200000000004</c:v>
                </c:pt>
                <c:pt idx="6">
                  <c:v>280.72300000000007</c:v>
                </c:pt>
                <c:pt idx="7">
                  <c:v>219.42100000000002</c:v>
                </c:pt>
                <c:pt idx="8">
                  <c:v>306.27299999999991</c:v>
                </c:pt>
                <c:pt idx="9">
                  <c:v>284.50400000000002</c:v>
                </c:pt>
                <c:pt idx="10">
                  <c:v>440.23899999999992</c:v>
                </c:pt>
                <c:pt idx="11">
                  <c:v>371.45800000000008</c:v>
                </c:pt>
                <c:pt idx="12">
                  <c:v>88.626000000000005</c:v>
                </c:pt>
                <c:pt idx="13">
                  <c:v>266.91099999999994</c:v>
                </c:pt>
                <c:pt idx="14">
                  <c:v>89.506000000000014</c:v>
                </c:pt>
                <c:pt idx="15">
                  <c:v>343.87199999999996</c:v>
                </c:pt>
                <c:pt idx="16">
                  <c:v>326.30099999999999</c:v>
                </c:pt>
                <c:pt idx="17">
                  <c:v>563.02399999999977</c:v>
                </c:pt>
                <c:pt idx="18">
                  <c:v>470.29</c:v>
                </c:pt>
                <c:pt idx="19">
                  <c:v>66.8</c:v>
                </c:pt>
                <c:pt idx="20">
                  <c:v>423.68599999999992</c:v>
                </c:pt>
                <c:pt idx="21">
                  <c:v>249.05600000000001</c:v>
                </c:pt>
                <c:pt idx="22">
                  <c:v>153.24799999999996</c:v>
                </c:pt>
                <c:pt idx="23">
                  <c:v>1028.1249999999998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440-41BB-9440-864A7E4395F5}"/>
            </c:ext>
          </c:extLst>
        </c:ser>
        <c:ser>
          <c:idx val="26"/>
          <c:order val="26"/>
          <c:tx>
            <c:strRef>
              <c:f>'May 25 Graph'!$AB$1:$AB$2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Graph'!$AB$3:$AB$26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9.3800000000000008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440-41BB-9440-864A7E4395F5}"/>
            </c:ext>
          </c:extLst>
        </c:ser>
        <c:ser>
          <c:idx val="27"/>
          <c:order val="27"/>
          <c:tx>
            <c:strRef>
              <c:f>'May 25 Graph'!$AC$1:$AC$2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Graph'!$AC$3:$AC$26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440-41BB-9440-864A7E4395F5}"/>
            </c:ext>
          </c:extLst>
        </c:ser>
        <c:ser>
          <c:idx val="28"/>
          <c:order val="28"/>
          <c:tx>
            <c:strRef>
              <c:f>'May 25 Graph'!$AD$1:$AD$2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Graph'!$AD$3:$AD$26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54.965000000000003</c:v>
                </c:pt>
                <c:pt idx="3">
                  <c:v>114.94200000000002</c:v>
                </c:pt>
                <c:pt idx="4">
                  <c:v>106.97500000000001</c:v>
                </c:pt>
                <c:pt idx="5">
                  <c:v>155.28800000000001</c:v>
                </c:pt>
                <c:pt idx="6">
                  <c:v>199.95300000000003</c:v>
                </c:pt>
                <c:pt idx="7">
                  <c:v>200.79599999999996</c:v>
                </c:pt>
                <c:pt idx="8">
                  <c:v>170.54799999999997</c:v>
                </c:pt>
                <c:pt idx="9">
                  <c:v>150.58900000000003</c:v>
                </c:pt>
                <c:pt idx="10">
                  <c:v>157.434</c:v>
                </c:pt>
                <c:pt idx="11">
                  <c:v>115.09200000000001</c:v>
                </c:pt>
                <c:pt idx="12">
                  <c:v>158.173</c:v>
                </c:pt>
                <c:pt idx="13">
                  <c:v>147.714</c:v>
                </c:pt>
                <c:pt idx="14">
                  <c:v>285.39099999999996</c:v>
                </c:pt>
                <c:pt idx="15">
                  <c:v>173.12</c:v>
                </c:pt>
                <c:pt idx="16">
                  <c:v>125.20200000000001</c:v>
                </c:pt>
                <c:pt idx="17">
                  <c:v>146.90099999999998</c:v>
                </c:pt>
                <c:pt idx="18">
                  <c:v>104.87700000000001</c:v>
                </c:pt>
                <c:pt idx="19">
                  <c:v>139.13000000000002</c:v>
                </c:pt>
                <c:pt idx="20">
                  <c:v>128.06799999999998</c:v>
                </c:pt>
                <c:pt idx="21">
                  <c:v>180.98499999999996</c:v>
                </c:pt>
                <c:pt idx="22">
                  <c:v>152.79899999999998</c:v>
                </c:pt>
                <c:pt idx="23">
                  <c:v>374.7170000000001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440-41BB-9440-864A7E4395F5}"/>
            </c:ext>
          </c:extLst>
        </c:ser>
        <c:ser>
          <c:idx val="29"/>
          <c:order val="29"/>
          <c:tx>
            <c:strRef>
              <c:f>'May 25 Graph'!$AE$1:$AE$2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Graph'!$AE$3:$AE$26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440-41BB-9440-864A7E4395F5}"/>
            </c:ext>
          </c:extLst>
        </c:ser>
        <c:ser>
          <c:idx val="30"/>
          <c:order val="30"/>
          <c:tx>
            <c:strRef>
              <c:f>'May 25 Graph'!$AF$1:$AF$2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Graph'!$AF$3:$AF$26</c:f>
              <c:numCache>
                <c:formatCode>General</c:formatCode>
                <c:ptCount val="24"/>
                <c:pt idx="0">
                  <c:v>5.6690000000000005</c:v>
                </c:pt>
                <c:pt idx="1">
                  <c:v>2.3409999999999997</c:v>
                </c:pt>
                <c:pt idx="2">
                  <c:v>2.9039999999999999</c:v>
                </c:pt>
                <c:pt idx="3">
                  <c:v>3.3449999999999998</c:v>
                </c:pt>
                <c:pt idx="4">
                  <c:v>1.643</c:v>
                </c:pt>
                <c:pt idx="5">
                  <c:v>2.9969999999999999</c:v>
                </c:pt>
                <c:pt idx="6">
                  <c:v>2.0869999999999997</c:v>
                </c:pt>
                <c:pt idx="7">
                  <c:v>3.2279999999999998</c:v>
                </c:pt>
                <c:pt idx="8">
                  <c:v>4.8829999999999991</c:v>
                </c:pt>
                <c:pt idx="9">
                  <c:v>3.391</c:v>
                </c:pt>
                <c:pt idx="10">
                  <c:v>2.657</c:v>
                </c:pt>
                <c:pt idx="11">
                  <c:v>1.8979999999999999</c:v>
                </c:pt>
                <c:pt idx="12">
                  <c:v>2.6269999999999998</c:v>
                </c:pt>
                <c:pt idx="13">
                  <c:v>2.6070000000000002</c:v>
                </c:pt>
                <c:pt idx="14">
                  <c:v>2.476</c:v>
                </c:pt>
                <c:pt idx="15">
                  <c:v>5.4409999999999998</c:v>
                </c:pt>
                <c:pt idx="16">
                  <c:v>3.6219999999999999</c:v>
                </c:pt>
                <c:pt idx="17">
                  <c:v>3.71</c:v>
                </c:pt>
                <c:pt idx="18">
                  <c:v>3.4790000000000001</c:v>
                </c:pt>
                <c:pt idx="19">
                  <c:v>4.5920000000000005</c:v>
                </c:pt>
                <c:pt idx="20">
                  <c:v>4.1159999999999997</c:v>
                </c:pt>
                <c:pt idx="21">
                  <c:v>2.9989999999999997</c:v>
                </c:pt>
                <c:pt idx="22">
                  <c:v>3.665</c:v>
                </c:pt>
                <c:pt idx="23">
                  <c:v>5.9189999999999996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440-41BB-9440-864A7E4395F5}"/>
            </c:ext>
          </c:extLst>
        </c:ser>
        <c:ser>
          <c:idx val="31"/>
          <c:order val="31"/>
          <c:tx>
            <c:strRef>
              <c:f>'May 25 Graph'!$AG$1:$AG$2</c:f>
              <c:strCache>
                <c:ptCount val="1"/>
                <c:pt idx="0">
                  <c:v>Pandharpur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Graph'!$AG$3:$AG$26</c:f>
              <c:numCache>
                <c:formatCode>General</c:formatCode>
                <c:ptCount val="24"/>
                <c:pt idx="0">
                  <c:v>0</c:v>
                </c:pt>
                <c:pt idx="1">
                  <c:v>25.82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21.26</c:v>
                </c:pt>
                <c:pt idx="7">
                  <c:v>10.69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19.13</c:v>
                </c:pt>
                <c:pt idx="13">
                  <c:v>0</c:v>
                </c:pt>
                <c:pt idx="14">
                  <c:v>16.190000000000001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20.25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9.7899999999999991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440-41BB-9440-864A7E4395F5}"/>
            </c:ext>
          </c:extLst>
        </c:ser>
        <c:ser>
          <c:idx val="32"/>
          <c:order val="32"/>
          <c:tx>
            <c:strRef>
              <c:f>'May 25 Graph'!$AH$1:$AH$2</c:f>
              <c:strCache>
                <c:ptCount val="1"/>
                <c:pt idx="0">
                  <c:v>Panikoli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Graph'!$AH$3:$AH$26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14.51</c:v>
                </c:pt>
                <c:pt idx="23">
                  <c:v>9.64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440-41BB-9440-864A7E4395F5}"/>
            </c:ext>
          </c:extLst>
        </c:ser>
        <c:ser>
          <c:idx val="33"/>
          <c:order val="33"/>
          <c:tx>
            <c:strRef>
              <c:f>'May 25 Graph'!$AI$1:$AI$2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Graph'!$AI$3:$AI$26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440-41BB-9440-864A7E4395F5}"/>
            </c:ext>
          </c:extLst>
        </c:ser>
        <c:ser>
          <c:idx val="34"/>
          <c:order val="34"/>
          <c:tx>
            <c:strRef>
              <c:f>'May 25 Graph'!$AJ$1:$AJ$2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Graph'!$AJ$3:$AJ$26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440-41BB-9440-864A7E4395F5}"/>
            </c:ext>
          </c:extLst>
        </c:ser>
        <c:ser>
          <c:idx val="35"/>
          <c:order val="35"/>
          <c:tx>
            <c:strRef>
              <c:f>'May 25 Graph'!$AK$1:$AK$2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Graph'!$AK$3:$AK$26</c:f>
              <c:numCache>
                <c:formatCode>General</c:formatCode>
                <c:ptCount val="24"/>
                <c:pt idx="0">
                  <c:v>300.81299999999999</c:v>
                </c:pt>
                <c:pt idx="1">
                  <c:v>339.23299999999983</c:v>
                </c:pt>
                <c:pt idx="2">
                  <c:v>329.38699999999994</c:v>
                </c:pt>
                <c:pt idx="3">
                  <c:v>320.37500000000017</c:v>
                </c:pt>
                <c:pt idx="4">
                  <c:v>311.08300000000008</c:v>
                </c:pt>
                <c:pt idx="5">
                  <c:v>313.80799999999999</c:v>
                </c:pt>
                <c:pt idx="6">
                  <c:v>295.36700000000013</c:v>
                </c:pt>
                <c:pt idx="7">
                  <c:v>291.94700000000006</c:v>
                </c:pt>
                <c:pt idx="8">
                  <c:v>248.79099999999994</c:v>
                </c:pt>
                <c:pt idx="9">
                  <c:v>240.34900000000005</c:v>
                </c:pt>
                <c:pt idx="10">
                  <c:v>235.11300000000003</c:v>
                </c:pt>
                <c:pt idx="11">
                  <c:v>274.87700000000007</c:v>
                </c:pt>
                <c:pt idx="12">
                  <c:v>294.71000000000026</c:v>
                </c:pt>
                <c:pt idx="13">
                  <c:v>290.87200000000007</c:v>
                </c:pt>
                <c:pt idx="14">
                  <c:v>306.79799999999994</c:v>
                </c:pt>
                <c:pt idx="15">
                  <c:v>270.32199999999995</c:v>
                </c:pt>
                <c:pt idx="16">
                  <c:v>350.98400000000004</c:v>
                </c:pt>
                <c:pt idx="17">
                  <c:v>309.70300000000015</c:v>
                </c:pt>
                <c:pt idx="18">
                  <c:v>304.53999999999996</c:v>
                </c:pt>
                <c:pt idx="19">
                  <c:v>294.79899999999992</c:v>
                </c:pt>
                <c:pt idx="20">
                  <c:v>328.02499999999992</c:v>
                </c:pt>
                <c:pt idx="21">
                  <c:v>265.13799999999998</c:v>
                </c:pt>
                <c:pt idx="22">
                  <c:v>333.35600000000005</c:v>
                </c:pt>
                <c:pt idx="23">
                  <c:v>578.16299999999978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440-41BB-9440-864A7E4395F5}"/>
            </c:ext>
          </c:extLst>
        </c:ser>
        <c:ser>
          <c:idx val="36"/>
          <c:order val="36"/>
          <c:tx>
            <c:strRef>
              <c:f>'May 25 Graph'!$AL$1:$AL$2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Graph'!$AL$3:$AL$26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440-41BB-9440-864A7E4395F5}"/>
            </c:ext>
          </c:extLst>
        </c:ser>
        <c:ser>
          <c:idx val="37"/>
          <c:order val="37"/>
          <c:tx>
            <c:strRef>
              <c:f>'May 25 Graph'!$AM$1:$AM$2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Graph'!$AM$3:$AM$26</c:f>
              <c:numCache>
                <c:formatCode>General</c:formatCode>
                <c:ptCount val="24"/>
                <c:pt idx="0">
                  <c:v>28.323</c:v>
                </c:pt>
                <c:pt idx="1">
                  <c:v>4.5739999999999998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440-41BB-9440-864A7E4395F5}"/>
            </c:ext>
          </c:extLst>
        </c:ser>
        <c:ser>
          <c:idx val="38"/>
          <c:order val="38"/>
          <c:tx>
            <c:strRef>
              <c:f>'May 25 Graph'!$AN$1:$AN$2</c:f>
              <c:strCache>
                <c:ptCount val="1"/>
                <c:pt idx="0">
                  <c:v>Suryapet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Graph'!$AN$3:$AN$26</c:f>
              <c:numCache>
                <c:formatCode>General</c:formatCode>
                <c:ptCount val="24"/>
                <c:pt idx="0">
                  <c:v>785.17499999999995</c:v>
                </c:pt>
                <c:pt idx="1">
                  <c:v>597.77499999999998</c:v>
                </c:pt>
                <c:pt idx="2">
                  <c:v>671.92499999999995</c:v>
                </c:pt>
                <c:pt idx="3">
                  <c:v>762.77500000000009</c:v>
                </c:pt>
                <c:pt idx="4">
                  <c:v>727.64899999999989</c:v>
                </c:pt>
                <c:pt idx="5">
                  <c:v>433.702</c:v>
                </c:pt>
                <c:pt idx="6">
                  <c:v>458.82600000000002</c:v>
                </c:pt>
                <c:pt idx="7">
                  <c:v>661.3</c:v>
                </c:pt>
                <c:pt idx="8">
                  <c:v>830.50099999999986</c:v>
                </c:pt>
                <c:pt idx="9">
                  <c:v>581.375</c:v>
                </c:pt>
                <c:pt idx="10">
                  <c:v>1064.7760000000001</c:v>
                </c:pt>
                <c:pt idx="11">
                  <c:v>801.1</c:v>
                </c:pt>
                <c:pt idx="12">
                  <c:v>544.52499999999998</c:v>
                </c:pt>
                <c:pt idx="13">
                  <c:v>619.02499999999998</c:v>
                </c:pt>
                <c:pt idx="14">
                  <c:v>907.00000000000023</c:v>
                </c:pt>
                <c:pt idx="15">
                  <c:v>662.94999999999993</c:v>
                </c:pt>
                <c:pt idx="16">
                  <c:v>1013.075</c:v>
                </c:pt>
                <c:pt idx="17">
                  <c:v>1132.3999999999996</c:v>
                </c:pt>
                <c:pt idx="18">
                  <c:v>1103.3</c:v>
                </c:pt>
                <c:pt idx="19">
                  <c:v>661.52499999999998</c:v>
                </c:pt>
                <c:pt idx="20">
                  <c:v>777.7</c:v>
                </c:pt>
                <c:pt idx="21">
                  <c:v>428.22499999999997</c:v>
                </c:pt>
                <c:pt idx="22">
                  <c:v>1014.6469999999999</c:v>
                </c:pt>
                <c:pt idx="23">
                  <c:v>1717.2009999999993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440-41BB-9440-864A7E4395F5}"/>
            </c:ext>
          </c:extLst>
        </c:ser>
        <c:ser>
          <c:idx val="39"/>
          <c:order val="39"/>
          <c:tx>
            <c:strRef>
              <c:f>'May 25 Graph'!$AO$1:$AO$2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Graph'!$AO$3:$AO$26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440-41BB-9440-864A7E4395F5}"/>
            </c:ext>
          </c:extLst>
        </c:ser>
        <c:ser>
          <c:idx val="40"/>
          <c:order val="40"/>
          <c:tx>
            <c:strRef>
              <c:f>'May 25 Graph'!$AP$1:$AP$2</c:f>
              <c:strCache>
                <c:ptCount val="1"/>
                <c:pt idx="0">
                  <c:v>Turkaplly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Graph'!$AP$3:$AP$26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51.559999999999995</c:v>
                </c:pt>
                <c:pt idx="19">
                  <c:v>30.509</c:v>
                </c:pt>
                <c:pt idx="20">
                  <c:v>13.573</c:v>
                </c:pt>
                <c:pt idx="21">
                  <c:v>18.465</c:v>
                </c:pt>
                <c:pt idx="22">
                  <c:v>35.891999999999996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440-41BB-9440-864A7E4395F5}"/>
            </c:ext>
          </c:extLst>
        </c:ser>
        <c:ser>
          <c:idx val="41"/>
          <c:order val="41"/>
          <c:tx>
            <c:strRef>
              <c:f>'May 25 Graph'!$AQ$1:$AQ$2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Graph'!$AQ$3:$AQ$26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440-41BB-9440-864A7E4395F5}"/>
            </c:ext>
          </c:extLst>
        </c:ser>
        <c:ser>
          <c:idx val="42"/>
          <c:order val="42"/>
          <c:tx>
            <c:strRef>
              <c:f>'May 25 Graph'!$AR$1:$AR$2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Graph'!$AR$3:$AR$26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440-41BB-9440-864A7E4395F5}"/>
            </c:ext>
          </c:extLst>
        </c:ser>
        <c:ser>
          <c:idx val="43"/>
          <c:order val="43"/>
          <c:tx>
            <c:strRef>
              <c:f>'May 25 Graph'!$AS$1:$AS$2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Graph'!$AS$3:$AS$26</c:f>
              <c:numCache>
                <c:formatCode>General</c:formatCode>
                <c:ptCount val="24"/>
                <c:pt idx="0">
                  <c:v>600.57299999999998</c:v>
                </c:pt>
                <c:pt idx="1">
                  <c:v>494.73399999999998</c:v>
                </c:pt>
                <c:pt idx="2">
                  <c:v>545.15</c:v>
                </c:pt>
                <c:pt idx="3">
                  <c:v>447.39100000000002</c:v>
                </c:pt>
                <c:pt idx="4">
                  <c:v>502.85400000000004</c:v>
                </c:pt>
                <c:pt idx="5">
                  <c:v>445.12299999999999</c:v>
                </c:pt>
                <c:pt idx="6">
                  <c:v>376.79699999999997</c:v>
                </c:pt>
                <c:pt idx="7">
                  <c:v>608.3950000000001</c:v>
                </c:pt>
                <c:pt idx="8">
                  <c:v>486.50200000000007</c:v>
                </c:pt>
                <c:pt idx="9">
                  <c:v>530.56200000000001</c:v>
                </c:pt>
                <c:pt idx="10">
                  <c:v>469.36599999999999</c:v>
                </c:pt>
                <c:pt idx="11">
                  <c:v>492.01600000000002</c:v>
                </c:pt>
                <c:pt idx="12">
                  <c:v>281.79500000000002</c:v>
                </c:pt>
                <c:pt idx="13">
                  <c:v>649.80700000000002</c:v>
                </c:pt>
                <c:pt idx="14">
                  <c:v>729.04799999999989</c:v>
                </c:pt>
                <c:pt idx="15">
                  <c:v>883.51899999999989</c:v>
                </c:pt>
                <c:pt idx="16">
                  <c:v>886.90199999999993</c:v>
                </c:pt>
                <c:pt idx="17">
                  <c:v>868.98</c:v>
                </c:pt>
                <c:pt idx="18">
                  <c:v>834.91200000000003</c:v>
                </c:pt>
                <c:pt idx="19">
                  <c:v>495.77100000000002</c:v>
                </c:pt>
                <c:pt idx="20">
                  <c:v>698.58799999999985</c:v>
                </c:pt>
                <c:pt idx="21">
                  <c:v>774.69599999999991</c:v>
                </c:pt>
                <c:pt idx="22">
                  <c:v>925.23200000000008</c:v>
                </c:pt>
                <c:pt idx="23">
                  <c:v>1661.963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440-41BB-9440-864A7E4395F5}"/>
            </c:ext>
          </c:extLst>
        </c:ser>
        <c:ser>
          <c:idx val="44"/>
          <c:order val="44"/>
          <c:tx>
            <c:strRef>
              <c:f>'May 25 Graph'!$AT$1:$AT$2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Graph'!$AT$3:$AT$26</c:f>
              <c:numCache>
                <c:formatCode>General</c:formatCode>
                <c:ptCount val="24"/>
                <c:pt idx="0">
                  <c:v>3.0679999999999996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440-41BB-9440-864A7E4395F5}"/>
            </c:ext>
          </c:extLst>
        </c:ser>
        <c:ser>
          <c:idx val="45"/>
          <c:order val="45"/>
          <c:tx>
            <c:strRef>
              <c:f>'May 25 Graph'!$AU$1:$AU$2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Graph'!$AU$3:$AU$26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440-41BB-9440-864A7E439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678720"/>
        <c:axId val="544682640"/>
      </c:barChart>
      <c:catAx>
        <c:axId val="5446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2640"/>
        <c:crosses val="autoZero"/>
        <c:auto val="1"/>
        <c:lblAlgn val="ctr"/>
        <c:lblOffset val="100"/>
        <c:noMultiLvlLbl val="0"/>
      </c:catAx>
      <c:valAx>
        <c:axId val="54468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[Hub wise daily Power Consumption.xlsx]May 25 Graph!PivotTable2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25 Graph'!$B$1:$B$2</c:f>
              <c:strCache>
                <c:ptCount val="1"/>
                <c:pt idx="0">
                  <c:v> Jabalpur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Graph'!$B$3:$B$26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71D-4CC6-8B24-01FF8183C7FA}"/>
            </c:ext>
          </c:extLst>
        </c:ser>
        <c:ser>
          <c:idx val="1"/>
          <c:order val="1"/>
          <c:tx>
            <c:strRef>
              <c:f>'May 25 Graph'!$C$1:$C$2</c:f>
              <c:strCache>
                <c:ptCount val="1"/>
                <c:pt idx="0">
                  <c:v> Jodhpur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Graph'!$C$3:$C$26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11.479999999999999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0.92999999999999994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71D-4CC6-8B24-01FF8183C7FA}"/>
            </c:ext>
          </c:extLst>
        </c:ser>
        <c:ser>
          <c:idx val="2"/>
          <c:order val="2"/>
          <c:tx>
            <c:strRef>
              <c:f>'May 25 Graph'!$D$1:$D$2</c:f>
              <c:strCache>
                <c:ptCount val="1"/>
                <c:pt idx="0">
                  <c:v> Patna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Graph'!$D$3:$D$26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71D-4CC6-8B24-01FF8183C7FA}"/>
            </c:ext>
          </c:extLst>
        </c:ser>
        <c:ser>
          <c:idx val="3"/>
          <c:order val="3"/>
          <c:tx>
            <c:strRef>
              <c:f>'May 25 Graph'!$E$1:$E$2</c:f>
              <c:strCache>
                <c:ptCount val="1"/>
                <c:pt idx="0">
                  <c:v>Alampur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Graph'!$E$3:$E$26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71D-4CC6-8B24-01FF8183C7FA}"/>
            </c:ext>
          </c:extLst>
        </c:ser>
        <c:ser>
          <c:idx val="4"/>
          <c:order val="4"/>
          <c:tx>
            <c:strRef>
              <c:f>'May 25 Graph'!$F$1:$F$2</c:f>
              <c:strCache>
                <c:ptCount val="1"/>
                <c:pt idx="0">
                  <c:v>Allied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Graph'!$F$3:$F$26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14.18</c:v>
                </c:pt>
                <c:pt idx="5">
                  <c:v>19.02</c:v>
                </c:pt>
                <c:pt idx="6">
                  <c:v>0.67</c:v>
                </c:pt>
                <c:pt idx="7">
                  <c:v>32.83</c:v>
                </c:pt>
                <c:pt idx="8">
                  <c:v>19.13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19.63</c:v>
                </c:pt>
                <c:pt idx="17">
                  <c:v>0</c:v>
                </c:pt>
                <c:pt idx="18">
                  <c:v>0.52</c:v>
                </c:pt>
                <c:pt idx="19">
                  <c:v>8.27</c:v>
                </c:pt>
                <c:pt idx="20">
                  <c:v>27.46</c:v>
                </c:pt>
                <c:pt idx="21">
                  <c:v>28.830000000000002</c:v>
                </c:pt>
                <c:pt idx="22">
                  <c:v>1.52</c:v>
                </c:pt>
                <c:pt idx="23">
                  <c:v>26.97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71D-4CC6-8B24-01FF8183C7FA}"/>
            </c:ext>
          </c:extLst>
        </c:ser>
        <c:ser>
          <c:idx val="5"/>
          <c:order val="5"/>
          <c:tx>
            <c:strRef>
              <c:f>'May 25 Graph'!$G$1:$G$2</c:f>
              <c:strCache>
                <c:ptCount val="1"/>
                <c:pt idx="0">
                  <c:v>Angul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Graph'!$G$3:$G$26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71D-4CC6-8B24-01FF8183C7FA}"/>
            </c:ext>
          </c:extLst>
        </c:ser>
        <c:ser>
          <c:idx val="6"/>
          <c:order val="6"/>
          <c:tx>
            <c:strRef>
              <c:f>'May 25 Graph'!$H$1:$H$2</c:f>
              <c:strCache>
                <c:ptCount val="1"/>
                <c:pt idx="0">
                  <c:v>Ayodhya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Graph'!$H$3:$H$26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71D-4CC6-8B24-01FF8183C7FA}"/>
            </c:ext>
          </c:extLst>
        </c:ser>
        <c:ser>
          <c:idx val="7"/>
          <c:order val="7"/>
          <c:tx>
            <c:strRef>
              <c:f>'May 25 Graph'!$I$1:$I$2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Graph'!$I$3:$I$26</c:f>
              <c:numCache>
                <c:formatCode>General</c:formatCode>
                <c:ptCount val="24"/>
                <c:pt idx="0">
                  <c:v>387.19600000000003</c:v>
                </c:pt>
                <c:pt idx="1">
                  <c:v>269.61600000000004</c:v>
                </c:pt>
                <c:pt idx="2">
                  <c:v>330.32700000000006</c:v>
                </c:pt>
                <c:pt idx="3">
                  <c:v>323.50400000000002</c:v>
                </c:pt>
                <c:pt idx="4">
                  <c:v>339.11600000000004</c:v>
                </c:pt>
                <c:pt idx="5">
                  <c:v>378.59600000000006</c:v>
                </c:pt>
                <c:pt idx="6">
                  <c:v>370.79499999999996</c:v>
                </c:pt>
                <c:pt idx="7">
                  <c:v>459.43300000000011</c:v>
                </c:pt>
                <c:pt idx="8">
                  <c:v>484.53899999999999</c:v>
                </c:pt>
                <c:pt idx="9">
                  <c:v>446.32299999999998</c:v>
                </c:pt>
                <c:pt idx="10">
                  <c:v>395.97300000000001</c:v>
                </c:pt>
                <c:pt idx="11">
                  <c:v>398.39399999999995</c:v>
                </c:pt>
                <c:pt idx="12">
                  <c:v>376.428</c:v>
                </c:pt>
                <c:pt idx="13">
                  <c:v>352.92700000000002</c:v>
                </c:pt>
                <c:pt idx="14">
                  <c:v>315.21200000000005</c:v>
                </c:pt>
                <c:pt idx="15">
                  <c:v>254.07100000000003</c:v>
                </c:pt>
                <c:pt idx="16">
                  <c:v>200.858</c:v>
                </c:pt>
                <c:pt idx="17">
                  <c:v>248.82300000000001</c:v>
                </c:pt>
                <c:pt idx="18">
                  <c:v>249.19200000000001</c:v>
                </c:pt>
                <c:pt idx="19">
                  <c:v>255.51299999999998</c:v>
                </c:pt>
                <c:pt idx="20">
                  <c:v>210.03100000000003</c:v>
                </c:pt>
                <c:pt idx="21">
                  <c:v>228.52900000000005</c:v>
                </c:pt>
                <c:pt idx="22">
                  <c:v>224.62899999999996</c:v>
                </c:pt>
                <c:pt idx="23">
                  <c:v>492.29199999999992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71D-4CC6-8B24-01FF8183C7FA}"/>
            </c:ext>
          </c:extLst>
        </c:ser>
        <c:ser>
          <c:idx val="8"/>
          <c:order val="8"/>
          <c:tx>
            <c:strRef>
              <c:f>'May 25 Graph'!$J$1:$J$2</c:f>
              <c:strCache>
                <c:ptCount val="1"/>
                <c:pt idx="0">
                  <c:v>Boisar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Graph'!$J$3:$J$26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12.558999999999999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71D-4CC6-8B24-01FF8183C7FA}"/>
            </c:ext>
          </c:extLst>
        </c:ser>
        <c:ser>
          <c:idx val="9"/>
          <c:order val="9"/>
          <c:tx>
            <c:strRef>
              <c:f>'May 25 Graph'!$K$1:$K$2</c:f>
              <c:strCache>
                <c:ptCount val="1"/>
                <c:pt idx="0">
                  <c:v>Chakan Pune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Graph'!$K$3:$K$26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71D-4CC6-8B24-01FF8183C7FA}"/>
            </c:ext>
          </c:extLst>
        </c:ser>
        <c:ser>
          <c:idx val="10"/>
          <c:order val="10"/>
          <c:tx>
            <c:strRef>
              <c:f>'May 25 Graph'!$L$1:$L$2</c:f>
              <c:strCache>
                <c:ptCount val="1"/>
                <c:pt idx="0">
                  <c:v>Chandigarh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Graph'!$L$3:$L$26</c:f>
              <c:numCache>
                <c:formatCode>General</c:formatCode>
                <c:ptCount val="24"/>
                <c:pt idx="0">
                  <c:v>0</c:v>
                </c:pt>
                <c:pt idx="1">
                  <c:v>7.05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18.018000000000001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30.242999999999999</c:v>
                </c:pt>
                <c:pt idx="21">
                  <c:v>0.66200000000000003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71D-4CC6-8B24-01FF8183C7FA}"/>
            </c:ext>
          </c:extLst>
        </c:ser>
        <c:ser>
          <c:idx val="11"/>
          <c:order val="11"/>
          <c:tx>
            <c:strRef>
              <c:f>'May 25 Graph'!$M$1:$M$2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Graph'!$M$3:$M$26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2.6480000000000001</c:v>
                </c:pt>
                <c:pt idx="5">
                  <c:v>2.3289999999999997</c:v>
                </c:pt>
                <c:pt idx="6">
                  <c:v>0</c:v>
                </c:pt>
                <c:pt idx="7">
                  <c:v>1.141</c:v>
                </c:pt>
                <c:pt idx="8">
                  <c:v>2.3109999999999999</c:v>
                </c:pt>
                <c:pt idx="9">
                  <c:v>1.286</c:v>
                </c:pt>
                <c:pt idx="10">
                  <c:v>2.8940000000000001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71D-4CC6-8B24-01FF8183C7FA}"/>
            </c:ext>
          </c:extLst>
        </c:ser>
        <c:ser>
          <c:idx val="12"/>
          <c:order val="12"/>
          <c:tx>
            <c:strRef>
              <c:f>'May 25 Graph'!$N$1:$N$2</c:f>
              <c:strCache>
                <c:ptCount val="1"/>
                <c:pt idx="0">
                  <c:v>Coimbatore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Graph'!$N$3:$N$26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71D-4CC6-8B24-01FF8183C7FA}"/>
            </c:ext>
          </c:extLst>
        </c:ser>
        <c:ser>
          <c:idx val="13"/>
          <c:order val="13"/>
          <c:tx>
            <c:strRef>
              <c:f>'May 25 Graph'!$O$1:$O$2</c:f>
              <c:strCache>
                <c:ptCount val="1"/>
                <c:pt idx="0">
                  <c:v>Dehradun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Graph'!$O$3:$O$26</c:f>
              <c:numCache>
                <c:formatCode>General</c:formatCode>
                <c:ptCount val="24"/>
                <c:pt idx="0">
                  <c:v>0</c:v>
                </c:pt>
                <c:pt idx="1">
                  <c:v>5.52</c:v>
                </c:pt>
                <c:pt idx="2">
                  <c:v>0</c:v>
                </c:pt>
                <c:pt idx="3">
                  <c:v>0</c:v>
                </c:pt>
                <c:pt idx="4">
                  <c:v>16.169999999999998</c:v>
                </c:pt>
                <c:pt idx="5">
                  <c:v>0</c:v>
                </c:pt>
                <c:pt idx="6">
                  <c:v>0</c:v>
                </c:pt>
                <c:pt idx="7">
                  <c:v>2.2200000000000002</c:v>
                </c:pt>
                <c:pt idx="8">
                  <c:v>12.76</c:v>
                </c:pt>
                <c:pt idx="9">
                  <c:v>0</c:v>
                </c:pt>
                <c:pt idx="10">
                  <c:v>0</c:v>
                </c:pt>
                <c:pt idx="11">
                  <c:v>3.77</c:v>
                </c:pt>
                <c:pt idx="12">
                  <c:v>25.5</c:v>
                </c:pt>
                <c:pt idx="13">
                  <c:v>3.94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3.8</c:v>
                </c:pt>
                <c:pt idx="18">
                  <c:v>5.48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12.55</c:v>
                </c:pt>
                <c:pt idx="23">
                  <c:v>11.12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71D-4CC6-8B24-01FF8183C7FA}"/>
            </c:ext>
          </c:extLst>
        </c:ser>
        <c:ser>
          <c:idx val="14"/>
          <c:order val="14"/>
          <c:tx>
            <c:strRef>
              <c:f>'May 25 Graph'!$P$1:$P$2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Graph'!$P$3:$P$26</c:f>
              <c:numCache>
                <c:formatCode>General</c:formatCode>
                <c:ptCount val="24"/>
                <c:pt idx="0">
                  <c:v>1400.192</c:v>
                </c:pt>
                <c:pt idx="1">
                  <c:v>1056.8300000000002</c:v>
                </c:pt>
                <c:pt idx="2">
                  <c:v>1139.498</c:v>
                </c:pt>
                <c:pt idx="3">
                  <c:v>1223.4829999999999</c:v>
                </c:pt>
                <c:pt idx="4">
                  <c:v>1046.6840000000002</c:v>
                </c:pt>
                <c:pt idx="5">
                  <c:v>1186.8979999999999</c:v>
                </c:pt>
                <c:pt idx="6">
                  <c:v>1348.2710000000002</c:v>
                </c:pt>
                <c:pt idx="7">
                  <c:v>1267.2140000000004</c:v>
                </c:pt>
                <c:pt idx="8">
                  <c:v>1266.2260000000001</c:v>
                </c:pt>
                <c:pt idx="9">
                  <c:v>1088.8789999999999</c:v>
                </c:pt>
                <c:pt idx="10">
                  <c:v>1101.9719999999998</c:v>
                </c:pt>
                <c:pt idx="11">
                  <c:v>1234.4589999999998</c:v>
                </c:pt>
                <c:pt idx="12">
                  <c:v>1169</c:v>
                </c:pt>
                <c:pt idx="13">
                  <c:v>1086.614</c:v>
                </c:pt>
                <c:pt idx="14">
                  <c:v>1106.9649999999999</c:v>
                </c:pt>
                <c:pt idx="15">
                  <c:v>1085.7569999999998</c:v>
                </c:pt>
                <c:pt idx="16">
                  <c:v>1187.9110000000001</c:v>
                </c:pt>
                <c:pt idx="17">
                  <c:v>1015.326</c:v>
                </c:pt>
                <c:pt idx="18">
                  <c:v>990.68499999999983</c:v>
                </c:pt>
                <c:pt idx="19">
                  <c:v>1110.3039999999999</c:v>
                </c:pt>
                <c:pt idx="20">
                  <c:v>1101.0219999999999</c:v>
                </c:pt>
                <c:pt idx="21">
                  <c:v>1103.1460000000002</c:v>
                </c:pt>
                <c:pt idx="22">
                  <c:v>1143.6090000000002</c:v>
                </c:pt>
                <c:pt idx="23">
                  <c:v>2363.819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71D-4CC6-8B24-01FF8183C7FA}"/>
            </c:ext>
          </c:extLst>
        </c:ser>
        <c:ser>
          <c:idx val="15"/>
          <c:order val="15"/>
          <c:tx>
            <c:strRef>
              <c:f>'May 25 Graph'!$Q$1:$Q$2</c:f>
              <c:strCache>
                <c:ptCount val="1"/>
                <c:pt idx="0">
                  <c:v>Dhanbad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Graph'!$Q$3:$Q$26</c:f>
              <c:numCache>
                <c:formatCode>General</c:formatCode>
                <c:ptCount val="24"/>
                <c:pt idx="0">
                  <c:v>3.33</c:v>
                </c:pt>
                <c:pt idx="1">
                  <c:v>16.100000000000001</c:v>
                </c:pt>
                <c:pt idx="2">
                  <c:v>21.07</c:v>
                </c:pt>
                <c:pt idx="3">
                  <c:v>23.14</c:v>
                </c:pt>
                <c:pt idx="4">
                  <c:v>54.3</c:v>
                </c:pt>
                <c:pt idx="5">
                  <c:v>42.68</c:v>
                </c:pt>
                <c:pt idx="6">
                  <c:v>54.519999999999996</c:v>
                </c:pt>
                <c:pt idx="7">
                  <c:v>31.870000000000005</c:v>
                </c:pt>
                <c:pt idx="8">
                  <c:v>1.44</c:v>
                </c:pt>
                <c:pt idx="9">
                  <c:v>50.92</c:v>
                </c:pt>
                <c:pt idx="10">
                  <c:v>41.6</c:v>
                </c:pt>
                <c:pt idx="11">
                  <c:v>21.720000000000002</c:v>
                </c:pt>
                <c:pt idx="12">
                  <c:v>51.09</c:v>
                </c:pt>
                <c:pt idx="13">
                  <c:v>46.46</c:v>
                </c:pt>
                <c:pt idx="14">
                  <c:v>43.16</c:v>
                </c:pt>
                <c:pt idx="15">
                  <c:v>0</c:v>
                </c:pt>
                <c:pt idx="16">
                  <c:v>28.669999999999998</c:v>
                </c:pt>
                <c:pt idx="17">
                  <c:v>28.540000000000003</c:v>
                </c:pt>
                <c:pt idx="18">
                  <c:v>43.510000000000005</c:v>
                </c:pt>
                <c:pt idx="19">
                  <c:v>28.28</c:v>
                </c:pt>
                <c:pt idx="20">
                  <c:v>24.32</c:v>
                </c:pt>
                <c:pt idx="21">
                  <c:v>27.92</c:v>
                </c:pt>
                <c:pt idx="22">
                  <c:v>6.3500000000000005</c:v>
                </c:pt>
                <c:pt idx="23">
                  <c:v>63.519999999999996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71D-4CC6-8B24-01FF8183C7FA}"/>
            </c:ext>
          </c:extLst>
        </c:ser>
        <c:ser>
          <c:idx val="16"/>
          <c:order val="16"/>
          <c:tx>
            <c:strRef>
              <c:f>'May 25 Graph'!$R$1:$R$2</c:f>
              <c:strCache>
                <c:ptCount val="1"/>
                <c:pt idx="0">
                  <c:v>Ernakulam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Graph'!$R$3:$R$26</c:f>
              <c:numCache>
                <c:formatCode>General</c:formatCode>
                <c:ptCount val="24"/>
                <c:pt idx="0">
                  <c:v>10.210000000000001</c:v>
                </c:pt>
                <c:pt idx="1">
                  <c:v>6.41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5.43</c:v>
                </c:pt>
                <c:pt idx="19">
                  <c:v>1.94</c:v>
                </c:pt>
                <c:pt idx="20">
                  <c:v>5.01</c:v>
                </c:pt>
                <c:pt idx="21">
                  <c:v>14.84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71D-4CC6-8B24-01FF8183C7FA}"/>
            </c:ext>
          </c:extLst>
        </c:ser>
        <c:ser>
          <c:idx val="17"/>
          <c:order val="17"/>
          <c:tx>
            <c:strRef>
              <c:f>'May 25 Graph'!$S$1:$S$2</c:f>
              <c:strCache>
                <c:ptCount val="1"/>
                <c:pt idx="0">
                  <c:v>Ghaziabad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Graph'!$S$3:$S$26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26.183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6.8879999999999999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17.199000000000002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31.931999999999999</c:v>
                </c:pt>
                <c:pt idx="22">
                  <c:v>0</c:v>
                </c:pt>
                <c:pt idx="23">
                  <c:v>19.55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71D-4CC6-8B24-01FF8183C7FA}"/>
            </c:ext>
          </c:extLst>
        </c:ser>
        <c:ser>
          <c:idx val="18"/>
          <c:order val="18"/>
          <c:tx>
            <c:strRef>
              <c:f>'May 25 Graph'!$T$1:$T$2</c:f>
              <c:strCache>
                <c:ptCount val="1"/>
                <c:pt idx="0">
                  <c:v>Gotanagar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Graph'!$T$3:$T$26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71D-4CC6-8B24-01FF8183C7FA}"/>
            </c:ext>
          </c:extLst>
        </c:ser>
        <c:ser>
          <c:idx val="19"/>
          <c:order val="19"/>
          <c:tx>
            <c:strRef>
              <c:f>'May 25 Graph'!$U$1:$U$2</c:f>
              <c:strCache>
                <c:ptCount val="1"/>
                <c:pt idx="0">
                  <c:v>Guntur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Graph'!$U$3:$U$26</c:f>
              <c:numCache>
                <c:formatCode>General</c:formatCode>
                <c:ptCount val="24"/>
                <c:pt idx="0">
                  <c:v>26.778000000000002</c:v>
                </c:pt>
                <c:pt idx="1">
                  <c:v>43.997999999999998</c:v>
                </c:pt>
                <c:pt idx="2">
                  <c:v>25.472999999999999</c:v>
                </c:pt>
                <c:pt idx="3">
                  <c:v>58.86</c:v>
                </c:pt>
                <c:pt idx="4">
                  <c:v>47.088000000000001</c:v>
                </c:pt>
                <c:pt idx="5">
                  <c:v>32.853999999999999</c:v>
                </c:pt>
                <c:pt idx="6">
                  <c:v>33.282000000000004</c:v>
                </c:pt>
                <c:pt idx="7">
                  <c:v>39.67</c:v>
                </c:pt>
                <c:pt idx="8">
                  <c:v>17.692999999999998</c:v>
                </c:pt>
                <c:pt idx="9">
                  <c:v>69.397000000000006</c:v>
                </c:pt>
                <c:pt idx="10">
                  <c:v>48.360999999999997</c:v>
                </c:pt>
                <c:pt idx="11">
                  <c:v>33.713999999999999</c:v>
                </c:pt>
                <c:pt idx="12">
                  <c:v>25.17</c:v>
                </c:pt>
                <c:pt idx="13">
                  <c:v>62.939000000000007</c:v>
                </c:pt>
                <c:pt idx="14">
                  <c:v>23.157</c:v>
                </c:pt>
                <c:pt idx="15">
                  <c:v>0</c:v>
                </c:pt>
                <c:pt idx="16">
                  <c:v>47.265999999999998</c:v>
                </c:pt>
                <c:pt idx="17">
                  <c:v>28.631</c:v>
                </c:pt>
                <c:pt idx="18">
                  <c:v>35.363999999999997</c:v>
                </c:pt>
                <c:pt idx="19">
                  <c:v>36</c:v>
                </c:pt>
                <c:pt idx="20">
                  <c:v>41.406999999999996</c:v>
                </c:pt>
                <c:pt idx="21">
                  <c:v>45.182000000000002</c:v>
                </c:pt>
                <c:pt idx="22">
                  <c:v>56.646999999999998</c:v>
                </c:pt>
                <c:pt idx="23">
                  <c:v>84.114999999999995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71D-4CC6-8B24-01FF8183C7FA}"/>
            </c:ext>
          </c:extLst>
        </c:ser>
        <c:ser>
          <c:idx val="20"/>
          <c:order val="20"/>
          <c:tx>
            <c:strRef>
              <c:f>'May 25 Graph'!$V$1:$V$2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Graph'!$V$3:$V$26</c:f>
              <c:numCache>
                <c:formatCode>General</c:formatCode>
                <c:ptCount val="24"/>
                <c:pt idx="0">
                  <c:v>4286.6100000000006</c:v>
                </c:pt>
                <c:pt idx="1">
                  <c:v>4380.3559999999989</c:v>
                </c:pt>
                <c:pt idx="2">
                  <c:v>4753.8379999999997</c:v>
                </c:pt>
                <c:pt idx="3">
                  <c:v>4059.1860000000001</c:v>
                </c:pt>
                <c:pt idx="4">
                  <c:v>4500.7410000000009</c:v>
                </c:pt>
                <c:pt idx="5">
                  <c:v>4872.8459999999986</c:v>
                </c:pt>
                <c:pt idx="6">
                  <c:v>5504.2859999999991</c:v>
                </c:pt>
                <c:pt idx="7">
                  <c:v>4521.1360000000004</c:v>
                </c:pt>
                <c:pt idx="8">
                  <c:v>5002.1499999999996</c:v>
                </c:pt>
                <c:pt idx="9">
                  <c:v>4405.6010000000015</c:v>
                </c:pt>
                <c:pt idx="10">
                  <c:v>3514.7549999999992</c:v>
                </c:pt>
                <c:pt idx="11">
                  <c:v>4493.577000000002</c:v>
                </c:pt>
                <c:pt idx="12">
                  <c:v>4847.7179999999998</c:v>
                </c:pt>
                <c:pt idx="13">
                  <c:v>5517.857</c:v>
                </c:pt>
                <c:pt idx="14">
                  <c:v>5006.74</c:v>
                </c:pt>
                <c:pt idx="15">
                  <c:v>5424.3149999999987</c:v>
                </c:pt>
                <c:pt idx="16">
                  <c:v>5069.9859999999999</c:v>
                </c:pt>
                <c:pt idx="17">
                  <c:v>4053.4130000000009</c:v>
                </c:pt>
                <c:pt idx="18">
                  <c:v>5110.1799999999985</c:v>
                </c:pt>
                <c:pt idx="19">
                  <c:v>5578.1039999999994</c:v>
                </c:pt>
                <c:pt idx="20">
                  <c:v>4975.6559999999999</c:v>
                </c:pt>
                <c:pt idx="21">
                  <c:v>5065.6669999999986</c:v>
                </c:pt>
                <c:pt idx="22">
                  <c:v>5221.692</c:v>
                </c:pt>
                <c:pt idx="23">
                  <c:v>8728.0049999999974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71D-4CC6-8B24-01FF8183C7FA}"/>
            </c:ext>
          </c:extLst>
        </c:ser>
        <c:ser>
          <c:idx val="21"/>
          <c:order val="21"/>
          <c:tx>
            <c:strRef>
              <c:f>'May 25 Graph'!$W$1:$W$2</c:f>
              <c:strCache>
                <c:ptCount val="1"/>
                <c:pt idx="0">
                  <c:v>Karaikudi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Graph'!$W$3:$W$26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71D-4CC6-8B24-01FF8183C7FA}"/>
            </c:ext>
          </c:extLst>
        </c:ser>
        <c:ser>
          <c:idx val="22"/>
          <c:order val="22"/>
          <c:tx>
            <c:strRef>
              <c:f>'May 25 Graph'!$X$1:$X$2</c:f>
              <c:strCache>
                <c:ptCount val="1"/>
                <c:pt idx="0">
                  <c:v>Kasargod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Graph'!$X$3:$X$26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71D-4CC6-8B24-01FF8183C7FA}"/>
            </c:ext>
          </c:extLst>
        </c:ser>
        <c:ser>
          <c:idx val="23"/>
          <c:order val="23"/>
          <c:tx>
            <c:strRef>
              <c:f>'May 25 Graph'!$Y$1:$Y$2</c:f>
              <c:strCache>
                <c:ptCount val="1"/>
                <c:pt idx="0">
                  <c:v>Kattupakkum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Graph'!$Y$3:$Y$26</c:f>
              <c:numCache>
                <c:formatCode>General</c:formatCode>
                <c:ptCount val="24"/>
                <c:pt idx="0">
                  <c:v>0</c:v>
                </c:pt>
                <c:pt idx="1">
                  <c:v>2.5</c:v>
                </c:pt>
                <c:pt idx="2">
                  <c:v>5.43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71D-4CC6-8B24-01FF8183C7FA}"/>
            </c:ext>
          </c:extLst>
        </c:ser>
        <c:ser>
          <c:idx val="24"/>
          <c:order val="24"/>
          <c:tx>
            <c:strRef>
              <c:f>'May 25 Graph'!$Z$1:$Z$2</c:f>
              <c:strCache>
                <c:ptCount val="1"/>
                <c:pt idx="0">
                  <c:v>Kerala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Graph'!$Z$3:$Z$26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16.559000000000001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71D-4CC6-8B24-01FF8183C7FA}"/>
            </c:ext>
          </c:extLst>
        </c:ser>
        <c:ser>
          <c:idx val="25"/>
          <c:order val="25"/>
          <c:tx>
            <c:strRef>
              <c:f>'May 25 Graph'!$AA$1:$AA$2</c:f>
              <c:strCache>
                <c:ptCount val="1"/>
                <c:pt idx="0">
                  <c:v>Kevadiya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Graph'!$AA$3:$AA$26</c:f>
              <c:numCache>
                <c:formatCode>General</c:formatCode>
                <c:ptCount val="24"/>
                <c:pt idx="0">
                  <c:v>99.204999999999998</c:v>
                </c:pt>
                <c:pt idx="1">
                  <c:v>308.28800000000012</c:v>
                </c:pt>
                <c:pt idx="2">
                  <c:v>341.62699999999995</c:v>
                </c:pt>
                <c:pt idx="3">
                  <c:v>397.43799999999987</c:v>
                </c:pt>
                <c:pt idx="4">
                  <c:v>338.09999999999991</c:v>
                </c:pt>
                <c:pt idx="5">
                  <c:v>136.00200000000004</c:v>
                </c:pt>
                <c:pt idx="6">
                  <c:v>280.72300000000007</c:v>
                </c:pt>
                <c:pt idx="7">
                  <c:v>219.42100000000002</c:v>
                </c:pt>
                <c:pt idx="8">
                  <c:v>306.27299999999991</c:v>
                </c:pt>
                <c:pt idx="9">
                  <c:v>284.50400000000002</c:v>
                </c:pt>
                <c:pt idx="10">
                  <c:v>440.23899999999992</c:v>
                </c:pt>
                <c:pt idx="11">
                  <c:v>371.45800000000008</c:v>
                </c:pt>
                <c:pt idx="12">
                  <c:v>88.626000000000005</c:v>
                </c:pt>
                <c:pt idx="13">
                  <c:v>266.91099999999994</c:v>
                </c:pt>
                <c:pt idx="14">
                  <c:v>89.506000000000014</c:v>
                </c:pt>
                <c:pt idx="15">
                  <c:v>343.87199999999996</c:v>
                </c:pt>
                <c:pt idx="16">
                  <c:v>326.30099999999999</c:v>
                </c:pt>
                <c:pt idx="17">
                  <c:v>563.02399999999977</c:v>
                </c:pt>
                <c:pt idx="18">
                  <c:v>470.29</c:v>
                </c:pt>
                <c:pt idx="19">
                  <c:v>66.8</c:v>
                </c:pt>
                <c:pt idx="20">
                  <c:v>423.68599999999992</c:v>
                </c:pt>
                <c:pt idx="21">
                  <c:v>249.05600000000001</c:v>
                </c:pt>
                <c:pt idx="22">
                  <c:v>153.24799999999996</c:v>
                </c:pt>
                <c:pt idx="23">
                  <c:v>1028.1249999999998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71D-4CC6-8B24-01FF8183C7FA}"/>
            </c:ext>
          </c:extLst>
        </c:ser>
        <c:ser>
          <c:idx val="26"/>
          <c:order val="26"/>
          <c:tx>
            <c:strRef>
              <c:f>'May 25 Graph'!$AB$1:$AB$2</c:f>
              <c:strCache>
                <c:ptCount val="1"/>
                <c:pt idx="0">
                  <c:v>Kolhapur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Graph'!$AB$3:$AB$26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9.3800000000000008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71D-4CC6-8B24-01FF8183C7FA}"/>
            </c:ext>
          </c:extLst>
        </c:ser>
        <c:ser>
          <c:idx val="27"/>
          <c:order val="27"/>
          <c:tx>
            <c:strRef>
              <c:f>'May 25 Graph'!$AC$1:$AC$2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Graph'!$AC$3:$AC$26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71D-4CC6-8B24-01FF8183C7FA}"/>
            </c:ext>
          </c:extLst>
        </c:ser>
        <c:ser>
          <c:idx val="28"/>
          <c:order val="28"/>
          <c:tx>
            <c:strRef>
              <c:f>'May 25 Graph'!$AD$1:$AD$2</c:f>
              <c:strCache>
                <c:ptCount val="1"/>
                <c:pt idx="0">
                  <c:v>Nagpur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Graph'!$AD$3:$AD$26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54.965000000000003</c:v>
                </c:pt>
                <c:pt idx="3">
                  <c:v>114.94200000000002</c:v>
                </c:pt>
                <c:pt idx="4">
                  <c:v>106.97500000000001</c:v>
                </c:pt>
                <c:pt idx="5">
                  <c:v>155.28800000000001</c:v>
                </c:pt>
                <c:pt idx="6">
                  <c:v>199.95300000000003</c:v>
                </c:pt>
                <c:pt idx="7">
                  <c:v>200.79599999999996</c:v>
                </c:pt>
                <c:pt idx="8">
                  <c:v>170.54799999999997</c:v>
                </c:pt>
                <c:pt idx="9">
                  <c:v>150.58900000000003</c:v>
                </c:pt>
                <c:pt idx="10">
                  <c:v>157.434</c:v>
                </c:pt>
                <c:pt idx="11">
                  <c:v>115.09200000000001</c:v>
                </c:pt>
                <c:pt idx="12">
                  <c:v>158.173</c:v>
                </c:pt>
                <c:pt idx="13">
                  <c:v>147.714</c:v>
                </c:pt>
                <c:pt idx="14">
                  <c:v>285.39099999999996</c:v>
                </c:pt>
                <c:pt idx="15">
                  <c:v>173.12</c:v>
                </c:pt>
                <c:pt idx="16">
                  <c:v>125.20200000000001</c:v>
                </c:pt>
                <c:pt idx="17">
                  <c:v>146.90099999999998</c:v>
                </c:pt>
                <c:pt idx="18">
                  <c:v>104.87700000000001</c:v>
                </c:pt>
                <c:pt idx="19">
                  <c:v>139.13000000000002</c:v>
                </c:pt>
                <c:pt idx="20">
                  <c:v>128.06799999999998</c:v>
                </c:pt>
                <c:pt idx="21">
                  <c:v>180.98499999999996</c:v>
                </c:pt>
                <c:pt idx="22">
                  <c:v>152.79899999999998</c:v>
                </c:pt>
                <c:pt idx="23">
                  <c:v>374.7170000000001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71D-4CC6-8B24-01FF8183C7FA}"/>
            </c:ext>
          </c:extLst>
        </c:ser>
        <c:ser>
          <c:idx val="29"/>
          <c:order val="29"/>
          <c:tx>
            <c:strRef>
              <c:f>'May 25 Graph'!$AE$1:$AE$2</c:f>
              <c:strCache>
                <c:ptCount val="1"/>
                <c:pt idx="0">
                  <c:v>Nogaon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Graph'!$AE$3:$AE$26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71D-4CC6-8B24-01FF8183C7FA}"/>
            </c:ext>
          </c:extLst>
        </c:ser>
        <c:ser>
          <c:idx val="30"/>
          <c:order val="30"/>
          <c:tx>
            <c:strRef>
              <c:f>'May 25 Graph'!$AF$1:$AF$2</c:f>
              <c:strCache>
                <c:ptCount val="1"/>
                <c:pt idx="0">
                  <c:v>Noida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Graph'!$AF$3:$AF$26</c:f>
              <c:numCache>
                <c:formatCode>General</c:formatCode>
                <c:ptCount val="24"/>
                <c:pt idx="0">
                  <c:v>5.6690000000000005</c:v>
                </c:pt>
                <c:pt idx="1">
                  <c:v>2.3409999999999997</c:v>
                </c:pt>
                <c:pt idx="2">
                  <c:v>2.9039999999999999</c:v>
                </c:pt>
                <c:pt idx="3">
                  <c:v>3.3449999999999998</c:v>
                </c:pt>
                <c:pt idx="4">
                  <c:v>1.643</c:v>
                </c:pt>
                <c:pt idx="5">
                  <c:v>2.9969999999999999</c:v>
                </c:pt>
                <c:pt idx="6">
                  <c:v>2.0869999999999997</c:v>
                </c:pt>
                <c:pt idx="7">
                  <c:v>3.2279999999999998</c:v>
                </c:pt>
                <c:pt idx="8">
                  <c:v>4.8829999999999991</c:v>
                </c:pt>
                <c:pt idx="9">
                  <c:v>3.391</c:v>
                </c:pt>
                <c:pt idx="10">
                  <c:v>2.657</c:v>
                </c:pt>
                <c:pt idx="11">
                  <c:v>1.8979999999999999</c:v>
                </c:pt>
                <c:pt idx="12">
                  <c:v>2.6269999999999998</c:v>
                </c:pt>
                <c:pt idx="13">
                  <c:v>2.6070000000000002</c:v>
                </c:pt>
                <c:pt idx="14">
                  <c:v>2.476</c:v>
                </c:pt>
                <c:pt idx="15">
                  <c:v>5.4409999999999998</c:v>
                </c:pt>
                <c:pt idx="16">
                  <c:v>3.6219999999999999</c:v>
                </c:pt>
                <c:pt idx="17">
                  <c:v>3.71</c:v>
                </c:pt>
                <c:pt idx="18">
                  <c:v>3.4790000000000001</c:v>
                </c:pt>
                <c:pt idx="19">
                  <c:v>4.5920000000000005</c:v>
                </c:pt>
                <c:pt idx="20">
                  <c:v>4.1159999999999997</c:v>
                </c:pt>
                <c:pt idx="21">
                  <c:v>2.9989999999999997</c:v>
                </c:pt>
                <c:pt idx="22">
                  <c:v>3.665</c:v>
                </c:pt>
                <c:pt idx="23">
                  <c:v>5.9189999999999996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71D-4CC6-8B24-01FF8183C7FA}"/>
            </c:ext>
          </c:extLst>
        </c:ser>
        <c:ser>
          <c:idx val="31"/>
          <c:order val="31"/>
          <c:tx>
            <c:strRef>
              <c:f>'May 25 Graph'!$AG$1:$AG$2</c:f>
              <c:strCache>
                <c:ptCount val="1"/>
                <c:pt idx="0">
                  <c:v>Pandharpur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Graph'!$AG$3:$AG$26</c:f>
              <c:numCache>
                <c:formatCode>General</c:formatCode>
                <c:ptCount val="24"/>
                <c:pt idx="0">
                  <c:v>0</c:v>
                </c:pt>
                <c:pt idx="1">
                  <c:v>25.82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21.26</c:v>
                </c:pt>
                <c:pt idx="7">
                  <c:v>10.69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19.13</c:v>
                </c:pt>
                <c:pt idx="13">
                  <c:v>0</c:v>
                </c:pt>
                <c:pt idx="14">
                  <c:v>16.190000000000001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20.25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9.7899999999999991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71D-4CC6-8B24-01FF8183C7FA}"/>
            </c:ext>
          </c:extLst>
        </c:ser>
        <c:ser>
          <c:idx val="32"/>
          <c:order val="32"/>
          <c:tx>
            <c:strRef>
              <c:f>'May 25 Graph'!$AH$1:$AH$2</c:f>
              <c:strCache>
                <c:ptCount val="1"/>
                <c:pt idx="0">
                  <c:v>Panikoli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Graph'!$AH$3:$AH$26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14.51</c:v>
                </c:pt>
                <c:pt idx="23">
                  <c:v>9.64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71D-4CC6-8B24-01FF8183C7FA}"/>
            </c:ext>
          </c:extLst>
        </c:ser>
        <c:ser>
          <c:idx val="33"/>
          <c:order val="33"/>
          <c:tx>
            <c:strRef>
              <c:f>'May 25 Graph'!$AI$1:$AI$2</c:f>
              <c:strCache>
                <c:ptCount val="1"/>
                <c:pt idx="0">
                  <c:v>Patna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Graph'!$AI$3:$AI$26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71D-4CC6-8B24-01FF8183C7FA}"/>
            </c:ext>
          </c:extLst>
        </c:ser>
        <c:ser>
          <c:idx val="34"/>
          <c:order val="34"/>
          <c:tx>
            <c:strRef>
              <c:f>'May 25 Graph'!$AJ$1:$AJ$2</c:f>
              <c:strCache>
                <c:ptCount val="1"/>
                <c:pt idx="0">
                  <c:v>Poonamallee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Graph'!$AJ$3:$AJ$26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71D-4CC6-8B24-01FF8183C7FA}"/>
            </c:ext>
          </c:extLst>
        </c:ser>
        <c:ser>
          <c:idx val="35"/>
          <c:order val="35"/>
          <c:tx>
            <c:strRef>
              <c:f>'May 25 Graph'!$AK$1:$AK$2</c:f>
              <c:strCache>
                <c:ptCount val="1"/>
                <c:pt idx="0">
                  <c:v>Prayagraj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Graph'!$AK$3:$AK$26</c:f>
              <c:numCache>
                <c:formatCode>General</c:formatCode>
                <c:ptCount val="24"/>
                <c:pt idx="0">
                  <c:v>300.81299999999999</c:v>
                </c:pt>
                <c:pt idx="1">
                  <c:v>339.23299999999983</c:v>
                </c:pt>
                <c:pt idx="2">
                  <c:v>329.38699999999994</c:v>
                </c:pt>
                <c:pt idx="3">
                  <c:v>320.37500000000017</c:v>
                </c:pt>
                <c:pt idx="4">
                  <c:v>311.08300000000008</c:v>
                </c:pt>
                <c:pt idx="5">
                  <c:v>313.80799999999999</c:v>
                </c:pt>
                <c:pt idx="6">
                  <c:v>295.36700000000013</c:v>
                </c:pt>
                <c:pt idx="7">
                  <c:v>291.94700000000006</c:v>
                </c:pt>
                <c:pt idx="8">
                  <c:v>248.79099999999994</c:v>
                </c:pt>
                <c:pt idx="9">
                  <c:v>240.34900000000005</c:v>
                </c:pt>
                <c:pt idx="10">
                  <c:v>235.11300000000003</c:v>
                </c:pt>
                <c:pt idx="11">
                  <c:v>274.87700000000007</c:v>
                </c:pt>
                <c:pt idx="12">
                  <c:v>294.71000000000026</c:v>
                </c:pt>
                <c:pt idx="13">
                  <c:v>290.87200000000007</c:v>
                </c:pt>
                <c:pt idx="14">
                  <c:v>306.79799999999994</c:v>
                </c:pt>
                <c:pt idx="15">
                  <c:v>270.32199999999995</c:v>
                </c:pt>
                <c:pt idx="16">
                  <c:v>350.98400000000004</c:v>
                </c:pt>
                <c:pt idx="17">
                  <c:v>309.70300000000015</c:v>
                </c:pt>
                <c:pt idx="18">
                  <c:v>304.53999999999996</c:v>
                </c:pt>
                <c:pt idx="19">
                  <c:v>294.79899999999992</c:v>
                </c:pt>
                <c:pt idx="20">
                  <c:v>328.02499999999992</c:v>
                </c:pt>
                <c:pt idx="21">
                  <c:v>265.13799999999998</c:v>
                </c:pt>
                <c:pt idx="22">
                  <c:v>333.35600000000005</c:v>
                </c:pt>
                <c:pt idx="23">
                  <c:v>578.16299999999978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71D-4CC6-8B24-01FF8183C7FA}"/>
            </c:ext>
          </c:extLst>
        </c:ser>
        <c:ser>
          <c:idx val="36"/>
          <c:order val="36"/>
          <c:tx>
            <c:strRef>
              <c:f>'May 25 Graph'!$AL$1:$AL$2</c:f>
              <c:strCache>
                <c:ptCount val="1"/>
                <c:pt idx="0">
                  <c:v>Raipur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Graph'!$AL$3:$AL$26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71D-4CC6-8B24-01FF8183C7FA}"/>
            </c:ext>
          </c:extLst>
        </c:ser>
        <c:ser>
          <c:idx val="37"/>
          <c:order val="37"/>
          <c:tx>
            <c:strRef>
              <c:f>'May 25 Graph'!$AM$1:$AM$2</c:f>
              <c:strCache>
                <c:ptCount val="1"/>
                <c:pt idx="0">
                  <c:v>Rajahmundry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Graph'!$AM$3:$AM$26</c:f>
              <c:numCache>
                <c:formatCode>General</c:formatCode>
                <c:ptCount val="24"/>
                <c:pt idx="0">
                  <c:v>28.323</c:v>
                </c:pt>
                <c:pt idx="1">
                  <c:v>4.5739999999999998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71D-4CC6-8B24-01FF8183C7FA}"/>
            </c:ext>
          </c:extLst>
        </c:ser>
        <c:ser>
          <c:idx val="38"/>
          <c:order val="38"/>
          <c:tx>
            <c:strRef>
              <c:f>'May 25 Graph'!$AN$1:$AN$2</c:f>
              <c:strCache>
                <c:ptCount val="1"/>
                <c:pt idx="0">
                  <c:v>Suryapet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Graph'!$AN$3:$AN$26</c:f>
              <c:numCache>
                <c:formatCode>General</c:formatCode>
                <c:ptCount val="24"/>
                <c:pt idx="0">
                  <c:v>785.17499999999995</c:v>
                </c:pt>
                <c:pt idx="1">
                  <c:v>597.77499999999998</c:v>
                </c:pt>
                <c:pt idx="2">
                  <c:v>671.92499999999995</c:v>
                </c:pt>
                <c:pt idx="3">
                  <c:v>762.77500000000009</c:v>
                </c:pt>
                <c:pt idx="4">
                  <c:v>727.64899999999989</c:v>
                </c:pt>
                <c:pt idx="5">
                  <c:v>433.702</c:v>
                </c:pt>
                <c:pt idx="6">
                  <c:v>458.82600000000002</c:v>
                </c:pt>
                <c:pt idx="7">
                  <c:v>661.3</c:v>
                </c:pt>
                <c:pt idx="8">
                  <c:v>830.50099999999986</c:v>
                </c:pt>
                <c:pt idx="9">
                  <c:v>581.375</c:v>
                </c:pt>
                <c:pt idx="10">
                  <c:v>1064.7760000000001</c:v>
                </c:pt>
                <c:pt idx="11">
                  <c:v>801.1</c:v>
                </c:pt>
                <c:pt idx="12">
                  <c:v>544.52499999999998</c:v>
                </c:pt>
                <c:pt idx="13">
                  <c:v>619.02499999999998</c:v>
                </c:pt>
                <c:pt idx="14">
                  <c:v>907.00000000000023</c:v>
                </c:pt>
                <c:pt idx="15">
                  <c:v>662.94999999999993</c:v>
                </c:pt>
                <c:pt idx="16">
                  <c:v>1013.075</c:v>
                </c:pt>
                <c:pt idx="17">
                  <c:v>1132.3999999999996</c:v>
                </c:pt>
                <c:pt idx="18">
                  <c:v>1103.3</c:v>
                </c:pt>
                <c:pt idx="19">
                  <c:v>661.52499999999998</c:v>
                </c:pt>
                <c:pt idx="20">
                  <c:v>777.7</c:v>
                </c:pt>
                <c:pt idx="21">
                  <c:v>428.22499999999997</c:v>
                </c:pt>
                <c:pt idx="22">
                  <c:v>1014.6469999999999</c:v>
                </c:pt>
                <c:pt idx="23">
                  <c:v>1717.2009999999993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71D-4CC6-8B24-01FF8183C7FA}"/>
            </c:ext>
          </c:extLst>
        </c:ser>
        <c:ser>
          <c:idx val="39"/>
          <c:order val="39"/>
          <c:tx>
            <c:strRef>
              <c:f>'May 25 Graph'!$AO$1:$AO$2</c:f>
              <c:strCache>
                <c:ptCount val="1"/>
                <c:pt idx="0">
                  <c:v>Thiruvarur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Graph'!$AO$3:$AO$26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71D-4CC6-8B24-01FF8183C7FA}"/>
            </c:ext>
          </c:extLst>
        </c:ser>
        <c:ser>
          <c:idx val="40"/>
          <c:order val="40"/>
          <c:tx>
            <c:strRef>
              <c:f>'May 25 Graph'!$AP$1:$AP$2</c:f>
              <c:strCache>
                <c:ptCount val="1"/>
                <c:pt idx="0">
                  <c:v>Turkaplly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Graph'!$AP$3:$AP$26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51.559999999999995</c:v>
                </c:pt>
                <c:pt idx="19">
                  <c:v>30.509</c:v>
                </c:pt>
                <c:pt idx="20">
                  <c:v>13.573</c:v>
                </c:pt>
                <c:pt idx="21">
                  <c:v>18.465</c:v>
                </c:pt>
                <c:pt idx="22">
                  <c:v>35.891999999999996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71D-4CC6-8B24-01FF8183C7FA}"/>
            </c:ext>
          </c:extLst>
        </c:ser>
        <c:ser>
          <c:idx val="41"/>
          <c:order val="41"/>
          <c:tx>
            <c:strRef>
              <c:f>'May 25 Graph'!$AQ$1:$AQ$2</c:f>
              <c:strCache>
                <c:ptCount val="1"/>
                <c:pt idx="0">
                  <c:v>Vapi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Graph'!$AQ$3:$AQ$26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71D-4CC6-8B24-01FF8183C7FA}"/>
            </c:ext>
          </c:extLst>
        </c:ser>
        <c:ser>
          <c:idx val="42"/>
          <c:order val="42"/>
          <c:tx>
            <c:strRef>
              <c:f>'May 25 Graph'!$AR$1:$AR$2</c:f>
              <c:strCache>
                <c:ptCount val="1"/>
                <c:pt idx="0">
                  <c:v>Vasai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Graph'!$AR$3:$AR$26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71D-4CC6-8B24-01FF8183C7FA}"/>
            </c:ext>
          </c:extLst>
        </c:ser>
        <c:ser>
          <c:idx val="43"/>
          <c:order val="43"/>
          <c:tx>
            <c:strRef>
              <c:f>'May 25 Graph'!$AS$1:$AS$2</c:f>
              <c:strCache>
                <c:ptCount val="1"/>
                <c:pt idx="0">
                  <c:v>Vijayawada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Graph'!$AS$3:$AS$26</c:f>
              <c:numCache>
                <c:formatCode>General</c:formatCode>
                <c:ptCount val="24"/>
                <c:pt idx="0">
                  <c:v>600.57299999999998</c:v>
                </c:pt>
                <c:pt idx="1">
                  <c:v>494.73399999999998</c:v>
                </c:pt>
                <c:pt idx="2">
                  <c:v>545.15</c:v>
                </c:pt>
                <c:pt idx="3">
                  <c:v>447.39100000000002</c:v>
                </c:pt>
                <c:pt idx="4">
                  <c:v>502.85400000000004</c:v>
                </c:pt>
                <c:pt idx="5">
                  <c:v>445.12299999999999</c:v>
                </c:pt>
                <c:pt idx="6">
                  <c:v>376.79699999999997</c:v>
                </c:pt>
                <c:pt idx="7">
                  <c:v>608.3950000000001</c:v>
                </c:pt>
                <c:pt idx="8">
                  <c:v>486.50200000000007</c:v>
                </c:pt>
                <c:pt idx="9">
                  <c:v>530.56200000000001</c:v>
                </c:pt>
                <c:pt idx="10">
                  <c:v>469.36599999999999</c:v>
                </c:pt>
                <c:pt idx="11">
                  <c:v>492.01600000000002</c:v>
                </c:pt>
                <c:pt idx="12">
                  <c:v>281.79500000000002</c:v>
                </c:pt>
                <c:pt idx="13">
                  <c:v>649.80700000000002</c:v>
                </c:pt>
                <c:pt idx="14">
                  <c:v>729.04799999999989</c:v>
                </c:pt>
                <c:pt idx="15">
                  <c:v>883.51899999999989</c:v>
                </c:pt>
                <c:pt idx="16">
                  <c:v>886.90199999999993</c:v>
                </c:pt>
                <c:pt idx="17">
                  <c:v>868.98</c:v>
                </c:pt>
                <c:pt idx="18">
                  <c:v>834.91200000000003</c:v>
                </c:pt>
                <c:pt idx="19">
                  <c:v>495.77100000000002</c:v>
                </c:pt>
                <c:pt idx="20">
                  <c:v>698.58799999999985</c:v>
                </c:pt>
                <c:pt idx="21">
                  <c:v>774.69599999999991</c:v>
                </c:pt>
                <c:pt idx="22">
                  <c:v>925.23200000000008</c:v>
                </c:pt>
                <c:pt idx="23">
                  <c:v>1661.963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71D-4CC6-8B24-01FF8183C7FA}"/>
            </c:ext>
          </c:extLst>
        </c:ser>
        <c:ser>
          <c:idx val="44"/>
          <c:order val="44"/>
          <c:tx>
            <c:strRef>
              <c:f>'May 25 Graph'!$AT$1:$AT$2</c:f>
              <c:strCache>
                <c:ptCount val="1"/>
                <c:pt idx="0">
                  <c:v>Vishakapatnam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Graph'!$AT$3:$AT$26</c:f>
              <c:numCache>
                <c:formatCode>General</c:formatCode>
                <c:ptCount val="24"/>
                <c:pt idx="0">
                  <c:v>3.0679999999999996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71D-4CC6-8B24-01FF8183C7FA}"/>
            </c:ext>
          </c:extLst>
        </c:ser>
        <c:ser>
          <c:idx val="45"/>
          <c:order val="45"/>
          <c:tx>
            <c:strRef>
              <c:f>'May 25 Graph'!$AU$1:$AU$2</c:f>
              <c:strCache>
                <c:ptCount val="1"/>
                <c:pt idx="0">
                  <c:v>Warangal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'May 25 Graph'!$A$3:$A$26</c:f>
              <c:strCache>
                <c:ptCount val="24"/>
                <c:pt idx="0">
                  <c:v>Sum of 01-05-2025</c:v>
                </c:pt>
                <c:pt idx="1">
                  <c:v>Sum of 02-05-2025</c:v>
                </c:pt>
                <c:pt idx="2">
                  <c:v>Sum of 03-05-2025</c:v>
                </c:pt>
                <c:pt idx="3">
                  <c:v>Sum of 04-05-2025</c:v>
                </c:pt>
                <c:pt idx="4">
                  <c:v>Sum of 05-05-2025</c:v>
                </c:pt>
                <c:pt idx="5">
                  <c:v>Sum of 06-05-2025</c:v>
                </c:pt>
                <c:pt idx="6">
                  <c:v>Sum of 07-05-2025</c:v>
                </c:pt>
                <c:pt idx="7">
                  <c:v>Sum of 08-05-2025</c:v>
                </c:pt>
                <c:pt idx="8">
                  <c:v>Sum of 09-05-2025</c:v>
                </c:pt>
                <c:pt idx="9">
                  <c:v>Sum of 10-05-2025</c:v>
                </c:pt>
                <c:pt idx="10">
                  <c:v>Sum of 11-05-2025</c:v>
                </c:pt>
                <c:pt idx="11">
                  <c:v>Sum of 12-05-2025</c:v>
                </c:pt>
                <c:pt idx="12">
                  <c:v>Sum of 13-05-2025</c:v>
                </c:pt>
                <c:pt idx="13">
                  <c:v>Sum of 14-05-2025</c:v>
                </c:pt>
                <c:pt idx="14">
                  <c:v>Sum of 15-05-2025</c:v>
                </c:pt>
                <c:pt idx="15">
                  <c:v>Sum of 16-05-2025</c:v>
                </c:pt>
                <c:pt idx="16">
                  <c:v>Sum of 17-05-2025</c:v>
                </c:pt>
                <c:pt idx="17">
                  <c:v>Sum of 18-05-2025</c:v>
                </c:pt>
                <c:pt idx="18">
                  <c:v>Sum of 19-05-2025</c:v>
                </c:pt>
                <c:pt idx="19">
                  <c:v>Sum of 20-05-2025</c:v>
                </c:pt>
                <c:pt idx="20">
                  <c:v>Sum of 21-05-2025</c:v>
                </c:pt>
                <c:pt idx="21">
                  <c:v>Sum of 22-05-2025</c:v>
                </c:pt>
                <c:pt idx="22">
                  <c:v>Sum of 23-05-2025</c:v>
                </c:pt>
                <c:pt idx="23">
                  <c:v>Sum of 24-05-2025</c:v>
                </c:pt>
              </c:strCache>
            </c:strRef>
          </c:cat>
          <c:val>
            <c:numRef>
              <c:f>'May 25 Graph'!$AU$3:$AU$26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C71D-4CC6-8B24-01FF8183C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4683032"/>
        <c:axId val="544678328"/>
      </c:barChart>
      <c:catAx>
        <c:axId val="544683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78328"/>
        <c:crosses val="autoZero"/>
        <c:auto val="1"/>
        <c:lblAlgn val="ctr"/>
        <c:lblOffset val="100"/>
        <c:noMultiLvlLbl val="0"/>
      </c:catAx>
      <c:valAx>
        <c:axId val="54467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3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35</xdr:row>
      <xdr:rowOff>52387</xdr:rowOff>
    </xdr:from>
    <xdr:to>
      <xdr:col>8</xdr:col>
      <xdr:colOff>742950</xdr:colOff>
      <xdr:row>49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36</xdr:row>
      <xdr:rowOff>42862</xdr:rowOff>
    </xdr:from>
    <xdr:to>
      <xdr:col>9</xdr:col>
      <xdr:colOff>476249</xdr:colOff>
      <xdr:row>60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923925</xdr:colOff>
      <xdr:row>35</xdr:row>
      <xdr:rowOff>80961</xdr:rowOff>
    </xdr:from>
    <xdr:to>
      <xdr:col>6</xdr:col>
      <xdr:colOff>590550</xdr:colOff>
      <xdr:row>53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35</xdr:row>
      <xdr:rowOff>90487</xdr:rowOff>
    </xdr:from>
    <xdr:to>
      <xdr:col>10</xdr:col>
      <xdr:colOff>657225</xdr:colOff>
      <xdr:row>49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35</xdr:row>
      <xdr:rowOff>176212</xdr:rowOff>
    </xdr:from>
    <xdr:to>
      <xdr:col>8</xdr:col>
      <xdr:colOff>542925</xdr:colOff>
      <xdr:row>50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35</xdr:row>
      <xdr:rowOff>61912</xdr:rowOff>
    </xdr:from>
    <xdr:to>
      <xdr:col>11</xdr:col>
      <xdr:colOff>342900</xdr:colOff>
      <xdr:row>49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35</xdr:row>
      <xdr:rowOff>14287</xdr:rowOff>
    </xdr:from>
    <xdr:to>
      <xdr:col>10</xdr:col>
      <xdr:colOff>390525</xdr:colOff>
      <xdr:row>49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34</xdr:row>
      <xdr:rowOff>23812</xdr:rowOff>
    </xdr:from>
    <xdr:to>
      <xdr:col>8</xdr:col>
      <xdr:colOff>95251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962025</xdr:colOff>
      <xdr:row>78</xdr:row>
      <xdr:rowOff>19050</xdr:rowOff>
    </xdr:from>
    <xdr:to>
      <xdr:col>33</xdr:col>
      <xdr:colOff>1028700</xdr:colOff>
      <xdr:row>92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37</xdr:row>
      <xdr:rowOff>90487</xdr:rowOff>
    </xdr:from>
    <xdr:to>
      <xdr:col>8</xdr:col>
      <xdr:colOff>295275</xdr:colOff>
      <xdr:row>51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84</xdr:row>
      <xdr:rowOff>47625</xdr:rowOff>
    </xdr:from>
    <xdr:to>
      <xdr:col>33</xdr:col>
      <xdr:colOff>47625</xdr:colOff>
      <xdr:row>98</xdr:row>
      <xdr:rowOff>128588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36</xdr:row>
      <xdr:rowOff>109537</xdr:rowOff>
    </xdr:from>
    <xdr:to>
      <xdr:col>11</xdr:col>
      <xdr:colOff>571500</xdr:colOff>
      <xdr:row>51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819150</xdr:colOff>
      <xdr:row>88</xdr:row>
      <xdr:rowOff>28575</xdr:rowOff>
    </xdr:from>
    <xdr:to>
      <xdr:col>34</xdr:col>
      <xdr:colOff>85726</xdr:colOff>
      <xdr:row>102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34</xdr:row>
      <xdr:rowOff>90487</xdr:rowOff>
    </xdr:from>
    <xdr:to>
      <xdr:col>10</xdr:col>
      <xdr:colOff>695326</xdr:colOff>
      <xdr:row>48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98</xdr:row>
      <xdr:rowOff>180975</xdr:rowOff>
    </xdr:from>
    <xdr:to>
      <xdr:col>34</xdr:col>
      <xdr:colOff>142875</xdr:colOff>
      <xdr:row>113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36</xdr:row>
      <xdr:rowOff>71437</xdr:rowOff>
    </xdr:from>
    <xdr:to>
      <xdr:col>10</xdr:col>
      <xdr:colOff>180975</xdr:colOff>
      <xdr:row>50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990600</xdr:colOff>
      <xdr:row>103</xdr:row>
      <xdr:rowOff>19050</xdr:rowOff>
    </xdr:from>
    <xdr:to>
      <xdr:col>33</xdr:col>
      <xdr:colOff>495300</xdr:colOff>
      <xdr:row>117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34</xdr:row>
      <xdr:rowOff>61912</xdr:rowOff>
    </xdr:from>
    <xdr:to>
      <xdr:col>9</xdr:col>
      <xdr:colOff>171450</xdr:colOff>
      <xdr:row>48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1314448</xdr:colOff>
      <xdr:row>112</xdr:row>
      <xdr:rowOff>0</xdr:rowOff>
    </xdr:from>
    <xdr:to>
      <xdr:col>35</xdr:col>
      <xdr:colOff>600075</xdr:colOff>
      <xdr:row>124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39</xdr:row>
      <xdr:rowOff>9525</xdr:rowOff>
    </xdr:from>
    <xdr:to>
      <xdr:col>17</xdr:col>
      <xdr:colOff>742950</xdr:colOff>
      <xdr:row>51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4419599</xdr:colOff>
      <xdr:row>119</xdr:row>
      <xdr:rowOff>0</xdr:rowOff>
    </xdr:from>
    <xdr:to>
      <xdr:col>55</xdr:col>
      <xdr:colOff>209550</xdr:colOff>
      <xdr:row>133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34</xdr:row>
      <xdr:rowOff>66675</xdr:rowOff>
    </xdr:from>
    <xdr:to>
      <xdr:col>15</xdr:col>
      <xdr:colOff>114299</xdr:colOff>
      <xdr:row>49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1152524</xdr:colOff>
      <xdr:row>128</xdr:row>
      <xdr:rowOff>0</xdr:rowOff>
    </xdr:from>
    <xdr:to>
      <xdr:col>25</xdr:col>
      <xdr:colOff>323850</xdr:colOff>
      <xdr:row>142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30</xdr:row>
      <xdr:rowOff>33337</xdr:rowOff>
    </xdr:from>
    <xdr:to>
      <xdr:col>12</xdr:col>
      <xdr:colOff>0</xdr:colOff>
      <xdr:row>44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134</xdr:row>
      <xdr:rowOff>0</xdr:rowOff>
    </xdr:from>
    <xdr:to>
      <xdr:col>37</xdr:col>
      <xdr:colOff>523875</xdr:colOff>
      <xdr:row>145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438151</xdr:colOff>
      <xdr:row>31</xdr:row>
      <xdr:rowOff>104774</xdr:rowOff>
    </xdr:from>
    <xdr:to>
      <xdr:col>12</xdr:col>
      <xdr:colOff>200026</xdr:colOff>
      <xdr:row>43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5181599</xdr:colOff>
      <xdr:row>160</xdr:row>
      <xdr:rowOff>0</xdr:rowOff>
    </xdr:from>
    <xdr:to>
      <xdr:col>37</xdr:col>
      <xdr:colOff>438150</xdr:colOff>
      <xdr:row>171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1009650</xdr:colOff>
      <xdr:row>22</xdr:row>
      <xdr:rowOff>176213</xdr:rowOff>
    </xdr:from>
    <xdr:to>
      <xdr:col>12</xdr:col>
      <xdr:colOff>504825</xdr:colOff>
      <xdr:row>31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1314449</xdr:colOff>
      <xdr:row>165</xdr:row>
      <xdr:rowOff>190499</xdr:rowOff>
    </xdr:from>
    <xdr:to>
      <xdr:col>34</xdr:col>
      <xdr:colOff>9525</xdr:colOff>
      <xdr:row>178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933449</xdr:colOff>
      <xdr:row>23</xdr:row>
      <xdr:rowOff>185737</xdr:rowOff>
    </xdr:from>
    <xdr:to>
      <xdr:col>13</xdr:col>
      <xdr:colOff>342900</xdr:colOff>
      <xdr:row>35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183</xdr:row>
      <xdr:rowOff>104774</xdr:rowOff>
    </xdr:from>
    <xdr:to>
      <xdr:col>30</xdr:col>
      <xdr:colOff>581025</xdr:colOff>
      <xdr:row>192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11</xdr:row>
      <xdr:rowOff>85725</xdr:rowOff>
    </xdr:from>
    <xdr:to>
      <xdr:col>9</xdr:col>
      <xdr:colOff>981075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5076825</xdr:colOff>
      <xdr:row>192</xdr:row>
      <xdr:rowOff>9524</xdr:rowOff>
    </xdr:from>
    <xdr:to>
      <xdr:col>21</xdr:col>
      <xdr:colOff>209550</xdr:colOff>
      <xdr:row>205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8</xdr:row>
      <xdr:rowOff>152400</xdr:rowOff>
    </xdr:from>
    <xdr:to>
      <xdr:col>9</xdr:col>
      <xdr:colOff>619125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323.439689236111" createdVersion="5" refreshedVersion="5" minRefreshableVersion="3" recordCount="62" xr:uid="{00000000-000A-0000-FFFF-FFFF15000000}">
  <cacheSource type="worksheet">
    <worksheetSource ref="A1:AR63" sheet="January 24"/>
  </cacheSource>
  <cacheFields count="42">
    <cacheField name="Sl. No." numFmtId="0">
      <sharedItems containsSemiMixedTypes="0" containsString="0" containsNumber="1" containsInteger="1" minValue="1" maxValue="62"/>
    </cacheField>
    <cacheField name="City" numFmtId="0">
      <sharedItems count="9">
        <s v="Hyderabad"/>
        <s v="Vijayawada"/>
        <s v="Vishakapatnam"/>
        <s v="Guntur"/>
        <s v="Kevadiya"/>
        <s v="Bangalore"/>
        <s v="Delhi"/>
        <s v="Nagpur"/>
        <s v="Ayodhya"/>
      </sharedItems>
    </cacheField>
    <cacheField name="Location" numFmtId="0">
      <sharedItems count="57">
        <s v="AMAZON - Aramgarh"/>
        <s v="AMAZON - Gachibouli"/>
        <s v="AMAZON - MoulaAli"/>
        <s v="Big Basket - Saroornagar"/>
        <s v="Deccan College of Engg. - Nampally"/>
        <s v="ETO Drivers home"/>
        <s v="ETO - Kachiguda"/>
        <s v="HMRL - Habsiguda"/>
        <s v="Trinity - Miyapur"/>
        <s v="ETO - Aramgarh"/>
        <s v="Trinity - Bollaram"/>
        <s v="ETO - Moghalpura"/>
        <s v="ETO - Secunderabad H.O."/>
        <s v="Bluedart - Raidurg"/>
        <s v="Dhuni Polymenrs - Kottur"/>
        <s v="EEFL, Madhapur"/>
        <s v="Umdanagar , Hyderabad"/>
        <s v="Trinity Charge Hub Moula Ali"/>
        <s v="Trinity Rtc BusDepot , Musheerabad"/>
        <s v="Trinity EV Charge Hub, Aramghar"/>
        <s v="Autonagar, Vijayawada"/>
        <s v="Big Basket - Gangoor"/>
        <s v="Flipkart - Vijayawada"/>
        <s v="GATI - Mindi"/>
        <s v="Auto Nagar, Visakhapatnam"/>
        <s v="Auto Nagar - Guntur"/>
        <s v="SOU, Parking area"/>
        <s v="ETO - Singsandra"/>
        <s v="Flipkart - Halsur"/>
        <s v="Flipkart - Yeshwanthpura"/>
        <s v="EEFL - Yeshwanthpura"/>
        <s v="Trinity - RR Nagar"/>
        <s v="ETO - BYPL MCD"/>
        <s v="Mahagun Sarovar Portico Suits"/>
        <s v="BSES Rajdhani Customer"/>
        <s v="ETO - Shahdara Hub"/>
        <s v="ETO - DHL, Noida"/>
        <s v="ETO - Dwaraka Cargo Hub"/>
        <s v="ETO - Usmanpur Hub"/>
        <s v="ETO - Azadpur Metro Station"/>
        <s v="ETO - Electronic City Metro Station"/>
        <s v="ETO - Hindon River Metro Station"/>
        <s v="ETO - Kalkaji Metro Station"/>
        <s v="Hindustan times residence society, Mayur Vihar"/>
        <s v="UNA Co-operative residence society, Mayur vihar"/>
        <s v="Transport Office"/>
        <s v="Log9 - V3S Mall station"/>
        <s v="Log9 - Near Max hospital Milan apartment"/>
        <s v="Log9 - Covered Parking, Mother dairy"/>
        <s v="Airport South Metro station "/>
        <s v="Big Basket Nagpur"/>
        <s v="Mayur vihar cargo parking"/>
        <s v="Press Enclave Society"/>
        <s v="Trade and Tax Department"/>
        <s v="Trinity - Dwaraka sector - 14"/>
        <s v="Radhika Appartment, Dwaraka sector - 14"/>
        <s v="Trinity EV Charge Hub, Ayodhya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105"/>
    </cacheField>
    <cacheField name="Station Type" numFmtId="165">
      <sharedItems count="5">
        <s v="Public Charging (Limited)"/>
        <s v="Fleet Charging"/>
        <s v="Public Charging"/>
        <s v="Private Charging"/>
        <s v="Public Charging (Residence)"/>
      </sharedItems>
    </cacheField>
    <cacheField name="01-01-24" numFmtId="0">
      <sharedItems containsString="0" containsBlank="1" containsNumber="1" minValue="0" maxValue="270.33999999999997"/>
    </cacheField>
    <cacheField name="02-01-24" numFmtId="0">
      <sharedItems containsString="0" containsBlank="1" containsNumber="1" minValue="0" maxValue="364.5"/>
    </cacheField>
    <cacheField name="03-01-24" numFmtId="0">
      <sharedItems containsString="0" containsBlank="1" containsNumber="1" minValue="0" maxValue="538.82000000000005"/>
    </cacheField>
    <cacheField name="04-01-24" numFmtId="0">
      <sharedItems containsString="0" containsBlank="1" containsNumber="1" minValue="0" maxValue="537.36"/>
    </cacheField>
    <cacheField name="05-01-24" numFmtId="0">
      <sharedItems containsString="0" containsBlank="1" containsNumber="1" minValue="0" maxValue="501.22"/>
    </cacheField>
    <cacheField name="06-01-24" numFmtId="0">
      <sharedItems containsString="0" containsBlank="1" containsNumber="1" minValue="0" maxValue="514.70000000000005"/>
    </cacheField>
    <cacheField name="07-01-24" numFmtId="0">
      <sharedItems containsString="0" containsBlank="1" containsNumber="1" minValue="0" maxValue="540.13"/>
    </cacheField>
    <cacheField name="08-01-24" numFmtId="0">
      <sharedItems containsString="0" containsBlank="1" containsNumber="1" minValue="0" maxValue="379.31"/>
    </cacheField>
    <cacheField name="09-01-24" numFmtId="0">
      <sharedItems containsString="0" containsBlank="1" containsNumber="1" minValue="0" maxValue="190.74"/>
    </cacheField>
    <cacheField name="10-01-24" numFmtId="0">
      <sharedItems containsString="0" containsBlank="1" containsNumber="1" minValue="0" maxValue="478.4"/>
    </cacheField>
    <cacheField name="11-01-24" numFmtId="0">
      <sharedItems containsString="0" containsBlank="1" containsNumber="1" minValue="0" maxValue="498.15"/>
    </cacheField>
    <cacheField name="12-01-24" numFmtId="0">
      <sharedItems containsString="0" containsBlank="1" containsNumber="1" minValue="0" maxValue="467.71"/>
    </cacheField>
    <cacheField name="13-01-24" numFmtId="0">
      <sharedItems containsString="0" containsBlank="1" containsNumber="1" minValue="0" maxValue="548.26"/>
    </cacheField>
    <cacheField name="14-01-24" numFmtId="0">
      <sharedItems containsString="0" containsBlank="1" containsNumber="1" minValue="0" maxValue="504.88"/>
    </cacheField>
    <cacheField name="15-01-24" numFmtId="0">
      <sharedItems containsString="0" containsBlank="1" containsNumber="1" minValue="0" maxValue="222"/>
    </cacheField>
    <cacheField name="16-01-24" numFmtId="0">
      <sharedItems containsString="0" containsBlank="1" containsNumber="1" minValue="0" maxValue="364.75"/>
    </cacheField>
    <cacheField name="17-01-24" numFmtId="0">
      <sharedItems containsString="0" containsBlank="1" containsNumber="1" minValue="0" maxValue="530.98"/>
    </cacheField>
    <cacheField name="18-01-24" numFmtId="0">
      <sharedItems containsString="0" containsBlank="1" containsNumber="1" minValue="0" maxValue="485.39"/>
    </cacheField>
    <cacheField name="19-01-24" numFmtId="0">
      <sharedItems containsString="0" containsBlank="1" containsNumber="1" minValue="0" maxValue="418.34"/>
    </cacheField>
    <cacheField name="20-01-24" numFmtId="0">
      <sharedItems containsString="0" containsBlank="1" containsNumber="1" minValue="0" maxValue="491.2"/>
    </cacheField>
    <cacheField name="21-01-24" numFmtId="0">
      <sharedItems containsString="0" containsBlank="1" containsNumber="1" minValue="0" maxValue="361.57"/>
    </cacheField>
    <cacheField name="22-01-24" numFmtId="0">
      <sharedItems containsString="0" containsBlank="1" containsNumber="1" minValue="0" maxValue="530.82000000000005"/>
    </cacheField>
    <cacheField name="23-01-24" numFmtId="0">
      <sharedItems containsString="0" containsBlank="1" containsNumber="1" minValue="0" maxValue="164.56"/>
    </cacheField>
    <cacheField name="24-01-24" numFmtId="0">
      <sharedItems containsString="0" containsBlank="1" containsNumber="1" minValue="0" maxValue="509.65"/>
    </cacheField>
    <cacheField name="25-01-24" numFmtId="0">
      <sharedItems containsString="0" containsBlank="1" containsNumber="1" minValue="0" maxValue="495.03"/>
    </cacheField>
    <cacheField name="26-01-24" numFmtId="0">
      <sharedItems containsString="0" containsBlank="1" containsNumber="1" minValue="0" maxValue="528.30999999999995"/>
    </cacheField>
    <cacheField name="27-01-24" numFmtId="0">
      <sharedItems containsString="0" containsBlank="1" containsNumber="1" minValue="0" maxValue="610.86"/>
    </cacheField>
    <cacheField name="28-01-24" numFmtId="0">
      <sharedItems containsString="0" containsBlank="1" containsNumber="1" minValue="0" maxValue="597.49"/>
    </cacheField>
    <cacheField name="29-01-24" numFmtId="2">
      <sharedItems containsString="0" containsBlank="1" containsNumber="1" minValue="0" maxValue="234.19"/>
    </cacheField>
    <cacheField name="30-01-24" numFmtId="2">
      <sharedItems containsSemiMixedTypes="0" containsString="0" containsNumber="1" minValue="0" maxValue="278.01"/>
    </cacheField>
    <cacheField name="31-01-24" numFmtId="2">
      <sharedItems containsSemiMixedTypes="0" containsString="0" containsNumber="1" minValue="0" maxValue="490.85"/>
    </cacheField>
    <cacheField name="Average" numFmtId="2">
      <sharedItems containsSemiMixedTypes="0" containsString="0" containsNumber="1" minValue="0" maxValue="438.71258064516127"/>
    </cacheField>
    <cacheField name="Avg consumption/Charger" numFmtId="165">
      <sharedItems containsSemiMixedTypes="0" containsString="0" containsNumber="1" minValue="0" maxValue="76.307741935483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414.468922685184" createdVersion="5" refreshedVersion="5" minRefreshableVersion="3" recordCount="90" xr:uid="{00000000-000A-0000-FFFF-FFFF18000000}">
  <cacheSource type="worksheet">
    <worksheetSource ref="A1:AP91" sheet="April"/>
  </cacheSource>
  <cacheFields count="41">
    <cacheField name="Sl. No." numFmtId="0">
      <sharedItems containsSemiMixedTypes="0" containsString="0" containsNumber="1" containsInteger="1" minValue="1" maxValue="90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Location" numFmtId="0">
      <sharedItems count="75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Madhapur"/>
        <s v="EV Charge Hub, Umdanagar"/>
        <s v="Trinity EV Charge Hub Moula Ali"/>
        <s v="Trinity EV Charge Hub Sitaphalmandi"/>
        <s v="Trinity EV Charge Hub, Aramghar"/>
        <s v="Trinity EV Charge Hub, Hi-Tec City"/>
        <s v="Trinity EV Charge Hub, Mettuguda - 2"/>
        <s v="Trinity EV Charge Hub, Mettuguda - 1"/>
        <s v="Trinity EV Charge Hub, TSRTC Bus Depot,  Musheerabad"/>
        <s v="Trinity EV Charge Hub, Shastripuram"/>
        <s v="Trinity EV Charge Hub, Yapral"/>
        <s v="Trinity EV Charge Hub, Flipkart - Attapur"/>
        <s v="Trinity EV Charge Hub, Bluedart Madhapur"/>
        <s v="Trinity EV Charge Hub, Nacharam"/>
        <s v="Deccan College of Engg. - Nampally"/>
        <s v="ETO Drivers home"/>
        <s v="HMRL - Habsiguda"/>
        <s v="EV Charge Hub, Auto Nagar"/>
        <s v="EV Charge Hub, Flipkart "/>
        <s v="EV Charge Hub, Gati"/>
        <s v="EV Charge Hub, Auto Nagar- Visakhapatnam"/>
        <s v="Auto Nagar - Guntur"/>
        <s v="Trinity EV Charge Hub, Rajahmundry"/>
        <s v="EV Charge Hub, Halasuru - Flipkart"/>
        <s v="EV Charge Hub, yeshwanthpur - Flipkart"/>
        <s v="EV Charge Hub, Peenya"/>
        <s v="Trinity EV Charge Hub, RR Nagar"/>
        <s v="Trinity EV Charge Hub, ITPL"/>
        <s v="Trinity EV Charge Hub, Andrahalli"/>
        <s v="ETO - Singsandra"/>
        <s v="EV Charge Hub, Airport South Metro Station"/>
        <s v="EV Charge Hub, Bigbasket - Nagpur"/>
        <s v="Kevadia EV Charging Hub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Kalkaji metro station, Delhi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ntainsBlank="1" count="4">
        <s v="Public Charging"/>
        <s v="Parking and Charging"/>
        <s v="Society Charging"/>
        <m u="1"/>
      </sharedItems>
    </cacheField>
    <cacheField name="01-04-24" numFmtId="2">
      <sharedItems containsString="0" containsBlank="1" containsNumber="1" minValue="0" maxValue="222.25"/>
    </cacheField>
    <cacheField name="02-04-24" numFmtId="2">
      <sharedItems containsString="0" containsBlank="1" containsNumber="1" minValue="0" maxValue="264.02999999999997"/>
    </cacheField>
    <cacheField name="03-04-24" numFmtId="2">
      <sharedItems containsString="0" containsBlank="1" containsNumber="1" minValue="0" maxValue="309.14999999999998"/>
    </cacheField>
    <cacheField name="04-04-24" numFmtId="2">
      <sharedItems containsString="0" containsBlank="1" containsNumber="1" minValue="0" maxValue="238.86"/>
    </cacheField>
    <cacheField name="05-04-24" numFmtId="2">
      <sharedItems containsString="0" containsBlank="1" containsNumber="1" minValue="0" maxValue="241.89"/>
    </cacheField>
    <cacheField name="06-04-24" numFmtId="2">
      <sharedItems containsString="0" containsBlank="1" containsNumber="1" minValue="0" maxValue="281.08"/>
    </cacheField>
    <cacheField name="07-04-24" numFmtId="2">
      <sharedItems containsString="0" containsBlank="1" containsNumber="1" minValue="0" maxValue="340.89"/>
    </cacheField>
    <cacheField name="08-04-24" numFmtId="2">
      <sharedItems containsString="0" containsBlank="1" containsNumber="1" minValue="0" maxValue="234.02"/>
    </cacheField>
    <cacheField name="09-04-24" numFmtId="2">
      <sharedItems containsString="0" containsBlank="1" containsNumber="1" minValue="0" maxValue="204.98"/>
    </cacheField>
    <cacheField name="10-04-24" numFmtId="2">
      <sharedItems containsString="0" containsBlank="1" containsNumber="1" minValue="0" maxValue="272.7"/>
    </cacheField>
    <cacheField name="11-04-24" numFmtId="2">
      <sharedItems containsString="0" containsBlank="1" containsNumber="1" minValue="0" maxValue="310.39999999999998"/>
    </cacheField>
    <cacheField name="12-04-24" numFmtId="0">
      <sharedItems containsString="0" containsBlank="1" containsNumber="1" minValue="0" maxValue="316.13"/>
    </cacheField>
    <cacheField name="13-04-24" numFmtId="2">
      <sharedItems containsString="0" containsBlank="1" containsNumber="1" minValue="0" maxValue="363.25"/>
    </cacheField>
    <cacheField name="14-04-24" numFmtId="2">
      <sharedItems containsString="0" containsBlank="1" containsNumber="1" minValue="0" maxValue="416.82"/>
    </cacheField>
    <cacheField name="15-04-24" numFmtId="2">
      <sharedItems containsString="0" containsBlank="1" containsNumber="1" minValue="0" maxValue="197.2"/>
    </cacheField>
    <cacheField name="16-04-24" numFmtId="2">
      <sharedItems containsString="0" containsBlank="1" containsNumber="1" minValue="0" maxValue="274.83"/>
    </cacheField>
    <cacheField name="17-04-24" numFmtId="2">
      <sharedItems containsString="0" containsBlank="1" containsNumber="1" minValue="0" maxValue="189.56"/>
    </cacheField>
    <cacheField name="18-04-24" numFmtId="2">
      <sharedItems containsString="0" containsBlank="1" containsNumber="1" minValue="0" maxValue="266.01"/>
    </cacheField>
    <cacheField name="19-04-24" numFmtId="2">
      <sharedItems containsString="0" containsBlank="1" containsNumber="1" minValue="0" maxValue="245.39"/>
    </cacheField>
    <cacheField name="20-04-24" numFmtId="2">
      <sharedItems containsString="0" containsBlank="1" containsNumber="1" minValue="0" maxValue="230.05"/>
    </cacheField>
    <cacheField name="21-04-24" numFmtId="2">
      <sharedItems containsString="0" containsBlank="1" containsNumber="1" minValue="0" maxValue="204.44"/>
    </cacheField>
    <cacheField name="22-04-24" numFmtId="2">
      <sharedItems containsString="0" containsBlank="1" containsNumber="1" minValue="0" maxValue="320.42"/>
    </cacheField>
    <cacheField name="23-04-24" numFmtId="2">
      <sharedItems containsString="0" containsBlank="1" containsNumber="1" minValue="0" maxValue="270.05"/>
    </cacheField>
    <cacheField name="24-04-24" numFmtId="2">
      <sharedItems containsString="0" containsBlank="1" containsNumber="1" minValue="0" maxValue="254.27"/>
    </cacheField>
    <cacheField name="25-04-24" numFmtId="2">
      <sharedItems containsString="0" containsBlank="1" containsNumber="1" minValue="0" maxValue="246.53"/>
    </cacheField>
    <cacheField name="26-04-24" numFmtId="2">
      <sharedItems containsSemiMixedTypes="0" containsString="0" containsNumber="1" minValue="0" maxValue="279.83"/>
    </cacheField>
    <cacheField name="27-04-24" numFmtId="2">
      <sharedItems containsSemiMixedTypes="0" containsString="0" containsNumber="1" minValue="0" maxValue="268.07"/>
    </cacheField>
    <cacheField name="28-04-24" numFmtId="2">
      <sharedItems containsSemiMixedTypes="0" containsString="0" containsNumber="1" minValue="0" maxValue="390.9"/>
    </cacheField>
    <cacheField name="29-04-24" numFmtId="2">
      <sharedItems containsSemiMixedTypes="0" containsString="0" containsNumber="1" minValue="0" maxValue="286.77"/>
    </cacheField>
    <cacheField name="30-04-24" numFmtId="2">
      <sharedItems containsSemiMixedTypes="0" containsString="0" containsNumber="1" minValue="0" maxValue="291.14"/>
    </cacheField>
    <cacheField name="Average" numFmtId="2">
      <sharedItems containsSemiMixedTypes="0" containsString="0" containsNumber="1" minValue="0" maxValue="232.32666666666665"/>
    </cacheField>
    <cacheField name="Avg consumption/Charger" numFmtId="165">
      <sharedItems containsSemiMixedTypes="0" containsString="0" containsNumber="1" minValue="0" maxValue="46.460987654320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ushik" refreshedDate="45444.443701041666" createdVersion="5" refreshedVersion="5" minRefreshableVersion="3" recordCount="88" xr:uid="{00000000-000A-0000-FFFF-FFFF19000000}">
  <cacheSource type="worksheet">
    <worksheetSource ref="A1:AR89" sheet="May"/>
  </cacheSource>
  <cacheFields count="42">
    <cacheField name="Sl. No." numFmtId="0">
      <sharedItems containsSemiMixedTypes="0" containsString="0" containsNumber="1" containsInteger="1" minValue="1" maxValue="88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Location" numFmtId="0">
      <sharedItems count="72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Madhapur"/>
        <s v="EV Charge Hub, Umdanagar"/>
        <s v="Trinity EV Charge Hub Moula Ali"/>
        <s v="Trinity EV Charge Hub Sitaphalmandi"/>
        <s v="Trinity EV Charge Hub, Aramghar"/>
        <s v="Trinity EV Charge Hub, Hi-Tec City"/>
        <s v="Trinity EV Charge Hub, Mettuguda - 2"/>
        <s v="Trinity EV Charge Hub, Mettuguda - 1"/>
        <s v="Trinity EV Charge Hub, TSRTC Bus Depot,  Musheerabad"/>
        <s v="Trinity EV Charge Hub, Shastripuram"/>
        <s v="Trinity EV Charge Hub, Yapral"/>
        <s v="Trinity EV Charge Hub, Flipkart - Attapur"/>
        <s v="Trinity EV Charge Hub, Bluedart Madhapur"/>
        <s v="Trinity EV Charge Hub, Nacharam"/>
        <s v="Trinity EV Charge Hub, Niharika Landmark, Hyderabad"/>
        <s v="Trinity EV Charge Hub, Uppal, Hyderabad"/>
        <s v="Deccan College of Engg. - Nampally"/>
        <s v="ETO Drivers home"/>
        <s v="HMRL - Habsiguda"/>
        <s v="EV Charge Hub, Auto Nagar"/>
        <s v="EV Charge Hub, Flipkart "/>
        <s v="EV Charge Hub, Gati"/>
        <s v="EV Charge Hub, Auto Nagar- Visakhapatnam"/>
        <s v="Auto Nagar - Guntur"/>
        <s v="Trinity EV Charge Hub, Rajahmundry"/>
        <s v="EV Charge Hub, Halasuru - Flipkart"/>
        <s v="EV Charge Hub, yeshwanthpur - Flipkart"/>
        <s v="EV Charge Hub, Peenya"/>
        <s v="Trinity EV Charge Hub, RR Nagar"/>
        <s v="Trinity EV Charge Hub, ITPL"/>
        <s v="Trinity EV Charge Hub, Andrahalli"/>
        <s v="ETO - Singsandra"/>
        <s v="EV Charge Hub, Airport South Metro Station"/>
        <s v="EV Charge Hub, Bigbasket - Nagpur"/>
        <s v="Kevadia EV Charging Hub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Kalkaji metro station, Delhi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Log9 - Near Max hospital Milan apartment"/>
        <s v="Log9 - Covered Parking, Mother dairy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40"/>
    </cacheField>
    <cacheField name="Station Type" numFmtId="0">
      <sharedItems count="3">
        <s v="Public Charging"/>
        <s v="Parking and Charging"/>
        <s v="Society Charging"/>
      </sharedItems>
    </cacheField>
    <cacheField name="01-05-2024" numFmtId="2">
      <sharedItems containsString="0" containsBlank="1" containsNumber="1" minValue="0" maxValue="320.45"/>
    </cacheField>
    <cacheField name="02-05-2024" numFmtId="2">
      <sharedItems containsString="0" containsBlank="1" containsNumber="1" minValue="0" maxValue="320.26"/>
    </cacheField>
    <cacheField name="03-05-2024" numFmtId="2">
      <sharedItems containsString="0" containsBlank="1" containsNumber="1" minValue="0" maxValue="320"/>
    </cacheField>
    <cacheField name="04-05-2024" numFmtId="2">
      <sharedItems containsString="0" containsBlank="1" containsNumber="1" minValue="0" maxValue="310.52"/>
    </cacheField>
    <cacheField name="05-05-2024" numFmtId="2">
      <sharedItems containsString="0" containsBlank="1" containsNumber="1" minValue="0" maxValue="361.17"/>
    </cacheField>
    <cacheField name="06-05-2024" numFmtId="0">
      <sharedItems containsString="0" containsBlank="1" containsNumber="1" minValue="0" maxValue="339.88"/>
    </cacheField>
    <cacheField name="07-05-2024" numFmtId="2">
      <sharedItems containsString="0" containsBlank="1" containsNumber="1" minValue="0" maxValue="225.7"/>
    </cacheField>
    <cacheField name="08-05-2024" numFmtId="2">
      <sharedItems containsString="0" containsBlank="1" containsNumber="1" minValue="0" maxValue="364"/>
    </cacheField>
    <cacheField name="09-05-2024" numFmtId="2">
      <sharedItems containsString="0" containsBlank="1" containsNumber="1" minValue="0" maxValue="387.61"/>
    </cacheField>
    <cacheField name="10-05-2024" numFmtId="2">
      <sharedItems containsString="0" containsBlank="1" containsNumber="1" minValue="0" maxValue="342.56"/>
    </cacheField>
    <cacheField name="11-05-2024" numFmtId="2">
      <sharedItems containsString="0" containsBlank="1" containsNumber="1" minValue="0" maxValue="357.67"/>
    </cacheField>
    <cacheField name="12-05-2024" numFmtId="0">
      <sharedItems containsString="0" containsBlank="1" containsNumber="1" minValue="0" maxValue="485.45"/>
    </cacheField>
    <cacheField name="13-05-2024" numFmtId="2">
      <sharedItems containsString="0" containsBlank="1" containsNumber="1" minValue="0" maxValue="280.7"/>
    </cacheField>
    <cacheField name="14-05-2024" numFmtId="2">
      <sharedItems containsString="0" containsBlank="1" containsNumber="1" minValue="0" maxValue="363.58"/>
    </cacheField>
    <cacheField name="15-05-2024" numFmtId="2">
      <sharedItems containsString="0" containsBlank="1" containsNumber="1" minValue="0" maxValue="367.01"/>
    </cacheField>
    <cacheField name="16-05-2024" numFmtId="2">
      <sharedItems containsString="0" containsBlank="1" containsNumber="1" minValue="0" maxValue="316.85000000000002"/>
    </cacheField>
    <cacheField name="17-05-2024" numFmtId="2">
      <sharedItems containsSemiMixedTypes="0" containsString="0" containsNumber="1" minValue="0" maxValue="396.47"/>
    </cacheField>
    <cacheField name="18-05-2024" numFmtId="2">
      <sharedItems containsSemiMixedTypes="0" containsString="0" containsNumber="1" minValue="0" maxValue="390.47"/>
    </cacheField>
    <cacheField name="19-05-2024" numFmtId="2">
      <sharedItems containsSemiMixedTypes="0" containsString="0" containsNumber="1" minValue="0" maxValue="450.48"/>
    </cacheField>
    <cacheField name="20-05-2024" numFmtId="2">
      <sharedItems containsSemiMixedTypes="0" containsString="0" containsNumber="1" minValue="0" maxValue="373.42"/>
    </cacheField>
    <cacheField name="21-05-2024" numFmtId="2">
      <sharedItems containsSemiMixedTypes="0" containsString="0" containsNumber="1" minValue="0" maxValue="435.98"/>
    </cacheField>
    <cacheField name="22-05-2024" numFmtId="2">
      <sharedItems containsSemiMixedTypes="0" containsString="0" containsNumber="1" minValue="0" maxValue="435.99"/>
    </cacheField>
    <cacheField name="23-05-2024" numFmtId="2">
      <sharedItems containsSemiMixedTypes="0" containsString="0" containsNumber="1" minValue="0" maxValue="438.86"/>
    </cacheField>
    <cacheField name="24-05-2024" numFmtId="2">
      <sharedItems containsSemiMixedTypes="0" containsString="0" containsNumber="1" minValue="0" maxValue="465.95"/>
    </cacheField>
    <cacheField name="25-05-2024" numFmtId="2">
      <sharedItems containsSemiMixedTypes="0" containsString="0" containsNumber="1" minValue="0" maxValue="421.26"/>
    </cacheField>
    <cacheField name="26-05-2024" numFmtId="2">
      <sharedItems containsSemiMixedTypes="0" containsString="0" containsNumber="1" minValue="0" maxValue="430.36"/>
    </cacheField>
    <cacheField name="27-05-2024" numFmtId="2">
      <sharedItems containsSemiMixedTypes="0" containsString="0" containsNumber="1" minValue="0" maxValue="585.39099999999996"/>
    </cacheField>
    <cacheField name="28-05-2024" numFmtId="2">
      <sharedItems containsSemiMixedTypes="0" containsString="0" containsNumber="1" minValue="0" maxValue="381.95"/>
    </cacheField>
    <cacheField name="29-05-2024" numFmtId="2">
      <sharedItems containsSemiMixedTypes="0" containsString="0" containsNumber="1" minValue="0" maxValue="441.67"/>
    </cacheField>
    <cacheField name="30-05-2024" numFmtId="2">
      <sharedItems containsSemiMixedTypes="0" containsString="0" containsNumber="1" minValue="0" maxValue="435.11"/>
    </cacheField>
    <cacheField name="31-05-2024" numFmtId="2">
      <sharedItems containsSemiMixedTypes="0" containsString="0" containsNumber="1" minValue="0" maxValue="442.76"/>
    </cacheField>
    <cacheField name="Average" numFmtId="2">
      <sharedItems containsSemiMixedTypes="0" containsString="0" containsNumber="1" minValue="0" maxValue="365.99096774193561"/>
    </cacheField>
    <cacheField name="Avg consumption/Charger" numFmtId="165">
      <sharedItems containsSemiMixedTypes="0" containsString="0" containsNumber="1" minValue="0" maxValue="27.3970967741935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ushik" refreshedDate="45474.449112037037" createdVersion="5" refreshedVersion="5" minRefreshableVersion="3" recordCount="98" xr:uid="{00000000-000A-0000-FFFF-FFFF1A000000}">
  <cacheSource type="worksheet">
    <worksheetSource ref="A1:AQ99" sheet="June 24"/>
  </cacheSource>
  <cacheFields count="41">
    <cacheField name="Sl. No." numFmtId="0">
      <sharedItems containsSemiMixedTypes="0" containsString="0" containsNumber="1" containsInteger="1" minValue="1" maxValue="98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Location" numFmtId="0">
      <sharedItems count="79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Umdanagar"/>
        <s v="Trinity EV Charge Hub Moula Ali"/>
        <s v="Trinity EV Charge Hub Sitaphalmandi"/>
        <s v="Trinity EV Charge Hub, Aramghar"/>
        <s v="Trinity EV Charge Hub, Hi-Tec City"/>
        <s v="Trinity EV Charge Hub, Mettuguda - 2"/>
        <s v="Trinity EV Charge Hub, Mettuguda - 1"/>
        <s v="Trinity EV Charge Hub, Shastripuram"/>
        <s v="Trinity EV Charge Hub, Yapral"/>
        <s v="Trinity EV Charge Hub, Attapur"/>
        <s v="EV Charge Hub, Bluedart Madhapur"/>
        <s v="Trinity EV Charge Hub, Nacharam"/>
        <s v="Trinity EV Charge Hub, Niharika Landmark, Hyderabad"/>
        <s v="Trinity EV Charge Hub, Uppal, Hyderabad"/>
        <s v="Trinity EV Charge Hub, Rasoolpura, Hyderabad"/>
        <s v="Trinity EV Charge Hub, Hallmark Tranquil Apartment"/>
        <s v="Trinity EV Charge Hub, Gajularamaram, Hyderabad"/>
        <s v="Deccan College of Engg. - Nampally"/>
        <s v="ETO Drivers home"/>
        <s v="HMRL - Habsiguda"/>
        <s v="EV Charge Hub, Auto Nagar"/>
        <s v="EV Charge Hub, Flipkart "/>
        <s v="EV Charge Hub, Gati"/>
        <s v="EV Charge Hub, Auto Nagar- Visakhapatnam"/>
        <s v="Auto Nagar - Guntur"/>
        <s v="Trinity EV Charge Hub, Rajahmundry"/>
        <s v="EV Charge Hub, Halasuru - Flipkart"/>
        <s v="EV Charge Hub, yeshwanthpur - Flipkart"/>
        <s v="EV Charge Hub, Peenya"/>
        <s v="Trinity EV Charge Hub, RR Nagar"/>
        <s v="Trinity EV Charge Hub, Kannur"/>
        <s v="Trinity EV Charge Hub, ITPL"/>
        <s v="Trinity EV Charge Hub, Andrahalli"/>
        <s v="EV Charge Hub, Airport South Metro Station"/>
        <s v="EV Charge Hub, Bigbasket - Nagpur"/>
        <s v="Kevadia EV Charging Hub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EV Charge Hub, Kalkaji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  <s v="Trinity EV Charge Hub, Bluedart Madhapur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3">
        <s v="Public Charging"/>
        <s v="Parking and Charging"/>
        <s v="Society Charging"/>
      </sharedItems>
    </cacheField>
    <cacheField name="01-06-2024" numFmtId="2">
      <sharedItems containsString="0" containsBlank="1" containsNumber="1" minValue="0" maxValue="400.3"/>
    </cacheField>
    <cacheField name="02-06-2024" numFmtId="2">
      <sharedItems containsString="0" containsBlank="1" containsNumber="1" minValue="0" maxValue="452.41100000000012"/>
    </cacheField>
    <cacheField name="03-06-2024" numFmtId="2">
      <sharedItems containsString="0" containsBlank="1" containsNumber="1" minValue="0" maxValue="412.12"/>
    </cacheField>
    <cacheField name="04-06-2024" numFmtId="2">
      <sharedItems containsString="0" containsBlank="1" containsNumber="1" minValue="0" maxValue="388"/>
    </cacheField>
    <cacheField name="05-06-2024" numFmtId="2">
      <sharedItems containsString="0" containsBlank="1" containsNumber="1" minValue="0" maxValue="374.2609999999998"/>
    </cacheField>
    <cacheField name="06-06-2024" numFmtId="2">
      <sharedItems containsString="0" containsBlank="1" containsNumber="1" minValue="0" maxValue="386.5"/>
    </cacheField>
    <cacheField name="07-06-2024" numFmtId="2">
      <sharedItems containsString="0" containsBlank="1" containsNumber="1" minValue="0" maxValue="381.61"/>
    </cacheField>
    <cacheField name="08-06-2024" numFmtId="2">
      <sharedItems containsString="0" containsBlank="1" containsNumber="1" minValue="0" maxValue="494.35799999999978"/>
    </cacheField>
    <cacheField name="09-06-2024" numFmtId="2">
      <sharedItems containsString="0" containsBlank="1" containsNumber="1" minValue="0" maxValue="441.25200000000007"/>
    </cacheField>
    <cacheField name="10-06-2024" numFmtId="2">
      <sharedItems containsString="0" containsBlank="1" containsNumber="1" minValue="0" maxValue="408.57"/>
    </cacheField>
    <cacheField name="11-06-2024" numFmtId="2">
      <sharedItems containsString="0" containsBlank="1" containsNumber="1" minValue="0" maxValue="467.87299999999988"/>
    </cacheField>
    <cacheField name="12-06-2024" numFmtId="2">
      <sharedItems containsString="0" containsBlank="1" containsNumber="1" minValue="0" maxValue="419.32"/>
    </cacheField>
    <cacheField name="13-06-2024" numFmtId="2">
      <sharedItems containsString="0" containsBlank="1" containsNumber="1" minValue="0" maxValue="421.4"/>
    </cacheField>
    <cacheField name="14-06-2024" numFmtId="2">
      <sharedItems containsString="0" containsBlank="1" containsNumber="1" minValue="0" maxValue="447.42"/>
    </cacheField>
    <cacheField name="15-06-2024" numFmtId="2">
      <sharedItems containsString="0" containsBlank="1" containsNumber="1" minValue="0" maxValue="450.07"/>
    </cacheField>
    <cacheField name="16-06-2024" numFmtId="2">
      <sharedItems containsString="0" containsBlank="1" containsNumber="1" minValue="0" maxValue="552.97999999999979"/>
    </cacheField>
    <cacheField name="17-06-2024" numFmtId="2">
      <sharedItems containsString="0" containsBlank="1" containsNumber="1" minValue="0" maxValue="494.17200000000014"/>
    </cacheField>
    <cacheField name="18-06-2024" numFmtId="2">
      <sharedItems containsString="0" containsBlank="1" containsNumber="1" minValue="0" maxValue="533"/>
    </cacheField>
    <cacheField name="19-06-2024" numFmtId="2">
      <sharedItems containsString="0" containsBlank="1" containsNumber="1" minValue="0" maxValue="357.81"/>
    </cacheField>
    <cacheField name="20-06-2024" numFmtId="2">
      <sharedItems containsString="0" containsBlank="1" containsNumber="1" minValue="0" maxValue="451.65"/>
    </cacheField>
    <cacheField name="21-06-2024" numFmtId="2">
      <sharedItems containsString="0" containsBlank="1" containsNumber="1" minValue="0" maxValue="434.07"/>
    </cacheField>
    <cacheField name="22-06-2024" numFmtId="2">
      <sharedItems containsString="0" containsBlank="1" containsNumber="1" minValue="0" maxValue="387.12"/>
    </cacheField>
    <cacheField name="23-06-2024" numFmtId="2">
      <sharedItems containsString="0" containsBlank="1" containsNumber="1" minValue="0" maxValue="505.13100000000009"/>
    </cacheField>
    <cacheField name="24-06-2024" numFmtId="2">
      <sharedItems containsString="0" containsBlank="1" containsNumber="1" minValue="0" maxValue="449.58"/>
    </cacheField>
    <cacheField name="25-06-2024" numFmtId="2">
      <sharedItems containsString="0" containsBlank="1" containsNumber="1" minValue="0" maxValue="455.62"/>
    </cacheField>
    <cacheField name="26-06-2024" numFmtId="2">
      <sharedItems containsSemiMixedTypes="0" containsString="0" containsNumber="1" minValue="0" maxValue="427.02"/>
    </cacheField>
    <cacheField name="27-06-2024" numFmtId="2">
      <sharedItems containsSemiMixedTypes="0" containsString="0" containsNumber="1" minValue="0" maxValue="435.24"/>
    </cacheField>
    <cacheField name="28-06-2024" numFmtId="2">
      <sharedItems containsSemiMixedTypes="0" containsString="0" containsNumber="1" minValue="0" maxValue="388"/>
    </cacheField>
    <cacheField name="29-06-2024" numFmtId="2">
      <sharedItems containsSemiMixedTypes="0" containsString="0" containsNumber="1" minValue="0" maxValue="445.67899999999992"/>
    </cacheField>
    <cacheField name="30-06-2024" numFmtId="2">
      <sharedItems containsSemiMixedTypes="0" containsString="0" containsNumber="1" minValue="0" maxValue="437.28000000000003"/>
    </cacheField>
    <cacheField name="Average" numFmtId="2">
      <sharedItems containsSemiMixedTypes="0" containsString="0" containsNumber="1" minValue="0" maxValue="416.47176666666672"/>
    </cacheField>
    <cacheField name="Avg consumption/Charger" numFmtId="165">
      <sharedItems containsSemiMixedTypes="0" containsString="0" containsNumber="1" minValue="0" maxValue="42.881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eenath Setti" refreshedDate="45689.39403333333" createdVersion="5" refreshedVersion="5" minRefreshableVersion="3" recordCount="158" xr:uid="{00000000-000A-0000-FFFF-FFFF22000000}">
  <cacheSource type="worksheet">
    <worksheetSource ref="A1:AS159" sheet="Jan 25 "/>
  </cacheSource>
  <cacheFields count="43">
    <cacheField name="Sl. No." numFmtId="0">
      <sharedItems containsSemiMixedTypes="0" containsString="0" containsNumber="1" containsInteger="1" minValue="1" maxValue="158"/>
    </cacheField>
    <cacheField name="City" numFmtId="0">
      <sharedItems count="36">
        <s v="Hyderabad"/>
        <s v="Warangal"/>
        <s v="Kerala"/>
        <s v="Vijayawada"/>
        <s v="Vishakapatnam"/>
        <s v="Guntur"/>
        <s v="Rajahmundry"/>
        <s v="Bangalore"/>
        <s v="Coimbatore"/>
        <s v="Chennai"/>
        <s v="Thiruvarur"/>
        <s v="Kattupakkum"/>
        <s v="Ernakulam"/>
        <s v="Poonamallee"/>
        <s v="Chakan Pune"/>
        <s v="Nagpur"/>
        <s v=" Patna"/>
        <s v=" Jodhpur"/>
        <s v="Kolhapur"/>
        <s v="Nogaon"/>
        <s v="Gotanagar"/>
        <s v="Kolkata"/>
        <s v="Alampur"/>
        <s v="Vasai"/>
        <s v="Boisar"/>
        <s v="Vapi"/>
        <s v=" Jabalpur"/>
        <s v="Kasargod"/>
        <s v="Raipur"/>
        <s v="Kevadiya"/>
        <s v="Noida"/>
        <s v="Ghaziabad"/>
        <s v="Ayodhya"/>
        <s v="Prayagraj"/>
        <s v="Delhi"/>
        <s v="Patna"/>
      </sharedItems>
    </cacheField>
    <cacheField name="Station code" numFmtId="0">
      <sharedItems containsBlank="1"/>
    </cacheField>
    <cacheField name="Station Name" numFmtId="0">
      <sharedItems count="129">
        <s v="ThunderPlus EV Charge Hub, Amazon - Aramghar, Hyderabad"/>
        <s v="ThunderPlus EV Charge Hub, Amazon - Gachibouli, Hyderabad"/>
        <s v="ThunderPlus EV Charge Hub, Amazon - Moula Ali, Hyderabad"/>
        <s v="ETO, Kachiguda, Hyderabad"/>
        <s v="ThunderPlus EV Park &amp; Charge Hub, Miyapur, Hyderabad"/>
        <s v="ThunderPlus EV Park &amp; Charge Hub, Bollaram, Hyderabad"/>
        <s v="ETO, GHMC - Moghalpura, Hyderabad"/>
        <s v="EV Charging Hub, Dhuni Polymers, Kottur, Hyderabad"/>
        <s v="ThunderPlus EV Charge Hub, Umdanagar, Hyderabad"/>
        <s v="ThunderPlus EV Park &amp; Charge Hub Moula Ali, Hyderabad"/>
        <s v="ThunderPlus EV Park &amp; Charge Hub Sitaphalmandi, Hyderabad"/>
        <s v="ThunderPlus EV Park &amp; Charge Hub, Aramghar, Hyderabad"/>
        <s v="ThunderPlus EV Park &amp; Charge Hub, Hi-tec city, Hyderabad"/>
        <s v="ThunderPlus EV Charge Hub, Hi-tec city, Hyderabad"/>
        <s v="ThunderPlus EV Park &amp; Charge Hub, Mettuguda, Hyderabad"/>
        <s v="ThunderPlus EV Charge Hub, Mettuguda, Hyderabad"/>
        <s v="ThunderPlus EV Park &amp; Charge Hub, Yapral , Hyderabad"/>
        <s v="ThunderPlus EV Park &amp; Charge Hub, Attapur , Hyderabad"/>
        <s v="ETO, Bluedart Madhapur, Hyderabad"/>
        <s v="ThunderPlus EV Park &amp; Charge Hub, Nacharam, Hyderabad"/>
        <s v="EV Charge Hub, Niharika Landmark, Hyderabad"/>
        <s v="ThunderPlus EV Park &amp; Charge Hub, Uppal, Hyderabad"/>
        <s v="ThunderPlus EV Park &amp; Charge Hub, Rasoolpura, Hyderabad"/>
        <s v="EV Charge Hub, Hallmark Tranquil Apartment, Manikonda, Hyderabad"/>
        <s v="ThunderPlus EV Park &amp; Charge Hub, Gajularamaram, Hyderabad"/>
        <s v="ETO, Bachupally, Hyderabad"/>
        <s v="EV Charge Hub, Sri Dattatreya Hostel, Hyderabad"/>
        <s v="ETO, Mowo-Kukatpally , Hyderabad"/>
        <s v="ETO, GMR Mahalakshmi Foundation,Shamshabad, Hyderabad"/>
        <s v="ThunderPlus EV Charge Hub, Lavish Electric Wheel Club, Shaikpet , Hyderabad"/>
        <s v="EV Charge Hub, My Home Mangala, Hyderabad"/>
        <s v="EV Charge Hub, Niharika Sky Line, Hyderabad"/>
        <s v="ThunderPlus EV Charge Hub, Post Offlice-Sainikpuri, Hyderabad"/>
        <s v="EV Charge Hub, Zevo-Chinthal , Hyderabad"/>
        <s v="EV Charge Hub, Tejaswi Green Energy Pvt Ltd, Hyderabad"/>
        <s v="ThunderPlus EV Charge Hub, Tata Geeta Auto Commercials,Warangal"/>
        <s v="ETO, Bluedart Balanagar, Hyderabad"/>
        <s v="ThunderPlus EV Park &amp; Charge Hub, Gundla Pochampally, Hyderabad"/>
        <s v="ETO, Bluedart Tellapur, Hyderabad"/>
        <s v="Deccan College of Engg. - Nampally"/>
        <s v="ThunderPlus EV Park &amp; Charge Hub, Kukatpally, Hyderabad"/>
        <s v="ThunderPlus EV Park &amp; Charge Hub, Saroornagar, Hyderabad"/>
        <s v="EV Charge Hub, NMDC Office, Hyderabad"/>
        <s v="_x000a_EV Charge Hub, Alekya Earth Song, Hyderabad"/>
        <s v="ThunderPlus EV Charge Hub, Tata Kaps Motors,Malappuram"/>
        <s v="ETO Drivers home"/>
        <s v="HMRL - Habsiguda"/>
        <s v="ETO, Autonagar - Vijayawada"/>
        <s v="ETO, Flipkart - Vijayawada"/>
        <s v="ETO, Gati -  Visakhapatnam"/>
        <s v="ThunderPlus EV Park &amp; Charge Hub, Auto Nagar - Visakhapatnam"/>
        <s v="ThunderPlus EV Park &amp; Charge Hub, Guntur"/>
        <s v="ThunderPlus EV Park &amp; Charge Hub, Rajahmundry"/>
        <s v="ETO, Flipkart - Halasuru, Banglore"/>
        <s v="ETO, Flipkart - Yeshwanthpur, Banglore"/>
        <s v="ThunderPlus EV Park &amp; Charge Hub, Peenya, Bangalore"/>
        <s v="ThunderPlus EV Park &amp; Charge Hub, RR Nagar,Bangalore"/>
        <s v="ThunderPlus EV Park &amp; Charge Hub, Kannur , Bangalore"/>
        <s v="ThunderPlus EV Park &amp; Charge Hub, ITPL ,Bangalore"/>
        <s v="ThunderPlus EV Park &amp; Charge Hub, Andrahalli ,Bangalore"/>
        <s v="ThunderPlus EV Park &amp; Charge Hub, Bannerghatta Road, Bangalore"/>
        <s v="Trinity EV Charge Hub, Swiss Cafe, Coimbatore"/>
        <s v="ThunderPlus EV Charge Hub, Flipkart - Madhavaram, Chennai"/>
        <s v="ThunderPlus EV Charge Hub, Tata Vee Vee Motors, Thiruvarur"/>
        <s v="ThunderPlus EV Charge Hub, Tata Popular Mega Motors, Kattupakkum"/>
        <s v="ThunderPlus EV Charge Hub, Tata Popular Mega Motors, Ernakulam"/>
        <s v="ThunderPlus EV Charge Hub, Tata VST Motors, Poonamallee"/>
        <s v="ThunderPlus EV Charge Hub, Tata Excel Vehicle ,Chakan Pune"/>
        <s v="ETO, Airport south metro station, Nagpur"/>
        <s v="ETO, Flipkart - Wadi, Nagpur"/>
        <s v="ThunderPlus EV Charge Hub, Tata Mourya Motors , Patna"/>
        <s v="ThunderPlus EV Charge Hub, Tata Jodhpur Trucks, Jodhpur"/>
        <s v="ThunderPlus EV Charge Hub, Tata Chetan Motors,Kolhapur"/>
        <s v="ThunderPlus EV Charge Hub, Tata Bajrang Auto,Nogaon"/>
        <s v="ThunderPlus EV Charge Hub, Tata Veerprabhu Auto, Gotanagar"/>
        <s v="ThunderPlus EV Charge Hub,Tata GNB Motors, Kolkata"/>
        <s v="ThunderPlus EV Charge Hub,Tata Bhandari Automobile Pvt Ltd, Alampur"/>
        <s v="ThunderPlus EV Charge Hub, Tata Kamal Motors ,Vasai"/>
        <s v="ThunderPlus EV Charge Hub, Tata PD industry, Boisar"/>
        <s v="ThunderPlus EV Charge Hub,Tata Tejpal Motors, Vapi"/>
        <s v="ThunderPlus EV Charge Hub,Tata Frontier Trucks, Jabalpur"/>
        <s v="ThunderPlus EV Charge Hub, Tata Kaps Motors,Kasargod"/>
        <s v="ThunderPlus EV Charge Hub, Tata Jaika Automobiles, Raipur"/>
        <s v="ETO, Kevadia"/>
        <s v="ETO, Electronic City, Noida"/>
        <s v="ThunderPlus EV Charge Hub, Mahagun Sarovar Portico Suits, Ghaziabad"/>
        <s v="ETO, Ayodhya, UP"/>
        <s v="ThunderPlus EV Charge Hub, BPCL Saket station, Ayodhya"/>
        <s v="ThunderPlus EV Charge Hub, BPCL SD Yadav station, Ayodhya"/>
        <s v="ThunderPlus EV Charge Hub, BPCL 24X7 station, Ayodhya"/>
        <s v="ThunderPlus EV Park &amp; Charge Hub, Prayagraj, UP"/>
        <s v="ETO, Shahdara, Delhi"/>
        <s v="ETO, Cargo - Dwarka, Delhi"/>
        <s v="ETO, Usmanpur, Delhi"/>
        <s v="ETO, Azadpur Metro Station, Delhi"/>
        <s v="ETO, Kalkaji Metro Station, Delhi "/>
        <s v="ThunderPlus EV Charge Hub, Hindustan Times Appartment, Mayur Vihar, Delhi"/>
        <s v="ThunderPlus EV Charge Hub, UNA Co-operative residence society, Mayur vihar, Delhi"/>
        <s v="ThunderPlus EV Charge Hub, Press Enclave Society, Delhi"/>
        <s v="EV Charge Hub, Trade and Tax Department, Delhi"/>
        <s v="EV Charge Hub, Transport Department, Delhi"/>
        <s v="ThunderPlus EV Park &amp; Charge Hub, Dwaraka sector - 14, Delhi"/>
        <s v="ThunderPlus EV Charge Hub, Qutub Vihar, Dwarka"/>
        <s v="ThunderPlus EV Park &amp; Charge Hub, Jamia Millia Islamia Metro Station, Delhi"/>
        <s v="ThunderPlus EV Charge Hub, Radhika Appartment,Delhi"/>
        <s v="EV Charge Hub, BYPL MCD Parking,Gazipur Gaushala"/>
        <s v="Ev Charge Hub, BYPL MCD Parking,Near Supreme Enclave"/>
        <s v="Ev Charge Hub, BYPL MCD Parking,V3S Mall"/>
        <s v="Ev Charge Hub, BYPL MCD Parking,Milan Vihar Appartment"/>
        <s v="EV Charging Hub, BYPL MCD Parking, Mandoli extn"/>
        <s v="Ev Charge Hub, BYPL MCD Parking,Kalkaji Mandir"/>
        <s v="EV Charging Hub, BYPL MCD Parking,Mangolpuri"/>
        <s v="EV Charge Hub, IIITD, Delhi"/>
        <s v="ThunderPlus EV Park &amp; Charge Hub, Uttam Nagar,Delhi"/>
        <s v="Ev Charge Hub, BRPL Office,  Chittaranjan Park, Delhi"/>
        <s v="_x000a_EV Charge Hub, PGDAV College, Nehru Nagar, Delhi_x000a_"/>
        <s v="_x000a_EV Charge Hub, BRPL Office Okhla Phase 2, Delhi_x000a_"/>
        <s v="Ev Charge Hub, Sachivalay,Delhi"/>
        <s v="Ev Charge Hub, BSES Yumana power LTD, Karkardooma, Delhi"/>
        <s v="EV Charge Hub, BSES SCADA Control Center, Delhi"/>
        <s v="ThunderPlus EV Charge Hub, Palam,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hunderPlus EV Charge Hub, Flipkart - Danapur, Patna "/>
        <s v="ThunderPlus EV Charge Hub, Flipkart - Kumrar, Patna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ntainsBlank="1" count="5">
        <s v="Public Charging"/>
        <s v="Charging Service"/>
        <s v="Parking and Charging"/>
        <s v="Sales"/>
        <m u="1"/>
      </sharedItems>
    </cacheField>
    <cacheField name="01-01-2025" numFmtId="0">
      <sharedItems containsString="0" containsBlank="1" containsNumber="1" minValue="0" maxValue="869.64899999999989"/>
    </cacheField>
    <cacheField name="02-01-2025" numFmtId="2">
      <sharedItems containsString="0" containsBlank="1" containsNumber="1" minValue="0" maxValue="698.44399999999962"/>
    </cacheField>
    <cacheField name="03-01-2025" numFmtId="2">
      <sharedItems containsString="0" containsBlank="1" containsNumber="1" minValue="0" maxValue="880.2660000000003"/>
    </cacheField>
    <cacheField name="04-01-2025" numFmtId="2">
      <sharedItems containsString="0" containsBlank="1" containsNumber="1" minValue="0" maxValue="808.17799999999977"/>
    </cacheField>
    <cacheField name="05-01-2025" numFmtId="2">
      <sharedItems containsString="0" containsBlank="1" containsNumber="1" minValue="0" maxValue="779.94899999999984"/>
    </cacheField>
    <cacheField name="06-01-2025" numFmtId="2">
      <sharedItems containsString="0" containsBlank="1" containsNumber="1" minValue="0" maxValue="907.14400000000001"/>
    </cacheField>
    <cacheField name="07-01-2025" numFmtId="2">
      <sharedItems containsString="0" containsBlank="1" containsNumber="1" minValue="0" maxValue="817.04"/>
    </cacheField>
    <cacheField name="08-01-2025" numFmtId="2">
      <sharedItems containsString="0" containsBlank="1" containsNumber="1" minValue="0" maxValue="977.53800000000012"/>
    </cacheField>
    <cacheField name="09-01-2025" numFmtId="2">
      <sharedItems containsString="0" containsBlank="1" containsNumber="1" minValue="0" maxValue="1018.843"/>
    </cacheField>
    <cacheField name="10-01-2025" numFmtId="2">
      <sharedItems containsString="0" containsBlank="1" containsNumber="1" minValue="0" maxValue="934.26700000000017"/>
    </cacheField>
    <cacheField name="11-01-2025" numFmtId="2">
      <sharedItems containsString="0" containsBlank="1" containsNumber="1" minValue="0" maxValue="920.19199999999978"/>
    </cacheField>
    <cacheField name="12-01-2025" numFmtId="2">
      <sharedItems containsString="0" containsBlank="1" containsNumber="1" minValue="0" maxValue="882.89800000000014"/>
    </cacheField>
    <cacheField name="13-01-2025" numFmtId="2">
      <sharedItems containsString="0" containsBlank="1" containsNumber="1" minValue="0" maxValue="737.45299999999997"/>
    </cacheField>
    <cacheField name="14-01-2025" numFmtId="2">
      <sharedItems containsString="0" containsBlank="1" containsNumber="1" minValue="0" maxValue="573.18400000000008"/>
    </cacheField>
    <cacheField name="15-01-2025" numFmtId="2">
      <sharedItems containsString="0" containsBlank="1" containsNumber="1" minValue="0" maxValue="607.01600000000008"/>
    </cacheField>
    <cacheField name="16-01-2025" numFmtId="2">
      <sharedItems containsString="0" containsBlank="1" containsNumber="1" minValue="0" maxValue="595.14599999999996"/>
    </cacheField>
    <cacheField name="17-01-2025" numFmtId="2">
      <sharedItems containsString="0" containsBlank="1" containsNumber="1" minValue="0" maxValue="732.25200000000018"/>
    </cacheField>
    <cacheField name="18-01-2025" numFmtId="2">
      <sharedItems containsString="0" containsBlank="1" containsNumber="1" minValue="0" maxValue="768.57900000000018"/>
    </cacheField>
    <cacheField name="19-01-2025" numFmtId="2">
      <sharedItems containsString="0" containsBlank="1" containsNumber="1" minValue="0" maxValue="758.61200000000031"/>
    </cacheField>
    <cacheField name="20-01-2025" numFmtId="2">
      <sharedItems containsString="0" containsBlank="1" containsNumber="1" minValue="0" maxValue="836.68600000000038"/>
    </cacheField>
    <cacheField name="21-01-2025" numFmtId="2">
      <sharedItems containsString="0" containsBlank="1" containsNumber="1" minValue="0" maxValue="631.91600000000028"/>
    </cacheField>
    <cacheField name="22-01-2025" numFmtId="2">
      <sharedItems containsString="0" containsBlank="1" containsNumber="1" minValue="0" maxValue="864.52499999999986"/>
    </cacheField>
    <cacheField name="23-01-2025" numFmtId="2">
      <sharedItems containsString="0" containsBlank="1" containsNumber="1" minValue="0" maxValue="703.51900000000023"/>
    </cacheField>
    <cacheField name="24-01-2025" numFmtId="2">
      <sharedItems containsString="0" containsBlank="1" containsNumber="1" minValue="0" maxValue="769.8720000000003"/>
    </cacheField>
    <cacheField name="25-01-2025" numFmtId="2">
      <sharedItems containsSemiMixedTypes="0" containsString="0" containsNumber="1" minValue="0" maxValue="882.39300000000026"/>
    </cacheField>
    <cacheField name="26-01-2025" numFmtId="2">
      <sharedItems containsSemiMixedTypes="0" containsString="0" containsNumber="1" minValue="0" maxValue="742.58899999999983"/>
    </cacheField>
    <cacheField name="27-01-2025" numFmtId="2">
      <sharedItems containsSemiMixedTypes="0" containsString="0" containsNumber="1" minValue="0" maxValue="830.04400000000032"/>
    </cacheField>
    <cacheField name="28-01-2025" numFmtId="2">
      <sharedItems containsSemiMixedTypes="0" containsString="0" containsNumber="1" minValue="0" maxValue="836.57799999999997"/>
    </cacheField>
    <cacheField name="29-01-2025" numFmtId="2">
      <sharedItems containsSemiMixedTypes="0" containsString="0" containsNumber="1" minValue="0" maxValue="662.25199999999984"/>
    </cacheField>
    <cacheField name="30-01-2025" numFmtId="2">
      <sharedItems containsSemiMixedTypes="0" containsString="0" containsNumber="1" minValue="0" maxValue="770.72400000000027"/>
    </cacheField>
    <cacheField name="31-01-2025" numFmtId="2">
      <sharedItems containsSemiMixedTypes="0" containsString="0" containsNumber="1" minValue="0" maxValue="912.36499999999978"/>
    </cacheField>
    <cacheField name="Average" numFmtId="2">
      <sharedItems containsSemiMixedTypes="0" containsString="0" containsNumber="1" minValue="0" maxValue="795.5930000000003"/>
    </cacheField>
    <cacheField name="Avg consumption/Charger" numFmtId="2">
      <sharedItems containsSemiMixedTypes="0" containsString="0" containsNumber="1" minValue="0" maxValue="293.789032258064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457523145" createdVersion="8" refreshedVersion="8" minRefreshableVersion="3" recordCount="204" xr:uid="{3240A526-7F4F-4941-BC76-46FA9ED9BAC6}">
  <cacheSource type="worksheet">
    <worksheetSource ref="B1:AP205" sheet="April 25 copy"/>
  </cacheSource>
  <cacheFields count="41">
    <cacheField name="City" numFmtId="0">
      <sharedItems/>
    </cacheField>
    <cacheField name="Station code" numFmtId="0">
      <sharedItems containsMixedTypes="1" containsNumber="1" containsInteger="1" minValue="0" maxValue="0"/>
    </cacheField>
    <cacheField name="Station Name" numFmtId="0">
      <sharedItems/>
    </cacheField>
    <cacheField name="Location Owner" numFmtId="0">
      <sharedItems containsMixedTypes="1" containsNumber="1" containsInteger="1" minValue="0" maxValue="0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/>
    </cacheField>
    <cacheField name="01-04-2025" numFmtId="2">
      <sharedItems containsSemiMixedTypes="0" containsString="0" containsNumber="1" minValue="0" maxValue="588.21100000000013"/>
    </cacheField>
    <cacheField name="02-04-2025" numFmtId="2">
      <sharedItems containsSemiMixedTypes="0" containsString="0" containsNumber="1" minValue="0" maxValue="536.23199999999986"/>
    </cacheField>
    <cacheField name="03-04-2025" numFmtId="2">
      <sharedItems containsSemiMixedTypes="0" containsString="0" containsNumber="1" minValue="0" maxValue="506.87000000000012"/>
    </cacheField>
    <cacheField name="04-04-2025" numFmtId="2">
      <sharedItems containsSemiMixedTypes="0" containsString="0" containsNumber="1" minValue="0" maxValue="546.18799999999999"/>
    </cacheField>
    <cacheField name="05-04-2025" numFmtId="2">
      <sharedItems containsSemiMixedTypes="0" containsString="0" containsNumber="1" minValue="0" maxValue="527.5680000000001"/>
    </cacheField>
    <cacheField name="06-04-2025" numFmtId="2">
      <sharedItems containsSemiMixedTypes="0" containsString="0" containsNumber="1" minValue="0" maxValue="514.01200000000006"/>
    </cacheField>
    <cacheField name="07-04-2025" numFmtId="2">
      <sharedItems containsSemiMixedTypes="0" containsString="0" containsNumber="1" minValue="0" maxValue="626.87499999999989"/>
    </cacheField>
    <cacheField name="08-04-2025" numFmtId="2">
      <sharedItems containsSemiMixedTypes="0" containsString="0" containsNumber="1" minValue="0" maxValue="596.87800000000016"/>
    </cacheField>
    <cacheField name="09-04-2025" numFmtId="2">
      <sharedItems containsSemiMixedTypes="0" containsString="0" containsNumber="1" minValue="0" maxValue="578.58199999999977"/>
    </cacheField>
    <cacheField name="10-04-2025" numFmtId="2">
      <sharedItems containsSemiMixedTypes="0" containsString="0" containsNumber="1" minValue="0" maxValue="664.21699999999987"/>
    </cacheField>
    <cacheField name="11-04-2025" numFmtId="2">
      <sharedItems containsSemiMixedTypes="0" containsString="0" containsNumber="1" minValue="0" maxValue="606.70299999999997"/>
    </cacheField>
    <cacheField name="12-04-2025" numFmtId="2">
      <sharedItems containsSemiMixedTypes="0" containsString="0" containsNumber="1" minValue="0" maxValue="556.18500000000006"/>
    </cacheField>
    <cacheField name="13-04-2025" numFmtId="2">
      <sharedItems containsSemiMixedTypes="0" containsString="0" containsNumber="1" minValue="0" maxValue="583.971"/>
    </cacheField>
    <cacheField name="14-04-2025" numFmtId="2">
      <sharedItems containsSemiMixedTypes="0" containsString="0" containsNumber="1" minValue="0" maxValue="532.08600000000001"/>
    </cacheField>
    <cacheField name="15-04-2025" numFmtId="2">
      <sharedItems containsSemiMixedTypes="0" containsString="0" containsNumber="1" minValue="0" maxValue="648.27"/>
    </cacheField>
    <cacheField name="16-04-2025" numFmtId="2">
      <sharedItems containsSemiMixedTypes="0" containsString="0" containsNumber="1" minValue="0" maxValue="606.66999999999985"/>
    </cacheField>
    <cacheField name="17-04-2025" numFmtId="2">
      <sharedItems containsSemiMixedTypes="0" containsString="0" containsNumber="1" minValue="0" maxValue="566.59"/>
    </cacheField>
    <cacheField name="18-04-2025" numFmtId="2">
      <sharedItems containsSemiMixedTypes="0" containsString="0" containsNumber="1" minValue="0" maxValue="441.54399999999987"/>
    </cacheField>
    <cacheField name="19-04-2025" numFmtId="2">
      <sharedItems containsSemiMixedTypes="0" containsString="0" containsNumber="1" minValue="0" maxValue="524.74299999999994"/>
    </cacheField>
    <cacheField name="20-04-2025" numFmtId="2">
      <sharedItems containsSemiMixedTypes="0" containsString="0" containsNumber="1" minValue="0" maxValue="906.07400000000007"/>
    </cacheField>
    <cacheField name="21-04-2025" numFmtId="2">
      <sharedItems containsSemiMixedTypes="0" containsString="0" containsNumber="1" minValue="0" maxValue="779.9"/>
    </cacheField>
    <cacheField name="22-04-2025" numFmtId="2">
      <sharedItems containsSemiMixedTypes="0" containsString="0" containsNumber="1" minValue="0" maxValue="617.95699999999988"/>
    </cacheField>
    <cacheField name="23-04-2025" numFmtId="2">
      <sharedItems containsSemiMixedTypes="0" containsString="0" containsNumber="1" minValue="0" maxValue="561.84999999999991"/>
    </cacheField>
    <cacheField name="24-04-2025" numFmtId="2">
      <sharedItems containsSemiMixedTypes="0" containsString="0" containsNumber="1" minValue="0" maxValue="605.97299999999996"/>
    </cacheField>
    <cacheField name="25-04-2025" numFmtId="2">
      <sharedItems containsSemiMixedTypes="0" containsString="0" containsNumber="1" minValue="0" maxValue="650.87400000000002"/>
    </cacheField>
    <cacheField name="26-04-2025" numFmtId="2">
      <sharedItems containsSemiMixedTypes="0" containsString="0" containsNumber="1" minValue="0" maxValue="684.40000000000009"/>
    </cacheField>
    <cacheField name="27-04-2025" numFmtId="2">
      <sharedItems containsSemiMixedTypes="0" containsString="0" containsNumber="1" minValue="0" maxValue="578.851"/>
    </cacheField>
    <cacheField name="28-04-2025" numFmtId="2">
      <sharedItems containsSemiMixedTypes="0" containsString="0" containsNumber="1" minValue="0" maxValue="515.04999999999995"/>
    </cacheField>
    <cacheField name="29-04-2025" numFmtId="2">
      <sharedItems containsSemiMixedTypes="0" containsString="0" containsNumber="1" minValue="0" maxValue="733.99999999999977"/>
    </cacheField>
    <cacheField name="30-04-2025" numFmtId="2">
      <sharedItems containsSemiMixedTypes="0" containsString="0" containsNumber="1" minValue="0" maxValue="638.66"/>
    </cacheField>
    <cacheField name="Average" numFmtId="2">
      <sharedItems containsSemiMixedTypes="0" containsString="0" containsNumber="1" minValue="0" maxValue="540.54403333333335"/>
    </cacheField>
    <cacheField name="Avg consumption/Charger" numFmtId="2">
      <sharedItems containsSemiMixedTypes="0" containsString="0" containsNumber="1" minValue="0" maxValue="384.586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457870368" createdVersion="5" refreshedVersion="8" minRefreshableVersion="3" recordCount="213" xr:uid="{00000000-000A-0000-FFFF-FFFF85000000}">
  <cacheSource type="worksheet">
    <worksheetSource ref="A1:AR214" sheet="May 25"/>
  </cacheSource>
  <cacheFields count="44">
    <cacheField name="Sl. No." numFmtId="0">
      <sharedItems containsSemiMixedTypes="0" containsString="0" containsNumber="1" containsInteger="1" minValue="1" maxValue="213"/>
    </cacheField>
    <cacheField name="City" numFmtId="0">
      <sharedItems count="46">
        <s v="Hyderabad"/>
        <s v="Warangal"/>
        <s v="Suryapet"/>
        <s v="Turkaplly"/>
        <s v="Kerala"/>
        <s v="Vijayawada"/>
        <s v="Vishakapatnam"/>
        <s v="Guntur"/>
        <s v="Bangalore"/>
        <s v="Rajahmundry"/>
        <s v="Coimbatore"/>
        <s v="Chennai"/>
        <s v="Thiruvarur"/>
        <s v="Kattupakkum"/>
        <s v="Ernakulam"/>
        <s v="Poonamallee"/>
        <s v="Karaikudi"/>
        <s v="Pandharpur"/>
        <s v="Chakan Pune"/>
        <s v="Nagpur"/>
        <s v=" Patna"/>
        <s v=" Jodhpur"/>
        <s v="Kolhapur"/>
        <s v="Nogaon"/>
        <s v="Gotanagar"/>
        <s v="Angul"/>
        <s v="Allied"/>
        <s v="Kolkata"/>
        <s v="Alampur"/>
        <s v="Vasai"/>
        <s v="Boisar"/>
        <s v="Vapi"/>
        <s v=" Jabalpur"/>
        <s v="Kasargod"/>
        <s v="Raipur"/>
        <s v="Kevadiya"/>
        <s v="Dhanbad"/>
        <s v="Panikoli"/>
        <s v="Noida"/>
        <s v="Ghaziabad"/>
        <s v="Ayodhya"/>
        <s v="Prayagraj"/>
        <s v="Delhi"/>
        <s v="Dehradun"/>
        <s v="Chandigarh"/>
        <s v="Patna"/>
      </sharedItems>
    </cacheField>
    <cacheField name="Station code" numFmtId="0">
      <sharedItems containsBlank="1"/>
    </cacheField>
    <cacheField name="Station Name" numFmtId="0">
      <sharedItems count="187">
        <s v="ThunderPlus EV Charge Hub, Amazon - Aramghar, Hyderabad"/>
        <s v="ThunderPlus EV Charge Hub, Amazon - Gachibouli, Hyderabad"/>
        <s v="ThunderPlus EV Charge Hub, Amazon - Moula Ali, Hyderabad"/>
        <s v="ThunderPlus EV Park &amp; Charge Hub, Miyapur, Hyderabad"/>
        <s v=" ThunderPlus EV Charge Hub, Miyapur, Hyderabad"/>
        <s v="ThunderPlus EV Park &amp; Charge Hub, Bollaram, Hyderabad"/>
        <s v="ETO, GHMC - Moghalpura, Hyderabad"/>
        <s v="EV Charge Hub, Dhuni Polymers, Kottur, Hyderabad"/>
        <s v=" ThunderPlus EV Charge Hub, Umdanagar, Hyderabad"/>
        <s v="ThunderPlus EV Charge Hub, Umdanagar, Hyderabad"/>
        <s v="ThunderPlus EV Park &amp; Charge Hub Moula Ali, Hyderabad"/>
        <s v=" ThunderPlus EV Charge Hub, Moula Ali, Hyderabad"/>
        <s v="ThunderPlus EV Hub Sitaphalmandi, Hyderabad"/>
        <s v="ThunderPlus EV Park &amp; Charge Hub, Aramghar, Hyderabad"/>
        <s v=" ThunderPlus EV Charge Hub, Aramghar, Hyderabad"/>
        <s v="ThunderPlus EV Park &amp; Charge Hub, Hi-tec city, Hyderabad"/>
        <s v="ThunderPlus EV Charge Hub, Hi-tec city, Hyderabad"/>
        <s v=" ThunderPlus EV Charge Hub, Hi-tec city, Hyderabad"/>
        <s v="ThunderPlus EV Park &amp; Charge Hub, Mettuguda, Hyderabad"/>
        <s v="ThunderPlus EV Charge Hub, Mettuguda, Hyderabad"/>
        <s v=" ThunderPlus EV Charge Hub, Mettuguda, Hyderabad"/>
        <s v="ThunderPlus EV Park &amp; Charge Hub, Yapral , Hyderabad"/>
        <s v="ThunderPlus EV Charge Hub, Yapral , Hyderabad"/>
        <s v="ThunderPlus EV Park &amp; Charge Hub, Attapur , Hyderabad"/>
        <s v="ETO, Bluedart Madhapur, Hyderabad"/>
        <s v="ThunderPlus EV Park &amp; Charge Hub, Nacharam, Hyderabad"/>
        <s v="ThunderPlus EV Charge Hub, Nacharam, Hyderabad"/>
        <s v="EV Charge Hub, Niharika Landmark, Hyderabad"/>
        <s v="ThunderPlus EV Park &amp; Charge Hub, Uppal, Hyderabad"/>
        <s v="ThunderPlus EV Park &amp; Charge Hub, Rasoolpura, Hyderabad"/>
        <s v=" EV Charge Hub, Hallmark Tranquil Apartment, Manikonda, Hyderabad"/>
        <s v="ThunderPlus EV Park &amp; Charge Hub, Gajularamaram, Hyderabad"/>
        <s v="ETO, Bachupally, Hyderabad"/>
        <s v="EV Charge Hub, Sri Dattatreya Hostel, Hyderabad"/>
        <s v="ETO, Mowo-Kukatpally , Hyderabad"/>
        <s v="ETO, GMR Mahalakshmi Foundation,Shamshabad, Hyderabad"/>
        <s v=" ThunderPlus EV Charge Hub, Lavish Electric Wheel Club, Shaikpet , Hyderabad"/>
        <s v="EV Charge Hub, My Home Mangala, Hyderabad"/>
        <s v="EV Charge Hub, Niharika Sky Line, Hyderabad"/>
        <s v="ThunderPlus EV Charge Hub, Post Offlice-Sainikpuri, Hyderabad"/>
        <s v="EV Charge Hub, Zevo-Chinthal , Hyderabad"/>
        <s v="EV Charge Hub, Tejaswi Green Energy Pvt Ltd, Hyderabad"/>
        <s v="ThunderPlus EV Charge Hub, Tata Geeta Auto Commercials,Warangal"/>
        <s v="ETO, Bluedart Balanagar, Hyderabad"/>
        <s v="ThunderPlus EV Park &amp; Charge Hub, Gundla Pochampally, Hyderabad"/>
        <s v="ETO, Bluedart Tellapur, Hyderabad"/>
        <s v="Deccan College of Engg. - Nampally"/>
        <s v="ThunderPlus EV Park &amp; Charge Hub, Kukatpally, Hyderabad"/>
        <s v="ThunderPlus EV Park &amp; Charge Hub, LB Nagar, Hyderabad"/>
        <s v="ThunderPlus EV Park &amp; Charge Hub, Saroornagar, Hyderabad"/>
        <s v="EV Charge Hub, NMDC Office, Hyderabad"/>
        <s v="EV Charge Hub, Alekya Earth Song, Hyderabad"/>
        <s v="EV Charge Hub, Myscape Sanctuary, Hyderabad"/>
        <s v="EV Charge Hub, Preston Prime Association, Hyderabad"/>
        <s v="ThunderPlus EV Charge Hub, Suryapet"/>
        <s v="ThunderPlus EV Charge Hub, Iskcon-Secunderabad, Hyderabad"/>
        <s v="EV Charge Hub, Sai Life Sciences, Turkaplly"/>
        <s v="ThunderPlus EV Charge Hub, Tata Kaps Motors,Malappuram"/>
        <s v="ETO Drivers home"/>
        <s v="HMRL - Habsiguda"/>
        <s v="ThunderPlus EV Charge Hub, Vijayawada"/>
        <s v="ETO, Autonagar - Vijayawada"/>
        <s v="ETO, Flipkart - Vijayawada"/>
        <s v="ETO, Gati - Visakhapatnam"/>
        <s v="ThunderPlus EV Park &amp; Charge Hub, Auto Nagar - Visakhapatnam"/>
        <s v="EV Charge Hub, Inspiredge IT Solutions Pvt Ltd, Visakhapatnam"/>
        <s v="ThunderPlus EV Park &amp; Charge Hub, Guntur"/>
        <s v="EV Charge Hub, Sai Life Sciences, Bidar"/>
        <s v="ThunderPlus EV Park &amp; Charge Hub, Rajahmundry"/>
        <s v="ETO, Flipkart - Halasuru, Banglore"/>
        <s v="ETO, Flipkart - Yeshwanthpur, Banglore"/>
        <s v="ThunderPlus EV Park &amp; Charge Hub, Peenya, Bangalore"/>
        <s v="ThunderPlus EV Park &amp; Charge Hub, RR Nagar,Bangalore"/>
        <s v="ThunderPlus EV Park &amp; Charge Hub, Kannur , Bangalore"/>
        <s v="ThunderPlus EV Park &amp; Charge Hub, ITPL ,Bangalore"/>
        <s v="ThunderPlus EV Park &amp; Charge Hub, Andrahalli ,Bangalore"/>
        <s v="ThunderPlus EV Park &amp; Charge Hub, Bannerghatta Road,Bangalore"/>
        <s v="EV Charge Hub, Choudhary Garments, Bagepalli"/>
        <s v="EV Charge Hub, TUV SUD Bangalore Campus, Singahalli"/>
        <s v="EV Charge Hub, Swiss Cafe, Coimbatore"/>
        <s v="ThunderPlus EV Charge Hub, Flipkart - Patalam, Chennai"/>
        <s v="ThunderPlus EV Charge Hub, Tata Vee Vee Motors, Thiruvarur"/>
        <s v="ThunderPlus EV Charge Hub, Tata Popular Mega Motors, Kattupakkum"/>
        <s v="ThunderPlus EV Charge Hub, Tata Popular Mega Motors, Ernakulam"/>
        <s v="ThunderPlus EV Charge Hub, Tata VST Motors, Poonamallee"/>
        <s v="EV Charge Hub, Sree Karpagamoorthy Automobiles, Karaikudi"/>
        <s v="_x000a_EV Charge Hub, Chavan Motors, Pandharpur"/>
        <s v="ThunderPlus EV Charge Hub, Tata Excel Vehicle ,Chakan Pune"/>
        <s v="ETO, Airport south metro station, Nagpur"/>
        <s v="ETO, Flipkart - Wadi, Nagpur"/>
        <s v="ThunderPlus EV Charge Hub, Tata Mourya Motors, Patna"/>
        <s v="ThunderPlus EV Charge Hub, Tata Jodhpur Trucks, Jodhpur"/>
        <s v="ThunderPlus EV Charge Hub, Tata Chetan Motors,Kolhapur"/>
        <s v="ThunderPlus EV Charge Hub, Tata Bajrang Auto, Nogaon"/>
        <s v="ThunderPlus EV Charge Hub, Tata Veerprabhu Auto,Gotanagar"/>
        <s v="ThunderPlus EV Charge Hub, Tata Trupti Automobiles, Angul"/>
        <s v="EV Charge Hub, Allied Engineering Developers, Dibrugarh"/>
        <s v="ThunderPlus EV Charge Hub,Tata GNB Motors, Kolkata"/>
        <s v="ThunderPlus EV Charge Hub,Tata Bhandari Automobile Pvt Ltd, Alampur"/>
        <s v="ThunderPlus EV Charge Hub, Tata Kamal Motors ,Vasai"/>
        <s v="ThunderPlus EV Charge Hub, Tata PD industry, Boisar"/>
        <s v="ThunderPlus EV Charge Hub,Tata Tejpal Motors, Vapi"/>
        <s v="ThunderPlus EV Charge Hub,Tata Frontier Trucks, Jabalpur"/>
        <s v="ThunderPlus EV Charge Hub, Tata Kaps Motors,Kasargod"/>
        <s v="ThunderPlus EV Charge Hub, Tata Jaika Automobiles, Raipur"/>
        <s v="ETO, Kevadia"/>
        <s v=" EV Charge Hub, Ramiz Indane Gramin Vitrak, Dhanbad"/>
        <s v="ThunderPlus EV Charge Hub, Tata Trupti Automobiles, Panikoli"/>
        <s v="ETO, Electronic City, Noida"/>
        <s v="ThunderPlus EV Charge Hub, Mahagun Sarovar Portico Suits, Ghaziabad"/>
        <s v="ETO, Ayodhya, UP"/>
        <s v="ThunderPlus EV Charge Hub, BPCL Saket station, Ayodhya"/>
        <s v="ThunderPlus EV Charge Hub, BPCL SD Yadav station, Ayodhya"/>
        <s v="ThunderPlus EV Charge Hub, BPCL 24X7 station, Ayodhya"/>
        <s v="ThunderPlus EV Park &amp; Charge Hub, Prayagraj, UP"/>
        <s v="ThunderPlus EV Charge Hub, Prayagraj, UP"/>
        <s v="ETO, Shahdara, Delhi"/>
        <s v="ETO, Cargo - Dwarka, Delhi"/>
        <s v="ETO, Usmanpur, Delhi"/>
        <s v="ETO, Azadpur Metro Station, Delhi"/>
        <s v="ThunderPlus EV Park &amp; Charge Hub, Kalkaji metro station, Delhi"/>
        <s v="ETO, Kalkaji Metro Station, Delhi "/>
        <s v="ThunderPlus EV Charge Hub, Kalkaji metro station, Delhi"/>
        <s v="ThunderPlus EV Charge Hub, Hindustan Times Appartment, Mayur Vihar, Delhi"/>
        <s v="ThunderPlus EV Charge Hub, UNA Co-operative residence society, Mayur vihar, Delhi"/>
        <s v=" ThunderPlus EV Charge Hub, Press Enclave Society, New Delhi"/>
        <s v="EV Charge Hub, Trade and Tax Department, Delhi"/>
        <s v="EV Charge Hub, Transport Department, Delhi"/>
        <s v="ThunderPlus EV Park &amp; Charge Hub, Dwaraka sector - 14, Delhi"/>
        <s v="ThunderPlus EV Charge Hub, Dwarka sector - 14, Delhi"/>
        <s v="ETO, Qutub Vihar, Delhi"/>
        <s v="ThunderPlus EV Park &amp; Charge Hub, Jamia Millia Islamia Metro Station, Delhi"/>
        <s v="ThunderPlus EV Charge Hub, Jamia Millia Islamia Metro Station, Delhi"/>
        <s v="ThunderPlus EV Charge Hub, Radhika Appartment,Delhi"/>
        <s v="EV Charge Hub, BYPL MCD Parking,Gazipur Gaushala"/>
        <s v="EV Charge Hub, BYPL MCD Parking, Near Supreme Enclave"/>
        <s v="EV Charge Hub, BYPL MCD Parking, V3S Mall"/>
        <s v="EV Charge Hub, BYPL MCD Parking, Milan Vihar Appartment"/>
        <s v="EV Charge Hub, BYPL MCD Parking, Mandoli extn"/>
        <s v="EV Charge Hub, BYPL MCD Parking, Kalkaji Mandir"/>
        <s v="EV Charge Hub, BYPL MCD Parking, Mangolpuri"/>
        <s v="EV Charge Hub, IIITD, Delhi"/>
        <s v="ThunderPlus EV Park &amp; Charge Hub, Uttam Nagar,Delhi"/>
        <s v="ThunderPlus EV Charge Hub, Uttam Nagar,Delhi"/>
        <s v="EV Charge Hub, BRPL Office, Chittaranjan Park, Delhi"/>
        <s v="EV Charge Hub, PGDAV College, Nehru Nagar, Delhi"/>
        <s v="EV Charge Hub, BRPL Office Okhla Phase 2,Delhi"/>
        <s v="EV Charge Hub, Sachivalay,Delhi"/>
        <s v="EV Charge Hub, BSES Yumana power LTD,Delhi"/>
        <s v="EV Charge Hub, BSES SCADA Control Center, Delhi"/>
        <s v="ThunderPlus EV Park &amp; Charge Hub, Palam,Delhi"/>
        <s v="ThunderPlus EV Charge Hub, Palam, Delhi"/>
        <s v="ETO, Rohini, Delhi"/>
        <s v="ThunderPlus EV Charge Hub, Jhandewalan, Delhi"/>
        <s v="ThunderPlus EV Charge Hub, Arjangarh Metro, Delhi"/>
        <s v="ThunderPlus EV Charge Hub, Kalra Hospital, Delhi"/>
        <s v="ThunderPlus EV Charge Hub, Mohan Dev building, Delhi"/>
        <s v="ThunderPlus EV Charge Hub, Vasant kunj, Delhi"/>
        <s v="ThunderPlus EV Charge Hub, Okhla NSIC Metro, Delhi"/>
        <s v="ThunderPlus EV Charge Hub, Shyam Lal College, Delhi"/>
        <s v="ThunderPlus EV Charge Hub, Abdul Salam Masjid, Delhi"/>
        <s v="ThunderPlus EV Charge Hub, Jeevan bharti building, Delhi"/>
        <s v="ThunderPlus EV Charge Hub, Andheria Mod, Delhi"/>
        <s v="ThunderPlus EV Charge Hub, Charjkaro, Panchsheel Park, Delhi"/>
        <s v="ThunderPlus EV Charge Hub, Charjkaro, Qutub Minar, Delhi"/>
        <s v="ThunderPlus EV Charge Hub, Charjkaro, Seelampur, Delhi"/>
        <s v="ThunderPlus EV Charge Hub, Charjkaro, South Extension-1, Delhi"/>
        <s v="ThunderPlus EV Charge Hub, Charjkaro, Near IT Park, Dehradun"/>
        <s v="ThunderPlus EV Charge Hub, Charjkaro, Sector-20-C, Chandigarh"/>
        <s v="ThunderPlus EV Charge Hub, Charjkaro, MG Road, Delhi"/>
        <s v="ThunderPlus EV Charge Hub, Charjkaro, Piccadilly Maltiplex-2, Chandigarh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hunderPlus EV Charge Hub, Flipkart - Danapur, Patna"/>
        <s v="ThunderPlus EV Charge Hub, Flipkart - Kumrar, Patna"/>
        <s v="ThunderPlus EV Charge Hub, Charjkaro, Delhi Cantt 1, Delhi"/>
        <s v="ThunderPlus EV Charge Hub, Charjkaro, Delhi Cantt 2, Delhi"/>
        <s v="ThunderPlus EV Charge Hub, Charjkaro, ESI Punjabi Bagh, Delhi"/>
        <s v="ThunderPlus EV Charge Hub, Charjkaro, IIT FOB, Delhi"/>
        <s v="ThunderPlus EV Charge Hub, Charjkaro, Lajpat Nagar, Delhi"/>
        <s v="ThunderPlus EV Charge Hub, Charjkaro, Vasant Gaon, Delhi"/>
        <s v="ThunderPlus EV Charge Hub, Charjkaro, Yusuf Sarai, Delhi"/>
        <s v="ThunderPlus EV Charge Hub, Charjkaro, Okhla NSIC Metro, Delhi" u="1"/>
      </sharedItems>
    </cacheField>
    <cacheField name="Location" numFmtId="0">
      <sharedItems containsBlank="1"/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0" maxValue="87"/>
    </cacheField>
    <cacheField name="Station Type" numFmtId="0">
      <sharedItems count="4">
        <s v="Public Charging"/>
        <s v="Parking and Charging"/>
        <s v="Charging Service"/>
        <s v="Sales"/>
      </sharedItems>
    </cacheField>
    <cacheField name="01-05-2025" numFmtId="2">
      <sharedItems containsString="0" containsBlank="1" containsNumber="1" minValue="0" maxValue="785.17499999999995"/>
    </cacheField>
    <cacheField name="02-05-2025" numFmtId="2">
      <sharedItems containsString="0" containsBlank="1" containsNumber="1" minValue="0" maxValue="597.77499999999998"/>
    </cacheField>
    <cacheField name="03-05-2025" numFmtId="2">
      <sharedItems containsString="0" containsBlank="1" containsNumber="1" minValue="0" maxValue="714.72500000000002"/>
    </cacheField>
    <cacheField name="04-05-2025" numFmtId="2">
      <sharedItems containsString="0" containsBlank="1" containsNumber="1" minValue="0" maxValue="762.77500000000009"/>
    </cacheField>
    <cacheField name="05-05-2025" numFmtId="2">
      <sharedItems containsString="0" containsBlank="1" containsNumber="1" minValue="0" maxValue="727.64899999999989"/>
    </cacheField>
    <cacheField name="06-05-2025" numFmtId="2">
      <sharedItems containsString="0" containsBlank="1" containsNumber="1" minValue="0" maxValue="601.14"/>
    </cacheField>
    <cacheField name="07-05-2025" numFmtId="2">
      <sharedItems containsString="0" containsBlank="1" containsNumber="1" minValue="0" maxValue="678.88199999999983"/>
    </cacheField>
    <cacheField name="08-05-2025" numFmtId="2">
      <sharedItems containsSemiMixedTypes="0" containsString="0" containsNumber="1" minValue="0" maxValue="661.3"/>
    </cacheField>
    <cacheField name="09-05-2025" numFmtId="2">
      <sharedItems containsSemiMixedTypes="0" containsString="0" containsNumber="1" minValue="0" maxValue="830.50099999999986"/>
    </cacheField>
    <cacheField name="10-05-2025" numFmtId="2">
      <sharedItems containsSemiMixedTypes="0" containsString="0" containsNumber="1" minValue="0" maxValue="1084.1499999999999"/>
    </cacheField>
    <cacheField name="11-05-2025" numFmtId="2">
      <sharedItems containsSemiMixedTypes="0" containsString="0" containsNumber="1" minValue="0" maxValue="1064.7760000000001"/>
    </cacheField>
    <cacheField name="12-05-2025" numFmtId="2">
      <sharedItems containsSemiMixedTypes="0" containsString="0" containsNumber="1" minValue="0" maxValue="801.1"/>
    </cacheField>
    <cacheField name="13-05-2025" numFmtId="2">
      <sharedItems containsSemiMixedTypes="0" containsString="0" containsNumber="1" minValue="0" maxValue="893.89999999999986"/>
    </cacheField>
    <cacheField name="14-05-2025" numFmtId="2">
      <sharedItems containsSemiMixedTypes="0" containsString="0" containsNumber="1" minValue="0" maxValue="987.71"/>
    </cacheField>
    <cacheField name="15-05-2025" numFmtId="2">
      <sharedItems containsSemiMixedTypes="0" containsString="0" containsNumber="1" minValue="0" maxValue="907.00000000000023"/>
    </cacheField>
    <cacheField name="16-05-2025" numFmtId="2">
      <sharedItems containsSemiMixedTypes="0" containsString="0" containsNumber="1" minValue="0" maxValue="920.72499999999991"/>
    </cacheField>
    <cacheField name="17-05-2025" numFmtId="0">
      <sharedItems containsSemiMixedTypes="0" containsString="0" containsNumber="1" minValue="0" maxValue="1013.075"/>
    </cacheField>
    <cacheField name="18-05-2025" numFmtId="0">
      <sharedItems containsSemiMixedTypes="0" containsString="0" containsNumber="1" minValue="0" maxValue="1132.3999999999996"/>
    </cacheField>
    <cacheField name="19-05-2025" numFmtId="0">
      <sharedItems containsSemiMixedTypes="0" containsString="0" containsNumber="1" minValue="0" maxValue="1103.3"/>
    </cacheField>
    <cacheField name="20-05-2025" numFmtId="0">
      <sharedItems containsSemiMixedTypes="0" containsString="0" containsNumber="1" minValue="0" maxValue="765.02000000000021"/>
    </cacheField>
    <cacheField name="21-05-2025" numFmtId="0">
      <sharedItems containsSemiMixedTypes="0" containsString="0" containsNumber="1" minValue="0" maxValue="777.7"/>
    </cacheField>
    <cacheField name="22-05-2025" numFmtId="0">
      <sharedItems containsSemiMixedTypes="0" containsString="0" containsNumber="1" minValue="0" maxValue="964.07500000000005"/>
    </cacheField>
    <cacheField name="23-05-2025" numFmtId="0">
      <sharedItems containsSemiMixedTypes="0" containsString="0" containsNumber="1" minValue="0" maxValue="1014.6469999999999"/>
    </cacheField>
    <cacheField name="24-05-2025" numFmtId="0">
      <sharedItems containsSemiMixedTypes="0" containsString="0" containsNumber="1" minValue="0" maxValue="1717.2009999999993"/>
    </cacheField>
    <cacheField name="25-05-2025" numFmtId="0">
      <sharedItems containsNonDate="0" containsString="0" containsBlank="1"/>
    </cacheField>
    <cacheField name="26-05-2025" numFmtId="2">
      <sharedItems containsNonDate="0" containsString="0" containsBlank="1"/>
    </cacheField>
    <cacheField name="27-05-2025" numFmtId="2">
      <sharedItems containsNonDate="0" containsString="0" containsBlank="1"/>
    </cacheField>
    <cacheField name="28-05-2025" numFmtId="2">
      <sharedItems containsNonDate="0" containsString="0" containsBlank="1"/>
    </cacheField>
    <cacheField name="29-05-2025" numFmtId="2">
      <sharedItems containsNonDate="0" containsString="0" containsBlank="1"/>
    </cacheField>
    <cacheField name="30-05-2025" numFmtId="2">
      <sharedItems containsNonDate="0" containsString="0" containsBlank="1"/>
    </cacheField>
    <cacheField name="31-05-2025" numFmtId="2">
      <sharedItems containsNonDate="0" containsString="0" containsBlank="1"/>
    </cacheField>
    <cacheField name="Average" numFmtId="2">
      <sharedItems containsString="0" containsBlank="1" containsNumber="1" minValue="0" maxValue="789.93550000000005"/>
    </cacheField>
    <cacheField name="Avg consumption/Charger" numFmtId="2">
      <sharedItems containsBlank="1" containsMixedTypes="1" containsNumber="1" minValue="0" maxValue="789.9355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459375" createdVersion="5" refreshedVersion="8" minRefreshableVersion="3" recordCount="204" xr:uid="{00000000-000A-0000-FFFF-FFFF25000000}">
  <cacheSource type="worksheet">
    <worksheetSource ref="A1:AP205" sheet="April 25"/>
  </cacheSource>
  <cacheFields count="42">
    <cacheField name="Sl. No." numFmtId="0">
      <sharedItems containsSemiMixedTypes="0" containsString="0" containsNumber="1" containsInteger="1" minValue="1" maxValue="204"/>
    </cacheField>
    <cacheField name="City" numFmtId="0">
      <sharedItems count="46">
        <s v="Hyderabad"/>
        <s v="Warangal"/>
        <s v="Suryapet"/>
        <s v="Turkaplly"/>
        <s v="Kerala"/>
        <s v="Vijayawada"/>
        <s v="Vishakapatnam"/>
        <s v="Guntur"/>
        <s v="Bangalore"/>
        <s v="Rajahmundry"/>
        <s v="Coimbatore"/>
        <s v="Chennai"/>
        <s v="Thiruvarur"/>
        <s v="Kattupakkum"/>
        <s v="Ernakulam"/>
        <s v="Poonamallee"/>
        <s v="Karaikudi"/>
        <s v="Pandharpur"/>
        <s v="Chakan Pune"/>
        <s v="Nagpur"/>
        <s v=" Patna"/>
        <s v=" Jodhpur"/>
        <s v="Kolhapur"/>
        <s v="Nogaon"/>
        <s v="Gotanagar"/>
        <s v="Angul"/>
        <s v="Allied"/>
        <s v="Kolkata"/>
        <s v="Alampur"/>
        <s v="Vasai"/>
        <s v="Boisar"/>
        <s v="Vapi"/>
        <s v=" Jabalpur"/>
        <s v="Kasargod"/>
        <s v="Raipur"/>
        <s v="Kevadiya"/>
        <s v="Dhanbad"/>
        <s v="Panikoli"/>
        <s v="Noida"/>
        <s v="Ghaziabad"/>
        <s v="Ayodhya"/>
        <s v="Prayagraj"/>
        <s v="Delhi"/>
        <s v="Dehradun"/>
        <s v="Chandigarh"/>
        <s v="Patna"/>
      </sharedItems>
    </cacheField>
    <cacheField name="Station code" numFmtId="0">
      <sharedItems containsBlank="1"/>
    </cacheField>
    <cacheField name="Station Name" numFmtId="0">
      <sharedItems count="178">
        <s v="ThunderPlus EV Charge Hub, Amazon - Aramghar, Hyderabad"/>
        <s v="ThunderPlus EV Charge Hub, Amazon - Gachibouli, Hyderabad"/>
        <s v="ThunderPlus EV Charge Hub, Amazon - Moula Ali, Hyderabad"/>
        <s v="ThunderPlus EV Park &amp; Charge Hub, Miyapur, Hyderabad"/>
        <s v=" ThunderPlus EV Charge Hub, Miyapur, Hyderabad"/>
        <s v="ThunderPlus EV Park &amp; Charge Hub, Bollaram, Hyderabad"/>
        <s v="ETO, GHMC - Moghalpura, Hyderabad"/>
        <s v="EV Charge Hub, Dhuni Polymers, Kottur, Hyderabad"/>
        <s v=" ThunderPlus EV Charge Hub, Umdanagar, Hyderabad"/>
        <s v="ThunderPlus EV Charge Hub, Umdanagar, Hyderabad"/>
        <s v="ThunderPlus EV Park &amp; Charge Hub Moula Ali, Hyderabad"/>
        <s v=" ThunderPlus EV Charge Hub, Moula Ali, Hyderabad"/>
        <s v="ThunderPlus EV Hub Sitaphalmandi, Hyderabad"/>
        <s v="ThunderPlus EV Park &amp; Charge Hub, Aramghar, Hyderabad"/>
        <s v=" ThunderPlus EV Charge Hub, Aramghar, Hyderabad"/>
        <s v="ThunderPlus EV Park &amp; Charge Hub, Hi-tec city, Hyderabad"/>
        <s v="ThunderPlus EV Charge Hub, Hi-tec city, Hyderabad"/>
        <s v=" ThunderPlus EV Charge Hub, Hi-tec city, Hyderabad"/>
        <s v="ThunderPlus EV Park &amp; Charge Hub, Mettuguda, Hyderabad"/>
        <s v="ThunderPlus EV Charge Hub, Mettuguda, Hyderabad"/>
        <s v=" ThunderPlus EV Charge Hub, Mettuguda, Hyderabad"/>
        <s v="ThunderPlus EV Park &amp; Charge Hub, Yapral , Hyderabad"/>
        <s v="ThunderPlus EV Charge Hub, Yapral , Hyderabad"/>
        <s v="ThunderPlus EV Park &amp; Charge Hub, Attapur , Hyderabad"/>
        <s v="ETO, Bluedart Madhapur, Hyderabad"/>
        <s v="ThunderPlus EV Park &amp; Charge Hub, Nacharam, Hyderabad"/>
        <s v="ThunderPlus EV Charge Hub, Nacharam, Hyderabad"/>
        <s v="EV Charge Hub, Niharika Landmark, Hyderabad"/>
        <s v="ThunderPlus EV Park &amp; Charge Hub, Uppal, Hyderabad"/>
        <s v="ThunderPlus EV Park &amp; Charge Hub, Rasoolpura, Hyderabad"/>
        <s v=" EV Charge Hub, Hallmark Tranquil Apartment, Manikonda, Hyderabad"/>
        <s v="ThunderPlus EV Park &amp; Charge Hub, Gajularamaram, Hyderabad"/>
        <s v="ETO, Bachupally, Hyderabad"/>
        <s v="EV Charge Hub, Sri Dattatreya Hostel, Hyderabad"/>
        <s v="ETO, Mowo-Kukatpally , Hyderabad"/>
        <s v="ETO, GMR Mahalakshmi Foundation,Shamshabad, Hyderabad"/>
        <s v=" ThunderPlus EV Charge Hub, Lavish Electric Wheel Club, Shaikpet , Hyderabad"/>
        <s v="EV Charge Hub, My Home Mangala, Hyderabad"/>
        <s v="EV Charge Hub, Niharika Sky Line, Hyderabad"/>
        <s v="ThunderPlus EV Charge Hub, Post Offlice-Sainikpuri, Hyderabad"/>
        <s v="EV Charge Hub, Zevo-Chinthal , Hyderabad"/>
        <s v="EV Charge Hub, Tejaswi Green Energy Pvt Ltd, Hyderabad"/>
        <s v="ThunderPlus EV Charge Hub, Tata Geeta Auto Commercials,Warangal"/>
        <s v="ETO, Bluedart Balanagar, Hyderabad"/>
        <s v="ThunderPlus EV Park &amp; Charge Hub, Gundla Pochampally, Hyderabad"/>
        <s v="ETO, Bluedart Tellapur, Hyderabad"/>
        <s v="Deccan College of Engg. - Nampally"/>
        <s v="ThunderPlus EV Park &amp; Charge Hub, Kukatpally, Hyderabad"/>
        <s v="ThunderPlus EV Park &amp; Charge Hub, LB Nagar, Hyderabad"/>
        <s v="ThunderPlus EV Park &amp; Charge Hub, Saroornagar, Hyderabad"/>
        <s v="EV Charge Hub, NMDC Office, Hyderabad"/>
        <s v="EV Charge Hub, Alekya Earth Song, Hyderabad"/>
        <s v="EV Charge Hub, Myscape Sanctuary, Hyderabad"/>
        <s v="EV Charge Hub, Preston Prime Association, Hyderabad"/>
        <s v="ThunderPlus EV Charge Hub, Suryapet"/>
        <s v="ThunderPlus EV Charge Hub, Iskcon-Secunderabad, Hyderabad"/>
        <s v="EV Charge Hub, Sai Life Sciences, Turkaplly"/>
        <s v="ThunderPlus EV Charge Hub, Tata Kaps Motors,Malappuram"/>
        <s v="ETO Drivers home"/>
        <s v="HMRL - Habsiguda"/>
        <s v="ThunderPlus EV Charge Hub, Vijayawada"/>
        <s v="ETO, Autonagar - Vijayawada"/>
        <s v="ETO, Flipkart - Vijayawada"/>
        <s v="ETO, Gati - Visakhapatnam"/>
        <s v="ThunderPlus EV Park &amp; Charge Hub, Auto Nagar - Visakhapatnam"/>
        <s v="EV Charge Hub, Inspiredge IT Solutions Pvt Ltd, Visakhapatnam"/>
        <s v="ThunderPlus EV Park &amp; Charge Hub, Guntur"/>
        <s v="EV Charge Hub, Sai Life Sciences, Bidar"/>
        <s v="ThunderPlus EV Park &amp; Charge Hub, Rajahmundry"/>
        <s v="ETO, Flipkart - Halasuru, Banglore"/>
        <s v="ETO, Flipkart - Yeshwanthpur, Banglore"/>
        <s v="ThunderPlus EV Park &amp; Charge Hub, Peenya, Bangalore"/>
        <s v="ThunderPlus EV Park &amp; Charge Hub, RR Nagar,Bangalore"/>
        <s v="ThunderPlus EV Park &amp; Charge Hub, Kannur , Bangalore"/>
        <s v="ThunderPlus EV Park &amp; Charge Hub, ITPL ,Bangalore"/>
        <s v="ThunderPlus EV Park &amp; Charge Hub, Andrahalli ,Bangalore"/>
        <s v="ThunderPlus EV Park &amp; Charge Hub, Bannerghatta Road,Bangalore"/>
        <s v="EV Charge Hub, Choudhary Garments, Bagepalli"/>
        <s v="EV Charge Hub, TUV SUD Bangalore Campus, Singahalli"/>
        <s v="EV Charge Hub, Swiss Cafe, Coimbatore"/>
        <s v="ThunderPlus EV Charge Hub, Flipkart - Patalam, Chennai"/>
        <s v="ThunderPlus EV Charge Hub, Tata Vee Vee Motors, Thiruvarur"/>
        <s v="ThunderPlus EV Charge Hub, Tata Popular Mega Motors, Kattupakkum"/>
        <s v="ThunderPlus EV Charge Hub, Tata Popular Mega Motors, Ernakulam"/>
        <s v="ThunderPlus EV Charge Hub, Tata VST Motors, Poonamallee"/>
        <s v="EV Charge Hub, Sree Karpagamoorthy Automobiles, Karaikudi"/>
        <s v="_x000a_EV Charge Hub, Chavan Motors, Pandharpur"/>
        <s v="ThunderPlus EV Charge Hub, Tata Excel Vehicle ,Chakan Pune"/>
        <s v="ETO, Airport south metro station, Nagpur"/>
        <s v="ETO, Flipkart - Wadi, Nagpur"/>
        <s v="ThunderPlus EV Charge Hub, Tata Mourya Motors, Patna"/>
        <s v="ThunderPlus EV Charge Hub, Tata Jodhpur Trucks, Jodhpur"/>
        <s v="ThunderPlus EV Charge Hub, Tata Chetan Motors,Kolhapur"/>
        <s v="ThunderPlus EV Charge Hub, Tata Bajrang Auto, Nogaon"/>
        <s v="ThunderPlus EV Charge Hub, Tata Veerprabhu Auto,Gotanagar"/>
        <s v="ThunderPlus EV Charge Hub, Tata Trupti Automobiles, Angul"/>
        <s v="EV Charge Hub, Allied Engineering Developers, Dibrugarh"/>
        <s v="ThunderPlus EV Charge Hub,Tata GNB Motors, Kolkata"/>
        <s v="ThunderPlus EV Charge Hub,Tata Bhandari Automobile Pvt Ltd, Alampur"/>
        <s v="ThunderPlus EV Charge Hub, Tata Kamal Motors ,Vasai"/>
        <s v="ThunderPlus EV Charge Hub, Tata PD industry, Boisar"/>
        <s v="ThunderPlus EV Charge Hub,Tata Tejpal Motors, Vapi"/>
        <s v="ThunderPlus EV Charge Hub,Tata Frontier Trucks, Jabalpur"/>
        <s v="ThunderPlus EV Charge Hub, Tata Kaps Motors,Kasargod"/>
        <s v="ThunderPlus EV Charge Hub, Tata Jaika Automobiles, Raipur"/>
        <s v="ETO, Kevadia"/>
        <s v=" EV Charge Hub, Ramiz Indane Gramin Vitrak, Dhanbad"/>
        <s v="ThunderPlus EV Charge Hub, Tata Trupti Automobiles, Panikoli"/>
        <s v="ETO, Electronic City, Noida"/>
        <s v="ThunderPlus EV Charge Hub, Mahagun Sarovar Portico Suits, Ghaziabad"/>
        <s v="ETO, Ayodhya, UP"/>
        <s v="ThunderPlus EV Charge Hub, BPCL Saket station, Ayodhya"/>
        <s v="ThunderPlus EV Charge Hub, BPCL SD Yadav station, Ayodhya"/>
        <s v="ThunderPlus EV Charge Hub, BPCL 24X7 station, Ayodhya"/>
        <s v="ThunderPlus EV Park &amp; Charge Hub, Prayagraj, UP"/>
        <s v="ThunderPlus EV Charge Hub, Prayagraj, UP"/>
        <s v="ETO, Shahdara, Delhi"/>
        <s v="ETO, Cargo - Dwarka, Delhi"/>
        <s v="ETO, Usmanpur, Delhi"/>
        <s v="ETO, Azadpur Metro Station, Delhi"/>
        <s v="ThunderPlus EV Park &amp; Charge Hub, Kalkaji metro station, Delhi"/>
        <s v="ETO, Kalkaji Metro Station, Delhi "/>
        <s v="ThunderPlus EV Charge Hub, Kalkaji metro station, Delhi"/>
        <s v="ThunderPlus EV Charge Hub, Hindustan Times Appartment, Mayur Vihar, Delhi"/>
        <s v="ThunderPlus EV Charge Hub, UNA Co-operative residence society, Mayur vihar, Delhi"/>
        <s v=" ThunderPlus EV Charge Hub, Press Enclave Society, New Delhi"/>
        <s v="EV Charge Hub, Trade and Tax Department, Delhi"/>
        <s v="EV Charge Hub, Transport Department, Delhi"/>
        <s v="ThunderPlus EV Park &amp; Charge Hub, Dwaraka sector - 14, Delhi"/>
        <s v="ThunderPlus EV Charge Hub, Dwarka sector - 14, Delhi"/>
        <s v="ETO, Qutub Vihar, Delhi"/>
        <s v="ThunderPlus EV Park &amp; Charge Hub, Jamia Millia Islamia Metro Station, Delhi"/>
        <s v="ThunderPlus EV Charge Hub, Jamia Millia Islamia Metro Station, Delhi"/>
        <s v="ThunderPlus EV Charge Hub, Radhika Appartment,Delhi"/>
        <s v="EV Charge Hub, BYPL MCD Parking,Gazipur Gaushala"/>
        <s v="EV Charge Hub, BYPL MCD Parking, Near Supreme Enclave"/>
        <s v="EV Charge Hub, BYPL MCD Parking, V3S Mall"/>
        <s v="EV Charge Hub, BYPL MCD Parking, Milan Vihar Appartment"/>
        <s v="EV Charge Hub, BYPL MCD Parking, Mandoli extn"/>
        <s v="EV Charge Hub, BYPL MCD Parking, Kalkaji Mandir"/>
        <s v="EV Charge Hub, BYPL MCD Parking, Mangolpuri"/>
        <s v="EV Charge Hub, IIITD, Delhi"/>
        <s v="ThunderPlus EV Park &amp; Charge Hub, Uttam Nagar,Delhi"/>
        <s v="ThunderPlus EV Charge Hub, Uttam Nagar,Delhi"/>
        <s v="EV Charge Hub, BRPL Office, Chittaranjan Park, Delhi"/>
        <s v="EV Charge Hub, PGDAV College, Nehru Nagar, Delhi"/>
        <s v="EV Charge Hub, BRPL Office Okhla Phase 2,Delhi"/>
        <s v="EV Charge Hub, Sachivalay,Delhi"/>
        <s v="EV Charge Hub, BSES Yumana power LTD,Delhi"/>
        <s v="EV Charge Hub, BSES SCADA Control Center, Delhi"/>
        <s v="ThunderPlus EV Park &amp; Charge Hub, Palam,Delhi"/>
        <s v="ThunderPlus EV Charge Hub, Palam, Delhi"/>
        <s v="ETO, Rohini, Delhi"/>
        <s v="ThunderPlus EV Charge Hub, Jhandewalan, Delhi"/>
        <s v="ThunderPlus EV Charge Hub, Arjangarh Metro, Delhi"/>
        <s v="ThunderPlus EV Charge Hub, Kalra Hospital, Delhi"/>
        <s v="ThunderPlus EV Charge Hub, Mohan Dev building, Delhi"/>
        <s v="ThunderPlus EV Charge Hub, Vasant kunj, Delhi"/>
        <s v="ThunderPlus EV Charge Hub, Okhla NSIC Metro, Delhi"/>
        <s v="ThunderPlus EV Charge Hub, Shyam Lal College, Delhi"/>
        <s v="ThunderPlus EV Charge Hub, Abdul Salam Masjid, Delhi"/>
        <s v="ThunderPlus EV Charge Hub, Jeevan bharti building, Delhi"/>
        <s v="ThunderPlus EV Charge Hub, Andheria Mod, Delhi"/>
        <s v="ThunderPlus EV Charge Hub, Charjkaro, Panchsheel Park, Delhi"/>
        <s v="ThunderPlus EV Charge Hub, Charjkaro, Qutub Minar, Delhi"/>
        <s v="ThunderPlus EV Charge Hub, Charjkaro, Seelampur, Delhi"/>
        <s v="ThunderPlus EV Charge Hub, Charjkaro, Near IT Park, Dehradun"/>
        <s v="ThunderPlus EV Charge Hub, Charjkaro, Sector-20-C, Chandigarh"/>
        <s v="ThunderPlus EV Charge Hub, Charjkaro, Piccadilly Maltiplex-2, Chandigarh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hunderPlus EV Charge Hub, Flipkart - Danapur, Patna"/>
        <s v="ThunderPlus EV Charge Hub, Flipkart - Kumrar, Patna"/>
        <s v="ThunderPlus EV Charge Hub, HMRL-Secunderabad, Hyderabad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4">
        <s v="Public Charging"/>
        <s v="Parking and Charging"/>
        <s v="Charging Service"/>
        <s v="Sales"/>
      </sharedItems>
    </cacheField>
    <cacheField name="01-04-2025" numFmtId="2">
      <sharedItems containsString="0" containsBlank="1" containsNumber="1" minValue="0" maxValue="588.21100000000013"/>
    </cacheField>
    <cacheField name="02-04-2025" numFmtId="2">
      <sharedItems containsString="0" containsBlank="1" containsNumber="1" minValue="0" maxValue="536.23199999999986"/>
    </cacheField>
    <cacheField name="03-04-2025" numFmtId="2">
      <sharedItems containsString="0" containsBlank="1" containsNumber="1" minValue="0" maxValue="506.87000000000012"/>
    </cacheField>
    <cacheField name="04-04-2025" numFmtId="2">
      <sharedItems containsString="0" containsBlank="1" containsNumber="1" minValue="0" maxValue="546.18799999999999"/>
    </cacheField>
    <cacheField name="05-04-2025" numFmtId="2">
      <sharedItems containsString="0" containsBlank="1" containsNumber="1" minValue="0" maxValue="527.5680000000001"/>
    </cacheField>
    <cacheField name="06-04-2025" numFmtId="2">
      <sharedItems containsString="0" containsBlank="1" containsNumber="1" minValue="0" maxValue="514.01200000000006"/>
    </cacheField>
    <cacheField name="07-04-2025" numFmtId="2">
      <sharedItems containsString="0" containsBlank="1" containsNumber="1" minValue="0" maxValue="626.87499999999989"/>
    </cacheField>
    <cacheField name="08-04-2025" numFmtId="2">
      <sharedItems containsString="0" containsBlank="1" containsNumber="1" minValue="0" maxValue="596.87800000000016"/>
    </cacheField>
    <cacheField name="09-04-2025" numFmtId="2">
      <sharedItems containsString="0" containsBlank="1" containsNumber="1" minValue="0" maxValue="578.58199999999977"/>
    </cacheField>
    <cacheField name="10-04-2025" numFmtId="2">
      <sharedItems containsString="0" containsBlank="1" containsNumber="1" minValue="0" maxValue="664.21699999999987"/>
    </cacheField>
    <cacheField name="11-04-2025" numFmtId="2">
      <sharedItems containsString="0" containsBlank="1" containsNumber="1" minValue="0" maxValue="606.70299999999997"/>
    </cacheField>
    <cacheField name="12-04-2025" numFmtId="2">
      <sharedItems containsString="0" containsBlank="1" containsNumber="1" minValue="0" maxValue="556.18500000000006"/>
    </cacheField>
    <cacheField name="13-04-2025" numFmtId="2">
      <sharedItems containsString="0" containsBlank="1" containsNumber="1" minValue="0" maxValue="583.971"/>
    </cacheField>
    <cacheField name="14-04-2025" numFmtId="2">
      <sharedItems containsString="0" containsBlank="1" containsNumber="1" minValue="0" maxValue="532.08600000000001"/>
    </cacheField>
    <cacheField name="15-04-2025" numFmtId="2">
      <sharedItems containsString="0" containsBlank="1" containsNumber="1" minValue="0" maxValue="648.27"/>
    </cacheField>
    <cacheField name="16-04-2025" numFmtId="2">
      <sharedItems containsString="0" containsBlank="1" containsNumber="1" minValue="0" maxValue="606.66999999999985"/>
    </cacheField>
    <cacheField name="17-04-2025" numFmtId="2">
      <sharedItems containsString="0" containsBlank="1" containsNumber="1" minValue="0" maxValue="566.59"/>
    </cacheField>
    <cacheField name="18-04-2025" numFmtId="2">
      <sharedItems containsString="0" containsBlank="1" containsNumber="1" minValue="0" maxValue="441.54399999999987"/>
    </cacheField>
    <cacheField name="19-04-2025" numFmtId="2">
      <sharedItems containsString="0" containsBlank="1" containsNumber="1" minValue="0" maxValue="524.74299999999994"/>
    </cacheField>
    <cacheField name="20-04-2025" numFmtId="2">
      <sharedItems containsString="0" containsBlank="1" containsNumber="1" minValue="0" maxValue="906.07400000000007"/>
    </cacheField>
    <cacheField name="21-04-2025" numFmtId="2">
      <sharedItems containsString="0" containsBlank="1" containsNumber="1" minValue="0" maxValue="779.9"/>
    </cacheField>
    <cacheField name="22-04-2025" numFmtId="2">
      <sharedItems containsString="0" containsBlank="1" containsNumber="1" minValue="0" maxValue="617.95699999999988"/>
    </cacheField>
    <cacheField name="23-04-2025" numFmtId="2">
      <sharedItems containsString="0" containsBlank="1" containsNumber="1" minValue="0" maxValue="561.84999999999991"/>
    </cacheField>
    <cacheField name="24-04-2025" numFmtId="2">
      <sharedItems containsString="0" containsBlank="1" containsNumber="1" minValue="0" maxValue="605.97299999999996"/>
    </cacheField>
    <cacheField name="25-04-2025" numFmtId="2">
      <sharedItems containsString="0" containsBlank="1" containsNumber="1" minValue="0" maxValue="650.87400000000002"/>
    </cacheField>
    <cacheField name="26-04-2025" numFmtId="2">
      <sharedItems containsString="0" containsBlank="1" containsNumber="1" minValue="0" maxValue="684.40000000000009"/>
    </cacheField>
    <cacheField name="27-04-2025" numFmtId="2">
      <sharedItems containsString="0" containsBlank="1" containsNumber="1" minValue="0" maxValue="578.851"/>
    </cacheField>
    <cacheField name="28-04-2025" numFmtId="2">
      <sharedItems containsString="0" containsBlank="1" containsNumber="1" minValue="0" maxValue="515.04999999999995"/>
    </cacheField>
    <cacheField name="29-04-2025" numFmtId="2">
      <sharedItems containsString="0" containsBlank="1" containsNumber="1" minValue="0" maxValue="733.99999999999977"/>
    </cacheField>
    <cacheField name="30-04-2025" numFmtId="2">
      <sharedItems containsSemiMixedTypes="0" containsString="0" containsNumber="1" minValue="0" maxValue="638.66"/>
    </cacheField>
    <cacheField name="Average" numFmtId="2">
      <sharedItems containsSemiMixedTypes="0" containsString="0" containsNumber="1" minValue="0" maxValue="540.54403333333335"/>
    </cacheField>
    <cacheField name="Avg consumption/Charger" numFmtId="2">
      <sharedItems containsSemiMixedTypes="0" containsString="0" containsNumber="1" minValue="0" maxValue="384.586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460069446" createdVersion="5" refreshedVersion="8" minRefreshableVersion="3" recordCount="183" xr:uid="{00000000-000A-0000-FFFF-FFFF24000000}">
  <cacheSource type="worksheet">
    <worksheetSource ref="A1:AQ184" sheet="March 25"/>
  </cacheSource>
  <cacheFields count="43">
    <cacheField name="Sl. No." numFmtId="0">
      <sharedItems containsSemiMixedTypes="0" containsString="0" containsNumber="1" containsInteger="1" minValue="1" maxValue="181"/>
    </cacheField>
    <cacheField name="City" numFmtId="0">
      <sharedItems count="44">
        <s v="Hyderabad"/>
        <s v="Warangal"/>
        <s v="Suryapet"/>
        <s v="Turkaplly"/>
        <s v="Kerala"/>
        <s v="Vijayawada"/>
        <s v="Vishakapatnam"/>
        <s v="Guntur"/>
        <s v="Bangalore"/>
        <s v="Rajahmundry"/>
        <s v="Coimbatore"/>
        <s v="Chennai"/>
        <s v="Thiruvarur"/>
        <s v="Kattupakkum"/>
        <s v="Ernakulam"/>
        <s v="Poonamallee"/>
        <s v="Karaikudi"/>
        <s v="Pandharpur"/>
        <s v="Chakan Pune"/>
        <s v="Nagpur"/>
        <s v=" Patna"/>
        <s v=" Jodhpur"/>
        <s v="Kolhapur"/>
        <s v="Nogaon"/>
        <s v="Gotanagar"/>
        <s v="Angul"/>
        <s v="Allied"/>
        <s v="Kolkata"/>
        <s v="Alampur"/>
        <s v="Vasai"/>
        <s v="Boisar"/>
        <s v="Vapi"/>
        <s v=" Jabalpur"/>
        <s v="Kasargod"/>
        <s v="Raipur"/>
        <s v="Kevadiya"/>
        <s v="Dhanbad"/>
        <s v="Panikoli"/>
        <s v="Noida"/>
        <s v="Ghaziabad"/>
        <s v="Ayodhya"/>
        <s v="Prayagraj"/>
        <s v="Delhi"/>
        <s v="Patna"/>
      </sharedItems>
    </cacheField>
    <cacheField name="Station code" numFmtId="0">
      <sharedItems containsBlank="1"/>
    </cacheField>
    <cacheField name="Station Name" numFmtId="0">
      <sharedItems count="161">
        <s v="ThunderPlus EV Charge Hub, Amazon - Aramghar, Hyderabad"/>
        <s v="ThunderPlus EV Charge Hub, Amazon - Gachibouli, Hyderabad"/>
        <s v="ThunderPlus EV Charge Hub, Amazon - Moula Ali, Hyderabad"/>
        <s v="ThunderPlus EV Park &amp; Charge Hub, Miyapur, Hyderabad"/>
        <s v=" ThunderPlus EV Charge Hub, Miyapur, Hyderabad"/>
        <s v="ThunderPlus EV Park &amp; Charge Hub, Bollaram, Hyderabad"/>
        <s v="ETO, GHMC - Moghalpura, Hyderabad"/>
        <s v="EV Charge Hub, Dhuni Polymers, Kottur, Hyderabad"/>
        <s v=" ThunderPlus EV Charge Hub, Umdanagar, Hyderabad"/>
        <s v="ThunderPlus EV Charge Hub, Umdanagar, Hyderabad"/>
        <s v="ThunderPlus EV Park &amp; Charge Hub Moula Ali, Hyderabad"/>
        <s v=" ThunderPlus EV Charge Hub, Moula Ali, Hyderabad"/>
        <s v="ThunderPlus EV Hub Sitaphalmandi, Hyderabad"/>
        <s v="ThunderPlus EV Park &amp; Charge Hub, Aramghar, Hyderabad"/>
        <s v=" ThunderPlus EV Charge Hub, Aramghar, Hyderabad"/>
        <s v="ThunderPlus EV Park &amp; Charge Hub, Hi-tec city, Hyderabad"/>
        <s v="ThunderPlus EV Charge Hub, Hi-tec city, Hyderabad"/>
        <s v=" ThunderPlus EV Charge Hub, Hi-tec city, Hyderabad"/>
        <s v="ThunderPlus EV Park &amp; Charge Hub, Mettuguda, Hyderabad"/>
        <s v="ThunderPlus EV Charge Hub, Mettuguda, Hyderabad"/>
        <s v=" ThunderPlus EV Charge Hub, Mettuguda, Hyderabad"/>
        <s v="ThunderPlus EV Park &amp; Charge Hub, Yapral , Hyderabad"/>
        <s v="ThunderPlus EV Charge Hub, Yapral , Hyderabad"/>
        <s v="ThunderPlus EV Park &amp; Charge Hub, Attapur , Hyderabad"/>
        <s v="ETO, Bluedart Madhapur, Hyderabad"/>
        <s v="ThunderPlus EV Park &amp; Charge Hub, Nacharam, Hyderabad"/>
        <s v="ThunderPlus EV Charge Hub, Nacharam, Hyderabad"/>
        <s v="EV Charge Hub, Niharika Landmark, Hyderabad"/>
        <s v="ThunderPlus EV Park &amp; Charge Hub, Uppal, Hyderabad"/>
        <s v="ThunderPlus EV Park &amp; Charge Hub, Rasoolpura, Hyderabad"/>
        <s v=" EV Charge Hub, Hallmark Tranquil Apartment, Manikonda, Hyderabad"/>
        <s v="ThunderPlus EV Park &amp; Charge Hub, Gajularamaram, Hyderabad"/>
        <s v="ETO, Bachupally, Hyderabad"/>
        <s v="EV Charge Hub, Sri Dattatreya Hostel, Hyderabad"/>
        <s v="ETO, Mowo-Kukatpally , Hyderabad"/>
        <s v="ETO, GMR Mahalakshmi Foundation,Shamshabad, Hyderabad"/>
        <s v=" ThunderPlus EV Charge Hub, Lavish Electric Wheel Club, Shaikpet , Hyderabad"/>
        <s v="EV Charge Hub, My Home Mangala, Hyderabad"/>
        <s v="EV Charge Hub, Niharika Sky Line, Hyderabad"/>
        <s v="ThunderPlus EV Charge Hub, Post Offlice-Sainikpuri, Hyderabad"/>
        <s v="EV Charge Hub, Zevo-Chinthal , Hyderabad"/>
        <s v="EV Charge Hub, Tejaswi Green Energy Pvt Ltd, Hyderabad"/>
        <s v="ThunderPlus EV Charge Hub, Tata Geeta Auto Commercials,Warangal"/>
        <s v="ETO, Bluedart Balanagar, Hyderabad"/>
        <s v="ThunderPlus EV Park &amp; Charge Hub, Gundla Pochampally, Hyderabad"/>
        <s v="ETO, Bluedart Tellapur, Hyderabad"/>
        <s v="Deccan College of Engg. - Nampally"/>
        <s v="ThunderPlus EV Park &amp; Charge Hub, Kukatpally, Hyderabad"/>
        <s v="ThunderPlus EV Park &amp; Charge Hub, Saroornagar, Hyderabad"/>
        <s v="EV Charge Hub, NMDC Office, Hyderabad"/>
        <s v="EV Charge Hub, Alekya Earth Song, Hyderabad"/>
        <s v="EV Charge Hub, Myscape Sanctuary, Hyderabad"/>
        <s v="EV Charge Hub, Preston Prime Association, Hyderabad"/>
        <s v="ThunderPlus EV Charge Hub, Suryapet"/>
        <s v="ThunderPlus EV Charge Hub, HMRL-Secunderabad, Hyderabad"/>
        <s v="EV Charge Hub, Sai Life Sciences, Turkaplly"/>
        <s v="ThunderPlus EV Charge Hub, Tata Kaps Motors,Malappuram"/>
        <s v="ETO Drivers home"/>
        <s v="HMRL - Habsiguda"/>
        <s v="ThunderPlus EV Charge Hub, Vijayawada"/>
        <s v="ETO, Autonagar - Vijayawada"/>
        <s v="ETO, Flipkart - Vijayawada"/>
        <s v="ETO, Gati - Visakhapatnam"/>
        <s v="ThunderPlus EV Park &amp; Charge Hub, Auto Nagar - Visakhapatnam"/>
        <s v="ThunderPlus EV Park &amp; Charge Hub, Guntur"/>
        <s v="EV Charge Hub, Sai Life Sciences, Bidar"/>
        <s v="ThunderPlus EV Park &amp; Charge Hub, Rajahmundry"/>
        <s v="ETO, Flipkart - Halasuru, Banglore"/>
        <s v="ETO, Flipkart - Yeshwanthpur, Banglore"/>
        <s v="ThunderPlus EV Park &amp; Charge Hub, Peenya, Bangalore"/>
        <s v="ThunderPlus EV Park &amp; Charge Hub, RR Nagar,Bangalore"/>
        <s v="ThunderPlus EV Park &amp; Charge Hub, Kannur , Bangalore"/>
        <s v="ThunderPlus EV Park &amp; Charge Hub, ITPL ,Bangalore"/>
        <s v="ThunderPlus EV Park &amp; Charge Hub, Andrahalli ,Bangalore"/>
        <s v="ThunderPlus EV Park &amp; Charge Hub, Bannerghatta Road,Bangalore"/>
        <s v="EV Charge Hub, Choudhary Garments, Bagepalli"/>
        <s v="EV Charge Hub, TUV SUD Bangalore Campus, Singahalli"/>
        <s v="EV Charge Hub, Swiss Cafe, Coimbatore"/>
        <s v="ThunderPlus EV Charge Hub, Flipkart - Patalam, Chennai"/>
        <s v="ThunderPlus EV Charge Hub, Tata Vee Vee Motors, Thiruvarur"/>
        <s v="ThunderPlus EV Charge Hub, Tata Popular Mega Motors, Kattupakkum"/>
        <s v="ThunderPlus EV Charge Hub, Tata Popular Mega Motors, Ernakulam"/>
        <s v="ThunderPlus EV Charge Hub, Tata VST Motors, Poonamallee"/>
        <s v="EV Charge Hub, Sree Karpagamoorthy Automobiles, Karaikudi"/>
        <s v="_x000a_EV Charge Hub, Chavan Motors, Pandharpur"/>
        <s v="ThunderPlus EV Charge Hub, Tata Excel Vehicle ,Chakan Pune"/>
        <s v="ETO, Airport south metro station, Nagpur"/>
        <s v="ETO, Flipkart - Wadi, Nagpur"/>
        <s v="ThunderPlus EV Charge Hub, Tata Mourya Motors, Patna"/>
        <s v="ThunderPlus EV Charge Hub, Tata Jodhpur Trucks, Jodhpur"/>
        <s v="ThunderPlus EV Charge Hub, Tata Chetan Motors,Kolhapur"/>
        <s v="ThunderPlus EV Charge Hub, Tata Bajrang Auto, Nogaon"/>
        <s v="ThunderPlus EV Charge Hub, Tata Veerprabhu Auto,Gotanagar"/>
        <s v="ThunderPlus EV Charge Hub, Tata Trupti Automobiles, Angul"/>
        <s v="EV Charge Hub, Allied Engineering Developers, Dibrugarh"/>
        <s v="ThunderPlus EV Charge Hub,Tata GNB Motors, Kolkata"/>
        <s v="ThunderPlus EV Charge Hub,Tata Bhandari Automobile Pvt Ltd, Alampur"/>
        <s v="ThunderPlus EV Charge Hub, Tata Kamal Motors ,Vasai"/>
        <s v="ThunderPlus EV Charge Hub, Tata PD industry, Boisar"/>
        <s v="ThunderPlus EV Charge Hub,Tata Tejpal Motors, Vapi"/>
        <s v="ThunderPlus EV Charge Hub,Tata Frontier Trucks, Jabalpur"/>
        <s v="ThunderPlus EV Charge Hub, Tata Kaps Motors,Kasargod"/>
        <s v="ThunderPlus EV Charge Hub, Tata Jaika Automobiles, Raipur"/>
        <s v="ETO, Kevadia"/>
        <s v=" EV Charge Hub, Ramiz Indane Gramin Vitrak, Dhanbad"/>
        <s v="ThunderPlus EV Charge Hub, Tata Trupti Automobiles, Panikoli"/>
        <s v="ETO, Electronic City, Noida"/>
        <s v="ThunderPlus EV Charge Hub, Mahagun Sarovar Portico Suits, Ghaziabad"/>
        <s v="ETO, Ayodhya, UP"/>
        <s v="ThunderPlus EV Charge Hub, BPCL Saket station, Ayodhya"/>
        <s v="ThunderPlus EV Charge Hub, BPCL SD Yadav station, Ayodhya"/>
        <s v="ThunderPlus EV Charge Hub, BPCL 24X7 station, Ayodhya"/>
        <s v="ThunderPlus EV Park &amp; Charge Hub, Prayagraj, UP"/>
        <s v="ThunderPlus EV Charge Hub, Prayagraj, UP"/>
        <s v="ETO, Shahdara, Delhi"/>
        <s v="ETO, Cargo - Dwarka, Delhi"/>
        <s v="ETO, Usmanpur, Delhi"/>
        <s v="ETO, Azadpur Metro Station, Delhi"/>
        <s v="ThunderPlus EV Park &amp; Charge Hub, Kalkaji metro station, Delhi"/>
        <s v="ETO, Kalkaji Metro Station, Delhi "/>
        <s v="ThunderPlus EV Charge Hub, Kalkaji metro station, Delhi"/>
        <s v="ThunderPlus EV Charge Hub, Hindustan Times Appartment, Mayur Vihar, Delhi"/>
        <s v="ThunderPlus EV Charge Hub, UNA Co-operative residence society, Mayur vihar, Delhi"/>
        <s v=" ThunderPlus EV Charge Hub, Press Enclave Society, New Delhi"/>
        <s v="EV Charge Hub, Trade and Tax Department, Delhi"/>
        <s v="EV Charge Hub, Transport Department, Delhi"/>
        <s v="ThunderPlus EV Park &amp; Charge Hub, Dwaraka sector - 14, Delhi"/>
        <s v="ThunderPlus EV Charge Hub, Dwarka sector - 14, Delhi"/>
        <s v="ETO, Qutub Vihar, Delhi"/>
        <s v="ThunderPlus EV Park &amp; Charge Hub, Jamia Millia Islamia Metro Station, Delhi"/>
        <s v="ThunderPlus EV Charge Hub, Jamia Millia Islamia Metro Station, Delhi"/>
        <s v="ThunderPlus EV Charge Hub, Radhika Appartment,Delhi"/>
        <s v="EV Charge Hub, BYPL MCD Parking,Gazipur Gaushala"/>
        <s v="EV Charge Hub, BYPL MCD Parking, Near Supreme Enclave"/>
        <s v="EV Charge Hub, BYPL MCD Parking, V3S Mall"/>
        <s v="EV Charge Hub, BYPL MCD Parking, Milan Vihar Appartment"/>
        <s v="EV Charge Hub, BYPL MCD Parking, Mandoli extn"/>
        <s v="EV Charge Hub, BYPL MCD Parking, Kalkaji Mandir"/>
        <s v="EV Charge Hub, BYPL MCD Parking, Mangolpuri"/>
        <s v="EV Charge Hub, IIITD, Delhi"/>
        <s v="ThunderPlus EV Park &amp; Charge Hub, Uttam Nagar,Delhi"/>
        <s v="ThunderPlus EV Charge Hub, Uttam Nagar,Delhi"/>
        <s v="EV Charge Hub, BRPL Office, Chittaranjan Park, Delhi"/>
        <s v="EV Charge Hub, PGDAV College, Nehru Nagar, Delhi"/>
        <s v="EV Charge Hub, BRPL Office Okhla Phase 2,Delhi"/>
        <s v="EV Charge Hub, Sachivalay,Delhi"/>
        <s v="EV Charge Hub, BSES Yumana power LTD,Delhi"/>
        <s v="EV Charge Hub, BSES SCADA Control Center, Delhi"/>
        <s v="ThunderPlus EV Park &amp; Charge Hub, Palam,Delhi"/>
        <s v="ThunderPlus EV Charge Hub, Palam, Delhi"/>
        <s v="ETO, Rohini, 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hunderPlus EV Charge Hub, Flipkart - Danapur, Patna"/>
        <s v="ThunderPlus EV Charge Hub, Flipkart - Kumrar, Patna"/>
        <s v=" ThunderPlus EV Hub Sitaphalmandi, Hyderabad" u="1"/>
        <s v="ETO, Kachiguda, Hyderabad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4">
        <s v="Public Charging"/>
        <s v="Parking and Charging"/>
        <s v="Charging Service"/>
        <s v="Sales"/>
      </sharedItems>
    </cacheField>
    <cacheField name="01-03-2025" numFmtId="2">
      <sharedItems containsString="0" containsBlank="1" containsNumber="1" minValue="0" maxValue="648.7800000000002"/>
    </cacheField>
    <cacheField name="02-03-2025" numFmtId="2">
      <sharedItems containsString="0" containsBlank="1" containsNumber="1" minValue="0" maxValue="732.85599999999988"/>
    </cacheField>
    <cacheField name="03-03-2025" numFmtId="2">
      <sharedItems containsString="0" containsBlank="1" containsNumber="1" minValue="0" maxValue="670.505"/>
    </cacheField>
    <cacheField name="04-03-2025" numFmtId="2">
      <sharedItems containsString="0" containsBlank="1" containsNumber="1" minValue="0" maxValue="684.43799999999987"/>
    </cacheField>
    <cacheField name="05-03-2025" numFmtId="2">
      <sharedItems containsString="0" containsBlank="1" containsNumber="1" minValue="0" maxValue="715.56299999999965"/>
    </cacheField>
    <cacheField name="06-03-2025" numFmtId="2">
      <sharedItems containsString="0" containsBlank="1" containsNumber="1" minValue="0" maxValue="603.59199999999987"/>
    </cacheField>
    <cacheField name="07-03-2025" numFmtId="2">
      <sharedItems containsString="0" containsBlank="1" containsNumber="1" minValue="0" maxValue="588.7600000000001"/>
    </cacheField>
    <cacheField name="08-03-2025" numFmtId="2">
      <sharedItems containsString="0" containsBlank="1" containsNumber="1" minValue="0" maxValue="832.27900000000022"/>
    </cacheField>
    <cacheField name="09-03-2025" numFmtId="2">
      <sharedItems containsString="0" containsBlank="1" containsNumber="1" minValue="0" maxValue="660.85"/>
    </cacheField>
    <cacheField name="10-03-2025" numFmtId="2">
      <sharedItems containsString="0" containsBlank="1" containsNumber="1" minValue="0" maxValue="695.75299999999982"/>
    </cacheField>
    <cacheField name="11-03-2025" numFmtId="2">
      <sharedItems containsString="0" containsBlank="1" containsNumber="1" minValue="0" maxValue="666.06700000000035"/>
    </cacheField>
    <cacheField name="12-03-2025" numFmtId="2">
      <sharedItems containsString="0" containsBlank="1" containsNumber="1" minValue="0" maxValue="660.58499999999981"/>
    </cacheField>
    <cacheField name="13-03-2025" numFmtId="2">
      <sharedItems containsString="0" containsBlank="1" containsNumber="1" minValue="0" maxValue="622.27199999999993"/>
    </cacheField>
    <cacheField name="14-03-2025" numFmtId="2">
      <sharedItems containsString="0" containsBlank="1" containsNumber="1" minValue="0" maxValue="656.22400000000005"/>
    </cacheField>
    <cacheField name="15-03-2025" numFmtId="2">
      <sharedItems containsString="0" containsBlank="1" containsNumber="1" minValue="0" maxValue="722.93800000000022"/>
    </cacheField>
    <cacheField name="16-03-2025" numFmtId="2">
      <sharedItems containsString="0" containsBlank="1" containsNumber="1" minValue="0" maxValue="629.44999999999982"/>
    </cacheField>
    <cacheField name="17-03-2025" numFmtId="2">
      <sharedItems containsString="0" containsBlank="1" containsNumber="1" minValue="0" maxValue="561.25200000000018"/>
    </cacheField>
    <cacheField name="18-03-2025" numFmtId="2">
      <sharedItems containsString="0" containsBlank="1" containsNumber="1" minValue="0" maxValue="590.69699999999989"/>
    </cacheField>
    <cacheField name="19-03-2025" numFmtId="2">
      <sharedItems containsString="0" containsBlank="1" containsNumber="1" minValue="0" maxValue="681.38900000000024"/>
    </cacheField>
    <cacheField name="20-03-2025" numFmtId="2">
      <sharedItems containsString="0" containsBlank="1" containsNumber="1" minValue="0" maxValue="614.08500000000004"/>
    </cacheField>
    <cacheField name="21-03-2025" numFmtId="2">
      <sharedItems containsString="0" containsBlank="1" containsNumber="1" minValue="0" maxValue="638.55399999999997"/>
    </cacheField>
    <cacheField name="22-03-2025" numFmtId="2">
      <sharedItems containsString="0" containsBlank="1" containsNumber="1" minValue="0" maxValue="620.42599999999982"/>
    </cacheField>
    <cacheField name="23-03-2025" numFmtId="2">
      <sharedItems containsString="0" containsBlank="1" containsNumber="1" minValue="0" maxValue="588.86599999999999"/>
    </cacheField>
    <cacheField name="24-03-2025" numFmtId="2">
      <sharedItems containsString="0" containsBlank="1" containsNumber="1" minValue="0" maxValue="524.67000000000019"/>
    </cacheField>
    <cacheField name="25-03-2025" numFmtId="2">
      <sharedItems containsString="0" containsBlank="1" containsNumber="1" minValue="0" maxValue="711.0010000000002"/>
    </cacheField>
    <cacheField name="26-03-2025" numFmtId="2">
      <sharedItems containsString="0" containsBlank="1" containsNumber="1" minValue="0" maxValue="644.84199999999987"/>
    </cacheField>
    <cacheField name="27-03-2025" numFmtId="2">
      <sharedItems containsString="0" containsBlank="1" containsNumber="1" minValue="0" maxValue="754.11899999999969"/>
    </cacheField>
    <cacheField name="28-03-2025" numFmtId="2">
      <sharedItems containsSemiMixedTypes="0" containsString="0" containsNumber="1" minValue="0" maxValue="649.08500000000015"/>
    </cacheField>
    <cacheField name="29-03-2025" numFmtId="2">
      <sharedItems containsSemiMixedTypes="0" containsString="0" containsNumber="1" minValue="0" maxValue="681.827"/>
    </cacheField>
    <cacheField name="30-03-2025" numFmtId="2">
      <sharedItems containsSemiMixedTypes="0" containsString="0" containsNumber="1" minValue="0" maxValue="600.98599999999999"/>
    </cacheField>
    <cacheField name="31-03-2025" numFmtId="2">
      <sharedItems containsSemiMixedTypes="0" containsString="0" containsNumber="1" minValue="0" maxValue="418.87499999999989"/>
    </cacheField>
    <cacheField name="Average" numFmtId="2">
      <sharedItems containsSemiMixedTypes="0" containsString="0" containsNumber="1" minValue="0" maxValue="615.96345161290333"/>
    </cacheField>
    <cacheField name="Avg consumption/Charger" numFmtId="2">
      <sharedItems containsSemiMixedTypes="0" containsString="0" containsNumber="1" minValue="0" maxValue="379.53580645161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461226854" createdVersion="5" refreshedVersion="8" minRefreshableVersion="3" recordCount="168" xr:uid="{00000000-000A-0000-FFFF-FFFF23000000}">
  <cacheSource type="worksheet">
    <worksheetSource ref="A1:AN169" sheet="Feb 25 "/>
  </cacheSource>
  <cacheFields count="40">
    <cacheField name="Sl. No." numFmtId="0">
      <sharedItems containsSemiMixedTypes="0" containsString="0" containsNumber="1" containsInteger="1" minValue="1" maxValue="166"/>
    </cacheField>
    <cacheField name="City" numFmtId="0">
      <sharedItems count="39">
        <s v="Hyderabad"/>
        <s v="Warangal"/>
        <s v="Kerala"/>
        <s v="Vijayawada"/>
        <s v="Vishakapatnam"/>
        <s v="Guntur"/>
        <s v="Rajahmundry"/>
        <s v="Bangalore"/>
        <s v="Coimbatore"/>
        <s v="Chennai"/>
        <s v="Thiruvarur"/>
        <s v="Kattupakkum"/>
        <s v="Ernakulam"/>
        <s v="Poonamallee"/>
        <s v="Chakan Pune"/>
        <s v="Nagpur"/>
        <s v=" Patna"/>
        <s v=" Jodhpur"/>
        <s v="Kolhapur"/>
        <s v="Nogaon"/>
        <s v="Gotanagar"/>
        <s v="Allied"/>
        <s v="Kolkata"/>
        <s v="Alampur"/>
        <s v="Vasai"/>
        <s v="Boisar"/>
        <s v="Vapi"/>
        <s v=" Jabalpur"/>
        <s v="Kasargod"/>
        <s v="Raipur"/>
        <s v="Kevadiya"/>
        <s v="Dhanbad"/>
        <s v="Panikoli"/>
        <s v="Noida"/>
        <s v="Ghaziabad"/>
        <s v="Ayodhya"/>
        <s v="Prayagraj"/>
        <s v="Delhi"/>
        <s v="Patna"/>
      </sharedItems>
    </cacheField>
    <cacheField name="Station code" numFmtId="0">
      <sharedItems containsBlank="1"/>
    </cacheField>
    <cacheField name="Station Name" numFmtId="0">
      <sharedItems count="182">
        <s v="ThunderPlus EV Charge Hub, Amazon - Aramghar, Hyderabad"/>
        <s v="ThunderPlus EV Charge Hub, Amazon - Gachibouli, Hyderabad"/>
        <s v="ThunderPlus EV Charge Hub, Amazon - Moula Ali, Hyderabad"/>
        <s v="ETO, Kachiguda, Hyderabad"/>
        <s v="ThunderPlus EV Park &amp; Charge Hub, Miyapur, Hyderabad"/>
        <s v=" ThunderPlus EV Charge Hub, Miyapur, Hyderabad"/>
        <s v="ThunderPlus EV Park &amp; Charge Hub, Bollaram, Hyderabad"/>
        <s v="ETO, GHMC - Moghalpura, Hyderabad"/>
        <s v="EV Charge Hub, Dhuni Polymers, Kottur, Hyderabad"/>
        <s v=" ThunderPlus EV Charge Hub, Umdanagar, Hyderabad"/>
        <s v="ThunderPlus EV Charge Hub, Umdanagar, Hyderabad"/>
        <s v="ThunderPlus EV Park &amp; Charge Hub Moula Ali, Hyderabad"/>
        <s v=" ThunderPlus EV Charge Hub, Moula Ali, Hyderabad"/>
        <s v="ThunderPlus EV Hub Sitaphalmandi, Hyderabad"/>
        <s v=" ThunderPlus EV Hub Sitaphalmandi, Hyderabad"/>
        <s v="ThunderPlus EV Park &amp; Charge Hub, Aramghar, Hyderabad"/>
        <s v=" ThunderPlus EV Charge Hub, Aramghar, Hyderabad"/>
        <s v="ThunderPlus EV Park &amp; Charge Hub, Hi-tec city, Hyderabad"/>
        <s v="ThunderPlus EV Charge Hub, Hi-tec city, Hyderabad"/>
        <s v=" ThunderPlus EV Charge Hub, Hi-tec city, Hyderabad"/>
        <s v="ThunderPlus EV Park &amp; Charge Hub, Mettuguda, Hyderabad"/>
        <s v="ThunderPlus EV Charge Hub, Mettuguda, Hyderabad"/>
        <s v=" ThunderPlus EV Charge Hub, Mettuguda, Hyderabad"/>
        <s v="ThunderPlus EV Park &amp; Charge Hub, Yapral , Hyderabad"/>
        <s v="ThunderPlus EV Charge Hub, Yapral , Hyderabad"/>
        <s v="ThunderPlus EV Park &amp; Charge Hub, Attapur , Hyderabad"/>
        <s v="ETO, Bluedart Madhapur, Hyderabad"/>
        <s v="ThunderPlus EV Park &amp; Charge Hub, Nacharam, Hyderabad"/>
        <s v="ThunderPlus EV Charge Hub, Nacharam, Hyderabad"/>
        <s v="EV Charge Hub, Niharika Landmark, Hyderabad"/>
        <s v="ThunderPlus EV Park &amp; Charge Hub, Uppal, Hyderabad"/>
        <s v="ThunderPlus EV Park &amp; Charge Hub, Rasoolpura, Hyderabad"/>
        <s v=" EV Charge Hub, Hallmark Tranquil Apartment, Manikonda, Hyderabad"/>
        <s v="ThunderPlus EV Park &amp; Charge Hub, Gajularamaram, Hyderabad"/>
        <s v="ETO, Bachupally, Hyderabad"/>
        <s v="EV Charge Hub, Sri Dattatreya Hostel, Hyderabad"/>
        <s v="ETO, Mowo-Kukatpally , Hyderabad"/>
        <s v="ETO, GMR Mahalakshmi Foundation,Shamshabad, Hyderabad"/>
        <s v=" ThunderPlus EV Charge Hub, Lavish Electric Wheel Club, Shaikpet , Hyderabad"/>
        <s v="EV Charge Hub, My Home Mangala, Hyderabad"/>
        <s v="EV Charge Hub, Niharika Sky Line, Hyderabad"/>
        <s v="ThunderPlus EV Charge Hub, Post Offlice-Sainikpuri, Hyderabad"/>
        <s v="EV Charge Hub, Zevo-Chinthal , Hyderabad"/>
        <s v="EV Charge Hub, Tejaswi Green Energy Pvt Ltd, Hyderabad"/>
        <s v="ThunderPlus EV Charge Hub, Tata Geeta Auto Commercials,Warangal"/>
        <s v="ETO, Bluedart Balanagar, Hyderabad"/>
        <s v="ThunderPlus EV Park &amp; Charge Hub, Gundla Pochampally, Hyderabad"/>
        <s v="ETO, Bluedart Tellapur, Hyderabad"/>
        <s v="Deccan College of Engg. - Nampally"/>
        <s v="ThunderPlus EV Park &amp; Charge Hub, Kukatpally, Hyderabad"/>
        <s v="ThunderPlus EV Park &amp; Charge Hub, Saroornagar, Hyderabad"/>
        <s v="EV Charge Hub, NMDC Office, Hyderabad"/>
        <s v="EV Charge Hub, Alekya Earth Song, Hyderabad"/>
        <s v="EV Charge Hub, Myscape Sanctuary, Hyderabad"/>
        <s v="EV Charge Hub, Preston Prime Association, Hyderabad"/>
        <s v="ThunderPlus EV Charge Hub, Tata Kaps Motors,Malappuram"/>
        <s v="ETO Drivers home"/>
        <s v="HMRL - Habsiguda"/>
        <s v="ETO, Autonagar - Vijayawada"/>
        <s v="ETO, Flipkart - Vijayawada"/>
        <s v="ETO, Gati - Visakhapatnam"/>
        <s v="ThunderPlus EV Park &amp; Charge Hub, Auto Nagar - Visakhapatnam"/>
        <s v="ThunderPlus EV Park &amp; Charge Hub, Guntur"/>
        <s v="ThunderPlus EV Park &amp; Charge Hub, Rajahmundry"/>
        <s v="ETO, Flipkart - Halasuru, Banglore"/>
        <s v="ETO, Flipkart - Yeshwanthpur, Banglore"/>
        <s v="ThunderPlus EV Park &amp; Charge Hub, Peenya, Bangalore"/>
        <s v="ThunderPlus EV Park &amp; Charge Hub, RR Nagar,Bangalore"/>
        <s v="ThunderPlus EV Park &amp; Charge Hub, Kannur , Bangalore"/>
        <s v="ThunderPlus EV Park &amp; Charge Hub, ITPL ,Bangalore"/>
        <s v="ThunderPlus EV Park &amp; Charge Hub, Andrahalli ,Bangalore"/>
        <s v="ThunderPlus EV Park &amp; Charge Hub, Bannerghatta Road,Bangalore"/>
        <s v="EV Charge Hub, Choudhary Garments, Bagepalli"/>
        <s v="EV Charge Hub, TUV SUD Bangalore Campus, Singahalli"/>
        <s v="EV Charge Hub, Swiss Cafe, Coimbatore"/>
        <s v="ThunderPlus EV Charge Hub, Flipkart - Patalam, Chennai"/>
        <s v="ThunderPlus EV Charge Hub, Tata Vee Vee Motors, Thiruvarur"/>
        <s v="ThunderPlus EV Charge Hub, Tata Popular Mega Motors, Kattupakkum"/>
        <s v="ThunderPlus EV Charge Hub, Tata Popular Mega Motors, Ernakulam"/>
        <s v="ThunderPlus EV Charge Hub, Tata VST Motors, Poonamallee"/>
        <s v="ThunderPlus EV Charge Hub, Tata Excel Vehicle ,Chakan Pune"/>
        <s v="ETO, Airport south metro station, Nagpur"/>
        <s v="ETO, Flipkart - Wadi, Nagpur"/>
        <s v="ThunderPlus EV Charge Hub, Tata Mourya Motors, Patna"/>
        <s v="ThunderPlus EV Charge Hub, Tata Jodhpur Trucks, Jodhpur"/>
        <s v="ThunderPlus EV Charge Hub, Tata Chetan Motors,Kolhapur"/>
        <s v="ThunderPlus EV Charge Hub, Tata Bajrang Auto, Nogaon"/>
        <s v="ThunderPlus EV Charge Hub, Tata Veerprabhu Auto,Gotanagar"/>
        <s v="EV Charge Hub, Allied Engineering Developers, Dibrugarh"/>
        <s v="ThunderPlus EV Charge Hub,Tata GNB Motors, Kolkata"/>
        <s v="ThunderPlus EV Charge Hub,Tata Bhandari Automobile Pvt Ltd, Alampur"/>
        <s v="ThunderPlus EV Charge Hub, Tata Kamal Motors ,Vasai"/>
        <s v="ThunderPlus EV Charge Hub, Tata PD industry, Boisar"/>
        <s v="ThunderPlus EV Charge Hub,Tata Tejpal Motors, Vapi"/>
        <s v="ThunderPlus EV Charge Hub,Tata Frontier Trucks, Jabalpur"/>
        <s v="ThunderPlus EV Charge Hub, Tata Kaps Motors,Kasargod"/>
        <s v="ThunderPlus EV Charge Hub, Tata Jaika Automobiles, Raipur"/>
        <s v="ETO, Kevadia"/>
        <s v=" EV Charge Hub, Ramiz Indane Gramin Vitrak, Dhanbad"/>
        <s v="ThunderPlus EV Charge Hub, Tata Trupti Automobiles, Panikoli"/>
        <s v="ETO, Electronic City, Noida"/>
        <s v="ThunderPlus EV Charge Hub, Mahagun Sarovar Portico Suits, Ghaziabad"/>
        <s v="ETO, Ayodhya, UP"/>
        <s v="ThunderPlus EV Charge Hub, BPCL Saket station, Ayodhya"/>
        <s v="ThunderPlus EV Charge Hub, BPCL SD Yadav station, Ayodhya"/>
        <s v="ThunderPlus EV Charge Hub, BPCL 24X7 station, Ayodhya"/>
        <s v="ThunderPlus EV Park &amp; Charge Hub, Prayagraj, UP"/>
        <s v="ThunderPlus EV Charge Hub, Prayagraj, UP"/>
        <s v="ETO, Shahdara, Delhi"/>
        <s v="ETO, Cargo - Dwarka, Delhi"/>
        <s v="ETO, Usmanpur, Delhi"/>
        <s v="ETO, Azadpur Metro Station, Delhi"/>
        <s v="ThunderPlus EV Park &amp; Charge Hub, Kalkaji metro station, Delhi"/>
        <s v="ETO, Kalkaji Metro Station, Delhi "/>
        <s v="ThunderPlus EV Charge Hub, Kalkaji metro station, Delhi"/>
        <s v="ThunderPlus EV Charge Hub, Hindustan Times Appartment, Mayur Vihar, Delhi"/>
        <s v="ThunderPlus EV Charge Hub, UNA Co-operative residence society, Mayur vihar, Delhi"/>
        <s v=" ThunderPlus EV Charge Hub, Press Enclave Society, New Delhi"/>
        <s v="EV Charge Hub, Trade and Tax Department, Delhi"/>
        <s v="EV Charge Hub, Transport Department, Delhi"/>
        <s v="ThunderPlus EV Park &amp; Charge Hub, Dwaraka sector - 14, Delhi"/>
        <s v="ThunderPlus EV Charge Hub, Dwarka sector - 14, Delhi"/>
        <s v="ETO, Qutub Vihar, Delhi"/>
        <s v="ThunderPlus EV Park &amp; Charge Hub, Jamia Millia Islamia Metro Station, Delhi"/>
        <s v="ThunderPlus EV Charge Hub, Jamia Millia Islamia Metro Station, Delhi"/>
        <s v="ThunderPlus EV Charge Hub, Radhika Appartment,Delhi"/>
        <s v="EV Charge Hub, BYPL MCD Parking,Gazipur Gaushala"/>
        <s v="EV Charge Hub, BYPL MCD Parking, Near Supreme Enclave"/>
        <s v="EV Charge Hub, BYPL MCD Parking, V3S Mall"/>
        <s v="EV Charge Hub, BYPL MCD Parking, Milan Vihar Appartment"/>
        <s v="EV Charge Hub, BYPL MCD Parking, Mandoli extn"/>
        <s v="EV Charge Hub, BYPL MCD Parking, Kalkaji Mandir"/>
        <s v="EV Charge Hub, BYPL MCD Parking, Mangolpuri"/>
        <s v="EV Charge Hub, IIITD, Delhi"/>
        <s v="ThunderPlus EV Park &amp; Charge Hub, Uttam Nagar,Delhi"/>
        <s v="ThunderPlus EV Charge Hub, Uttam Nagar,Delhi"/>
        <s v="EV Charge Hub, BRPL Office, Chittaranjan Park, Delhi"/>
        <s v="EV Charge Hub, PGDAV College, Nehru Nagar, Delhi"/>
        <s v="EV Charge Hub, BRPL Office Okhla Phase 2,Delhi"/>
        <s v="EV Charge Hub, Sachivalay,Delhi"/>
        <s v="EV Charge Hub, BSES Yumana power LTD,Delhi"/>
        <s v="EV Charge Hub, BSES SCADA Control Center, Delhi"/>
        <s v="ThunderPlus EV Park &amp; Charge Hub, Palam,Delhi"/>
        <s v="ThunderPlus EV Charge Hub, Palam, 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hunderPlus EV Charge Hub, Flipkart - Danapur, Patna"/>
        <s v="ThunderPlus EV Charge Hub, Flipkart - Kumrar, Patna"/>
        <s v="_x000a_EV Charge Hub, BRPL Office Okhla Phase 2, Delhi_x000a_" u="1"/>
        <s v="ThunderPlus EV Park &amp; Charge Hub Sitaphalmandi, Hyderabad" u="1"/>
        <s v="ThunderPlus EV Charge Hub, Tata Mourya Motors , Patna" u="1"/>
        <s v="ThunderPlus EV Park &amp; Charge Hub, Dwarka sector - 14, Delhi" u="1"/>
        <s v="ThunderPlus EV Charge Hub, Lavish Electric Wheel Club, Shaikpet , Hyderabad" u="1"/>
        <s v="ThunderPlus EV Charge Hub, Tata Bajrang Auto,Nogaon" u="1"/>
        <s v="EV Charge Hub, Hallmark Tranquil Apartment, Manikonda, Hyderabad" u="1"/>
        <s v="Ev Charge Hub, BYPL MCD Parking,Kalkaji Mandir" u="1"/>
        <s v="ThunderPlus EV Charge Hub, Tata Veerprabhu Auto, Gotanagar" u="1"/>
        <s v="ThunderPlus EV Charge Hub, Flipkart - Danapur, Patna " u="1"/>
        <s v="Ev Charge Hub, BYPL MCD Parking,Milan Vihar Appartment" u="1"/>
        <s v="ETO, Gati -  Visakhapatnam" u="1"/>
        <s v="ThunderPlus EV Charge Hub, Miyapur, Hyderabad" u="1"/>
        <s v="ThunderPlus EV Charge Hub, Palam,Delhi" u="1"/>
        <s v="Ev Charge Hub, BYPL MCD Parking,V3S Mall" u="1"/>
        <s v="Ev Charge Hub, BSES Yumana power LTD, Karkardooma, Delhi" u="1"/>
        <s v="ThunderPlus EV Park &amp; Charge Hub, Bannerghatta Road, Bangalore" u="1"/>
        <s v="EV Charging Hub, Dhuni Polymers, Kottur, Hyderabad" u="1"/>
        <s v="_x000a_EV Charge Hub, PGDAV College, Nehru Nagar, Delhi_x000a_" u="1"/>
        <s v="EV Charging Hub, BYPL MCD Parking,Mangolpuri" u="1"/>
        <s v="ThunderPlus EV Charge Hub, Flipkart - Madhavaram, Chennai" u="1"/>
        <s v="ThunderPlus EV Charge Hub, Aramghar, Hyderabad" u="1"/>
        <s v="EV Charge Hub, Ramiz Indane Gramin Vitrak, Dhanbad" u="1"/>
        <s v="ThunderPlus EV Charge Hub, Press Enclave Society, Delhi" u="1"/>
        <s v="ThunderPlus EV Charge Hub, Qutub Vihar, Dwarka" u="1"/>
        <s v="_x000a_EV Charge Hub, Alekya Earth Song, Hyderabad" u="1"/>
        <s v="Trinity EV Charge Hub, Swiss Cafe, Coimbatore" u="1"/>
        <s v="Ev Charge Hub, BRPL Office,  Chittaranjan Park, Delhi" u="1"/>
        <s v="Ev Charge Hub, BYPL MCD Parking,Near Supreme Enclave" u="1"/>
        <s v="EV Charging Hub, BYPL MCD Parking, Mandoli extn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4">
        <s v="Public Charging"/>
        <s v="Charging Service"/>
        <s v="Parking and Charging"/>
        <s v="Sales"/>
      </sharedItems>
    </cacheField>
    <cacheField name="01-02-2025" numFmtId="2">
      <sharedItems containsString="0" containsBlank="1" containsNumber="1" minValue="0" maxValue="828.51699999999971"/>
    </cacheField>
    <cacheField name="02-02-2025" numFmtId="2">
      <sharedItems containsString="0" containsBlank="1" containsNumber="1" minValue="0" maxValue="747.19200000000023"/>
    </cacheField>
    <cacheField name="03-02-2025" numFmtId="2">
      <sharedItems containsString="0" containsBlank="1" containsNumber="1" minValue="0" maxValue="771.76899999999989"/>
    </cacheField>
    <cacheField name="04-02-2025" numFmtId="2">
      <sharedItems containsString="0" containsBlank="1" containsNumber="1" minValue="0" maxValue="658.41500000000008"/>
    </cacheField>
    <cacheField name="05-02-2025" numFmtId="2">
      <sharedItems containsString="0" containsBlank="1" containsNumber="1" minValue="0" maxValue="773.84100000000012"/>
    </cacheField>
    <cacheField name="06-02-2025" numFmtId="2">
      <sharedItems containsString="0" containsBlank="1" containsNumber="1" minValue="0" maxValue="841.14999999999975"/>
    </cacheField>
    <cacheField name="07-02-2025" numFmtId="2">
      <sharedItems containsString="0" containsBlank="1" containsNumber="1" minValue="0" maxValue="794.42299999999989"/>
    </cacheField>
    <cacheField name="08-02-2025" numFmtId="2">
      <sharedItems containsString="0" containsBlank="1" containsNumber="1" minValue="0" maxValue="611.97900000000004"/>
    </cacheField>
    <cacheField name="09-02-2025" numFmtId="2">
      <sharedItems containsString="0" containsBlank="1" containsNumber="1" minValue="0" maxValue="775.76499999999987"/>
    </cacheField>
    <cacheField name="10-02-2025" numFmtId="2">
      <sharedItems containsString="0" containsBlank="1" containsNumber="1" minValue="0" maxValue="597.37699999999995"/>
    </cacheField>
    <cacheField name="11-02-2025" numFmtId="2">
      <sharedItems containsString="0" containsBlank="1" containsNumber="1" minValue="0" maxValue="710.5029999999997"/>
    </cacheField>
    <cacheField name="12-02-2025" numFmtId="2">
      <sharedItems containsString="0" containsBlank="1" containsNumber="1" minValue="0" maxValue="744.87300000000005"/>
    </cacheField>
    <cacheField name="13-02-2025" numFmtId="2">
      <sharedItems containsString="0" containsBlank="1" containsNumber="1" minValue="0" maxValue="799.10400000000027"/>
    </cacheField>
    <cacheField name="14-02-2025" numFmtId="2">
      <sharedItems containsString="0" containsBlank="1" containsNumber="1" minValue="0" maxValue="660.64699999999982"/>
    </cacheField>
    <cacheField name="15-02-2025" numFmtId="2">
      <sharedItems containsString="0" containsBlank="1" containsNumber="1" minValue="0" maxValue="788.62300000000005"/>
    </cacheField>
    <cacheField name="16-02-2025" numFmtId="2">
      <sharedItems containsString="0" containsBlank="1" containsNumber="1" minValue="0" maxValue="836.71699999999987"/>
    </cacheField>
    <cacheField name="17-02-2025" numFmtId="2">
      <sharedItems containsString="0" containsBlank="1" containsNumber="1" minValue="0" maxValue="780.65900000000011"/>
    </cacheField>
    <cacheField name="18-02-2025" numFmtId="2">
      <sharedItems containsString="0" containsBlank="1" containsNumber="1" minValue="0" maxValue="702.85900000000004"/>
    </cacheField>
    <cacheField name="19-02-2025" numFmtId="2">
      <sharedItems containsString="0" containsBlank="1" containsNumber="1" minValue="0" maxValue="897.32300000000021"/>
    </cacheField>
    <cacheField name="20-02-2025" numFmtId="2">
      <sharedItems containsString="0" containsBlank="1" containsNumber="1" minValue="0" maxValue="849.93599999999958"/>
    </cacheField>
    <cacheField name="21-02-2025" numFmtId="2">
      <sharedItems containsString="0" containsBlank="1" containsNumber="1" minValue="0" maxValue="765.16099999999994"/>
    </cacheField>
    <cacheField name="22-02-2025" numFmtId="2">
      <sharedItems containsString="0" containsBlank="1" containsNumber="1" minValue="0" maxValue="695.77800000000013"/>
    </cacheField>
    <cacheField name="23-02-2025" numFmtId="2">
      <sharedItems containsString="0" containsBlank="1" containsNumber="1" minValue="0" maxValue="548.08899999999994"/>
    </cacheField>
    <cacheField name="24-02-2025" numFmtId="2">
      <sharedItems containsString="0" containsBlank="1" containsNumber="1" minValue="0" maxValue="582.93399999999963"/>
    </cacheField>
    <cacheField name="25-02-2025" numFmtId="2">
      <sharedItems containsString="0" containsBlank="1" containsNumber="1" minValue="0" maxValue="820.06200000000024"/>
    </cacheField>
    <cacheField name="26-02-2025" numFmtId="2">
      <sharedItems containsString="0" containsBlank="1" containsNumber="1" minValue="0" maxValue="660.51800000000003"/>
    </cacheField>
    <cacheField name="27-02-2025" numFmtId="2">
      <sharedItems containsSemiMixedTypes="0" containsString="0" containsNumber="1" minValue="0" maxValue="611.97"/>
    </cacheField>
    <cacheField name="28-02-2025" numFmtId="2">
      <sharedItems containsSemiMixedTypes="0" containsString="0" containsNumber="1" minValue="0" maxValue="864.0930000000003"/>
    </cacheField>
    <cacheField name="Average" numFmtId="2">
      <sharedItems containsSemiMixedTypes="0" containsString="0" containsNumber="1" minValue="0" maxValue="740.00989285714297"/>
    </cacheField>
    <cacheField name="Avg consumption/Charger" numFmtId="2">
      <sharedItems containsSemiMixedTypes="0" containsString="0" containsNumber="1" minValue="0" maxValue="358.685714285714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25694444" createdVersion="5" refreshedVersion="8" minRefreshableVersion="3" recordCount="150" xr:uid="{00000000-000A-0000-FFFF-FFFF21000000}">
  <cacheSource type="worksheet">
    <worksheetSource ref="A1:AQ151" sheet="Dec 24"/>
  </cacheSource>
  <cacheFields count="43">
    <cacheField name="Sl. No." numFmtId="0">
      <sharedItems containsSemiMixedTypes="0" containsString="0" containsNumber="1" containsInteger="1" minValue="1" maxValue="150"/>
    </cacheField>
    <cacheField name="City" numFmtId="0">
      <sharedItems count="30">
        <s v="Hyderabad"/>
        <s v="Warangal"/>
        <s v="Kerala"/>
        <s v="Vijayawada"/>
        <s v="Vishakapatnam"/>
        <s v="Guntur"/>
        <s v="Rajahmundry"/>
        <s v="Bangalore"/>
        <s v="Coimbatore"/>
        <s v="Chennai"/>
        <s v="Thiruvarur"/>
        <s v="Chakan Pune"/>
        <s v="Nagpur"/>
        <s v=" Patna"/>
        <s v=" Jodhpur"/>
        <s v="Kolhapur"/>
        <s v="Nogaon"/>
        <s v="Kolkata"/>
        <s v="Alampur"/>
        <s v="Vasai"/>
        <s v="Vapi"/>
        <s v=" Jabalpur"/>
        <s v="Kasargod"/>
        <s v="Kevadiya"/>
        <s v="Noida"/>
        <s v="Ghaziabad"/>
        <s v="Ayodhya"/>
        <s v="Prayagraj"/>
        <s v="Delhi"/>
        <s v="Patna"/>
      </sharedItems>
    </cacheField>
    <cacheField name="Station code" numFmtId="0">
      <sharedItems containsBlank="1"/>
    </cacheField>
    <cacheField name="Station Name" numFmtId="0">
      <sharedItems count="228">
        <s v="ThunderPlus EV Charge Hub, Amazon - Aramghar, Hyderabad"/>
        <s v="ThunderPlus EV Charge Hub, Amazon - Gachibouli, Hyderabad"/>
        <s v="ThunderPlus EV Charge Hub, Amazon - Moula Ali, Hyderabad"/>
        <s v="ETO, Kachiguda, Hyderabad"/>
        <s v="ThunderPlus EV Park &amp; Charge Hub, Miyapur, Hyderabad"/>
        <s v="ThunderPlus EV Park &amp; Charge Hub, Bollaram, Hyderabad"/>
        <s v="ETO, GHMC - Moghalpura, Hyderabad"/>
        <s v="EV Charging Hub, Dhuni Polymers, Kottur, Hyderabad"/>
        <s v="ThunderPlus EV Charge Hub, Umdanagar, Hyderabad"/>
        <s v="ThunderPlus EV Park &amp; Charge Hub Moula Ali, Hyderabad"/>
        <s v="ThunderPlus EV Park &amp; Charge Hub Sitaphalmandi, Hyderabad"/>
        <s v="ThunderPlus EV Park &amp; Charge Hub, Aramghar, Hyderabad"/>
        <s v="ThunderPlus EV Park &amp; Charge Hub, Hi-tec city, Hyderabad"/>
        <s v="ThunderPlus EV Charge Hub, Hi-tec city, Hyderabad"/>
        <s v="ThunderPlus EV Park &amp; Charge Hub, Mettuguda, Hyderabad"/>
        <s v="ThunderPlus EV Charge Hub, Mettuguda, Hyderabad"/>
        <s v="ThunderPlus EV Park &amp; Charge Hub, Yapral , Hyderabad"/>
        <s v="ThunderPlus EV Park &amp; Charge Hub, Attapur , Hyderabad"/>
        <s v="ETO, Bluedart Madhapur, Hyderabad"/>
        <s v="ThunderPlus EV Park &amp; Charge Hub, Nacharam, Hyderabad"/>
        <s v="EV Charge Hub, Niharika Landmark, Hyderabad"/>
        <s v="ThunderPlus EV Park &amp; Charge Hub, Uppal, Hyderabad"/>
        <s v="ThunderPlus EV Park &amp; Charge Hub, Rasoolpura, Hyderabad"/>
        <s v="EV Charge Hub, Hallmark Tranquil Apartment, Manikonda, Hyderabad"/>
        <s v="ThunderPlus EV Park &amp; Charge Hub, Gajularamaram, Hyderabad"/>
        <s v="ETO, Bachupally, Hyderabad"/>
        <s v="EV Charge Hub, Sri Dattatreya Hostel, Hyderabad"/>
        <s v="ETO, Mowo-Kukatpally , Hyderabad"/>
        <s v="ETO, GMR Mahalakshmi Foundation,Shamshabad, Hyderabad"/>
        <s v="ThunderPlus EV Charge Hub, Lavish Electric Wheel Club, Shaikpet , Hyderabad"/>
        <s v="EV Charge Hub, My Home Mangala, Hyderabad"/>
        <s v="EV Charge Hub, Niharika Sky Line, Hyderabad"/>
        <s v="ThunderPlus EV Charge Hub, Post Offlice-Sainikpuri, Hyderabad"/>
        <s v="EV Charge Hub, Zevo-Chinthal , Hyderabad"/>
        <s v="EV Charge Hub, Tejaswi Green Energy Pvt Ltd, Hyderabad"/>
        <s v="ThunderPlus EV Charge Hub, Tata Geeta Auto Commercials,Warangal"/>
        <s v="ETO, Bluedart Balanagar, Hyderabad"/>
        <s v="ThunderPlus EV Park &amp; Charge Hub, Gundla Pochampally, Hyderabad"/>
        <s v="ETO, Bluedart Tellapur, Hyderabad"/>
        <s v="Deccan College of Engg. - Nampally"/>
        <s v="ThunderPlus EV Park &amp; Charge Hub, Kukatpally, Hyderabad"/>
        <s v="ThunderPlus EV Park &amp; Charge Hub, Saroornagar, Hyderabad"/>
        <s v="ThunderPlus EV Charge Hub, Tata Kaps Motors,Malappuram"/>
        <s v="ETO Drivers home"/>
        <s v="HMRL - Habsiguda"/>
        <s v="ETO, Autonagar - Vijayawada"/>
        <s v="ETO, Flipkart - Vijayawada"/>
        <s v="ETO, Gati -  Visakhapatnam"/>
        <s v="ThunderPlus EV Park &amp; Charge Hub, Auto Nagar - Visakhapatnam"/>
        <s v="ThunderPlus EV Park &amp; Charge Hub, Guntur"/>
        <s v="ThunderPlus EV Park &amp; Charge Hub, Rajahmundry"/>
        <s v="ETO, Flipkart - Halasuru, Banglore"/>
        <s v="ETO, Flipkart - Yeshwanthpur, Banglore"/>
        <s v="ThunderPlus EV Park &amp; Charge Hub, Peenya, Bangalore"/>
        <s v="ThunderPlus EV Park &amp; Charge Hub, RR Nagar,Bangalore"/>
        <s v="ThunderPlus EV Park &amp; Charge Hub, Kannur , Bangalore"/>
        <s v="ThunderPlus EV Park &amp; Charge Hub, ITPL ,Bangalore"/>
        <s v="ThunderPlus EV Park &amp; Charge Hub, Andrahalli ,Bangalore"/>
        <s v="ThunderPlus EV Park &amp; Charge Hub, Bannerghatta Road, Bangalore"/>
        <s v="Trinity EV Charge Hub, Swiss Cafe, Coimbatore"/>
        <s v="ThunderPlus EV Charge Hub, Flipkart - Madhavaram, Chennai"/>
        <s v="ThunderPlus EV Charge Hub, Tata Vee Vee Motors, Thiruvarur"/>
        <s v="ThunderPlus EV Charge Hub, Tata Excel Vehicle ,Chakan Pune"/>
        <s v="ETO, Airport south metro station, Nagpur"/>
        <s v="ETO, Flipkart - Wadi, Nagpur"/>
        <s v="ThunderPlus EV Charge Hub, Tata Mourya Motors , Patna"/>
        <s v="ThunderPlus EV Charge Hub, Tata Jodhpur Trucks, Jodhpur"/>
        <s v="ThunderPlus EV Charge Hub, Tata Chetan Motors,Kolhapur"/>
        <s v="ThunderPlus EV Charge Hub, Tata Bajrang Auto,Nogaon"/>
        <s v="ThunderPlus EV Charge Hub,Tata GNB Motors, Kolkata"/>
        <s v="ThunderPlus EV Charge Hub,Tata Bhandari Automobile Pvt Ltd, Alampur"/>
        <s v="ThunderPlus EV Charge Hub, Tata Kamal Motors ,Vasai"/>
        <s v="ThunderPlus EV Charge Hub,Tata Tejpal Motors, Vapi"/>
        <s v="ThunderPlus EV Charge Hub,Tata Frontier Trucks, Jabalpur"/>
        <s v="ThunderPlus EV Charge Hub, Tata Kaps Motors,Kasargod"/>
        <s v="ETO, Kevadia"/>
        <s v="ETO, Electronic City, Noida"/>
        <s v="ThunderPlus EV Charge Hub, Mahagun Sarovar Portico Suits, Ghaziabad"/>
        <s v="ETO, Ayodhya, UP"/>
        <s v="ThunderPlus EV Charge Hub, BPCL Saket station, Ayodhya"/>
        <s v="ThunderPlus EV Charge Hub, BPCL SD Yadav station, Ayodhya"/>
        <s v="ThunderPlus EV Charge Hub, BPCL 24X7 station, Ayodhya"/>
        <s v="ThunderPlus EV Park &amp; Charge Hub, Prayagraj, UP"/>
        <s v="ETO, Shahdara, Delhi"/>
        <s v="ETO, Cargo - Dwarka, Delhi"/>
        <s v="ETO, Usmanpur, Delhi"/>
        <s v="ETO, Azadpur Metro Station, Delhi"/>
        <s v="ETO, Kalkaji Metro Station, Delhi "/>
        <s v="ThunderPlus EV Charge Hub, Hindustan Times Appartment, Mayur Vihar, Delhi"/>
        <s v="ThunderPlus EV Charge Hub, UNA Co-operative residence society, Mayur vihar, Delhi"/>
        <s v="ThunderPlus EV Charge Hub, Press Enclave Society, Delhi"/>
        <s v="EV Charge Hub, Trade and Tax Department, Delhi"/>
        <s v="EV Charge Hub, Transport Department, Delhi"/>
        <s v="ThunderPlus EV Park &amp; Charge Hub, Dwaraka sector - 14, Delhi"/>
        <s v="ThunderPlus EV Charge Hub, Qutub Vihar, Dwarka"/>
        <s v="ThunderPlus EV Park &amp; Charge Hub, Jamia Millia Islamia Metro Station, Delhi"/>
        <s v="ThunderPlus EV Charge Hub, Radhika Appartment,Delhi"/>
        <s v="EV Charge Hub, BYPL MCD Parking,Gazipur Gaushala"/>
        <s v="Ev Charge Hub, BYPL MCD Parking,Near Supreme Enclave"/>
        <s v="Ev Charge Hub, BYPL MCD Parking,V3S Mall"/>
        <s v="Ev Charge Hub, BYPL MCD Parking,Milan Vihar Appartment"/>
        <s v="EV Charging Hub, BYPL MCD Parking, Mandoli extn"/>
        <s v="Ev Charge Hub, BYPL MCD Parking,Kalkaji Mandir"/>
        <s v="EV Charging Hub, BYPL MCD Parking,Mangolpuri"/>
        <s v="EV Charge Hub, IIITD, Delhi"/>
        <s v="ThunderPlus EV Park &amp; Charge Hub, Uttam Nagar,Delhi"/>
        <s v="Ev Charge Hub, BRPL Office,  Chittaranjan Park, Delhi"/>
        <s v="_x000a_EV Charge Hub, PGDAV College, Nehru Nagar, Delhi_x000a_"/>
        <s v="_x000a_EV Charge Hub, BRPL Office Okhla Phase 2, Delhi_x000a_"/>
        <s v="Ev Charge Hub, Sachivalay,Delhi"/>
        <s v="Ev Charge Hub, BSES Yumana power LTD, Karkardooma, Delhi"/>
        <s v="EV Charge Hub, BSES SCADA Control Center, Delhi"/>
        <s v="ThunderPlus EV Charge Hub, Palam,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hunderPlus EV Charge Hub, Flipkart - Danapur, Patna "/>
        <s v="ThunderPlus EV Charge Hub, Flipkart - Kumrar, Patna"/>
        <s v="BPCL Saket station, Ayodhya" u="1"/>
        <s v="Ev Charge Hub, IIITD , Delhi" u="1"/>
        <s v="BPCL 24X7 station, Ayodhya" u="1"/>
        <s v="Trinity EV Charge Hub, Bollaram" u="1"/>
        <s v="Trinity EV Charge Hub, Gundla Pochampally, Hyderabad" u="1"/>
        <s v="BYPL MCD Parking, Near Supreme Enclave" u="1"/>
        <s v="EV Charge Hub, Mowo-Kukatpally, Hyderabad" u="1"/>
        <s v="Trinity EV Charge Hub, Gajularamaram, Hyderabad" u="1"/>
        <s v="Trinity EV Charge Hub, Yapral" u="1"/>
        <s v="Ev Charge Hub,PGDAV College, Nehru Nagar, Delhi" u="1"/>
        <s v="BYPL MCD Parking,Gazipur Gaushala" u="1"/>
        <s v="EV Charging Hub,Kevadia" u="1"/>
        <s v="Trinity EV Charge Hub, Miyapur" u="1"/>
        <s v="EV Charge Hub, Umdanagar" u="1"/>
        <s v="EV Charge Hub, Press Enclave Society" u="1"/>
        <s v="EV Charge Hub, Airport South Metro Station" u="1"/>
        <s v="Trinity EV Charge Hub,Tejaswi Green Energy Pvt Ltd, Hyderabad" u="1"/>
        <s v="Trinity EV Charge Hub, Attapur" u="1"/>
        <s v="EV Charge Hub, Bluedart Madhapur" u="1"/>
        <s v="Trinity EV Charge Hub, Tata Bajrang Auto,Nogaon" u="1"/>
        <s v="Trinity EV Charge Hub, Tata Kaps Motors,Malappuram" u="1"/>
        <s v="Trinity EV Charge Hub,Lavish Electric Wheel Club, Shaikpet , Hyderabad" u="1"/>
        <s v="EV Charge Hub , Usmanpur" u="1"/>
        <s v="BYPL MCD Parking,Kalkaji Mandir" u="1"/>
        <s v="Trinity EV Charge Hub, Kannur" u="1"/>
        <s v="Trinity EV Charge Hub, Rajahmundry" u="1"/>
        <s v="EV Charge Hub, Transport Department" u="1"/>
        <s v="BYPL MCD Parking,Janta Flat, Nandnagri" u="1"/>
        <s v="EV Charge Hub, GMR Mahalakshmi Foundation ,Shamshabad, Hyderabad" u="1"/>
        <s v="Trinity EV Charge Hub, Dwarka sector - 14 " u="1"/>
        <s v="EV Charge Hub, Bluedart Tellapur, Hyderabad" u="1"/>
        <s v="Trinity EV Charge Hub,Tata Frontier Trucks, Jabalpur" u="1"/>
        <s v="EV Charge Hub, Amazon moula ali" u="1"/>
        <s v="Trinity EV Charge Hub, Hi-Tec City - 2" u="1"/>
        <s v="EV Charge Hub, Halasuru - Flipkart" u="1"/>
        <s v="Ev Charge Hub, BRPL Office Okhla Phase 2,Delhi" u="1"/>
        <s v="EV Charge Hub, Auto Nagar - Vijayawada" u="1"/>
        <s v="Trinity EV Charge Hub, Uttam Nagar,Delhi" u="1"/>
        <s v="Trinity EV Charge Hub, Danapur- Flipkart, Patna" u="1"/>
        <s v="Trinity EV Charge Hub Sitaphalmandi" u="1"/>
        <s v="EV Charge Hub, Cargo - Dwarka" u="1"/>
        <s v="Trinity EV Charge Hub, Uppal, Hyderabad" u="1"/>
        <s v="Trinity EV Charge Hub, Bannerghatta Road,Bangalore" u="1"/>
        <s v="Trinity EV Charge Hub, Ayodhya" u="1"/>
        <s v="Trinity EV Charge Hub, Palam,Delhi" u="1"/>
        <s v="EV Charge Hub, yeshwanthpur - Flipkart" u="1"/>
        <s v="Trinity EV Charge Hub, Qutub Vihar, Dwarka" u="1"/>
        <s v="Trinity EV Charge Hub,Tata Tejpal Motors, Vapi" u="1"/>
        <s v="Ev Charge Hub, BRPL Office 2nd Phase,Delhi" u="1"/>
        <s v="Trinity EV Charge Hub, Tata Kamal Motors ,Vasai" u="1"/>
        <s v="Trinity EV Charge Hub, Madhavaram- Flipkart, Chennai" u="1"/>
        <s v="Trinity EV Charge Hub, Peenya" u="1"/>
        <s v="EV Charge Hub,Wadi-Flipkart, Nagpur" u="1"/>
        <s v="EV Charge Hub, Trade and Tax Department" u="1"/>
        <s v="Trinity EV Charge Hub, My Home Mangala, Hyderabad" u="1"/>
        <s v="EV Charge Hub, Auto Nagar- Visakhapatnam" u="1"/>
        <s v="Hindustan Times Appartment, Mayur Vihar" u="1"/>
        <s v="Trinity EV Charge Hub, Guntur" u="1"/>
        <s v="EV Charge Hub, Dhuni Polymers, Kottur" u="1"/>
        <s v="EV Charge Hub, Flipkart - Vijayawada" u="1"/>
        <s v="Mahagun Sarovar Portico Suits, Ghaziabad" u="1"/>
        <s v="Trinity EV Charge Hub, Sri Dattatreya Hostel, Hyderabad" u="1"/>
        <s v="Trinity EV Charge Hub,Tata GNB Motors, Kolkata_x000a_" u="1"/>
        <s v="Trinity EV Charge Hub, Andrahalli" u="1"/>
        <s v="UNA Co-operative residence society, Mayur vihar" u="1"/>
        <s v="Ev Charge Hub, BYPL MCD Parking, D Aqua Hotel, Usmanpur" u="1"/>
        <s v="EV Charge Hub, Bluedart Balanagar, Hyderabad" u="1"/>
        <s v="Trinity EV Charge Hub, ITPL" u="1"/>
        <s v="EV Charge Hub, Gati , Visakhapatnam" u="1"/>
        <s v="Trinity EV Charge Hub, Mettuguda - 2" u="1"/>
        <s v="Trinity EV Charge Hub, Tata Mourya Motors , Patna" u="1"/>
        <s v="Trinity EV Charge Hub Moula Ali" u="1"/>
        <s v="EV Charge Hub, Azadpur Metro Station" u="1"/>
        <s v="EV Charge Hub, Kalkaji metro station" u="1"/>
        <s v="Trinity EV Charge Hub, Zevo-Chinthal , Hyderabad" u="1"/>
        <s v="Trinity EV Charge Hub, Tata Chetan Motors,Kolhapur" u="1"/>
        <s v="Trinity EV Charge Hub, Jamia Millia Islamia Metro Station" u="1"/>
        <s v="Trinity EV Charge Hub, Tata Geeta Auto Commercials, Warangal" u="1"/>
        <s v="Trinity EV Charge Hub, Bannerghatta Road" u="1"/>
        <s v="EV Charge Hub, Kachiguda" u="1"/>
        <s v="BYPL MCD Parking,Mandoli extn" u="1"/>
        <s v="BPCL SD Yadav station, Ayodhya" u="1"/>
        <s v="BYPL MCD Parking,Mangolpuri" u="1"/>
        <s v="Trinity EV Charge Hub, Aramghar" u="1"/>
        <s v="EV Charge Hub, Radhika Appartment" u="1"/>
        <s v="Trinity EV Charge Hub, Mettuguda - 1" u="1"/>
        <s v="_x000a_Trinity EV Charge Hub, Kukatpally, Hyderabad" u="1"/>
        <s v="Ev Charge Hub, BYPL MCD Parking, Janta Flat , Nandnagri" u="1"/>
        <s v="EV Charge Hub, Electronic City" u="1"/>
        <s v="Trinity EV Charge Hub, Hi-Tec City - 1" u="1"/>
        <s v="BYPL MCD Parking,Milan Vihar Appartment" u="1"/>
        <s v="Trinity EV Charge Hub, Nacharam" u="1"/>
        <s v="Trinity EV Charge Hub,Tata Jodhpur Trucks, Jodhpur" u="1"/>
        <s v="EV Charge Hub, GHMC - Moghalpura" u="1"/>
        <s v="Trinity EV Charge Hub, Rasoolpura, Hyderabad" u="1"/>
        <s v="Trinity EV Charge Hub, Niharika Landmark, Hyderabad" u="1"/>
        <s v="Trinity EV Charge Hub, Niharika Sky Line, Hyderabad" u="1"/>
        <s v="Trinity EV Charge Hub, RR Nagar" u="1"/>
        <s v="Trinity EV Charge Hub, Post Offlice-Sainikpuri, Hyderabad" u="1"/>
        <s v="EV Charge Hub, Bachupally, Hyderabad" u="1"/>
        <s v="Trinity EV Charge Hub, Prayagraj,Delhi" u="1"/>
        <s v="Trinity EV Charge Hub, Hallmark Tranquil Apartment" u="1"/>
        <s v="EV Charge Hub, Amazon Gachibowli" u="1"/>
        <s v="EV Charge Hub, Shahdara" u="1"/>
        <s v="_x000a_Trinity EV Charge Hub,Kumrar - Flipkart , Patna" u="1"/>
        <s v="BYPL MCD Parking,V3S Mall" u="1"/>
        <s v="EV Charge Hub, Amazon Aramghar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4">
        <s v="Public Charging"/>
        <s v="Charging Service"/>
        <s v="Parking and Charging"/>
        <s v="Sales"/>
      </sharedItems>
    </cacheField>
    <cacheField name="01-12-2024" numFmtId="0">
      <sharedItems containsString="0" containsBlank="1" containsNumber="1" minValue="0" maxValue="980.63899999999967"/>
    </cacheField>
    <cacheField name="02-12-2024" numFmtId="0">
      <sharedItems containsString="0" containsBlank="1" containsNumber="1" minValue="0" maxValue="886.50699999999961"/>
    </cacheField>
    <cacheField name="03-12-2024" numFmtId="0">
      <sharedItems containsString="0" containsBlank="1" containsNumber="1" minValue="0" maxValue="969.05700000000002"/>
    </cacheField>
    <cacheField name="04-12-2024" numFmtId="0">
      <sharedItems containsString="0" containsBlank="1" containsNumber="1" minValue="0" maxValue="827.50100000000009"/>
    </cacheField>
    <cacheField name="05-12-2024" numFmtId="0">
      <sharedItems containsString="0" containsBlank="1" containsNumber="1" minValue="0" maxValue="918.03399999999954"/>
    </cacheField>
    <cacheField name="06-12-2024" numFmtId="0">
      <sharedItems containsString="0" containsBlank="1" containsNumber="1" minValue="0" maxValue="952.50400000000025"/>
    </cacheField>
    <cacheField name="07-12-2024" numFmtId="0">
      <sharedItems containsString="0" containsBlank="1" containsNumber="1" minValue="0" maxValue="949.09900000000027"/>
    </cacheField>
    <cacheField name="08-12-2024" numFmtId="0">
      <sharedItems containsString="0" containsBlank="1" containsNumber="1" minValue="0" maxValue="668.25799999999981"/>
    </cacheField>
    <cacheField name="09-12-2024" numFmtId="0">
      <sharedItems containsString="0" containsBlank="1" containsNumber="1" minValue="0" maxValue="935.06500000000005"/>
    </cacheField>
    <cacheField name="10-12-2024" numFmtId="0">
      <sharedItems containsString="0" containsBlank="1" containsNumber="1" minValue="0" maxValue="743.77699999999993"/>
    </cacheField>
    <cacheField name="11-12-2024" numFmtId="0">
      <sharedItems containsString="0" containsBlank="1" containsNumber="1" minValue="0" maxValue="865.40199999999993"/>
    </cacheField>
    <cacheField name="12-12-2024" numFmtId="0">
      <sharedItems containsString="0" containsBlank="1" containsNumber="1" minValue="0" maxValue="1042.981"/>
    </cacheField>
    <cacheField name="13-12-2024" numFmtId="0">
      <sharedItems containsString="0" containsBlank="1" containsNumber="1" minValue="0" maxValue="847.78099999999972"/>
    </cacheField>
    <cacheField name="14-12-2024" numFmtId="0">
      <sharedItems containsString="0" containsBlank="1" containsNumber="1" minValue="0" maxValue="900.74599999999987"/>
    </cacheField>
    <cacheField name="15-12-2024" numFmtId="0">
      <sharedItems containsString="0" containsBlank="1" containsNumber="1" minValue="0" maxValue="801.4079999999999"/>
    </cacheField>
    <cacheField name="16-12-2024" numFmtId="0">
      <sharedItems containsString="0" containsBlank="1" containsNumber="1" minValue="0" maxValue="834.97199999999987"/>
    </cacheField>
    <cacheField name="17-12-2024" numFmtId="0">
      <sharedItems containsString="0" containsBlank="1" containsNumber="1" minValue="0" maxValue="808.34100000000012"/>
    </cacheField>
    <cacheField name="18-12-2024" numFmtId="0">
      <sharedItems containsString="0" containsBlank="1" containsNumber="1" minValue="0" maxValue="782.88"/>
    </cacheField>
    <cacheField name="19-12-2024" numFmtId="0">
      <sharedItems containsString="0" containsBlank="1" containsNumber="1" minValue="0" maxValue="770.78500000000008"/>
    </cacheField>
    <cacheField name="20-12-2024" numFmtId="0">
      <sharedItems containsString="0" containsBlank="1" containsNumber="1" minValue="0" maxValue="882.63500000000045"/>
    </cacheField>
    <cacheField name="21-12-2024" numFmtId="0">
      <sharedItems containsString="0" containsBlank="1" containsNumber="1" minValue="0" maxValue="753.07200000000034"/>
    </cacheField>
    <cacheField name="22-12-2024" numFmtId="0">
      <sharedItems containsSemiMixedTypes="0" containsString="0" containsNumber="1" minValue="0" maxValue="997.99900000000025"/>
    </cacheField>
    <cacheField name="23-12-2024" numFmtId="0">
      <sharedItems containsSemiMixedTypes="0" containsString="0" containsNumber="1" minValue="0" maxValue="712.3520000000002"/>
    </cacheField>
    <cacheField name="24-12-2024" numFmtId="0">
      <sharedItems containsSemiMixedTypes="0" containsString="0" containsNumber="1" minValue="0" maxValue="747.428"/>
    </cacheField>
    <cacheField name="25-12-2024" numFmtId="0">
      <sharedItems containsSemiMixedTypes="0" containsString="0" containsNumber="1" minValue="0" maxValue="955.3119999999999"/>
    </cacheField>
    <cacheField name="26-12-2024" numFmtId="0">
      <sharedItems containsSemiMixedTypes="0" containsString="0" containsNumber="1" minValue="0" maxValue="850.52099999999984"/>
    </cacheField>
    <cacheField name="27-12-2024" numFmtId="0">
      <sharedItems containsSemiMixedTypes="0" containsString="0" containsNumber="1" minValue="0" maxValue="916.87699999999995"/>
    </cacheField>
    <cacheField name="28-12-2024" numFmtId="0">
      <sharedItems containsSemiMixedTypes="0" containsString="0" containsNumber="1" minValue="0" maxValue="923.97099999999989"/>
    </cacheField>
    <cacheField name="29-12-2024" numFmtId="0">
      <sharedItems containsSemiMixedTypes="0" containsString="0" containsNumber="1" minValue="0" maxValue="847.38399999999967"/>
    </cacheField>
    <cacheField name="30-12-2024" numFmtId="0">
      <sharedItems containsSemiMixedTypes="0" containsString="0" containsNumber="1" minValue="0" maxValue="943.96199999999988"/>
    </cacheField>
    <cacheField name="31-12-2024" numFmtId="0">
      <sharedItems containsSemiMixedTypes="0" containsString="0" containsNumber="1" minValue="0" maxValue="785.673"/>
    </cacheField>
    <cacheField name="Average" numFmtId="2">
      <sharedItems containsSemiMixedTypes="0" containsString="0" containsNumber="1" minValue="0" maxValue="867.24166666666656"/>
    </cacheField>
    <cacheField name="Avg consumption/Charger" numFmtId="2">
      <sharedItems containsSemiMixedTypes="0" containsString="0" containsNumber="1" minValue="0" maxValue="198.686333333333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26620368" createdVersion="5" refreshedVersion="8" minRefreshableVersion="3" recordCount="139" xr:uid="{00000000-000A-0000-FFFF-FFFF20000000}">
  <cacheSource type="worksheet">
    <worksheetSource ref="A1:AO140" sheet="Nov 24"/>
  </cacheSource>
  <cacheFields count="41">
    <cacheField name="Sl. No." numFmtId="0">
      <sharedItems containsSemiMixedTypes="0" containsString="0" containsNumber="1" containsInteger="1" minValue="1" maxValue="139"/>
    </cacheField>
    <cacheField name="City" numFmtId="0">
      <sharedItems count="23">
        <s v="Hyderabad"/>
        <s v="Warangal"/>
        <s v="Kerala"/>
        <s v="Vijayawada"/>
        <s v="Vishakapatnam"/>
        <s v="Guntur"/>
        <s v="Rajahmundry"/>
        <s v="Bangalore"/>
        <s v="Coimbatore"/>
        <s v="Chennai"/>
        <s v="Nagpur"/>
        <s v=" Patna"/>
        <s v=" Jodhpur"/>
        <s v="Kolhapur"/>
        <s v="Nogaon"/>
        <s v="Kolkata"/>
        <s v="Kevadiya"/>
        <s v="Noida"/>
        <s v="Ghaziabad"/>
        <s v="Ayodhya"/>
        <s v="Prayagraj"/>
        <s v="Delhi"/>
        <s v="Patna"/>
      </sharedItems>
    </cacheField>
    <cacheField name="Station Name" numFmtId="0">
      <sharedItems count="114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Umdanagar"/>
        <s v="Trinity EV Charge Hub Moula Ali"/>
        <s v="Trinity EV Charge Hub Sitaphalmandi"/>
        <s v="Trinity EV Charge Hub, Aramghar"/>
        <s v="Trinity EV Charge Hub, Hi-Tec City - 2"/>
        <s v="Trinity EV Charge Hub, Hi-Tec City - 1"/>
        <s v="Trinity EV Charge Hub, Mettuguda - 2"/>
        <s v="Trinity EV Charge Hub, Mettuguda - 1"/>
        <s v="Trinity EV Charge Hub, Yapral"/>
        <s v="Trinity EV Charge Hub, Attapur"/>
        <s v="EV Charge Hub, Bluedart Madhapur"/>
        <s v="Trinity EV Charge Hub, Nacharam"/>
        <s v="Trinity EV Charge Hub, Niharika Landmark, Hyderabad"/>
        <s v="Trinity EV Charge Hub, Uppal, Hyderabad"/>
        <s v="Trinity EV Charge Hub, Rasoolpura, Hyderabad"/>
        <s v="Trinity EV Charge Hub, Hallmark Tranquil Apartment"/>
        <s v="Trinity EV Charge Hub, Gajularamaram, Hyderabad"/>
        <s v="EV Charge Hub, Bachupally, Hyderabad"/>
        <s v="Trinity EV Charge Hub, Sri Dattatreya Hostel, Hyderabad"/>
        <s v="EV Charge Hub, Mowo-Kukatpally, Hyderabad"/>
        <s v="EV Charge Hub, GMR Mahalakshmi Foundation ,Shamshabad, Hyderabad"/>
        <s v="Trinity EV Charge Hub,Lavish Electric Wheel Club, Shaikpet , Hyderabad"/>
        <s v="Trinity EV Charge Hub, My Home Mangala, Hyderabad"/>
        <s v="Trinity EV Charge Hub, Niharika Sky Line, Hyderabad"/>
        <s v="Trinity EV Charge Hub, Post Offlice-Sainikpuri, Hyderabad"/>
        <s v="Trinity EV Charge Hub, Zevo-Chinthal , Hyderabad"/>
        <s v="Trinity EV Charge Hub,Tejaswi Green Energy Pvt Ltd, Hyderabad"/>
        <s v="Trinity EV Charge Hub, Tata Geeta Auto Commercials, Warangal"/>
        <s v="EV Charge Hub, Bluedart Balanagar, Hyderabad"/>
        <s v="Trinity EV Charge Hub, Gundla Pochampally, Hyderabad"/>
        <s v="EV Charge Hub, Bluedart Tellapur, Hyderabad"/>
        <s v="Deccan College of Engg. - Nampally"/>
        <s v="_x000a_Trinity EV Charge Hub, Kukatpally, Hyderabad"/>
        <s v="Trinity EV Charge Hub, Tata Kaps Motors,Malappuram"/>
        <s v="ETO Drivers home"/>
        <s v="HMRL - Habsiguda"/>
        <s v="EV Charge Hub, Auto Nagar - Vijayawada"/>
        <s v="EV Charge Hub, Flipkart - Vijayawada"/>
        <s v="EV Charge Hub, Gati , Visakhapatnam"/>
        <s v="EV Charge Hub, Auto Nagar- Visakhapatnam"/>
        <s v="Trinity EV Charge Hub, Guntur"/>
        <s v="Trinity EV Charge Hub, Rajahmundry"/>
        <s v="EV Charge Hub, Halasuru - Flipkart"/>
        <s v="EV Charge Hub, yeshwanthpur - Flipkart"/>
        <s v="Trinity EV Charge Hub, Peenya"/>
        <s v="Trinity EV Charge Hub, RR Nagar"/>
        <s v="Trinity EV Charge Hub, Kannur"/>
        <s v="Trinity EV Charge Hub, ITPL"/>
        <s v="Trinity EV Charge Hub, Andrahalli"/>
        <s v="Trinity EV Charge Hub, Bannerghatta Road"/>
        <s v="Trinity EV Charge Hub, Swiss Cafe, Coimbatore"/>
        <s v="Trinity EV Charge Hub, Madhavaram- Flipkart, Chennai"/>
        <s v="EV Charge Hub, Airport South Metro Station"/>
        <s v="EV Charge Hub,Wadi-Flipkart, Nagpur"/>
        <s v="Trinity EV Charge Hub, Tata Mourya Motors , Patna"/>
        <s v="Trinity EV Charge Hub,Tata Jodhpur Trucks, Jodhpur"/>
        <s v="Trinity EV Charge Hub, Tata Chetan Motors,Kolhapur"/>
        <s v="Trinity EV Charge Hub, Tata Bajrang Auto,Nogaon"/>
        <s v="Trinity EV Charge Hub,Tata GNB Motors, Kolkata_x000a_"/>
        <s v="EV Charging Hub,Kevadia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Trinity EV Charge Hub, Prayagraj,Delhi"/>
        <s v="EV Charge Hub, Shahdara"/>
        <s v="EV Charge Hub, Cargo - Dwarka"/>
        <s v="EV Charge Hub , Usmanpur"/>
        <s v="EV Charge Hub, Azadpur Metro Station"/>
        <s v="EV Charge Hub, Kalkaji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Qutub Vihar, Dwarka"/>
        <s v="Trinity EV Charge Hub, Jamia Millia Islamia Metro Station"/>
        <s v="EV Charge Hub, Radhika Appartment"/>
        <s v="BYPL MCD Parking,Gazipur Gaushala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Trinity EV Charge Hub, Uttam Nagar,Delhi"/>
        <s v="Ev Charge Hub, BRPL Office 2nd Phase,Delhi"/>
        <s v="Ev Charge Hub,PGDAV College, Nehru Nagar, Delhi"/>
        <s v="Ev Charge Hub, BRPL Office Okhla Phase 2,Delhi"/>
        <s v="Ev Charge Hub, Sachivalay,Delhi"/>
        <s v="Ev Charge Hub, BSES Yumana power LTD, Karkardooma, Delhi"/>
        <s v="Trinity EV Charge Hub, Palam,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Trinity EV Charge Hub, Danapur- Flipkart, Patna"/>
        <s v="_x000a_Trinity EV Charge Hub,Kumrar - Flipkart , Patna"/>
        <s v="EV Charge Hub, Bigbasket - Nagpur" u="1"/>
      </sharedItems>
    </cacheField>
    <cacheField name="Location Owner" numFmtId="0">
      <sharedItems containsBlank="1"/>
    </cacheField>
    <cacheField name="Tariff Type" numFmtId="0">
      <sharedItems containsBlank="1"/>
    </cacheField>
    <cacheField name="Charger Capacity" numFmtId="0">
      <sharedItems containsBlank="1"/>
    </cacheField>
    <cacheField name="Type of Charger" numFmtId="0">
      <sharedItems containsBlank="1"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ntainsBlank="1" count="6">
        <s v="Public Charging"/>
        <s v="Charging Service"/>
        <s v="Parking and Charging"/>
        <s v="Sales"/>
        <m u="1"/>
        <s v="Society Charging" u="1"/>
      </sharedItems>
    </cacheField>
    <cacheField name="01-11-2024" numFmtId="0">
      <sharedItems containsString="0" containsBlank="1" containsNumber="1" minValue="0" maxValue="647.69000000000005"/>
    </cacheField>
    <cacheField name="02-11-2024" numFmtId="0">
      <sharedItems containsString="0" containsBlank="1" containsNumber="1" minValue="0" maxValue="610.73600000000022"/>
    </cacheField>
    <cacheField name="03-11-2024" numFmtId="0">
      <sharedItems containsString="0" containsBlank="1" containsNumber="1" minValue="0" maxValue="771.04900000000021"/>
    </cacheField>
    <cacheField name="04-11-2024" numFmtId="0">
      <sharedItems containsString="0" containsBlank="1" containsNumber="1" minValue="0" maxValue="750.8929999999998"/>
    </cacheField>
    <cacheField name="05-11-2024" numFmtId="0">
      <sharedItems containsString="0" containsBlank="1" containsNumber="1" minValue="0" maxValue="650.27399999999966"/>
    </cacheField>
    <cacheField name="06-11-2024" numFmtId="0">
      <sharedItems containsString="0" containsBlank="1" containsNumber="1" minValue="0" maxValue="655.23099999999988"/>
    </cacheField>
    <cacheField name="07-11-2024" numFmtId="0">
      <sharedItems containsString="0" containsBlank="1" containsNumber="1" minValue="0" maxValue="902.39600000000019"/>
    </cacheField>
    <cacheField name="08-11-2024" numFmtId="0">
      <sharedItems containsString="0" containsBlank="1" containsNumber="1" minValue="0" maxValue="732.90600000000006"/>
    </cacheField>
    <cacheField name="09-11-2024" numFmtId="0">
      <sharedItems containsString="0" containsBlank="1" containsNumber="1" minValue="0" maxValue="813.47800000000018"/>
    </cacheField>
    <cacheField name="10-11-2024" numFmtId="0">
      <sharedItems containsString="0" containsBlank="1" containsNumber="1" minValue="0" maxValue="694.91399999999987"/>
    </cacheField>
    <cacheField name="11-11-2024" numFmtId="0">
      <sharedItems containsString="0" containsBlank="1" containsNumber="1" minValue="0" maxValue="612.73900000000003"/>
    </cacheField>
    <cacheField name="12-11-2024" numFmtId="0">
      <sharedItems containsString="0" containsBlank="1" containsNumber="1" minValue="0" maxValue="886.05"/>
    </cacheField>
    <cacheField name="13-11-2024" numFmtId="0">
      <sharedItems containsString="0" containsBlank="1" containsNumber="1" minValue="0" maxValue="715.07800000000009"/>
    </cacheField>
    <cacheField name="14-11-2024" numFmtId="0">
      <sharedItems containsString="0" containsBlank="1" containsNumber="1" minValue="0" maxValue="788.12600000000009"/>
    </cacheField>
    <cacheField name="15-11-2024" numFmtId="0">
      <sharedItems containsString="0" containsBlank="1" containsNumber="1" minValue="0" maxValue="939.59100000000012"/>
    </cacheField>
    <cacheField name="16-11-2024" numFmtId="0">
      <sharedItems containsString="0" containsBlank="1" containsNumber="1" minValue="0" maxValue="816.67700000000013"/>
    </cacheField>
    <cacheField name="17-11-2024" numFmtId="0">
      <sharedItems containsString="0" containsBlank="1" containsNumber="1" minValue="0" maxValue="754.0799999999997"/>
    </cacheField>
    <cacheField name="18-11-2024" numFmtId="0">
      <sharedItems containsString="0" containsBlank="1" containsNumber="1" minValue="0" maxValue="866.26799999999992"/>
    </cacheField>
    <cacheField name="19-11-2024" numFmtId="0">
      <sharedItems containsString="0" containsBlank="1" containsNumber="1" minValue="0" maxValue="704.14599999999984"/>
    </cacheField>
    <cacheField name="20-11-2024" numFmtId="0">
      <sharedItems containsString="0" containsBlank="1" containsNumber="1" minValue="0" maxValue="850.42200000000014"/>
    </cacheField>
    <cacheField name="21-11-2024" numFmtId="0">
      <sharedItems containsString="0" containsBlank="1" containsNumber="1" minValue="0" maxValue="456.642"/>
    </cacheField>
    <cacheField name="22-11-2024" numFmtId="0">
      <sharedItems containsString="0" containsBlank="1" containsNumber="1" minValue="0" maxValue="959.06299999999965"/>
    </cacheField>
    <cacheField name="23-11-2024" numFmtId="0">
      <sharedItems containsString="0" containsBlank="1" containsNumber="1" minValue="0" maxValue="1068.453"/>
    </cacheField>
    <cacheField name="24-11-2024" numFmtId="0">
      <sharedItems containsString="0" containsBlank="1" containsNumber="1" minValue="0" maxValue="789.87999999999988"/>
    </cacheField>
    <cacheField name="25-11-2024" numFmtId="0">
      <sharedItems containsSemiMixedTypes="0" containsString="0" containsNumber="1" minValue="0" maxValue="787.31299999999987"/>
    </cacheField>
    <cacheField name="26-11-2024" numFmtId="0">
      <sharedItems containsSemiMixedTypes="0" containsString="0" containsNumber="1" minValue="0" maxValue="1084.086"/>
    </cacheField>
    <cacheField name="27-11-2024" numFmtId="0">
      <sharedItems containsSemiMixedTypes="0" containsString="0" containsNumber="1" minValue="0" maxValue="767.827"/>
    </cacheField>
    <cacheField name="28-11-2024" numFmtId="0">
      <sharedItems containsSemiMixedTypes="0" containsString="0" containsNumber="1" minValue="0" maxValue="911.32900000000029"/>
    </cacheField>
    <cacheField name="29-11-2024" numFmtId="0">
      <sharedItems containsSemiMixedTypes="0" containsString="0" containsNumber="1" minValue="0" maxValue="784.28899999999999"/>
    </cacheField>
    <cacheField name="30-11-2024" numFmtId="0">
      <sharedItems containsSemiMixedTypes="0" containsString="0" containsNumber="1" minValue="0" maxValue="1045.9069999999997"/>
    </cacheField>
    <cacheField name="Average" numFmtId="2">
      <sharedItems containsSemiMixedTypes="0" containsString="0" containsNumber="1" minValue="0" maxValue="864.1100909090909"/>
    </cacheField>
    <cacheField name="Avg consumption/Charger" numFmtId="2">
      <sharedItems containsSemiMixedTypes="0" containsString="0" containsNumber="1" minValue="0" maxValue="202.081818181818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27546299" createdVersion="5" refreshedVersion="8" minRefreshableVersion="3" recordCount="128" xr:uid="{00000000-000A-0000-FFFF-FFFF1F000000}">
  <cacheSource type="worksheet">
    <worksheetSource ref="A1:AP129" sheet="Oct 24"/>
  </cacheSource>
  <cacheFields count="42">
    <cacheField name="Sl. No." numFmtId="0">
      <sharedItems containsSemiMixedTypes="0" containsString="0" containsNumber="1" containsInteger="1" minValue="1" maxValue="128"/>
    </cacheField>
    <cacheField name="City" numFmtId="0">
      <sharedItems count="16">
        <s v="Hyderabad"/>
        <s v="Warangal"/>
        <s v="Kerala"/>
        <s v="Vijayawada"/>
        <s v="Vishakapatnam"/>
        <s v="Guntur"/>
        <s v="Rajahmundry"/>
        <s v="Bangalore"/>
        <s v="Coimbatore"/>
        <s v="Nagpur"/>
        <s v="Kolhapur"/>
        <s v="Kevadiya"/>
        <s v="Noida"/>
        <s v="Ghaziabad"/>
        <s v="Ayodhya"/>
        <s v="Delhi"/>
      </sharedItems>
    </cacheField>
    <cacheField name="Station Name" numFmtId="0">
      <sharedItems count="104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Umdanagar"/>
        <s v="Trinity EV Charge Hub Moula Ali"/>
        <s v="Trinity EV Charge Hub Sitaphalmandi"/>
        <s v="Trinity EV Charge Hub, Aramghar"/>
        <s v="Trinity EV Charge Hub, Hi-Tec City - 2"/>
        <s v="Trinity EV Charge Hub, Hi-Tec City - 1"/>
        <s v="Trinity EV Charge Hub, Mettuguda - 2"/>
        <s v="Trinity EV Charge Hub, Mettuguda - 1"/>
        <s v="Trinity EV Charge Hub, Shastripuram"/>
        <s v="Trinity EV Charge Hub, Yapral"/>
        <s v="Trinity EV Charge Hub, Attapur"/>
        <s v="EV Charge Hub, Bluedart Madhapur"/>
        <s v="Trinity EV Charge Hub, Nacharam"/>
        <s v="Trinity EV Charge Hub, Niharika Landmark, Hyderabad"/>
        <s v="Trinity EV Charge Hub, Uppal, Hyderabad"/>
        <s v="Trinity EV Charge Hub, Rasoolpura, Hyderabad"/>
        <s v="Trinity EV Charge Hub, Hallmark Tranquil Apartment"/>
        <s v="Trinity EV Charge Hub, Gajularamaram, Hyderabad"/>
        <s v="EV Charge Hub, Bachupally, Hyderabad"/>
        <s v="Trinity EV Charge Hub, Sri Dattatreya Hostel, Hyderabad"/>
        <s v="EV Charge Hub, Mowo-Kukatpally, Hyderabad"/>
        <s v="EV Charge Hub, GMR Mahalakshmi Foundation ,Shamshabad, Hyderabad"/>
        <s v="Trinity EV Charge Hub,Lavish Electric Wheel Club, Shaikpet , Hyderabad"/>
        <s v="Trinity EV Charge Hub, My Home Mangala, Hyderabad"/>
        <s v="Trinity EV Charge Hub, Niharika Sky Line, Hyderabad"/>
        <s v="Trinity EV Charge Hub, Post Offlice-Sainikpuri, Hyderabad"/>
        <s v="Trinity EV Charge Hub, Zevo-Chinthal , Hyderabad"/>
        <s v="Trinity EV Charge Hub,Tejaswi Green Energy Pvt Ltd, Hyderabad"/>
        <s v="Trinity EV Charge Hub, Tata Geeta Auto Commercials, Warangal"/>
        <s v="EV Charge Hub, Bluedart Balanagar, Hyderabad"/>
        <s v="Trinity EV Charge Hub, Gundla Pochampally, Hyderabad"/>
        <s v="EV Charge Hub, Bluedart Tellapur, Hyderabad"/>
        <s v="Deccan College of Engg. - Nampally"/>
        <s v="Trinity EV Charge Hub, Tata Kaps Motors,Malappuram"/>
        <s v="ETO Drivers home"/>
        <s v="HMRL - Habsiguda"/>
        <s v="EV Charge Hub, Auto Nagar - Vijayawada"/>
        <s v="EV Charge Hub, Flipkart - Vijayawada"/>
        <s v="EV Charge Hub, Gati , Visakhapatnam"/>
        <s v="EV Charge Hub, Auto Nagar- Visakhapatnam"/>
        <s v="Trinity EV Charge Hub, Guntur"/>
        <s v="Trinity EV Charge Hub, Rajahmundry"/>
        <s v="EV Charge Hub, Halasuru - Flipkart"/>
        <s v="EV Charge Hub, yeshwanthpur - Flipkart"/>
        <s v="Trinity EV Charge Hub, Peenya"/>
        <s v="Trinity EV Charge Hub, RR Nagar"/>
        <s v="Trinity EV Charge Hub, Kannur"/>
        <s v="Trinity EV Charge Hub, ITPL"/>
        <s v="Trinity EV Charge Hub, Andrahalli"/>
        <s v="Trinity EV Charge Hub, Bannerghatta Road"/>
        <s v="Trinity EV Charge Hub, Swiss Cafe, Coimbatore"/>
        <s v="EV Charge Hub, Airport South Metro Station"/>
        <s v="EV Charge Hub, Bigbasket - Nagpur"/>
        <s v="EV Charge Hub,Wadi-Flipkart, Nagpur"/>
        <s v="Trinity EV Charge Hub, Tata Chetan Motors,Kolhapur"/>
        <s v="EV Charging Hub,Kevadia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EV Charge Hub, Kalkaji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Gazipur Gaushala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Trinity EV Charge Hub, Uttam Nagar,Delhi"/>
        <s v="Ev Charge Hub, BRPL Office 2nd Phase,Delhi"/>
        <s v="Ev Charge Hub,PGDAV College, Nehru Nagar, Delhi"/>
        <s v="Ev Charge Hub, BRPL Office Okhla Phase 2,Delhi"/>
        <s v="Ev Charge Hub, Sachivalay,Delhi"/>
        <s v="Ev Charge Hub, BSES Yumana power LTD, Karkardooma, Delhi"/>
        <s v="Log9 - Near Max hospital Milan apartment"/>
        <s v="Log9 - Covered Parking, Mother dairy"/>
        <s v="ETO - BYPL MCD"/>
        <s v="BSES Rajdhani Customer"/>
        <s v="ETO - DHL, Noida"/>
        <s v="Mayur vihar cargo parking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3">
        <s v="Public Charging"/>
        <s v="Parking and Charging"/>
        <s v="Society Charging"/>
      </sharedItems>
    </cacheField>
    <cacheField name="01-10-2024" numFmtId="2">
      <sharedItems containsString="0" containsBlank="1" containsNumber="1" minValue="0" maxValue="949.726"/>
    </cacheField>
    <cacheField name="02-10-2024" numFmtId="2">
      <sharedItems containsString="0" containsBlank="1" containsNumber="1" minValue="0" maxValue="1132.5609999999995"/>
    </cacheField>
    <cacheField name="03-10-2024" numFmtId="2">
      <sharedItems containsString="0" containsBlank="1" containsNumber="1" minValue="0" maxValue="546.60400000000016"/>
    </cacheField>
    <cacheField name="04-10-2024" numFmtId="2">
      <sharedItems containsString="0" containsBlank="1" containsNumber="1" minValue="0" maxValue="962.82100000000003"/>
    </cacheField>
    <cacheField name="05-10-2024" numFmtId="2">
      <sharedItems containsString="0" containsBlank="1" containsNumber="1" minValue="0" maxValue="632.69700000000012"/>
    </cacheField>
    <cacheField name="06-10-2024" numFmtId="2">
      <sharedItems containsString="0" containsBlank="1" containsNumber="1" minValue="0" maxValue="692.45199999999988"/>
    </cacheField>
    <cacheField name="07-10-2024" numFmtId="2">
      <sharedItems containsString="0" containsBlank="1" containsNumber="1" minValue="0" maxValue="883.15500000000009"/>
    </cacheField>
    <cacheField name="08-10-2024" numFmtId="2">
      <sharedItems containsString="0" containsBlank="1" containsNumber="1" minValue="0" maxValue="840.63700000000006"/>
    </cacheField>
    <cacheField name="09-10-2024" numFmtId="2">
      <sharedItems containsString="0" containsBlank="1" containsNumber="1" minValue="0" maxValue="749.44399999999985"/>
    </cacheField>
    <cacheField name="10-10-2024" numFmtId="2">
      <sharedItems containsString="0" containsBlank="1" containsNumber="1" minValue="0" maxValue="651.23"/>
    </cacheField>
    <cacheField name="11-10-2024" numFmtId="0">
      <sharedItems containsString="0" containsBlank="1" containsNumber="1" minValue="0" maxValue="714.54899999999998"/>
    </cacheField>
    <cacheField name="12-10-2024" numFmtId="0">
      <sharedItems containsString="0" containsBlank="1" containsNumber="1" minValue="0" maxValue="749.77300000000014"/>
    </cacheField>
    <cacheField name="13-10-2024" numFmtId="0">
      <sharedItems containsString="0" containsBlank="1" containsNumber="1" minValue="0" maxValue="481.012"/>
    </cacheField>
    <cacheField name="14-10-2024" numFmtId="0">
      <sharedItems containsString="0" containsBlank="1" containsNumber="1" minValue="0" maxValue="670.40099999999984"/>
    </cacheField>
    <cacheField name="15-10-2024" numFmtId="0">
      <sharedItems containsString="0" containsBlank="1" containsNumber="1" minValue="0" maxValue="800.46399999999994"/>
    </cacheField>
    <cacheField name="16-10-2024" numFmtId="0">
      <sharedItems containsString="0" containsBlank="1" containsNumber="1" minValue="0" maxValue="835.78600000000006"/>
    </cacheField>
    <cacheField name="17-10-2024" numFmtId="0">
      <sharedItems containsString="0" containsBlank="1" containsNumber="1" minValue="0" maxValue="722.09800000000007"/>
    </cacheField>
    <cacheField name="18-10-2024" numFmtId="0">
      <sharedItems containsString="0" containsBlank="1" containsNumber="1" minValue="0" maxValue="863.15100000000007"/>
    </cacheField>
    <cacheField name="19-10-2024" numFmtId="0">
      <sharedItems containsString="0" containsBlank="1" containsNumber="1" minValue="0" maxValue="847.2299999999999"/>
    </cacheField>
    <cacheField name="20-10-2024" numFmtId="0">
      <sharedItems containsString="0" containsBlank="1" containsNumber="1" minValue="0" maxValue="643.73400000000004"/>
    </cacheField>
    <cacheField name="21-10-2024" numFmtId="0">
      <sharedItems containsString="0" containsBlank="1" containsNumber="1" minValue="0" maxValue="954.86299999999994"/>
    </cacheField>
    <cacheField name="22-10-2024" numFmtId="0">
      <sharedItems containsString="0" containsBlank="1" containsNumber="1" minValue="0" maxValue="773.47800000000029"/>
    </cacheField>
    <cacheField name="23-10-2024" numFmtId="0">
      <sharedItems containsSemiMixedTypes="0" containsString="0" containsNumber="1" minValue="0" maxValue="870.72499999999991"/>
    </cacheField>
    <cacheField name="24-10-2024" numFmtId="0">
      <sharedItems containsSemiMixedTypes="0" containsString="0" containsNumber="1" minValue="0" maxValue="744.10599999999988"/>
    </cacheField>
    <cacheField name="25-10-2024" numFmtId="0">
      <sharedItems containsSemiMixedTypes="0" containsString="0" containsNumber="1" minValue="0" maxValue="716.50699999999995"/>
    </cacheField>
    <cacheField name="26-10-2024" numFmtId="0">
      <sharedItems containsSemiMixedTypes="0" containsString="0" containsNumber="1" minValue="0" maxValue="930.22900000000027"/>
    </cacheField>
    <cacheField name="27-10-2024" numFmtId="0">
      <sharedItems containsSemiMixedTypes="0" containsString="0" containsNumber="1" minValue="0" maxValue="879.31099999999992"/>
    </cacheField>
    <cacheField name="28-10-2024" numFmtId="0">
      <sharedItems containsSemiMixedTypes="0" containsString="0" containsNumber="1" minValue="0" maxValue="772.39"/>
    </cacheField>
    <cacheField name="29-10-2024" numFmtId="0">
      <sharedItems containsSemiMixedTypes="0" containsString="0" containsNumber="1" minValue="0" maxValue="774.86800000000005"/>
    </cacheField>
    <cacheField name="30-10-2024" numFmtId="0">
      <sharedItems containsSemiMixedTypes="0" containsString="0" containsNumber="1" minValue="0" maxValue="644.9250000000003"/>
    </cacheField>
    <cacheField name="31-10-2024" numFmtId="0">
      <sharedItems containsSemiMixedTypes="0" containsString="0" containsNumber="1" minValue="0" maxValue="810.9200000000003"/>
    </cacheField>
    <cacheField name="Average" numFmtId="2">
      <sharedItems containsSemiMixedTypes="0" containsString="0" containsNumber="1" minValue="0" maxValue="799.02006249999999"/>
    </cacheField>
    <cacheField name="Avg consumption/Charger" numFmtId="2">
      <sharedItems containsSemiMixedTypes="0" containsString="0" containsNumber="1" minValue="0" maxValue="248.386875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28356484" createdVersion="5" refreshedVersion="8" minRefreshableVersion="3" recordCount="117" xr:uid="{00000000-000A-0000-FFFF-FFFF1E000000}">
  <cacheSource type="worksheet">
    <worksheetSource ref="A1:AO118" sheet="Sep 24"/>
  </cacheSource>
  <cacheFields count="41">
    <cacheField name="Sl. No." numFmtId="0">
      <sharedItems containsSemiMixedTypes="0" containsString="0" containsNumber="1" containsInteger="1" minValue="1" maxValue="117"/>
    </cacheField>
    <cacheField name="City" numFmtId="0">
      <sharedItems count="13">
        <s v="Hyderabad"/>
        <s v="Vijayawada"/>
        <s v="Vishakapatnam"/>
        <s v="Guntur"/>
        <s v="Rajahmundry"/>
        <s v="Bangalore"/>
        <s v="Coimbatore"/>
        <s v="Nagpur"/>
        <s v="Kevadiya"/>
        <s v="Noida"/>
        <s v="Ghaziabad"/>
        <s v="Ayodhya"/>
        <s v="Delhi"/>
      </sharedItems>
    </cacheField>
    <cacheField name="Station Name" numFmtId="0">
      <sharedItems count="98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Umdanagar"/>
        <s v="Trinity EV Charge Hub Moula Ali"/>
        <s v="Trinity EV Charge Hub Sitaphalmandi"/>
        <s v="Trinity EV Charge Hub, Aramghar"/>
        <s v="Trinity EV Charge Hub, Hi-Tec City - 2"/>
        <s v="Trinity EV Charge Hub, Hi-Tec City - 1"/>
        <s v="Trinity EV Charge Hub, Mettuguda - 2"/>
        <s v="Trinity EV Charge Hub, Mettuguda - 1"/>
        <s v="Trinity EV Charge Hub, Shastripuram"/>
        <s v="Trinity EV Charge Hub, Yapral"/>
        <s v="Trinity EV Charge Hub, Attapur"/>
        <s v="EV Charge Hub, Bluedart Madhapur"/>
        <s v="Trinity EV Charge Hub, Nacharam"/>
        <s v="Trinity EV Charge Hub, Niharika Landmark, Hyderabad"/>
        <s v="Trinity EV Charge Hub, Uppal, Hyderabad"/>
        <s v="Trinity EV Charge Hub, Rasoolpura, Hyderabad"/>
        <s v="Trinity EV Charge Hub, Hallmark Tranquil Apartment"/>
        <s v="Trinity EV Charge Hub, Gajularamaram, Hyderabad"/>
        <s v="EV Charge Hub, Bachupally, Hyderabad"/>
        <s v="Trinity EV Charge Hub, Sri Dattatreya Hostel, Hyderabad"/>
        <s v="EV Charge Hub, Mowo-Kukatpally, Hyderabad"/>
        <s v="EV Charge Hub, GMR Mahalakshmi Foundation ,Shamshabad, Hyderabad"/>
        <s v="Trinity EV Charge Hub,Lavish Electric Wheel Club, Shaikpet , Hyderabad"/>
        <s v="Trinity EV Charge Hub, My Home Mangala, Hyderabad"/>
        <s v="Trinity EV Charge Hub, Niharika Sky Line, Hyderabad"/>
        <s v="Trinity EV Charge Hub, Zevo-Chinthal , Hyderabad"/>
        <s v="Trinity EV Charge Hub,Tejaswi Green Energy Pvt Ltd, Hyderabad"/>
        <s v="Deccan College of Engg. - Nampally"/>
        <s v="ETO Drivers home"/>
        <s v="HMRL - Habsiguda"/>
        <s v="EV Charge Hub, Auto Nagar - Vijayawada"/>
        <s v="EV Charge Hub, Flipkart - Vijayawada"/>
        <s v="EV Charge Hub, Gati , Visakhapatnam"/>
        <s v="EV Charge Hub, Auto Nagar- Visakhapatnam"/>
        <s v="EV Charge Hub, Auto Nagar - Guntur"/>
        <s v="Trinity EV Charge Hub, Rajahmundry"/>
        <s v="EV Charge Hub, Halasuru - Flipkart"/>
        <s v="EV Charge Hub, yeshwanthpur - Flipkart"/>
        <s v="Trinity EV Charge Hub, Peenya"/>
        <s v="Trinity EV Charge Hub, RR Nagar"/>
        <s v="Trinity EV Charge Hub, Kannur"/>
        <s v="Trinity EV Charge Hub, ITPL"/>
        <s v="Trinity EV Charge Hub, Andrahalli"/>
        <s v="Trinity EV Charge Hub, Bannerghatta Road"/>
        <s v="Trinity EV Charge Hub, Swiss Cafe, Coimbatore"/>
        <s v="EV Charge Hub, Airport South Metro Station"/>
        <s v="EV Charge Hub, Bigbasket - Nagpur"/>
        <s v="EV Charge Hub,Wadi-Flipkart, Nagpur"/>
        <s v="EV Charging Hub,Kevadia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EV Charge Hub, Kalkaji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Gazipur Gaushala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Trinity EV Charge Hub, Uttam Nagar,Delhi"/>
        <s v="Ev Charge Hub, BRPL Office 2nd Phase,Delhi"/>
        <s v="Ev Charge Hub,PGDAV College, Nehru Nagar, Delhi"/>
        <s v="Ev Charge Hub, BRPL Office Okhla Phase 2,Delhi"/>
        <s v="Ev Charge Hub, Sachivalay,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  <s v="Trinity EV Charge Hub, Hi-Tec City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0" maxValue="87"/>
    </cacheField>
    <cacheField name="Station Type" numFmtId="0">
      <sharedItems count="3">
        <s v="Public Charging"/>
        <s v="Parking and Charging"/>
        <s v="Society Charging"/>
      </sharedItems>
    </cacheField>
    <cacheField name="01-09-2024" numFmtId="2">
      <sharedItems containsString="0" containsBlank="1" containsNumber="1" minValue="0" maxValue="820.61599999999976"/>
    </cacheField>
    <cacheField name="02-09-2024" numFmtId="2">
      <sharedItems containsString="0" containsBlank="1" containsNumber="1" minValue="0" maxValue="858.53300000000002"/>
    </cacheField>
    <cacheField name="03-09-2024" numFmtId="2">
      <sharedItems containsString="0" containsBlank="1" containsNumber="1" minValue="0" maxValue="806.96900000000005"/>
    </cacheField>
    <cacheField name="04-09-2024" numFmtId="2">
      <sharedItems containsString="0" containsBlank="1" containsNumber="1" minValue="0" maxValue="671.14400000000001"/>
    </cacheField>
    <cacheField name="05-09-2024" numFmtId="2">
      <sharedItems containsString="0" containsBlank="1" containsNumber="1" minValue="0" maxValue="855.40299999999968"/>
    </cacheField>
    <cacheField name="06-09-2024" numFmtId="2">
      <sharedItems containsString="0" containsBlank="1" containsNumber="1" minValue="0" maxValue="811.47500000000025"/>
    </cacheField>
    <cacheField name="07-09-2024" numFmtId="2">
      <sharedItems containsString="0" containsBlank="1" containsNumber="1" minValue="0" maxValue="751.35300000000007"/>
    </cacheField>
    <cacheField name="08-09-2024" numFmtId="2">
      <sharedItems containsString="0" containsBlank="1" containsNumber="1" minValue="0" maxValue="518.221"/>
    </cacheField>
    <cacheField name="09-09-2024" numFmtId="2">
      <sharedItems containsString="0" containsBlank="1" containsNumber="1" minValue="0" maxValue="762.76300000000015"/>
    </cacheField>
    <cacheField name="10-09-2024" numFmtId="2">
      <sharedItems containsString="0" containsBlank="1" containsNumber="1" minValue="0" maxValue="961.9369999999999"/>
    </cacheField>
    <cacheField name="11-09-2024" numFmtId="2">
      <sharedItems containsString="0" containsBlank="1" containsNumber="1" minValue="0" maxValue="517.82099999999991"/>
    </cacheField>
    <cacheField name="12-09-2024" numFmtId="2">
      <sharedItems containsString="0" containsBlank="1" containsNumber="1" minValue="0" maxValue="602.327"/>
    </cacheField>
    <cacheField name="13-09-2024" numFmtId="2">
      <sharedItems containsString="0" containsBlank="1" containsNumber="1" minValue="0" maxValue="682.95200000000034"/>
    </cacheField>
    <cacheField name="14-09-2024" numFmtId="2">
      <sharedItems containsString="0" containsBlank="1" containsNumber="1" minValue="0" maxValue="746.02399999999966"/>
    </cacheField>
    <cacheField name="15-09-2024" numFmtId="2">
      <sharedItems containsString="0" containsBlank="1" containsNumber="1" minValue="0" maxValue="851.23"/>
    </cacheField>
    <cacheField name="16-09-2024" numFmtId="2">
      <sharedItems containsString="0" containsBlank="1" containsNumber="1" minValue="0" maxValue="858.32100000000003"/>
    </cacheField>
    <cacheField name="17-09-2024" numFmtId="2">
      <sharedItems containsSemiMixedTypes="0" containsString="0" containsNumber="1" minValue="0" maxValue="819.2679999999998"/>
    </cacheField>
    <cacheField name="18-09-2024" numFmtId="2">
      <sharedItems containsSemiMixedTypes="0" containsString="0" containsNumber="1" minValue="0" maxValue="800.83299999999986"/>
    </cacheField>
    <cacheField name="19-09-2024" numFmtId="2">
      <sharedItems containsSemiMixedTypes="0" containsString="0" containsNumber="1" minValue="0" maxValue="725.66599999999983"/>
    </cacheField>
    <cacheField name="20-09-2024" numFmtId="2">
      <sharedItems containsSemiMixedTypes="0" containsString="0" containsNumber="1" minValue="0" maxValue="941.43299999999977"/>
    </cacheField>
    <cacheField name="21-09-2024" numFmtId="2">
      <sharedItems containsSemiMixedTypes="0" containsString="0" containsNumber="1" minValue="0" maxValue="826.31700000000046"/>
    </cacheField>
    <cacheField name="22-09-2024" numFmtId="2">
      <sharedItems containsSemiMixedTypes="0" containsString="0" containsNumber="1" minValue="0" maxValue="1045.7010000000002"/>
    </cacheField>
    <cacheField name="23-09-2024" numFmtId="2">
      <sharedItems containsSemiMixedTypes="0" containsString="0" containsNumber="1" minValue="0" maxValue="808.29200000000026"/>
    </cacheField>
    <cacheField name="24-09-2024" numFmtId="2">
      <sharedItems containsSemiMixedTypes="0" containsString="0" containsNumber="1" minValue="0" maxValue="856.13299999999981"/>
    </cacheField>
    <cacheField name="25-09-2024" numFmtId="2">
      <sharedItems containsSemiMixedTypes="0" containsString="0" containsNumber="1" minValue="0" maxValue="876.03100000000018"/>
    </cacheField>
    <cacheField name="26-09-2024" numFmtId="2">
      <sharedItems containsSemiMixedTypes="0" containsString="0" containsNumber="1" minValue="0" maxValue="927.14599999999939"/>
    </cacheField>
    <cacheField name="27-09-2024" numFmtId="2">
      <sharedItems containsSemiMixedTypes="0" containsString="0" containsNumber="1" minValue="0" maxValue="1019.2670000000001"/>
    </cacheField>
    <cacheField name="28-09-2024" numFmtId="2">
      <sharedItems containsSemiMixedTypes="0" containsString="0" containsNumber="1" minValue="0" maxValue="775.4879999999996"/>
    </cacheField>
    <cacheField name="29-09-2024" numFmtId="2">
      <sharedItems containsSemiMixedTypes="0" containsString="0" containsNumber="1" minValue="0" maxValue="825.1579999999999"/>
    </cacheField>
    <cacheField name="30-09-2024" numFmtId="2">
      <sharedItems containsSemiMixedTypes="0" containsString="0" containsNumber="1" minValue="0" maxValue="806.22699999999998"/>
    </cacheField>
    <cacheField name="Average" numFmtId="2">
      <sharedItems containsSemiMixedTypes="0" containsString="0" containsNumber="1" minValue="0" maxValue="804.33496666666679"/>
    </cacheField>
    <cacheField name="Avg consumption/Charger" numFmtId="2">
      <sharedItems containsMixedTypes="1" containsNumber="1" minValue="0" maxValue="218.887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29166669" createdVersion="5" refreshedVersion="8" minRefreshableVersion="3" recordCount="113" xr:uid="{00000000-000A-0000-FFFF-FFFF1D000000}">
  <cacheSource type="worksheet">
    <worksheetSource ref="A1:AP114" sheet="August 24"/>
  </cacheSource>
  <cacheFields count="42">
    <cacheField name="Sl. No." numFmtId="0">
      <sharedItems containsSemiMixedTypes="0" containsString="0" containsNumber="1" containsInteger="1" minValue="1" maxValue="113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Station Name" numFmtId="0">
      <sharedItems count="93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Umdanagar"/>
        <s v="Trinity EV Charge Hub Moula Ali"/>
        <s v="Trinity EV Charge Hub Sitaphalmandi"/>
        <s v="Trinity EV Charge Hub, Aramghar"/>
        <s v="Trinity EV Charge Hub, Hi-Tec City"/>
        <s v="Trinity EV Charge Hub, Mettuguda - 2"/>
        <s v="Trinity EV Charge Hub, Mettuguda - 1"/>
        <s v="Trinity EV Charge Hub, Shastripuram"/>
        <s v="Trinity EV Charge Hub, Yapral"/>
        <s v="Trinity EV Charge Hub, Attapur"/>
        <s v="EV Charge Hub, Bluedart Madhapur"/>
        <s v="Trinity EV Charge Hub, Nacharam"/>
        <s v="Trinity EV Charge Hub, Niharika Landmark, Hyderabad"/>
        <s v="Trinity EV Charge Hub, Uppal, Hyderabad"/>
        <s v="Trinity EV Charge Hub, Rasoolpura, Hyderabad"/>
        <s v="Trinity EV Charge Hub, Hallmark Tranquil Apartment"/>
        <s v="Trinity EV Charge Hub, Gajularamaram, Hyderabad"/>
        <s v="EV Charge Hub, Bachupally, Hyderabad"/>
        <s v="Trinity EV Charge Hub, Sri Dattatreya Hostel, Hyderabad"/>
        <s v="EV Charge Hub, Mowo-Kukatpally, Hyderabad"/>
        <s v="EV Charge Hub, GMR Mahalakshmi Foundation ,Shamshabad, Hyderabad"/>
        <s v="Trinity EV Charge Hub,Lavish Electric Wheel Club, Shaikpet , Hyderabad"/>
        <s v="Trinity EV Charge Hub, My Home Mangala, Hyderabad"/>
        <s v="Trinity EV Charge Hub, Niharika Sky Line, Hyderabad"/>
        <s v="Deccan College of Engg. - Nampally"/>
        <s v="ETO Drivers home"/>
        <s v="HMRL - Habsiguda"/>
        <s v="EV Charge Hub, Auto Nagar - Vijayawada"/>
        <s v="EV Charge Hub, Flipkart - Vijayawada"/>
        <s v="EV Charge Hub, Gati , Visakhapatnam"/>
        <s v="EV Charge Hub, Auto Nagar- Visakhapatnam"/>
        <s v="EV Charge Hub, Auto Nagar - Guntur"/>
        <s v="Trinity EV Charge Hub, Rajahmundry"/>
        <s v="EV Charge Hub, Halasuru - Flipkart"/>
        <s v="EV Charge Hub, yeshwanthpur - Flipkart"/>
        <s v="Trinity EV Charge Hub, Peenya"/>
        <s v="Trinity EV Charge Hub, RR Nagar"/>
        <s v="Trinity EV Charge Hub, Kannur"/>
        <s v="Trinity EV Charge Hub, ITPL"/>
        <s v="Trinity EV Charge Hub, Andrahalli"/>
        <s v="Trinity EV Charge Hub, Bannerghatta Road"/>
        <s v="EV Charge Hub, Airport South Metro Station"/>
        <s v="EV Charge Hub, Bigbasket - Nagpur"/>
        <s v="EV Charge Hub,Wadi-Flipkart, Nagpur"/>
        <s v="EV Charging Hub,Kevadia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EV Charge Hub, Kalkaji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Gazipur Gaushala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Trinity EV Charge Hub, Uttam Nagar,Delhi"/>
        <s v="Ev Charge Hub, BRPL Office 2nd Phase,Delhi"/>
        <s v="Ev Charge Hub,PGDAV College, Nehru Nagar, Delhi"/>
        <s v="Ev Charge Hub, BRPL Office Okhla Phase 2,Delhi"/>
        <s v="Ev Charge Hub, Sachivalay,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3">
        <s v="Public Charging"/>
        <s v="Parking and Charging"/>
        <s v="Society Charging"/>
      </sharedItems>
    </cacheField>
    <cacheField name="01-08-2024" numFmtId="2">
      <sharedItems containsString="0" containsBlank="1" containsNumber="1" minValue="0" maxValue="777.49599999999987"/>
    </cacheField>
    <cacheField name="02-08-2024" numFmtId="2">
      <sharedItems containsString="0" containsBlank="1" containsNumber="1" minValue="0" maxValue="751.30500000000006"/>
    </cacheField>
    <cacheField name="03-08-2024" numFmtId="2">
      <sharedItems containsString="0" containsBlank="1" containsNumber="1" minValue="0" maxValue="704.0440000000001"/>
    </cacheField>
    <cacheField name="04-08-2024" numFmtId="2">
      <sharedItems containsString="0" containsBlank="1" containsNumber="1" minValue="0" maxValue="768.66699999999969"/>
    </cacheField>
    <cacheField name="05-08-2024" numFmtId="2">
      <sharedItems containsString="0" containsBlank="1" containsNumber="1" minValue="0" maxValue="824.48599999999999"/>
    </cacheField>
    <cacheField name="06-08-2024" numFmtId="2">
      <sharedItems containsString="0" containsBlank="1" containsNumber="1" minValue="0" maxValue="914.64199999999994"/>
    </cacheField>
    <cacheField name="07-08-2024" numFmtId="2">
      <sharedItems containsString="0" containsBlank="1" containsNumber="1" minValue="0" maxValue="901.71400000000006"/>
    </cacheField>
    <cacheField name="08-08-2024" numFmtId="2">
      <sharedItems containsString="0" containsBlank="1" containsNumber="1" minValue="0" maxValue="986.80400000000009"/>
    </cacheField>
    <cacheField name="09-08-2024" numFmtId="2">
      <sharedItems containsString="0" containsBlank="1" containsNumber="1" minValue="0" maxValue="994.15500000000009"/>
    </cacheField>
    <cacheField name="10-08-2024" numFmtId="2">
      <sharedItems containsString="0" containsBlank="1" containsNumber="1" minValue="0" maxValue="930.25500000000011"/>
    </cacheField>
    <cacheField name="11-08-2024" numFmtId="2">
      <sharedItems containsString="0" containsBlank="1" containsNumber="1" minValue="0" maxValue="989.37700000000007"/>
    </cacheField>
    <cacheField name="12-08-2024" numFmtId="2">
      <sharedItems containsString="0" containsBlank="1" containsNumber="1" minValue="0" maxValue="744.92900000000031"/>
    </cacheField>
    <cacheField name="13-08-2024" numFmtId="2">
      <sharedItems containsString="0" containsBlank="1" containsNumber="1" minValue="0" maxValue="1013.9089999999998"/>
    </cacheField>
    <cacheField name="14-08-2024" numFmtId="2">
      <sharedItems containsString="0" containsBlank="1" containsNumber="1" minValue="0" maxValue="882.72800000000029"/>
    </cacheField>
    <cacheField name="15-08-2024" numFmtId="2">
      <sharedItems containsString="0" containsBlank="1" containsNumber="1" minValue="0" maxValue="802.74399999999957"/>
    </cacheField>
    <cacheField name="16-08-2024" numFmtId="2">
      <sharedItems containsString="0" containsBlank="1" containsNumber="1" minValue="0" maxValue="1170.0639999999999"/>
    </cacheField>
    <cacheField name="17-08-2024" numFmtId="2">
      <sharedItems containsString="0" containsBlank="1" containsNumber="1" minValue="0" maxValue="744.76300000000026"/>
    </cacheField>
    <cacheField name="18-08-2024" numFmtId="2">
      <sharedItems containsString="0" containsBlank="1" containsNumber="1" minValue="0" maxValue="1097.606"/>
    </cacheField>
    <cacheField name="19-08-2024" numFmtId="2">
      <sharedItems containsString="0" containsBlank="1" containsNumber="1" minValue="0" maxValue="872.24100000000021"/>
    </cacheField>
    <cacheField name="20-08-2024" numFmtId="2">
      <sharedItems containsString="0" containsBlank="1" containsNumber="1" minValue="0" maxValue="806.51899999999966"/>
    </cacheField>
    <cacheField name="21-08-2024" numFmtId="2">
      <sharedItems containsString="0" containsBlank="1" containsNumber="1" minValue="0" maxValue="993.99899999999991"/>
    </cacheField>
    <cacheField name="22-08-2024" numFmtId="2">
      <sharedItems containsString="0" containsBlank="1" containsNumber="1" minValue="0" maxValue="805.80500000000006"/>
    </cacheField>
    <cacheField name="23-08-2024" numFmtId="2">
      <sharedItems containsString="0" containsBlank="1" containsNumber="1" minValue="0" maxValue="891.90399999999966"/>
    </cacheField>
    <cacheField name="24-08-2024" numFmtId="2">
      <sharedItems containsString="0" containsBlank="1" containsNumber="1" minValue="0" maxValue="837.95999999999958"/>
    </cacheField>
    <cacheField name="25-08-2024" numFmtId="2">
      <sharedItems containsString="0" containsBlank="1" containsNumber="1" minValue="0" maxValue="1110.1919999999998"/>
    </cacheField>
    <cacheField name="26-08-2024" numFmtId="2">
      <sharedItems containsString="0" containsBlank="1" containsNumber="1" minValue="0" maxValue="996.87199999999996"/>
    </cacheField>
    <cacheField name="27-08-2024" numFmtId="2">
      <sharedItems containsString="0" containsBlank="1" containsNumber="1" minValue="0" maxValue="671.21599999999989"/>
    </cacheField>
    <cacheField name="28-08-2024" numFmtId="2">
      <sharedItems containsString="0" containsBlank="1" containsNumber="1" minValue="0" maxValue="1170.0290000000005"/>
    </cacheField>
    <cacheField name="29-08-2024" numFmtId="2">
      <sharedItems containsSemiMixedTypes="0" containsString="0" containsNumber="1" minValue="0" maxValue="1042.03"/>
    </cacheField>
    <cacheField name="30-08-2024" numFmtId="2">
      <sharedItems containsSemiMixedTypes="0" containsString="0" containsNumber="1" minValue="0" maxValue="826.82299999999975"/>
    </cacheField>
    <cacheField name="31-08-2024" numFmtId="2">
      <sharedItems containsSemiMixedTypes="0" containsString="0" containsNumber="1" minValue="0" maxValue="962.02700000000027"/>
    </cacheField>
    <cacheField name="Average" numFmtId="2">
      <sharedItems containsSemiMixedTypes="0" containsString="0" containsNumber="1" minValue="0" maxValue="902.81629032258058"/>
    </cacheField>
    <cacheField name="Avg consumption/Charger" numFmtId="165">
      <sharedItems containsSemiMixedTypes="0" containsString="0" containsNumber="1" minValue="0" maxValue="197.094838709677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2974537" createdVersion="5" refreshedVersion="8" minRefreshableVersion="3" recordCount="102" xr:uid="{00000000-000A-0000-FFFF-FFFF1C000000}">
  <cacheSource type="worksheet">
    <worksheetSource ref="A1:AP103" sheet="July 24"/>
  </cacheSource>
  <cacheFields count="42">
    <cacheField name="Sl. No." numFmtId="0">
      <sharedItems containsSemiMixedTypes="0" containsString="0" containsNumber="1" containsInteger="1" minValue="1" maxValue="102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Station Name" numFmtId="0">
      <sharedItems count="82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Umdanagar"/>
        <s v="Trinity EV Charge Hub Moula Ali"/>
        <s v="Trinity EV Charge Hub Sitaphalmandi"/>
        <s v="Trinity EV Charge Hub, Aramghar"/>
        <s v="Trinity EV Charge Hub, Hi-Tec City"/>
        <s v="Trinity EV Charge Hub, Mettuguda - 2"/>
        <s v="Trinity EV Charge Hub, Mettuguda - 1"/>
        <s v="Trinity EV Charge Hub, Shastripuram"/>
        <s v="Trinity EV Charge Hub, Yapral"/>
        <s v="Trinity EV Charge Hub, Attapur"/>
        <s v="EV Charge Hub, Bluedart Madhapur"/>
        <s v="Trinity EV Charge Hub, Nacharam"/>
        <s v="Trinity EV Charge Hub, Niharika Landmark, Hyderabad"/>
        <s v="Trinity EV Charge Hub, Uppal, Hyderabad"/>
        <s v="Trinity EV Charge Hub, Rasoolpura, Hyderabad"/>
        <s v="Trinity EV Charge Hub, Hallmark Tranquil Apartment"/>
        <s v="Trinity EV Charge Hub, Gajularamaram, Hyderabad"/>
        <s v="EV Charge Hub, Bachupally, Hyderabad"/>
        <s v="Trinity EV Charge Hub, Sri Dattatreya Hostel, Hyderabad"/>
        <s v="Deccan College of Engg. - Nampally"/>
        <s v="ETO Drivers home"/>
        <s v="HMRL - Habsiguda"/>
        <s v="EV Charge Hub, Auto Nagar - Vijayawada"/>
        <s v="EV Charge Hub, Flipkart - Vijayawada"/>
        <s v="EV Charge Hub, Gati , Visakhapatnam"/>
        <s v="EV Charge Hub, Auto Nagar- Visakhapatnam"/>
        <s v="EV Charge Hub, Auto Nagar - Guntur"/>
        <s v="Trinity EV Charge Hub, Rajahmundry"/>
        <s v="EV Charge Hub, Halasuru - Flipkart"/>
        <s v="EV Charge Hub, yeshwanthpur - Flipkart"/>
        <s v="Trinity EV Charge Hub, Peenya"/>
        <s v="Trinity EV Charge Hub, RR Nagar"/>
        <s v="Trinity EV Charge Hub, Kannur"/>
        <s v="Trinity EV Charge Hub, ITPL"/>
        <s v="Trinity EV Charge Hub, Andrahalli"/>
        <s v="EV Charge Hub, Airport South Metro Station"/>
        <s v="EV Charge Hub, Bigbasket - Nagpur"/>
        <s v="EV Charging Hub,Kevadia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EV Charge Hub, Kalkaji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BYPL MCD Parking,Janta Flat, Nandnagri"/>
        <s v="Ev Charge Hub, IIITD , Delhi"/>
        <s v="Trinity EV Charge Hub, Uttam Nagar,Delhi"/>
        <s v="Ev Charge Hub, BRPL Office 2nd Phase,Delh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87"/>
    </cacheField>
    <cacheField name="Station Type" numFmtId="0">
      <sharedItems count="3">
        <s v="Public Charging"/>
        <s v="Parking and Charging"/>
        <s v="Society Charging"/>
      </sharedItems>
    </cacheField>
    <cacheField name="01-07-2024" numFmtId="2">
      <sharedItems containsString="0" containsBlank="1" containsNumber="1" minValue="0" maxValue="472.43"/>
    </cacheField>
    <cacheField name="02-07-2024" numFmtId="2">
      <sharedItems containsString="0" containsBlank="1" containsNumber="1" minValue="0" maxValue="466.94"/>
    </cacheField>
    <cacheField name="03-07-2024" numFmtId="2">
      <sharedItems containsString="0" containsBlank="1" containsNumber="1" minValue="0" maxValue="483.64"/>
    </cacheField>
    <cacheField name="04-07-2024" numFmtId="2">
      <sharedItems containsString="0" containsBlank="1" containsNumber="1" minValue="0" maxValue="456.83"/>
    </cacheField>
    <cacheField name="05-07-2024" numFmtId="2">
      <sharedItems containsString="0" containsBlank="1" containsNumber="1" minValue="0" maxValue="425.7"/>
    </cacheField>
    <cacheField name="06-07-2024" numFmtId="2">
      <sharedItems containsString="0" containsBlank="1" containsNumber="1" minValue="0" maxValue="515.33000000000004"/>
    </cacheField>
    <cacheField name="07-07-2024" numFmtId="2">
      <sharedItems containsString="0" containsBlank="1" containsNumber="1" minValue="0" maxValue="497.64"/>
    </cacheField>
    <cacheField name="08-07-2024" numFmtId="2">
      <sharedItems containsString="0" containsBlank="1" containsNumber="1" minValue="0" maxValue="496.31"/>
    </cacheField>
    <cacheField name="09-07-2024" numFmtId="2">
      <sharedItems containsString="0" containsBlank="1" containsNumber="1" minValue="0" maxValue="382.17"/>
    </cacheField>
    <cacheField name="10-07-2024" numFmtId="2">
      <sharedItems containsString="0" containsBlank="1" containsNumber="1" minValue="0" maxValue="466.46"/>
    </cacheField>
    <cacheField name="11-07-2024" numFmtId="2">
      <sharedItems containsString="0" containsBlank="1" containsNumber="1" minValue="0" maxValue="446.86"/>
    </cacheField>
    <cacheField name="12-07-2024" numFmtId="2">
      <sharedItems containsString="0" containsBlank="1" containsNumber="1" minValue="0" maxValue="506.78"/>
    </cacheField>
    <cacheField name="13-07-2024" numFmtId="2">
      <sharedItems containsString="0" containsBlank="1" containsNumber="1" minValue="0" maxValue="460.27"/>
    </cacheField>
    <cacheField name="14-07-2024" numFmtId="2">
      <sharedItems containsString="0" containsBlank="1" containsNumber="1" minValue="0" maxValue="670.1129999999996"/>
    </cacheField>
    <cacheField name="15-07-2024" numFmtId="2">
      <sharedItems containsString="0" containsBlank="1" containsNumber="1" minValue="0" maxValue="515.41"/>
    </cacheField>
    <cacheField name="16-07-2024" numFmtId="2">
      <sharedItems containsString="0" containsBlank="1" containsNumber="1" minValue="0" maxValue="528.26"/>
    </cacheField>
    <cacheField name="17-07-2024" numFmtId="2">
      <sharedItems containsString="0" containsBlank="1" containsNumber="1" minValue="0" maxValue="595.4"/>
    </cacheField>
    <cacheField name="18-07-2024" numFmtId="2">
      <sharedItems containsString="0" containsBlank="1" containsNumber="1" minValue="0" maxValue="487.42"/>
    </cacheField>
    <cacheField name="19-07-2024" numFmtId="2">
      <sharedItems containsString="0" containsBlank="1" containsNumber="1" minValue="0" maxValue="586.03"/>
    </cacheField>
    <cacheField name="20-07-2024" numFmtId="2">
      <sharedItems containsString="0" containsBlank="1" containsNumber="1" minValue="0" maxValue="597.83000000000004"/>
    </cacheField>
    <cacheField name="21-07-2024" numFmtId="2">
      <sharedItems containsString="0" containsBlank="1" containsNumber="1" minValue="0" maxValue="737.58"/>
    </cacheField>
    <cacheField name="22-07-2024" numFmtId="0">
      <sharedItems containsString="0" containsBlank="1" containsNumber="1" minValue="0" maxValue="659.96299999999997"/>
    </cacheField>
    <cacheField name="23-07-2024" numFmtId="2">
      <sharedItems containsString="0" containsBlank="1" containsNumber="1" minValue="0" maxValue="573.59"/>
    </cacheField>
    <cacheField name="24-07-2024" numFmtId="2">
      <sharedItems containsString="0" containsBlank="1" containsNumber="1" minValue="0" maxValue="699.99099999999964"/>
    </cacheField>
    <cacheField name="25-07-2024" numFmtId="2">
      <sharedItems containsSemiMixedTypes="0" containsString="0" containsNumber="1" minValue="0" maxValue="801.37"/>
    </cacheField>
    <cacheField name="26-07-2024" numFmtId="2">
      <sharedItems containsSemiMixedTypes="0" containsString="0" containsNumber="1" minValue="0" maxValue="823.17099999999948"/>
    </cacheField>
    <cacheField name="27-07-2024" numFmtId="2">
      <sharedItems containsSemiMixedTypes="0" containsString="0" containsNumber="1" minValue="0" maxValue="768.44999999999982"/>
    </cacheField>
    <cacheField name="28-07-2024" numFmtId="2">
      <sharedItems containsSemiMixedTypes="0" containsString="0" containsNumber="1" minValue="0" maxValue="808.70399999999984"/>
    </cacheField>
    <cacheField name="29-07-2024" numFmtId="2">
      <sharedItems containsSemiMixedTypes="0" containsString="0" containsNumber="1" minValue="0" maxValue="649.84199999999953"/>
    </cacheField>
    <cacheField name="30-07-2024" numFmtId="2">
      <sharedItems containsSemiMixedTypes="0" containsString="0" containsNumber="1" minValue="0" maxValue="656.11900000000026"/>
    </cacheField>
    <cacheField name="31-07-2024" numFmtId="2">
      <sharedItems containsSemiMixedTypes="0" containsString="0" containsNumber="1" minValue="0" maxValue="747.84299999999985"/>
    </cacheField>
    <cacheField name="Average" numFmtId="2">
      <sharedItems containsSemiMixedTypes="0" containsString="0" containsNumber="1" minValue="0" maxValue="574.11945161290316"/>
    </cacheField>
    <cacheField name="Avg consumption/Charger" numFmtId="165">
      <sharedItems containsSemiMixedTypes="0" containsString="0" containsNumber="1" minValue="0" maxValue="148.985714285714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30324077" createdVersion="5" refreshedVersion="8" minRefreshableVersion="3" recordCount="97" xr:uid="{00000000-000A-0000-FFFF-FFFF1B000000}">
  <cacheSource type="worksheet">
    <worksheetSource ref="A1:AP98" sheet="July 24"/>
  </cacheSource>
  <cacheFields count="42">
    <cacheField name="Sl. No." numFmtId="0">
      <sharedItems containsSemiMixedTypes="0" containsString="0" containsNumber="1" containsInteger="1" minValue="1" maxValue="97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Station Name" numFmtId="0">
      <sharedItems/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40"/>
    </cacheField>
    <cacheField name="Station Type" numFmtId="0">
      <sharedItems/>
    </cacheField>
    <cacheField name="01-07-2024" numFmtId="2">
      <sharedItems containsString="0" containsBlank="1" containsNumber="1" minValue="0" maxValue="472.43"/>
    </cacheField>
    <cacheField name="02-07-2024" numFmtId="2">
      <sharedItems containsString="0" containsBlank="1" containsNumber="1" minValue="0" maxValue="466.94"/>
    </cacheField>
    <cacheField name="03-07-2024" numFmtId="2">
      <sharedItems containsString="0" containsBlank="1" containsNumber="1" minValue="0" maxValue="483.64"/>
    </cacheField>
    <cacheField name="04-07-2024" numFmtId="2">
      <sharedItems containsString="0" containsBlank="1" containsNumber="1" minValue="0" maxValue="456.83"/>
    </cacheField>
    <cacheField name="05-07-2024" numFmtId="2">
      <sharedItems containsString="0" containsBlank="1" containsNumber="1" minValue="0" maxValue="425.7"/>
    </cacheField>
    <cacheField name="06-07-2024" numFmtId="2">
      <sharedItems containsString="0" containsBlank="1" containsNumber="1" minValue="0" maxValue="515.33000000000004"/>
    </cacheField>
    <cacheField name="07-07-2024" numFmtId="2">
      <sharedItems containsString="0" containsBlank="1" containsNumber="1" minValue="0" maxValue="497.64"/>
    </cacheField>
    <cacheField name="08-07-2024" numFmtId="2">
      <sharedItems containsString="0" containsBlank="1" containsNumber="1" minValue="0" maxValue="496.31"/>
    </cacheField>
    <cacheField name="09-07-2024" numFmtId="2">
      <sharedItems containsString="0" containsBlank="1" containsNumber="1" minValue="0" maxValue="382.17"/>
    </cacheField>
    <cacheField name="10-07-2024" numFmtId="2">
      <sharedItems containsString="0" containsBlank="1" containsNumber="1" minValue="0" maxValue="466.46"/>
    </cacheField>
    <cacheField name="11-07-2024" numFmtId="2">
      <sharedItems containsString="0" containsBlank="1" containsNumber="1" minValue="0" maxValue="446.86"/>
    </cacheField>
    <cacheField name="12-07-2024" numFmtId="2">
      <sharedItems containsString="0" containsBlank="1" containsNumber="1" minValue="0" maxValue="506.78"/>
    </cacheField>
    <cacheField name="13-07-2024" numFmtId="2">
      <sharedItems containsString="0" containsBlank="1" containsNumber="1" minValue="0" maxValue="460.27"/>
    </cacheField>
    <cacheField name="14-07-2024" numFmtId="2">
      <sharedItems containsString="0" containsBlank="1" containsNumber="1" minValue="0" maxValue="670.1129999999996"/>
    </cacheField>
    <cacheField name="15-07-2024" numFmtId="2">
      <sharedItems containsString="0" containsBlank="1" containsNumber="1" minValue="0" maxValue="515.41"/>
    </cacheField>
    <cacheField name="16-07-2024" numFmtId="2">
      <sharedItems containsString="0" containsBlank="1" containsNumber="1" minValue="0" maxValue="528.26"/>
    </cacheField>
    <cacheField name="17-07-2024" numFmtId="2">
      <sharedItems containsString="0" containsBlank="1" containsNumber="1" minValue="0" maxValue="595.4"/>
    </cacheField>
    <cacheField name="18-07-2024" numFmtId="2">
      <sharedItems containsString="0" containsBlank="1" containsNumber="1" minValue="0" maxValue="487.42"/>
    </cacheField>
    <cacheField name="19-07-2024" numFmtId="2">
      <sharedItems containsString="0" containsBlank="1" containsNumber="1" minValue="0" maxValue="586.03"/>
    </cacheField>
    <cacheField name="20-07-2024" numFmtId="2">
      <sharedItems containsString="0" containsBlank="1" containsNumber="1" minValue="0" maxValue="597.83000000000004"/>
    </cacheField>
    <cacheField name="21-07-2024" numFmtId="2">
      <sharedItems containsString="0" containsBlank="1" containsNumber="1" minValue="0" maxValue="737.58"/>
    </cacheField>
    <cacheField name="22-07-2024" numFmtId="0">
      <sharedItems containsString="0" containsBlank="1" containsNumber="1" minValue="0" maxValue="659.96299999999997"/>
    </cacheField>
    <cacheField name="23-07-2024" numFmtId="2">
      <sharedItems containsString="0" containsBlank="1" containsNumber="1" minValue="0" maxValue="573.59"/>
    </cacheField>
    <cacheField name="24-07-2024" numFmtId="2">
      <sharedItems containsString="0" containsBlank="1" containsNumber="1" minValue="0" maxValue="699.99099999999964"/>
    </cacheField>
    <cacheField name="25-07-2024" numFmtId="2">
      <sharedItems containsSemiMixedTypes="0" containsString="0" containsNumber="1" minValue="0" maxValue="801.37"/>
    </cacheField>
    <cacheField name="26-07-2024" numFmtId="2">
      <sharedItems containsSemiMixedTypes="0" containsString="0" containsNumber="1" minValue="0" maxValue="823.17099999999948"/>
    </cacheField>
    <cacheField name="27-07-2024" numFmtId="2">
      <sharedItems containsSemiMixedTypes="0" containsString="0" containsNumber="1" minValue="0" maxValue="768.44999999999982"/>
    </cacheField>
    <cacheField name="28-07-2024" numFmtId="2">
      <sharedItems containsSemiMixedTypes="0" containsString="0" containsNumber="1" minValue="0" maxValue="808.70399999999984"/>
    </cacheField>
    <cacheField name="29-07-2024" numFmtId="2">
      <sharedItems containsSemiMixedTypes="0" containsString="0" containsNumber="1" minValue="0" maxValue="649.84199999999953"/>
    </cacheField>
    <cacheField name="30-07-2024" numFmtId="2">
      <sharedItems containsSemiMixedTypes="0" containsString="0" containsNumber="1" minValue="0" maxValue="656.11900000000026"/>
    </cacheField>
    <cacheField name="31-07-2024" numFmtId="2">
      <sharedItems containsSemiMixedTypes="0" containsString="0" containsNumber="1" minValue="0" maxValue="747.84299999999985"/>
    </cacheField>
    <cacheField name="Average" numFmtId="2">
      <sharedItems containsSemiMixedTypes="0" containsString="0" containsNumber="1" minValue="0" maxValue="574.11945161290316"/>
    </cacheField>
    <cacheField name="Avg consumption/Charger" numFmtId="165">
      <sharedItems containsSemiMixedTypes="0" containsString="0" containsNumber="1" minValue="0" maxValue="148.985714285714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87268516" createdVersion="5" refreshedVersion="8" minRefreshableVersion="3" recordCount="79" xr:uid="{00000000-000A-0000-FFFF-FFFF17000000}">
  <cacheSource type="worksheet">
    <worksheetSource ref="A1:AP80" sheet="March"/>
  </cacheSource>
  <cacheFields count="42">
    <cacheField name="Sl. No." numFmtId="0">
      <sharedItems containsSemiMixedTypes="0" containsString="0" containsNumber="1" containsInteger="1" minValue="1" maxValue="79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Location" numFmtId="0">
      <sharedItems count="67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Dhuni Polymers, Kottur"/>
        <s v="EV Charge Hub, Madhapur"/>
        <s v="EV Charge Hub, Umdanagar"/>
        <s v="Trinity EV Charge Hub Moula Ali"/>
        <s v="Trinity EV Charge Hub Sitaphalmandi"/>
        <s v="Trinity EV Charge Hub, Aramghar"/>
        <s v="Trinity EV Charge Hub, Mettuguda"/>
        <s v="Trinity EV Charge Hub, TSRTC Bus Depot,  Musheerabad"/>
        <s v="Trinity EV Charge Hub, Shastripuram"/>
        <s v="Deccan College of Engg. - Nampally"/>
        <s v="ETO Drivers home"/>
        <s v="HMRL - Habsiguda"/>
        <s v="Dhuni Polymenrs - Kottur"/>
        <s v="EV Charge Hub, Auto Nagar"/>
        <s v="EV Charge Hub, Flipkart "/>
        <s v="EV Charge Hub, Gati"/>
        <s v="EV Charge Hub, Auto Nagar- Visakhapatnam"/>
        <s v="Auto Nagar - Guntur"/>
        <s v="Trinity EV Charge Hub, Rajahmundry"/>
        <s v="EV Charge Hub, Halasuru - Flipkart"/>
        <s v="EV Charge Hub, yeshwanthpur - Flipkart"/>
        <s v="EV Charge Hub, Peenya"/>
        <s v="Trinity EV Charge Hub, RR Nagar"/>
        <s v="Trinity EV Charge Hub, ITPL"/>
        <s v="Trinity EV Charge Hub, Andrahalli"/>
        <s v="ETO - Singsandra"/>
        <s v="EV Charge Hub, Airport South Metro Station"/>
        <s v="EV Charge Hub, Bigbasket - Nagpur"/>
        <s v="Kevadia EV Charging Hub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Trinity EV Charge Hub, Jamia Millia Islamia Metro Station"/>
        <s v="EV Charge Hub, Radhika Appartment"/>
        <s v="BYPL MCD Parking, Near Supreme Enclave"/>
        <s v="BYPL MCD Parking,V3S Mall"/>
        <s v="BYPL MCD Parking,Milan Vihar Appartment"/>
        <s v="BYPL MCD Parking,Mandoli extn"/>
        <s v="BYPL MCD Parking,Kalkaji Mandir"/>
        <s v="BYPL MCD Parking,Mangolpuri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96"/>
    </cacheField>
    <cacheField name="Station Type" numFmtId="165">
      <sharedItems containsBlank="1" count="6">
        <s v="Public Charging (Limited)"/>
        <s v="Fleet Charging"/>
        <s v="Private Charging"/>
        <s v="Public Charging"/>
        <s v="Public Charging (Residence)"/>
        <m u="1"/>
      </sharedItems>
    </cacheField>
    <cacheField name="01-03-2024" numFmtId="0">
      <sharedItems containsString="0" containsBlank="1" containsNumber="1" minValue="0" maxValue="340.3"/>
    </cacheField>
    <cacheField name="02-03-2024" numFmtId="2">
      <sharedItems containsString="0" containsBlank="1" containsNumber="1" minValue="0" maxValue="422.64"/>
    </cacheField>
    <cacheField name="03-03-2024" numFmtId="2">
      <sharedItems containsString="0" containsBlank="1" containsNumber="1" minValue="0" maxValue="465.38"/>
    </cacheField>
    <cacheField name="04-03-2024" numFmtId="2">
      <sharedItems containsString="0" containsBlank="1" containsNumber="1" minValue="0" maxValue="255.62"/>
    </cacheField>
    <cacheField name="05-03-2024" numFmtId="2">
      <sharedItems containsString="0" containsBlank="1" containsNumber="1" minValue="0" maxValue="237.23"/>
    </cacheField>
    <cacheField name="06-03-2024" numFmtId="0">
      <sharedItems containsString="0" containsBlank="1" containsNumber="1" minValue="0" maxValue="414.53"/>
    </cacheField>
    <cacheField name="07-03-2024" numFmtId="0">
      <sharedItems containsString="0" containsBlank="1" containsNumber="1" minValue="0" maxValue="310.33999999999997"/>
    </cacheField>
    <cacheField name="08-03-2024" numFmtId="0">
      <sharedItems containsString="0" containsBlank="1" containsNumber="1" minValue="0" maxValue="392.61"/>
    </cacheField>
    <cacheField name="09-03-2024" numFmtId="0">
      <sharedItems containsString="0" containsBlank="1" containsNumber="1" minValue="0" maxValue="501.1"/>
    </cacheField>
    <cacheField name="10-03-2024" numFmtId="2">
      <sharedItems containsString="0" containsBlank="1" containsNumber="1" minValue="0" maxValue="579.83000000000004"/>
    </cacheField>
    <cacheField name="11-03-2024" numFmtId="2">
      <sharedItems containsString="0" containsBlank="1" containsNumber="1" minValue="0" maxValue="220.84"/>
    </cacheField>
    <cacheField name="12-03-2024" numFmtId="0">
      <sharedItems containsString="0" containsBlank="1" containsNumber="1" minValue="0" maxValue="311.14"/>
    </cacheField>
    <cacheField name="13-03-2024" numFmtId="2">
      <sharedItems containsString="0" containsBlank="1" containsNumber="1" minValue="0" maxValue="358.4"/>
    </cacheField>
    <cacheField name="14-03-2024" numFmtId="2">
      <sharedItems containsString="0" containsBlank="1" containsNumber="1" minValue="0" maxValue="247.85"/>
    </cacheField>
    <cacheField name="15-03-2024" numFmtId="2">
      <sharedItems containsString="0" containsBlank="1" containsNumber="1" minValue="0" maxValue="334.65"/>
    </cacheField>
    <cacheField name="16-03-2024" numFmtId="2">
      <sharedItems containsString="0" containsBlank="1" containsNumber="1" minValue="0" maxValue="411.47"/>
    </cacheField>
    <cacheField name="17-03-2024" numFmtId="2">
      <sharedItems containsString="0" containsBlank="1" containsNumber="1" minValue="0" maxValue="435.89"/>
    </cacheField>
    <cacheField name="18-03-2024" numFmtId="2">
      <sharedItems containsString="0" containsBlank="1" containsNumber="1" minValue="0" maxValue="281.76"/>
    </cacheField>
    <cacheField name="19-03-2024" numFmtId="2">
      <sharedItems containsString="0" containsBlank="1" containsNumber="1" minValue="0" maxValue="167.51"/>
    </cacheField>
    <cacheField name="20-03-2024" numFmtId="2">
      <sharedItems containsString="0" containsBlank="1" containsNumber="1" minValue="0" maxValue="366.36"/>
    </cacheField>
    <cacheField name="21-03-2024" numFmtId="2">
      <sharedItems containsString="0" containsBlank="1" containsNumber="1" minValue="0" maxValue="336.79"/>
    </cacheField>
    <cacheField name="22-03-2024" numFmtId="2">
      <sharedItems containsString="0" containsBlank="1" containsNumber="1" minValue="0" maxValue="381.36"/>
    </cacheField>
    <cacheField name="23-03-2024" numFmtId="2">
      <sharedItems containsString="0" containsBlank="1" containsNumber="1" minValue="0" maxValue="452.89"/>
    </cacheField>
    <cacheField name="24-03-2024" numFmtId="2">
      <sharedItems containsString="0" containsBlank="1" containsNumber="1" minValue="0" maxValue="434.47"/>
    </cacheField>
    <cacheField name="25-03-2024" numFmtId="2">
      <sharedItems containsString="0" containsBlank="1" containsNumber="1" minValue="0" maxValue="514.70000000000005"/>
    </cacheField>
    <cacheField name="26-03-2024" numFmtId="2">
      <sharedItems containsString="0" containsBlank="1" containsNumber="1" minValue="0" maxValue="249.62"/>
    </cacheField>
    <cacheField name="27-03-2024" numFmtId="2">
      <sharedItems containsString="0" containsBlank="1" containsNumber="1" minValue="0" maxValue="228.33"/>
    </cacheField>
    <cacheField name="28-03-2024" numFmtId="2">
      <sharedItems containsString="0" containsBlank="1" containsNumber="1" minValue="0" maxValue="481.31"/>
    </cacheField>
    <cacheField name="29-03-2024" numFmtId="2">
      <sharedItems containsString="0" containsBlank="1" containsNumber="1" minValue="0" maxValue="482.08"/>
    </cacheField>
    <cacheField name="30-03-2024" numFmtId="2">
      <sharedItems containsSemiMixedTypes="0" containsString="0" containsNumber="1" minValue="0" maxValue="428.01"/>
    </cacheField>
    <cacheField name="31-03-2024" numFmtId="2">
      <sharedItems containsSemiMixedTypes="0" containsString="0" containsNumber="1" minValue="0" maxValue="482.15"/>
    </cacheField>
    <cacheField name="Average" numFmtId="2">
      <sharedItems containsSemiMixedTypes="0" containsString="0" containsNumber="1" minValue="0" maxValue="371.84387096774191"/>
    </cacheField>
    <cacheField name="Avg consumption/Charger" numFmtId="165">
      <sharedItems containsSemiMixedTypes="0" containsString="0" containsNumber="1" minValue="0" maxValue="33.321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87962962" createdVersion="5" refreshedVersion="8" minRefreshableVersion="3" recordCount="69" xr:uid="{00000000-000A-0000-FFFF-FFFF16000000}">
  <cacheSource type="worksheet">
    <worksheetSource ref="A1:AN70" sheet="Feb 24"/>
  </cacheSource>
  <cacheFields count="40">
    <cacheField name="Sl. No." numFmtId="0">
      <sharedItems containsSemiMixedTypes="0" containsString="0" containsNumber="1" containsInteger="1" minValue="1" maxValue="69"/>
    </cacheField>
    <cacheField name="City" numFmtId="0">
      <sharedItems count="12">
        <s v="Hyderabad"/>
        <s v="Vijayawada"/>
        <s v="Vishakapatnam"/>
        <s v="Guntur"/>
        <s v="Rajahmundry"/>
        <s v="Bangalore"/>
        <s v="Nagpur"/>
        <s v="Kevadiya"/>
        <s v="Noida"/>
        <s v="Ghaziabad"/>
        <s v="Ayodhya"/>
        <s v="Delhi"/>
      </sharedItems>
    </cacheField>
    <cacheField name="Location" numFmtId="0">
      <sharedItems count="63">
        <s v="EV Charge Hub, Amazon Aramghar"/>
        <s v="EV Charge Hub, Amazon Gachibowli"/>
        <s v="EV Charge Hub, Amazon moula ali"/>
        <s v="EV Charge Hub, Kachiguda"/>
        <s v="Trinity EV Charge Hub, Miyapur"/>
        <s v="Trinity EV Charge Hub, Bollaram"/>
        <s v="EV Charge Hub, GHMC - Moghalpura"/>
        <s v="EV Charge Hub, Madhapur"/>
        <s v="EV Charge Hub, Umdanagar"/>
        <s v="Trinity EV Charge Hub Moula Ali"/>
        <s v="Trinity EV Charge Hub Sitaphalmandi"/>
        <s v="Trinity EV Charge Hub, Aramghar"/>
        <s v="Trinity EV Charge Hub, TSRTC Bus Depot,  Musheerabad"/>
        <s v="Trinity EV Charge Hub, Shastripuram"/>
        <s v="Deccan College of Engg. - Nampally"/>
        <s v="ETO Drivers home"/>
        <s v="HMRL - Habsiguda"/>
        <s v="ETO - Secunderabad H.O."/>
        <s v="Bluedart - Raidurg"/>
        <s v="Dhuni Polymenrs - Kottur"/>
        <s v="EV Charge Hub, Auto Nagar"/>
        <s v="EV Charge Hub, Flipkart "/>
        <s v="EV Charge Hub, Gati"/>
        <s v="EV Charge Hub, Auto Nagar- Visakhapatnam"/>
        <s v="Auto Nagar - Guntur"/>
        <s v="Trinity EV Charge Hub, Rajahmundry"/>
        <s v="EV Charge Hub, Halasuru - Flipkart"/>
        <s v="EV Charge Hub, yeshwanthpur - Flipkart"/>
        <s v="EV Charge Hub, Peenya"/>
        <s v="Trinity EV Charge Hub, RR Nagar"/>
        <s v="ETO - Singsandra"/>
        <s v="EV Charge Hub, Airport South Metro Station"/>
        <s v="EV Charge Hub, Bigbasket - Nagpur"/>
        <s v="Kevadia EV Charging Hub"/>
        <s v="EV Charge Hub, Electronic City"/>
        <s v="Mahagun Sarovar Portico Suits, Ghaziabad"/>
        <s v="Trinity EV Charge Hub, Ayodhya"/>
        <s v="BPCL Saket station, Ayodhya"/>
        <s v="BPCL SD Yadav station, Ayodhya"/>
        <s v="BPCL 24X7 station, Ayodhya"/>
        <s v="EV Charge Hub, Shahdara"/>
        <s v="EV Charge Hub, Cargo - Dwarka"/>
        <s v="EV Charge Hub , Usmanpur"/>
        <s v="EV Charge Hub, Azadpur Metro Station"/>
        <s v="Hindustan Times Appartment, Mayur Vihar"/>
        <s v="UNA Co-operative residence society, Mayur vihar"/>
        <s v="EV Charge Hub, Press Enclave Society"/>
        <s v="EV Charge Hub, Trade and Tax Department"/>
        <s v="EV Charge Hub, Transport Department"/>
        <s v="Trinity EV Charge Hub, Dwarka sector - 14 "/>
        <s v="EV Charge Hub, Radhika Appartment"/>
        <s v="BYPL MCD Parking,V3S Mall"/>
        <s v="BYPL MCD Parking,Milan Vihar Appartment"/>
        <s v="BYPL MCD Parking,Mandoli extn"/>
        <s v="BYPL MCD Parking,Kalkaji Mandir"/>
        <s v="Log9 - Near Max hospital Milan apartment"/>
        <s v="Log9 - Covered Parking, Mother dairy"/>
        <s v="ETO - BYPL MCD"/>
        <s v="BSES Rajdhani Customer"/>
        <s v="ETO - DHL, Noida"/>
        <s v="Mayur vihar cargo parking"/>
        <s v="Radhika Appartment, Dwaraka sector - 14"/>
        <s v="Ev Charge Hub, BYPL MCD Parking,V3S Mall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96"/>
    </cacheField>
    <cacheField name="Station Type" numFmtId="165">
      <sharedItems count="5">
        <s v="Public Charging (Limited)"/>
        <s v="Fleet Charging"/>
        <s v="Public Charging"/>
        <s v="Private Charging"/>
        <s v="Public Charging (Residence)"/>
      </sharedItems>
    </cacheField>
    <cacheField name="01-02-2024" numFmtId="0">
      <sharedItems containsString="0" containsBlank="1" containsNumber="1" minValue="0" maxValue="490.15"/>
    </cacheField>
    <cacheField name="02-02-2024" numFmtId="0">
      <sharedItems containsString="0" containsBlank="1" containsNumber="1" minValue="0" maxValue="430.77"/>
    </cacheField>
    <cacheField name="03-02-2024" numFmtId="0">
      <sharedItems containsString="0" containsBlank="1" containsNumber="1" minValue="0" maxValue="485.34"/>
    </cacheField>
    <cacheField name="04-02-2024" numFmtId="0">
      <sharedItems containsString="0" containsBlank="1" containsNumber="1" minValue="0" maxValue="482.08"/>
    </cacheField>
    <cacheField name="05-02-2024" numFmtId="0">
      <sharedItems containsString="0" containsBlank="1" containsNumber="1" minValue="0" maxValue="284.48"/>
    </cacheField>
    <cacheField name="06-02-2024" numFmtId="0">
      <sharedItems containsString="0" containsBlank="1" containsNumber="1" minValue="0" maxValue="208.15"/>
    </cacheField>
    <cacheField name="07-02-2024" numFmtId="0">
      <sharedItems containsString="0" containsBlank="1" containsNumber="1" minValue="0" maxValue="428.21"/>
    </cacheField>
    <cacheField name="08-02-2024" numFmtId="0">
      <sharedItems containsString="0" containsBlank="1" containsNumber="1" minValue="0" maxValue="447.58"/>
    </cacheField>
    <cacheField name="09-02-2024" numFmtId="0">
      <sharedItems containsString="0" containsBlank="1" containsNumber="1" minValue="0" maxValue="448.25"/>
    </cacheField>
    <cacheField name="10-02-2024" numFmtId="2">
      <sharedItems containsString="0" containsBlank="1" containsNumber="1" minValue="0" maxValue="505.36"/>
    </cacheField>
    <cacheField name="11-02-2024" numFmtId="2">
      <sharedItems containsString="0" containsBlank="1" containsNumber="1" minValue="0" maxValue="576.1"/>
    </cacheField>
    <cacheField name="12-02-2024" numFmtId="0">
      <sharedItems containsString="0" containsBlank="1" containsNumber="1" minValue="0" maxValue="303"/>
    </cacheField>
    <cacheField name="13-02-2024" numFmtId="0">
      <sharedItems containsString="0" containsBlank="1" containsNumber="1" minValue="0" maxValue="190.49"/>
    </cacheField>
    <cacheField name="14-02-2024" numFmtId="0">
      <sharedItems containsString="0" containsBlank="1" containsNumber="1" minValue="0" maxValue="429.52"/>
    </cacheField>
    <cacheField name="15-02-2024" numFmtId="0">
      <sharedItems containsString="0" containsBlank="1" containsNumber="1" minValue="0" maxValue="378.25"/>
    </cacheField>
    <cacheField name="16-02-2024" numFmtId="0">
      <sharedItems containsString="0" containsBlank="1" containsNumber="1" minValue="0" maxValue="291.13"/>
    </cacheField>
    <cacheField name="17-02-2024" numFmtId="0">
      <sharedItems containsString="0" containsBlank="1" containsNumber="1" minValue="0" maxValue="331.89"/>
    </cacheField>
    <cacheField name="18-02-2024" numFmtId="0">
      <sharedItems containsString="0" containsBlank="1" containsNumber="1" minValue="0" maxValue="523.84"/>
    </cacheField>
    <cacheField name="19-02-2024" numFmtId="0">
      <sharedItems containsString="0" containsBlank="1" containsNumber="1" minValue="0" maxValue="222.83"/>
    </cacheField>
    <cacheField name="20-02-2024" numFmtId="0">
      <sharedItems containsString="0" containsBlank="1" containsNumber="1" minValue="0" maxValue="297.64"/>
    </cacheField>
    <cacheField name="21-02-2024" numFmtId="0">
      <sharedItems containsString="0" containsBlank="1" containsNumber="1" minValue="0" maxValue="427.02"/>
    </cacheField>
    <cacheField name="22-02-2024" numFmtId="0">
      <sharedItems containsString="0" containsBlank="1" containsNumber="1" minValue="0" maxValue="447.99"/>
    </cacheField>
    <cacheField name="23-02-2024" numFmtId="0">
      <sharedItems containsString="0" containsBlank="1" containsNumber="1" minValue="0" maxValue="440.87"/>
    </cacheField>
    <cacheField name="24-02-2024" numFmtId="0">
      <sharedItems containsString="0" containsBlank="1" containsNumber="1" minValue="0" maxValue="421.23"/>
    </cacheField>
    <cacheField name="25-02-2024" numFmtId="0">
      <sharedItems containsSemiMixedTypes="0" containsString="0" containsNumber="1" minValue="0" maxValue="451.81"/>
    </cacheField>
    <cacheField name="26-02-2024" numFmtId="0">
      <sharedItems containsSemiMixedTypes="0" containsString="0" containsNumber="1" minValue="0" maxValue="207.13"/>
    </cacheField>
    <cacheField name="27-02-2024" numFmtId="0">
      <sharedItems containsSemiMixedTypes="0" containsString="0" containsNumber="1" minValue="0" maxValue="249.19"/>
    </cacheField>
    <cacheField name="28-02-2024" numFmtId="0">
      <sharedItems containsSemiMixedTypes="0" containsString="0" containsNumber="1" minValue="0" maxValue="432.15"/>
    </cacheField>
    <cacheField name="29-02-2024" numFmtId="2">
      <sharedItems containsSemiMixedTypes="0" containsString="0" containsNumber="1" minValue="0" maxValue="437.53"/>
    </cacheField>
    <cacheField name="Average" numFmtId="2">
      <sharedItems containsSemiMixedTypes="0" containsString="0" containsNumber="1" minValue="0" maxValue="388.51896551724144"/>
    </cacheField>
    <cacheField name="Avg consumption/Charger" numFmtId="165">
      <sharedItems containsSemiMixedTypes="0" containsString="0" containsNumber="1" minValue="0" maxValue="80.751724137931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96180552" createdVersion="5" refreshedVersion="8" minRefreshableVersion="3" recordCount="59" xr:uid="{00000000-000A-0000-FFFF-FFFF14000000}">
  <cacheSource type="worksheet">
    <worksheetSource ref="A1:AP60" sheet="December 2023"/>
  </cacheSource>
  <cacheFields count="42">
    <cacheField name="Sl. No." numFmtId="0">
      <sharedItems containsSemiMixedTypes="0" containsString="0" containsNumber="1" containsInteger="1" minValue="1" maxValue="59"/>
    </cacheField>
    <cacheField name="City" numFmtId="0">
      <sharedItems count="8">
        <s v="Hyderabad"/>
        <s v="Vijayawada"/>
        <s v="Vishakapatnam"/>
        <s v="Guntur"/>
        <s v="Kevadiya"/>
        <s v="Bangalore"/>
        <s v="Delhi"/>
        <s v="Nagpur"/>
      </sharedItems>
    </cacheField>
    <cacheField name="Location" numFmtId="0">
      <sharedItems count="55">
        <s v="AMAZON - Aramgarh"/>
        <s v="AMAZON - Gachibouli"/>
        <s v="AMAZON - MoulaAli"/>
        <s v="Big Basket - Saroornagar"/>
        <s v="Deccan College of Engg. - Nampally"/>
        <s v="ETO Drivers home"/>
        <s v="ETO - Kachiguda"/>
        <s v="HMRL - Habsiguda"/>
        <s v="Trinity - Miyapur"/>
        <s v="ETO - Aramgarh"/>
        <s v="Trinity - Bollaram"/>
        <s v="ETO - Moghalpura"/>
        <s v="ETO - Secunderabad H.O."/>
        <s v="Bluedart - Raidurg"/>
        <s v="Dhuni Polymenrs - Kottur"/>
        <s v="EEFL, Madhapur"/>
        <s v="Umdanagar , Hyderabad"/>
        <s v="Trinity Charge Hub Moula Ali"/>
        <s v="Autonagar, Vijayawada"/>
        <s v="Big Basket - Gangoor"/>
        <s v="Flipkart - Vijayawada"/>
        <s v="GATI - Mindi"/>
        <s v="Auto Nagar, Visakhapatnam"/>
        <s v="Auto Nagar - Guntur"/>
        <s v="SOU, Parking area"/>
        <s v="ETO - Singsandra"/>
        <s v="Flipkart - Halsur"/>
        <s v="Flipkart - Yeshwanthpura"/>
        <s v="EEFL - Yeshwanthpura"/>
        <s v="Trinity - RR Nagar"/>
        <s v="ETO - BYPL MCD"/>
        <s v="BSES Yamuna- Mahagun Hotel"/>
        <s v="BSES Rajdhani Customer"/>
        <s v="ETO - Shahdara Hub"/>
        <s v="ETO - DHL, Noida"/>
        <s v="ETO - Dwaraka Cargo Hub"/>
        <s v="ETO - Usmanpur Hub"/>
        <s v="ETO - Azadpur Metro Station"/>
        <s v="ETO - Electronic City Metro Station"/>
        <s v="ETO - Hindon River Metro Station"/>
        <s v="ETO - Kalkaji Metro Station"/>
        <s v="Hindustan times residence society, Mayur Vihar"/>
        <s v="UNA Co-operative residence society, Mayur vihar"/>
        <s v="Transport Office"/>
        <s v="Log9 - V3S Mall station"/>
        <s v="Log9 - Near Max hospital Milan apartment"/>
        <s v="Log9 - Covered Parking, Mother dairy"/>
        <s v="Airport South Metro station "/>
        <s v="Big Basket Nagpur"/>
        <s v="Mayur vihar cargo parking"/>
        <s v="Press Enclave Society"/>
        <s v="Trade and Tax Department"/>
        <s v="Trinity - Dwaraka sector - 14"/>
        <s v="Radhika Appartment, Dwaraka sector - 14"/>
        <s v="Radhika Appartment, Dwaraka sector - 15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105"/>
    </cacheField>
    <cacheField name="No. of Vehicles" numFmtId="0">
      <sharedItems containsString="0" containsBlank="1" containsNumber="1" containsInteger="1" minValue="0" maxValue="75"/>
    </cacheField>
    <cacheField name="01-12-2023" numFmtId="0">
      <sharedItems containsString="0" containsBlank="1" containsNumber="1" minValue="0" maxValue="408.54"/>
    </cacheField>
    <cacheField name="02-12-2023" numFmtId="0">
      <sharedItems containsString="0" containsBlank="1" containsNumber="1" minValue="0" maxValue="407.83"/>
    </cacheField>
    <cacheField name="03-12-2023" numFmtId="0">
      <sharedItems containsString="0" containsBlank="1" containsNumber="1" minValue="0" maxValue="498.7"/>
    </cacheField>
    <cacheField name="04-12-2023" numFmtId="0">
      <sharedItems containsString="0" containsBlank="1" containsNumber="1" minValue="0" maxValue="248.37"/>
    </cacheField>
    <cacheField name="05-12-2023" numFmtId="0">
      <sharedItems containsString="0" containsBlank="1" containsNumber="1" minValue="0" maxValue="259.24"/>
    </cacheField>
    <cacheField name="06-12-2023" numFmtId="0">
      <sharedItems containsString="0" containsBlank="1" containsNumber="1" minValue="0" maxValue="479.06"/>
    </cacheField>
    <cacheField name="07-12-2023" numFmtId="0">
      <sharedItems containsString="0" containsBlank="1" containsNumber="1" minValue="0" maxValue="373.64"/>
    </cacheField>
    <cacheField name="08-12-2023" numFmtId="0">
      <sharedItems containsString="0" containsBlank="1" containsNumber="1" minValue="0" maxValue="354.59"/>
    </cacheField>
    <cacheField name="09-12-2023" numFmtId="0">
      <sharedItems containsString="0" containsBlank="1" containsNumber="1" minValue="0" maxValue="462.36"/>
    </cacheField>
    <cacheField name="10-12-2023" numFmtId="0">
      <sharedItems containsString="0" containsBlank="1" containsNumber="1" minValue="0" maxValue="564.57000000000005"/>
    </cacheField>
    <cacheField name="11-12-2023" numFmtId="0">
      <sharedItems containsString="0" containsBlank="1" containsNumber="1" minValue="0" maxValue="281.38"/>
    </cacheField>
    <cacheField name="12-12-2023" numFmtId="0">
      <sharedItems containsString="0" containsBlank="1" containsNumber="1" minValue="0" maxValue="232.18"/>
    </cacheField>
    <cacheField name="13-12-2023" numFmtId="0">
      <sharedItems containsString="0" containsBlank="1" containsNumber="1" minValue="0" maxValue="502.67"/>
    </cacheField>
    <cacheField name="14-12-2023" numFmtId="0">
      <sharedItems containsSemiMixedTypes="0" containsString="0" containsNumber="1" minValue="0" maxValue="486.35"/>
    </cacheField>
    <cacheField name="15-12-2023" numFmtId="0">
      <sharedItems containsSemiMixedTypes="0" containsString="0" containsNumber="1" minValue="0" maxValue="333.93"/>
    </cacheField>
    <cacheField name="16-12-2023" numFmtId="0">
      <sharedItems containsSemiMixedTypes="0" containsString="0" containsNumber="1" minValue="0" maxValue="519.33000000000004"/>
    </cacheField>
    <cacheField name="17-12-2023" numFmtId="0">
      <sharedItems containsSemiMixedTypes="0" containsString="0" containsNumber="1" minValue="0" maxValue="526.48"/>
    </cacheField>
    <cacheField name="18-12-2023" numFmtId="0">
      <sharedItems containsSemiMixedTypes="0" containsString="0" containsNumber="1" minValue="0" maxValue="250.07"/>
    </cacheField>
    <cacheField name="19-12-2023" numFmtId="0">
      <sharedItems containsSemiMixedTypes="0" containsString="0" containsNumber="1" minValue="0" maxValue="296.19"/>
    </cacheField>
    <cacheField name="20-12-2023" numFmtId="0">
      <sharedItems containsSemiMixedTypes="0" containsString="0" containsNumber="1" minValue="0" maxValue="517.83000000000004"/>
    </cacheField>
    <cacheField name="21-12-2023" numFmtId="0">
      <sharedItems containsSemiMixedTypes="0" containsString="0" containsNumber="1" minValue="0" maxValue="477.32"/>
    </cacheField>
    <cacheField name="22-12-2023" numFmtId="0">
      <sharedItems containsSemiMixedTypes="0" containsString="0" containsNumber="1" minValue="0" maxValue="525.58000000000004"/>
    </cacheField>
    <cacheField name="23-12-2023" numFmtId="0">
      <sharedItems containsSemiMixedTypes="0" containsString="0" containsNumber="1" minValue="0" maxValue="550.02"/>
    </cacheField>
    <cacheField name="24-12-2023" numFmtId="0">
      <sharedItems containsSemiMixedTypes="0" containsString="0" containsNumber="1" minValue="0" maxValue="553.37"/>
    </cacheField>
    <cacheField name="25-12-2023" numFmtId="0">
      <sharedItems containsSemiMixedTypes="0" containsString="0" containsNumber="1" minValue="0" maxValue="504.75"/>
    </cacheField>
    <cacheField name="26-12-2023" numFmtId="0">
      <sharedItems containsSemiMixedTypes="0" containsString="0" containsNumber="1" minValue="0" maxValue="302.68"/>
    </cacheField>
    <cacheField name="27-12-2023" numFmtId="0">
      <sharedItems containsSemiMixedTypes="0" containsString="0" containsNumber="1" minValue="0" maxValue="246.15"/>
    </cacheField>
    <cacheField name="28-12-2023" numFmtId="0">
      <sharedItems containsSemiMixedTypes="0" containsString="0" containsNumber="1" minValue="0" maxValue="588.59"/>
    </cacheField>
    <cacheField name="29-12-2023" numFmtId="2">
      <sharedItems containsSemiMixedTypes="0" containsString="0" containsNumber="1" minValue="0" maxValue="521.01"/>
    </cacheField>
    <cacheField name="30-12-2023" numFmtId="2">
      <sharedItems containsSemiMixedTypes="0" containsString="0" containsNumber="1" minValue="0" maxValue="579.29"/>
    </cacheField>
    <cacheField name="31-12-2023" numFmtId="2">
      <sharedItems containsSemiMixedTypes="0" containsString="0" containsNumber="1" minValue="0" maxValue="450.06"/>
    </cacheField>
    <cacheField name="Average" numFmtId="2">
      <sharedItems containsSemiMixedTypes="0" containsString="0" containsNumber="1" minValue="0" maxValue="427.51129032258063"/>
    </cacheField>
    <cacheField name="Avg Consumption / Charger" numFmtId="165">
      <sharedItems containsSemiMixedTypes="0" containsString="0" containsNumber="1" minValue="0" maxValue="73.202258064516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96527776" createdVersion="5" refreshedVersion="8" minRefreshableVersion="3" recordCount="59" xr:uid="{00000000-000A-0000-FFFF-FFFF13000000}">
  <cacheSource type="worksheet">
    <worksheetSource ref="A1:AM60" sheet="November 2023"/>
  </cacheSource>
  <cacheFields count="39">
    <cacheField name="Sl. No." numFmtId="0">
      <sharedItems containsSemiMixedTypes="0" containsString="0" containsNumber="1" containsInteger="1" minValue="1" maxValue="59"/>
    </cacheField>
    <cacheField name="City" numFmtId="0">
      <sharedItems count="8">
        <s v="Hyderabad"/>
        <s v="Vijayawada"/>
        <s v="Vishakapatnam"/>
        <s v="Guntur"/>
        <s v="Kevadiya"/>
        <s v="Bangalore"/>
        <s v="Delhi"/>
        <s v="Nagpur"/>
      </sharedItems>
    </cacheField>
    <cacheField name="Location" numFmtId="0">
      <sharedItems count="53">
        <s v="AMAZON - Aramgarh"/>
        <s v="AMAZON - Gachibouli"/>
        <s v="AMAZON - MoulaAli"/>
        <s v="Big Basket - Saroornagar"/>
        <s v="Deccan College of Engg. - Nampally"/>
        <s v="ETO Drivers home"/>
        <s v="ETO - Kachiguda"/>
        <s v="HMRL - Habsiguda"/>
        <s v="ETO - Miyapur"/>
        <s v="ETO - Aramgarh"/>
        <s v="ETO - Bollaram"/>
        <s v="ETO - Moghalpura"/>
        <s v="ETO - Secunderabad H.O."/>
        <s v="Bluedart - Raidurg"/>
        <s v="Dhuni Polymenrs - Kottur"/>
        <s v="EEFL, Madhapur"/>
        <s v="Umdanagar , Hyderabad"/>
        <s v="Autonagar, Vijayawada"/>
        <s v="Big Basket - Gangoor"/>
        <s v="Flipkart - Vijayawada"/>
        <s v="GATI - Mindi"/>
        <s v="Auto Nagar, Visakhapatnam"/>
        <s v="Auto Nagar - Guntur"/>
        <s v="SOU, Parking area"/>
        <s v="ETO - Singsandra"/>
        <s v="Flipkart - Halsur"/>
        <s v="Flipkart - Yeshwanthpura"/>
        <s v="EEFL - Yeshwanthpura"/>
        <s v="RR Nagar"/>
        <s v="ETO - BYPL MCD"/>
        <s v="BSES Yamuna- Mahagun Hotel"/>
        <s v="BSES Rajdhani Customer"/>
        <s v="ETO - Shahdara Hub"/>
        <s v="ETO - DHL, Noida"/>
        <s v="ETO - Dwaraka Cargo Hub"/>
        <s v="ETO - Usmanpur Hub"/>
        <s v="ETO - Azadpur Metro Station"/>
        <s v="ETO - Electronic City Metro Station"/>
        <s v="ETO - Hindon River Metro Station"/>
        <s v="ETO - Kalkaji Metro Station"/>
        <s v="Hindustan times residence society, Mayur Vihar"/>
        <s v="UNA Co-operative residence society, Mayur vihar"/>
        <s v="Transport Office"/>
        <s v="Log9 - V3S Mall station"/>
        <s v="Log9 - Near Max hospital Milan apartment"/>
        <s v="Log9 - Covered Parking, Mother dairy"/>
        <s v="Airport South Metro station "/>
        <s v="Big Basket Nagpur"/>
        <s v="Mayur vihar cargo parking"/>
        <s v="Press Enclave Society"/>
        <s v="Trade and Tax Department"/>
        <s v="Dwaraka sector - 14"/>
        <s v="Radhika Appartment, Dwaraka sector - 14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0" maxValue="105"/>
    </cacheField>
    <cacheField name="01-11-2023" numFmtId="0">
      <sharedItems containsString="0" containsBlank="1" containsNumber="1" minValue="0" maxValue="174.26"/>
    </cacheField>
    <cacheField name="02-11-2023" numFmtId="2">
      <sharedItems containsString="0" containsBlank="1" containsNumber="1" minValue="0" maxValue="501.29"/>
    </cacheField>
    <cacheField name="03-11-2023" numFmtId="2">
      <sharedItems containsString="0" containsBlank="1" containsNumber="1" minValue="0" maxValue="331.28"/>
    </cacheField>
    <cacheField name="04-11-2023" numFmtId="2">
      <sharedItems containsString="0" containsBlank="1" containsNumber="1" minValue="0" maxValue="390.2"/>
    </cacheField>
    <cacheField name="05-11-2023" numFmtId="2">
      <sharedItems containsString="0" containsBlank="1" containsNumber="1" minValue="0" maxValue="466.31"/>
    </cacheField>
    <cacheField name="06-11-2023" numFmtId="2">
      <sharedItems containsString="0" containsBlank="1" containsNumber="1" minValue="0" maxValue="291.17"/>
    </cacheField>
    <cacheField name="07-11-2023" numFmtId="2">
      <sharedItems containsString="0" containsBlank="1" containsNumber="1" minValue="0" maxValue="227.17"/>
    </cacheField>
    <cacheField name="08-11-2023" numFmtId="2">
      <sharedItems containsString="0" containsBlank="1" containsNumber="1" minValue="0" maxValue="459.12"/>
    </cacheField>
    <cacheField name="09-11-2023" numFmtId="2">
      <sharedItems containsString="0" containsBlank="1" containsNumber="1" minValue="0" maxValue="392.76"/>
    </cacheField>
    <cacheField name="10-11-2023" numFmtId="2">
      <sharedItems containsString="0" containsBlank="1" containsNumber="1" minValue="0" maxValue="462.23"/>
    </cacheField>
    <cacheField name="11-11-2023" numFmtId="2">
      <sharedItems containsString="0" containsBlank="1" containsNumber="1" minValue="0" maxValue="293.99"/>
    </cacheField>
    <cacheField name="12-11-2023" numFmtId="2">
      <sharedItems containsString="0" containsBlank="1" containsNumber="1" minValue="0" maxValue="455.02"/>
    </cacheField>
    <cacheField name="13-11-2023" numFmtId="2">
      <sharedItems containsString="0" containsBlank="1" containsNumber="1" minValue="0" maxValue="248.26"/>
    </cacheField>
    <cacheField name="14-11-2023" numFmtId="2">
      <sharedItems containsString="0" containsBlank="1" containsNumber="1" minValue="0" maxValue="257.92"/>
    </cacheField>
    <cacheField name="15-11-2023" numFmtId="2">
      <sharedItems containsString="0" containsBlank="1" containsNumber="1" minValue="0" maxValue="758.99"/>
    </cacheField>
    <cacheField name="16-11-2023" numFmtId="2">
      <sharedItems containsString="0" containsBlank="1" containsNumber="1" minValue="0" maxValue="646.66999999999996"/>
    </cacheField>
    <cacheField name="17-11-2023" numFmtId="2">
      <sharedItems containsString="0" containsBlank="1" containsNumber="1" minValue="0" maxValue="601.52"/>
    </cacheField>
    <cacheField name="18-11-2023" numFmtId="2">
      <sharedItems containsString="0" containsBlank="1" containsNumber="1" minValue="0" maxValue="578.32000000000005"/>
    </cacheField>
    <cacheField name="19-11-2023" numFmtId="2">
      <sharedItems containsString="0" containsBlank="1" containsNumber="1" minValue="0" maxValue="546.4"/>
    </cacheField>
    <cacheField name="20-11-2023" numFmtId="2">
      <sharedItems containsString="0" containsBlank="1" containsNumber="1" minValue="0" maxValue="351.11"/>
    </cacheField>
    <cacheField name="21-11-2023" numFmtId="2">
      <sharedItems containsString="0" containsBlank="1" containsNumber="1" minValue="0" maxValue="205.43"/>
    </cacheField>
    <cacheField name="22-11-2023" numFmtId="2">
      <sharedItems containsString="0" containsBlank="1" containsNumber="1" minValue="0" maxValue="544.88"/>
    </cacheField>
    <cacheField name="23-11-2023" numFmtId="2">
      <sharedItems containsString="0" containsBlank="1" containsNumber="1" minValue="0" maxValue="395.72"/>
    </cacheField>
    <cacheField name="24-11-2023" numFmtId="2">
      <sharedItems containsString="0" containsBlank="1" containsNumber="1" minValue="0" maxValue="510.85"/>
    </cacheField>
    <cacheField name="25-11-2023" numFmtId="2">
      <sharedItems containsSemiMixedTypes="0" containsString="0" containsNumber="1" minValue="0" maxValue="520.41"/>
    </cacheField>
    <cacheField name="26-11-2023" numFmtId="2">
      <sharedItems containsSemiMixedTypes="0" containsString="0" containsNumber="1" minValue="0" maxValue="556.49"/>
    </cacheField>
    <cacheField name="27-11-2023" numFmtId="2">
      <sharedItems containsSemiMixedTypes="0" containsString="0" containsNumber="1" minValue="0" maxValue="461.61"/>
    </cacheField>
    <cacheField name="28-11-2023" numFmtId="2">
      <sharedItems containsSemiMixedTypes="0" containsString="0" containsNumber="1" minValue="0" maxValue="208.11"/>
    </cacheField>
    <cacheField name="29-11-2023" numFmtId="2">
      <sharedItems containsSemiMixedTypes="0" containsString="0" containsNumber="1" minValue="0" maxValue="239.75"/>
    </cacheField>
    <cacheField name="30-11-2023" numFmtId="2">
      <sharedItems containsSemiMixedTypes="0" containsString="0" containsNumber="1" minValue="0" maxValue="462.07"/>
    </cacheField>
    <cacheField name="Average" numFmtId="2">
      <sharedItems containsSemiMixedTypes="0" containsString="0" containsNumber="1" minValue="0" maxValue="416.853333333333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96874999" createdVersion="5" refreshedVersion="8" minRefreshableVersion="3" recordCount="63" xr:uid="{00000000-000A-0000-FFFF-FFFF12000000}">
  <cacheSource type="worksheet">
    <worksheetSource ref="A1:AN64" sheet="October 2023"/>
  </cacheSource>
  <cacheFields count="40">
    <cacheField name="Sl. No." numFmtId="0">
      <sharedItems containsSemiMixedTypes="0" containsString="0" containsNumber="1" containsInteger="1" minValue="1" maxValue="63"/>
    </cacheField>
    <cacheField name="City" numFmtId="0">
      <sharedItems count="8">
        <s v="Hyderabad"/>
        <s v="Vijayawada"/>
        <s v="Vishakapatnam"/>
        <s v="Guntur"/>
        <s v="Kevadiya"/>
        <s v="Bangalore"/>
        <s v="Delhi"/>
        <s v="Nagpur"/>
      </sharedItems>
    </cacheField>
    <cacheField name="Location" numFmtId="0">
      <sharedItems count="52">
        <s v="AMAZON - Aramgarh"/>
        <s v="AMAZON - Gachibouli"/>
        <s v="AMAZON - MoulaAli"/>
        <s v="Big Basket - Kompally"/>
        <s v="Big Basket - Saroornagar"/>
        <s v="Deccan College of Engg. - Nampally"/>
        <s v="ETO Drivers home"/>
        <s v="ETO - Kachiguda"/>
        <s v="HMRL - Habsiguda"/>
        <s v="ETO - Miyapur"/>
        <s v="ETO - Aramgarh"/>
        <s v="ETO - Bollaram"/>
        <s v="ETO - Moghalpura"/>
        <s v="ETO - Secunderabad H.O."/>
        <s v="Bluedart - Raidurg"/>
        <s v="Dhuni Polymenrs - Kottur"/>
        <s v="EEFL , Madhapur"/>
        <s v="ETO - Autonagar"/>
        <s v="Big Basket - Gangoor"/>
        <s v="Flipkart - Vijayawada"/>
        <s v="GATI - Mindi"/>
        <s v="Auto Nagar, Visakhapatnam"/>
        <s v="Auto Nagar - Guntur"/>
        <s v="SOU, Parking area"/>
        <s v="ETO - Singsandra"/>
        <s v="Flipkart - Halsur"/>
        <s v="Flipkart - Yeshwanthpura"/>
        <s v="EEFL - Yeshwanthpura"/>
        <s v="RR Nagar"/>
        <s v="ETO - BYPL MCD"/>
        <s v="BSES Yamuna- Mahagun Hotel"/>
        <s v="BSES Rajdhani Customer"/>
        <s v="ETO - Shahdara Hub"/>
        <s v="ETO - DHL, Noida"/>
        <s v="ETO - Dwaraka Hub"/>
        <s v="ETO - Usmanpur Hub"/>
        <s v="ETO - Azadpur Metro Station"/>
        <s v="ETO - Electronic City Metro Station"/>
        <s v="ETO - Hindon River Metro Station"/>
        <s v="ETO - Kalkaji Metro Station"/>
        <s v="Hindustan times residence society, Mayur Vihar"/>
        <s v="UNA Co-operative residence society, Mayur vihar"/>
        <s v="Transport Office"/>
        <s v="Log9 - V3S Mall station"/>
        <s v="Log9 - Near Max hospital Milan apartment"/>
        <s v="Log9 - Covered Parking, Mother dairy"/>
        <s v="Airport South Metro station "/>
        <s v="Mayur vihar cargo parking"/>
        <s v="Press Enclave Society"/>
        <s v="Trade and Tax Department"/>
        <s v="EV Charge Hub, Madhapur , Hyderabad" u="1"/>
        <s v="EV Charge Hub, Madhapur" u="1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0" maxValue="105"/>
    </cacheField>
    <cacheField name="01-10-2023" numFmtId="0">
      <sharedItems containsString="0" containsBlank="1" containsNumber="1" minValue="0" maxValue="338.41"/>
    </cacheField>
    <cacheField name="02-10-2023" numFmtId="0">
      <sharedItems containsString="0" containsBlank="1" containsNumber="1" minValue="0" maxValue="314.55"/>
    </cacheField>
    <cacheField name="03-10-2023" numFmtId="0">
      <sharedItems containsString="0" containsBlank="1" containsNumber="1" minValue="0" maxValue="209.59000000000003"/>
    </cacheField>
    <cacheField name="04-10-2023" numFmtId="0">
      <sharedItems containsString="0" containsBlank="1" containsNumber="1" minValue="0" maxValue="237.81"/>
    </cacheField>
    <cacheField name="05-10-2023" numFmtId="0">
      <sharedItems containsString="0" containsBlank="1" containsNumber="1" minValue="0" maxValue="264.45999999999998"/>
    </cacheField>
    <cacheField name="06-10-2023" numFmtId="0">
      <sharedItems containsString="0" containsBlank="1" containsNumber="1" minValue="0" maxValue="300.49"/>
    </cacheField>
    <cacheField name="07-10-2023" numFmtId="0">
      <sharedItems containsString="0" containsBlank="1" containsNumber="1" minValue="0" maxValue="240.93"/>
    </cacheField>
    <cacheField name="08-10-2023" numFmtId="0">
      <sharedItems containsString="0" containsBlank="1" containsNumber="1" minValue="0" maxValue="332.82"/>
    </cacheField>
    <cacheField name="09-10-2023" numFmtId="0">
      <sharedItems containsString="0" containsBlank="1" containsNumber="1" minValue="0" maxValue="244.06"/>
    </cacheField>
    <cacheField name="10-10-2023" numFmtId="0">
      <sharedItems containsString="0" containsBlank="1" containsNumber="1" minValue="0" maxValue="253.1"/>
    </cacheField>
    <cacheField name="11-10-2023" numFmtId="0">
      <sharedItems containsString="0" containsBlank="1" containsNumber="1" minValue="0" maxValue="357.92"/>
    </cacheField>
    <cacheField name="12-10-2023" numFmtId="0">
      <sharedItems containsString="0" containsBlank="1" containsNumber="1" minValue="0" maxValue="414.94"/>
    </cacheField>
    <cacheField name="13-10-2023" numFmtId="0">
      <sharedItems containsString="0" containsBlank="1" containsNumber="1" minValue="0" maxValue="401.43"/>
    </cacheField>
    <cacheField name="14-10-2023" numFmtId="0">
      <sharedItems containsString="0" containsBlank="1" containsNumber="1" minValue="0" maxValue="469.77"/>
    </cacheField>
    <cacheField name="15-10-2023" numFmtId="0">
      <sharedItems containsString="0" containsBlank="1" containsNumber="1" minValue="0" maxValue="486.86"/>
    </cacheField>
    <cacheField name="16-10-2023" numFmtId="0">
      <sharedItems containsString="0" containsBlank="1" containsNumber="1" minValue="0" maxValue="223.04"/>
    </cacheField>
    <cacheField name="17-10-2023" numFmtId="0">
      <sharedItems containsString="0" containsBlank="1" containsNumber="1" minValue="0" maxValue="281.57"/>
    </cacheField>
    <cacheField name="18-10-2023" numFmtId="0">
      <sharedItems containsString="0" containsBlank="1" containsNumber="1" minValue="0" maxValue="403.29"/>
    </cacheField>
    <cacheField name="19-10-2023" numFmtId="0">
      <sharedItems containsString="0" containsBlank="1" containsNumber="1" minValue="0" maxValue="445.6"/>
    </cacheField>
    <cacheField name="20-10-2023" numFmtId="0">
      <sharedItems containsString="0" containsBlank="1" containsNumber="1" minValue="0" maxValue="378.84"/>
    </cacheField>
    <cacheField name="21-10-2023" numFmtId="0">
      <sharedItems containsString="0" containsBlank="1" containsNumber="1" minValue="0" maxValue="439.23"/>
    </cacheField>
    <cacheField name="22-10-2023" numFmtId="0">
      <sharedItems containsString="0" containsBlank="1" containsNumber="1" minValue="0" maxValue="616.02"/>
    </cacheField>
    <cacheField name="23-10-2023" numFmtId="0">
      <sharedItems containsString="0" containsBlank="1" containsNumber="1" minValue="0" maxValue="425.74"/>
    </cacheField>
    <cacheField name="24-10-2023" numFmtId="0">
      <sharedItems containsString="0" containsBlank="1" containsNumber="1" minValue="0" maxValue="227.41"/>
    </cacheField>
    <cacheField name="25-10-2023" numFmtId="0">
      <sharedItems containsString="0" containsBlank="1" containsNumber="1" minValue="0" maxValue="480.15"/>
    </cacheField>
    <cacheField name="26-10-2023" numFmtId="0">
      <sharedItems containsString="0" containsBlank="1" containsNumber="1" minValue="0" maxValue="426.74"/>
    </cacheField>
    <cacheField name="27-10-2023" numFmtId="0">
      <sharedItems containsString="0" containsBlank="1" containsNumber="1" minValue="0" maxValue="408.99"/>
    </cacheField>
    <cacheField name="28-10-2023" numFmtId="0">
      <sharedItems containsString="0" containsBlank="1" containsNumber="1" minValue="0" maxValue="390.01"/>
    </cacheField>
    <cacheField name="29-10-2023" numFmtId="0">
      <sharedItems containsString="0" containsBlank="1" containsNumber="1" minValue="0" maxValue="411.06"/>
    </cacheField>
    <cacheField name="30-10-2023" numFmtId="0">
      <sharedItems containsString="0" containsBlank="1" containsNumber="1" minValue="0" maxValue="202.75"/>
    </cacheField>
    <cacheField name="31-10-2023" numFmtId="0">
      <sharedItems containsSemiMixedTypes="0" containsString="0" containsNumber="1" minValue="0" maxValue="212.89"/>
    </cacheField>
    <cacheField name="Average" numFmtId="2">
      <sharedItems containsSemiMixedTypes="0" containsString="0" containsNumber="1" minValue="0" maxValue="332.72161290322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97222222" createdVersion="5" refreshedVersion="8" minRefreshableVersion="3" recordCount="60" xr:uid="{00000000-000A-0000-FFFF-FFFF11000000}">
  <cacheSource type="worksheet">
    <worksheetSource ref="A1:AM61" sheet="September 2023"/>
  </cacheSource>
  <cacheFields count="39">
    <cacheField name="Sl. No." numFmtId="0">
      <sharedItems containsSemiMixedTypes="0" containsString="0" containsNumber="1" containsInteger="1" minValue="1" maxValue="60"/>
    </cacheField>
    <cacheField name="City" numFmtId="0">
      <sharedItems count="7">
        <s v="Hyderabad"/>
        <s v="Vijayawada"/>
        <s v="Vishakapatnam"/>
        <s v="Kevadiya"/>
        <s v="Bangalore"/>
        <s v="Delhi"/>
        <s v="Nagpur"/>
      </sharedItems>
    </cacheField>
    <cacheField name="Location" numFmtId="0">
      <sharedItems count="47">
        <s v="AMAZON - Aramgarh"/>
        <s v="AMAZON - Gachibouli"/>
        <s v="AMAZON - MoulaAli"/>
        <s v="Big Basket - Kompally"/>
        <s v="Big Basket - Saroornagar"/>
        <s v="Deccan College of Engg. - Nampally"/>
        <s v="ETO Drivers home"/>
        <s v="ETO - Kachiguda"/>
        <s v="HMRL - Habsiguda"/>
        <s v="ETO - Miyapur"/>
        <s v="ETO - Aramgarh"/>
        <s v="ETO - Bollaram"/>
        <s v="ETO - Moghalpura"/>
        <s v="ETO - Secunderabad H.O."/>
        <s v="Bluedart - Raidurg"/>
        <s v="Dhuni Polymenrs - Kottur"/>
        <s v="ETO - Autonagar"/>
        <s v="Big Basket - Gangoor"/>
        <s v="Flipkart - Vijayawada"/>
        <s v="GATI - Mindi"/>
        <s v="SOU, Parking area"/>
        <s v="ETO - Singsandra"/>
        <s v="Flipkart - Halsur"/>
        <s v="Flipkart - Yeshwanthpura"/>
        <s v="EEFL - Yeshwanthpura"/>
        <s v="RR Nagar"/>
        <s v="ETO - BYPL MCD"/>
        <s v="BSES Yamuna- Mahagun Hotel"/>
        <s v="BSES Rajdhani Customer"/>
        <s v="ETO - Shahdara Hub"/>
        <s v="ETO - DHL, Noida"/>
        <s v="ETO - Dwaraka Hub"/>
        <s v="ETO - Usmanpur Hub"/>
        <s v="ETO - Azadpur Metro Station"/>
        <s v="ETO - Electronic City Metro Station"/>
        <s v="ETO - Hindon River Metro Station"/>
        <s v="ETO - Kalkaji Metro Station"/>
        <s v="Hindustan times residence society, Mayur Vihar"/>
        <s v="UNA Co-operative residence society, Mayur vihar"/>
        <s v="Transport Office"/>
        <s v="Log9 - V3S Mall station"/>
        <s v="Log9 - Near Max hospital Milan apartment"/>
        <s v="Log9 - Covered Parking, Mother dairy"/>
        <s v="Airport South Metro station "/>
        <s v="Mayur vihar cargo parking"/>
        <s v="Press Enclave Society"/>
        <s v="Trade and Tax Department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0" maxValue="105"/>
    </cacheField>
    <cacheField name="01-09-2023" numFmtId="0">
      <sharedItems containsString="0" containsBlank="1" containsNumber="1" minValue="0" maxValue="199.76999999999998"/>
    </cacheField>
    <cacheField name="02-09-2023" numFmtId="0">
      <sharedItems containsString="0" containsBlank="1" containsNumber="1" minValue="0" maxValue="237.13"/>
    </cacheField>
    <cacheField name="03-09-2023" numFmtId="0">
      <sharedItems containsString="0" containsBlank="1" containsNumber="1" minValue="0" maxValue="223.14"/>
    </cacheField>
    <cacheField name="04-09-2023" numFmtId="0">
      <sharedItems containsString="0" containsBlank="1" containsNumber="1" minValue="0" maxValue="247.64"/>
    </cacheField>
    <cacheField name="05-09-2023" numFmtId="0">
      <sharedItems containsString="0" containsBlank="1" containsNumber="1" minValue="0" maxValue="242.4"/>
    </cacheField>
    <cacheField name="06-09-2023" numFmtId="0">
      <sharedItems containsString="0" containsBlank="1" containsNumber="1" minValue="0" maxValue="303.33999999999997"/>
    </cacheField>
    <cacheField name="07-09-2023" numFmtId="0">
      <sharedItems containsString="0" containsBlank="1" containsNumber="1" minValue="0" maxValue="272.42"/>
    </cacheField>
    <cacheField name="08-09-2023" numFmtId="0">
      <sharedItems containsString="0" containsBlank="1" containsNumber="1" minValue="0" maxValue="313.35000000000002"/>
    </cacheField>
    <cacheField name="09-09-2023" numFmtId="0">
      <sharedItems containsString="0" containsBlank="1" containsNumber="1" minValue="0" maxValue="238.84"/>
    </cacheField>
    <cacheField name="10-09-2023" numFmtId="0">
      <sharedItems containsString="0" containsBlank="1" containsNumber="1" minValue="0" maxValue="294.14999999999998"/>
    </cacheField>
    <cacheField name="11-09-2023" numFmtId="0">
      <sharedItems containsString="0" containsBlank="1" containsNumber="1" minValue="0" maxValue="244.3"/>
    </cacheField>
    <cacheField name="12-09-2023" numFmtId="0">
      <sharedItems containsString="0" containsBlank="1" containsNumber="1" minValue="0" maxValue="259.60000000000002"/>
    </cacheField>
    <cacheField name="13-09-2023" numFmtId="0">
      <sharedItems containsString="0" containsBlank="1" containsNumber="1" minValue="0" maxValue="242.5"/>
    </cacheField>
    <cacheField name="14-09-2023" numFmtId="0">
      <sharedItems containsString="0" containsBlank="1" containsNumber="1" minValue="0" maxValue="238.62"/>
    </cacheField>
    <cacheField name="15-09-2023" numFmtId="0">
      <sharedItems containsString="0" containsBlank="1" containsNumber="1" minValue="0" maxValue="246.1"/>
    </cacheField>
    <cacheField name="16-09-2023" numFmtId="0">
      <sharedItems containsString="0" containsBlank="1" containsNumber="1" minValue="0" maxValue="210.55"/>
    </cacheField>
    <cacheField name="17-09-2023" numFmtId="0">
      <sharedItems containsString="0" containsBlank="1" containsNumber="1" minValue="0" maxValue="248.61"/>
    </cacheField>
    <cacheField name="18-09-2023" numFmtId="0">
      <sharedItems containsString="0" containsBlank="1" containsNumber="1" minValue="0" maxValue="168.79000000000002"/>
    </cacheField>
    <cacheField name="19-09-2023" numFmtId="0">
      <sharedItems containsString="0" containsBlank="1" containsNumber="1" minValue="0" maxValue="182.46"/>
    </cacheField>
    <cacheField name="20-09-2023" numFmtId="0">
      <sharedItems containsString="0" containsBlank="1" containsNumber="1" minValue="0" maxValue="202.35"/>
    </cacheField>
    <cacheField name="21-09-2023" numFmtId="0">
      <sharedItems containsString="0" containsBlank="1" containsNumber="1" minValue="0" maxValue="259.98"/>
    </cacheField>
    <cacheField name="22-09-2023" numFmtId="0">
      <sharedItems containsString="0" containsBlank="1" containsNumber="1" minValue="0" maxValue="237.27"/>
    </cacheField>
    <cacheField name="23-09-2023" numFmtId="0">
      <sharedItems containsString="0" containsBlank="1" containsNumber="1" minValue="0" maxValue="229.49"/>
    </cacheField>
    <cacheField name="24-09-2023" numFmtId="0">
      <sharedItems containsString="0" containsBlank="1" containsNumber="1" minValue="0" maxValue="235.21"/>
    </cacheField>
    <cacheField name="25-09-2023" numFmtId="0">
      <sharedItems containsString="0" containsBlank="1" containsNumber="1" minValue="0" maxValue="208.13"/>
    </cacheField>
    <cacheField name="26-09-2023" numFmtId="0">
      <sharedItems containsString="0" containsBlank="1" containsNumber="1" minValue="0" maxValue="194.87"/>
    </cacheField>
    <cacheField name="27-09-2023" numFmtId="0">
      <sharedItems containsString="0" containsBlank="1" containsNumber="1" minValue="0" maxValue="211.32"/>
    </cacheField>
    <cacheField name="28-09-2023" numFmtId="0">
      <sharedItems containsString="0" containsBlank="1" containsNumber="1" minValue="0" maxValue="223.06"/>
    </cacheField>
    <cacheField name="29-09-2023" numFmtId="0">
      <sharedItems containsSemiMixedTypes="0" containsString="0" containsNumber="1" minValue="0" maxValue="300.25"/>
    </cacheField>
    <cacheField name="30-09-2023" numFmtId="0">
      <sharedItems containsSemiMixedTypes="0" containsString="0" containsNumber="1" minValue="0" maxValue="290.10000000000002"/>
    </cacheField>
    <cacheField name="Average" numFmtId="2">
      <sharedItems containsSemiMixedTypes="0" containsString="0" containsNumber="1" minValue="0" maxValue="227.08033333333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97569445" createdVersion="5" refreshedVersion="8" minRefreshableVersion="3" recordCount="60" xr:uid="{00000000-000A-0000-FFFF-FFFF10000000}">
  <cacheSource type="worksheet">
    <worksheetSource ref="A1:AN61" sheet="August2023"/>
  </cacheSource>
  <cacheFields count="40">
    <cacheField name="Sl. No." numFmtId="0">
      <sharedItems containsString="0" containsBlank="1" containsNumber="1" containsInteger="1" minValue="1" maxValue="56"/>
    </cacheField>
    <cacheField name="City" numFmtId="0">
      <sharedItems count="7">
        <s v="Hyderabad"/>
        <s v="Vijayawada"/>
        <s v="Vishakapatnam"/>
        <s v="Kevadiya"/>
        <s v="Bangalore"/>
        <s v="Delhi"/>
        <s v="Nagpur"/>
      </sharedItems>
    </cacheField>
    <cacheField name="Location" numFmtId="0">
      <sharedItems count="48">
        <s v="AMAZON - Aramgarh"/>
        <s v="AMAZON - Gachibouli"/>
        <s v="AMAZON - MoulaAli"/>
        <s v="Big Basket - Balanagar"/>
        <s v="Big Basket - Karwan"/>
        <s v="Big Basket - Kompally"/>
        <s v="Big Basket - Saroornagar"/>
        <s v="Deccan College of Engg. - Nampally"/>
        <s v="ETO Drivers home"/>
        <s v="ETO - Kachiguda"/>
        <s v="HMRL - Habsiguda"/>
        <s v="ETO - Kukatpally"/>
        <s v="ETO - Miyapur"/>
        <s v="ETO - Aramgarh"/>
        <s v="ETO - Bollaram"/>
        <s v="ETO - Moghalpura"/>
        <s v="ETO - Secunderabad H.O."/>
        <s v="Bluedart - Raidurg"/>
        <s v="Dhuni Polymers - Kottur"/>
        <s v="ETO - Autonagar"/>
        <s v="Big Basket - Gangoor"/>
        <s v="Flipkart - Vijayawada"/>
        <s v="GATI - Mindi"/>
        <s v="SOU, Parking area"/>
        <s v="ETO - Singsandra"/>
        <s v="Flipkart - Halsur"/>
        <s v="Flipkart - Yeshwanthpura"/>
        <s v="EEFL - Yeshwanthpura"/>
        <s v="RR Nagar"/>
        <s v="ETO - BYPL MCD"/>
        <s v="BSES Yamuna- Mahagun Hotel"/>
        <s v="BSES Rajdhani Customer"/>
        <s v="ETO - Shahdara Hub"/>
        <s v="ETO - DHL, Noida"/>
        <s v="ETO - Dwaraka Hub"/>
        <s v="ETO - Usmanpur Hub"/>
        <s v="ETO - Azadpur Metro Station"/>
        <s v="ETO - Electronic City Metro Station"/>
        <s v="ETO - Hindon River Metro Station"/>
        <s v="ETO - Kalkaji Metro Station"/>
        <s v="Hindustan times residence society, Mayur Vihar"/>
        <s v="UNA Co-operative residence society, Mayur vihar"/>
        <s v="Transport Office"/>
        <s v="Log9 - V3S Mall station"/>
        <s v="Log9 - Near Max hospital Milan apartment"/>
        <s v="Log9 - Covered Parking, Mother dairy"/>
        <s v="Airport South Metro Station Nagpur"/>
        <s v="Mayur vihar cargo parking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tring="0" containsBlank="1" containsNumber="1" containsInteger="1" minValue="1" maxValue="105"/>
    </cacheField>
    <cacheField name="01-08-2023" numFmtId="0">
      <sharedItems containsString="0" containsBlank="1" containsNumber="1" minValue="0" maxValue="166.8"/>
    </cacheField>
    <cacheField name="02-08-2023" numFmtId="0">
      <sharedItems containsString="0" containsBlank="1" containsNumber="1" minValue="0" maxValue="195.9"/>
    </cacheField>
    <cacheField name="03-08-2023" numFmtId="0">
      <sharedItems containsString="0" containsBlank="1" containsNumber="1" minValue="0" maxValue="225.06"/>
    </cacheField>
    <cacheField name="04-08-2023" numFmtId="0">
      <sharedItems containsString="0" containsBlank="1" containsNumber="1" minValue="0" maxValue="208.26"/>
    </cacheField>
    <cacheField name="05-08-2023" numFmtId="0">
      <sharedItems containsString="0" containsBlank="1" containsNumber="1" minValue="0" maxValue="300.37"/>
    </cacheField>
    <cacheField name="06-08-2023" numFmtId="0">
      <sharedItems containsString="0" containsBlank="1" containsNumber="1" minValue="0" maxValue="184.13"/>
    </cacheField>
    <cacheField name="07-08-2023" numFmtId="0">
      <sharedItems containsString="0" containsBlank="1" containsNumber="1" minValue="0" maxValue="143.83000000000001"/>
    </cacheField>
    <cacheField name="08-08-2023" numFmtId="0">
      <sharedItems containsBlank="1" containsMixedTypes="1" containsNumber="1" minValue="0" maxValue="127.46"/>
    </cacheField>
    <cacheField name="09-08-2023" numFmtId="0">
      <sharedItems containsString="0" containsBlank="1" containsNumber="1" minValue="0" maxValue="173.31"/>
    </cacheField>
    <cacheField name="10-08-2023" numFmtId="0">
      <sharedItems containsString="0" containsBlank="1" containsNumber="1" minValue="0" maxValue="145.1"/>
    </cacheField>
    <cacheField name="11-08-2023" numFmtId="0">
      <sharedItems containsString="0" containsBlank="1" containsNumber="1" minValue="0" maxValue="173.66"/>
    </cacheField>
    <cacheField name="12-08-2023" numFmtId="0">
      <sharedItems containsString="0" containsBlank="1" containsNumber="1" minValue="0" maxValue="203.5"/>
    </cacheField>
    <cacheField name="13-08-2023" numFmtId="0">
      <sharedItems containsString="0" containsBlank="1" containsNumber="1" minValue="0" maxValue="331.99"/>
    </cacheField>
    <cacheField name="14-08-2023" numFmtId="0">
      <sharedItems containsString="0" containsBlank="1" containsNumber="1" minValue="0" maxValue="250.05"/>
    </cacheField>
    <cacheField name="15-08-2023" numFmtId="0">
      <sharedItems containsString="0" containsBlank="1" containsNumber="1" minValue="0" maxValue="194.38"/>
    </cacheField>
    <cacheField name="16-08-2023" numFmtId="2">
      <sharedItems containsString="0" containsBlank="1" containsNumber="1" minValue="0" maxValue="326.18"/>
    </cacheField>
    <cacheField name="17-08-2023" numFmtId="2">
      <sharedItems containsString="0" containsBlank="1" containsNumber="1" minValue="0" maxValue="212.3"/>
    </cacheField>
    <cacheField name="18-08-2023" numFmtId="2">
      <sharedItems containsString="0" containsBlank="1" containsNumber="1" minValue="0" maxValue="206.47"/>
    </cacheField>
    <cacheField name="19-08-2023" numFmtId="2">
      <sharedItems containsString="0" containsBlank="1" containsNumber="1" minValue="0" maxValue="233.08"/>
    </cacheField>
    <cacheField name="20-08-2023" numFmtId="2">
      <sharedItems containsString="0" containsBlank="1" containsNumber="1" minValue="0" maxValue="244.87"/>
    </cacheField>
    <cacheField name="21-08-2023" numFmtId="2">
      <sharedItems containsString="0" containsBlank="1" containsNumber="1" minValue="0" maxValue="216.94"/>
    </cacheField>
    <cacheField name="22-08-2023" numFmtId="2">
      <sharedItems containsString="0" containsBlank="1" containsNumber="1" minValue="0" maxValue="200.54"/>
    </cacheField>
    <cacheField name="23-08-2023" numFmtId="2">
      <sharedItems containsString="0" containsBlank="1" containsNumber="1" minValue="0" maxValue="211.72"/>
    </cacheField>
    <cacheField name="24-08-2023" numFmtId="2">
      <sharedItems containsString="0" containsBlank="1" containsNumber="1" minValue="0" maxValue="203.25"/>
    </cacheField>
    <cacheField name="25-08-2023" numFmtId="2">
      <sharedItems containsString="0" containsBlank="1" containsNumber="1" minValue="0" maxValue="215.65"/>
    </cacheField>
    <cacheField name="26-08-2023" numFmtId="2">
      <sharedItems containsString="0" containsBlank="1" containsNumber="1" minValue="0" maxValue="227.99999999999997"/>
    </cacheField>
    <cacheField name="27-08-2023" numFmtId="2">
      <sharedItems containsString="0" containsBlank="1" containsNumber="1" minValue="0" maxValue="204.19"/>
    </cacheField>
    <cacheField name="28-08-2023" numFmtId="2">
      <sharedItems containsString="0" containsBlank="1" containsNumber="1" minValue="0" maxValue="202.3"/>
    </cacheField>
    <cacheField name="29-08-2023" numFmtId="2">
      <sharedItems containsString="0" containsBlank="1" containsNumber="1" minValue="0" maxValue="232.62"/>
    </cacheField>
    <cacheField name="30-08-2023" numFmtId="2">
      <sharedItems containsString="0" containsBlank="1" containsNumber="1" minValue="0" maxValue="229.95"/>
    </cacheField>
    <cacheField name="31-08-2023" numFmtId="2">
      <sharedItems containsString="0" containsBlank="1" containsNumber="1" minValue="0" maxValue="210.96"/>
    </cacheField>
    <cacheField name="Average" numFmtId="2">
      <sharedItems containsString="0" containsBlank="1" containsNumber="1" minValue="0" maxValue="177.78874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Rajiv" refreshedDate="45808.489597800923" createdVersion="5" refreshedVersion="8" minRefreshableVersion="3" recordCount="44" xr:uid="{00000000-000A-0000-FFFF-FFFF0F000000}">
  <cacheSource type="worksheet">
    <worksheetSource ref="A1:AN45" sheet="July 2023"/>
  </cacheSource>
  <cacheFields count="40">
    <cacheField name="Sl. No." numFmtId="0">
      <sharedItems containsSemiMixedTypes="0" containsString="0" containsNumber="1" containsInteger="1" minValue="1" maxValue="44"/>
    </cacheField>
    <cacheField name="City" numFmtId="0">
      <sharedItems count="6">
        <s v="Hyderabad"/>
        <s v="Vijayawada"/>
        <s v="Vishakapatnam"/>
        <s v="Kevadiya"/>
        <s v="Bangalore"/>
        <s v="Delhi"/>
      </sharedItems>
    </cacheField>
    <cacheField name="Location" numFmtId="0">
      <sharedItems count="38">
        <s v="Aramgarh"/>
        <s v="Gachibouli"/>
        <s v="MoulaAli"/>
        <s v="Balanagar"/>
        <s v="Karwan"/>
        <s v="Kompally"/>
        <s v="Manikonda"/>
        <s v="Saroornagar"/>
        <s v="Nampally"/>
        <s v="ETO Drivers home"/>
        <s v="ETO - Kachiguda"/>
        <s v="Habsiguda"/>
        <s v="ETO - Kukatpally"/>
        <s v="ETO - Miyapur"/>
        <s v="ETO - Aramgarh"/>
        <s v="ETO - Bollaram"/>
        <s v="ETO - Moghalpura"/>
        <s v="ETO - Secunderabad H.O."/>
        <s v="Raidurg"/>
        <s v="Kottur"/>
        <s v="ETO - Autonagar"/>
        <s v="Gangoor"/>
        <s v="Flipkart"/>
        <s v="Mindi"/>
        <s v="SOU, Parking area"/>
        <s v="ETO - Singsandra"/>
        <s v="Halsur"/>
        <s v="Yeshwanthpura"/>
        <s v="ETO - BYPL MCD"/>
        <s v="BSES Yamuna- Mahagun Hotel"/>
        <s v="BSES Rajdhani Customer"/>
        <s v="ETO - Shahdara Hub"/>
        <s v="ETO - DHL, Noida"/>
        <s v="ETO - Dwaraka Hub"/>
        <s v="ETO - Usmanpur Hub"/>
        <s v="ETO - Azadpur Hub"/>
        <s v="ETO - Noida Hub"/>
        <s v="ETO - Hindon River Hub"/>
      </sharedItems>
    </cacheField>
    <cacheField name="Location Owner" numFmtId="0">
      <sharedItems containsBlank="1"/>
    </cacheField>
    <cacheField name="Tariff Type" numFmtId="0">
      <sharedItems/>
    </cacheField>
    <cacheField name="Charger Capacity" numFmtId="0">
      <sharedItems/>
    </cacheField>
    <cacheField name="Type of Charger" numFmtId="0">
      <sharedItems/>
    </cacheField>
    <cacheField name="No. of Chargers" numFmtId="0">
      <sharedItems containsSemiMixedTypes="0" containsString="0" containsNumber="1" containsInteger="1" minValue="1" maxValue="105"/>
    </cacheField>
    <cacheField name="01-07-2023" numFmtId="4">
      <sharedItems containsSemiMixedTypes="0" containsString="0" containsNumber="1" minValue="0" maxValue="133.13999999999999"/>
    </cacheField>
    <cacheField name="02-07-2023" numFmtId="4">
      <sharedItems containsSemiMixedTypes="0" containsString="0" containsNumber="1" minValue="0" maxValue="119.25"/>
    </cacheField>
    <cacheField name="03-07-2023" numFmtId="4">
      <sharedItems containsSemiMixedTypes="0" containsString="0" containsNumber="1" minValue="0" maxValue="119.1"/>
    </cacheField>
    <cacheField name="04-07-2023" numFmtId="4">
      <sharedItems containsSemiMixedTypes="0" containsString="0" containsNumber="1" minValue="0" maxValue="155.91999999999999"/>
    </cacheField>
    <cacheField name="05-07-2023" numFmtId="4">
      <sharedItems containsSemiMixedTypes="0" containsString="0" containsNumber="1" minValue="0" maxValue="166.53"/>
    </cacheField>
    <cacheField name="06-07-2023" numFmtId="4">
      <sharedItems containsSemiMixedTypes="0" containsString="0" containsNumber="1" minValue="0" maxValue="225.47"/>
    </cacheField>
    <cacheField name="07-07-2023" numFmtId="4">
      <sharedItems containsSemiMixedTypes="0" containsString="0" containsNumber="1" minValue="0" maxValue="255.31"/>
    </cacheField>
    <cacheField name="08-07-2023" numFmtId="4">
      <sharedItems containsSemiMixedTypes="0" containsString="0" containsNumber="1" minValue="0" maxValue="410.78"/>
    </cacheField>
    <cacheField name="09-07-2023" numFmtId="4">
      <sharedItems containsSemiMixedTypes="0" containsString="0" containsNumber="1" minValue="0" maxValue="299.55"/>
    </cacheField>
    <cacheField name="10-07-2023" numFmtId="4">
      <sharedItems containsSemiMixedTypes="0" containsString="0" containsNumber="1" minValue="0" maxValue="286.2"/>
    </cacheField>
    <cacheField name="11-07-2023" numFmtId="4">
      <sharedItems containsSemiMixedTypes="0" containsString="0" containsNumber="1" minValue="0" maxValue="164.04"/>
    </cacheField>
    <cacheField name="12-07-2023" numFmtId="4">
      <sharedItems containsSemiMixedTypes="0" containsString="0" containsNumber="1" minValue="0" maxValue="319.97000000000003"/>
    </cacheField>
    <cacheField name="13-07-2023" numFmtId="4">
      <sharedItems containsSemiMixedTypes="0" containsString="0" containsNumber="1" minValue="0" maxValue="218.7"/>
    </cacheField>
    <cacheField name="14-07-2023" numFmtId="4">
      <sharedItems containsSemiMixedTypes="0" containsString="0" containsNumber="1" minValue="0" maxValue="261.76"/>
    </cacheField>
    <cacheField name="15-07-2023" numFmtId="4">
      <sharedItems containsSemiMixedTypes="0" containsString="0" containsNumber="1" minValue="0" maxValue="325.47000000000003"/>
    </cacheField>
    <cacheField name="16-07-2023" numFmtId="4">
      <sharedItems containsSemiMixedTypes="0" containsString="0" containsNumber="1" minValue="0" maxValue="402.41"/>
    </cacheField>
    <cacheField name="17-07-2023" numFmtId="4">
      <sharedItems containsSemiMixedTypes="0" containsString="0" containsNumber="1" minValue="0" maxValue="194.35"/>
    </cacheField>
    <cacheField name="18-07-2023" numFmtId="0">
      <sharedItems containsSemiMixedTypes="0" containsString="0" containsNumber="1" minValue="0" maxValue="218.16"/>
    </cacheField>
    <cacheField name="19-07-2023" numFmtId="0">
      <sharedItems containsSemiMixedTypes="0" containsString="0" containsNumber="1" minValue="0" maxValue="300.08999999999997"/>
    </cacheField>
    <cacheField name="20-07-2023" numFmtId="0">
      <sharedItems containsSemiMixedTypes="0" containsString="0" containsNumber="1" minValue="0" maxValue="227.52"/>
    </cacheField>
    <cacheField name="21-07-2023" numFmtId="4">
      <sharedItems containsSemiMixedTypes="0" containsString="0" containsNumber="1" minValue="0" maxValue="233.35"/>
    </cacheField>
    <cacheField name="22-07-2023" numFmtId="4">
      <sharedItems containsSemiMixedTypes="0" containsString="0" containsNumber="1" minValue="0" maxValue="356.16"/>
    </cacheField>
    <cacheField name="23-07-2023" numFmtId="4">
      <sharedItems containsSemiMixedTypes="0" containsString="0" containsNumber="1" minValue="0" maxValue="183.19"/>
    </cacheField>
    <cacheField name="24-07-2023" numFmtId="4">
      <sharedItems containsSemiMixedTypes="0" containsString="0" containsNumber="1" minValue="0" maxValue="251.1"/>
    </cacheField>
    <cacheField name="25-07-2023" numFmtId="4">
      <sharedItems containsSemiMixedTypes="0" containsString="0" containsNumber="1" minValue="0" maxValue="204.29"/>
    </cacheField>
    <cacheField name="26-07-2023" numFmtId="4">
      <sharedItems containsSemiMixedTypes="0" containsString="0" containsNumber="1" minValue="0" maxValue="211.1"/>
    </cacheField>
    <cacheField name="27-07-2023" numFmtId="4">
      <sharedItems containsSemiMixedTypes="0" containsString="0" containsNumber="1" minValue="0" maxValue="210.23"/>
    </cacheField>
    <cacheField name="28-07-2023" numFmtId="4">
      <sharedItems containsSemiMixedTypes="0" containsString="0" containsNumber="1" minValue="0" maxValue="222.41"/>
    </cacheField>
    <cacheField name="29-07-2023" numFmtId="4">
      <sharedItems containsSemiMixedTypes="0" containsString="0" containsNumber="1" minValue="0" maxValue="247.18"/>
    </cacheField>
    <cacheField name="30-07-2023" numFmtId="4">
      <sharedItems containsSemiMixedTypes="0" containsString="0" containsNumber="1" minValue="0" maxValue="412.26"/>
    </cacheField>
    <cacheField name="31-07-2023" numFmtId="4">
      <sharedItems containsSemiMixedTypes="0" containsString="0" containsNumber="1" minValue="0" maxValue="184.48"/>
    </cacheField>
    <cacheField name="Average" numFmtId="4">
      <sharedItems containsSemiMixedTypes="0" containsString="0" containsNumber="1" minValue="0" maxValue="215.461290322580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">
  <r>
    <n v="1"/>
    <x v="0"/>
    <x v="0"/>
    <s v="Amazon"/>
    <s v="Public-Paid"/>
    <s v="3.3 kW"/>
    <s v="OCPP"/>
    <n v="6"/>
    <x v="0"/>
    <n v="45.16"/>
    <n v="50.69"/>
    <n v="69.11"/>
    <n v="73.7"/>
    <n v="72.239999999999995"/>
    <n v="91.47"/>
    <n v="69.05"/>
    <n v="68.260000000000005"/>
    <n v="74.77"/>
    <n v="65.36"/>
    <n v="77.19"/>
    <n v="81.489999999999995"/>
    <n v="77.95"/>
    <n v="56.04"/>
    <n v="50.41"/>
    <n v="39.56"/>
    <n v="60.5"/>
    <n v="74.12"/>
    <n v="42.74"/>
    <n v="38.29"/>
    <n v="49.87"/>
    <n v="37.35"/>
    <n v="50.38"/>
    <n v="50.17"/>
    <n v="52.75"/>
    <n v="50.81"/>
    <n v="43.78"/>
    <n v="32.090000000000003"/>
    <n v="65.75"/>
    <n v="0"/>
    <n v="0"/>
    <n v="55.195161290322581"/>
    <n v="9.1991935483870968"/>
  </r>
  <r>
    <n v="2"/>
    <x v="0"/>
    <x v="1"/>
    <s v="Amazon"/>
    <s v="Public-Paid"/>
    <s v="3.3 kW"/>
    <s v="OCPP"/>
    <n v="9"/>
    <x v="0"/>
    <n v="102.02"/>
    <n v="127.29"/>
    <n v="145.41"/>
    <n v="119.81"/>
    <n v="150.97999999999999"/>
    <n v="148.56"/>
    <n v="139.99"/>
    <n v="130.47"/>
    <n v="148.75"/>
    <n v="131.19"/>
    <n v="135.77000000000001"/>
    <n v="140.27000000000001"/>
    <n v="122.13"/>
    <n v="91.65"/>
    <n v="75.13"/>
    <n v="90.42"/>
    <n v="120.8"/>
    <n v="96.24"/>
    <n v="99.13"/>
    <n v="133.71"/>
    <n v="130.87"/>
    <n v="123"/>
    <n v="145.37"/>
    <n v="98.15"/>
    <n v="129.38999999999999"/>
    <n v="137.13999999999999"/>
    <n v="79.760000000000005"/>
    <n v="111.44"/>
    <n v="119.75"/>
    <n v="107.35"/>
    <n v="125.67"/>
    <n v="121.21322580645162"/>
    <n v="13.468136200716847"/>
  </r>
  <r>
    <n v="3"/>
    <x v="0"/>
    <x v="2"/>
    <s v="Amazon"/>
    <s v="Public-Paid"/>
    <s v="3.3 kW"/>
    <s v="OCPP"/>
    <n v="3"/>
    <x v="0"/>
    <n v="27.91"/>
    <n v="31.55"/>
    <n v="46.18"/>
    <n v="42.19"/>
    <n v="40.36"/>
    <n v="24.18"/>
    <n v="47.67"/>
    <n v="43.17"/>
    <n v="47.09"/>
    <n v="37.36"/>
    <n v="29.73"/>
    <n v="44.14"/>
    <n v="30.06"/>
    <n v="38.03"/>
    <n v="32.07"/>
    <n v="17.88"/>
    <n v="51.02"/>
    <n v="37.29"/>
    <n v="23.6"/>
    <n v="35.630000000000003"/>
    <n v="32.89"/>
    <n v="47.35"/>
    <n v="35.25"/>
    <n v="40.47"/>
    <n v="16"/>
    <n v="32.979999999999997"/>
    <n v="12.12"/>
    <n v="30.16"/>
    <n v="36.15"/>
    <n v="24.02"/>
    <n v="30.96"/>
    <n v="34.369677419354851"/>
    <n v="11.45655913978495"/>
  </r>
  <r>
    <n v="4"/>
    <x v="0"/>
    <x v="3"/>
    <s v="Big Basket"/>
    <s v="Public-Paid"/>
    <s v="3.3 kW"/>
    <s v="OCPP"/>
    <n v="3"/>
    <x v="1"/>
    <n v="23.85"/>
    <n v="34.99"/>
    <n v="37.44"/>
    <n v="48.62"/>
    <n v="33.65"/>
    <n v="35.369999999999997"/>
    <n v="51.59"/>
    <n v="49.3"/>
    <n v="46.13"/>
    <n v="44.32"/>
    <n v="35.590000000000003"/>
    <n v="30.27"/>
    <n v="15.62"/>
    <n v="22.79"/>
    <n v="35.68"/>
    <n v="56.89"/>
    <n v="60.25"/>
    <n v="60.28"/>
    <n v="50.98"/>
    <n v="57.28"/>
    <n v="48.94"/>
    <n v="52.56"/>
    <n v="46.32"/>
    <n v="40.4"/>
    <n v="43.06"/>
    <n v="36.04"/>
    <n v="0"/>
    <n v="0"/>
    <n v="0"/>
    <n v="0"/>
    <n v="0"/>
    <n v="35.426129032258061"/>
    <n v="11.808709677419353"/>
  </r>
  <r>
    <n v="5"/>
    <x v="0"/>
    <x v="4"/>
    <s v="Deccan College of Engg."/>
    <s v="Public-Free"/>
    <s v="3.3 kW"/>
    <s v="LEVAC-BLE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0"/>
    <x v="5"/>
    <s v="ETO Driver"/>
    <s v="Public-Free"/>
    <s v="3.3 kW"/>
    <s v="LEVAC-BLE"/>
    <n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x v="6"/>
    <s v="ETO"/>
    <s v="Public-Paid"/>
    <s v="3.3 kW"/>
    <s v="OCPP"/>
    <n v="8"/>
    <x v="1"/>
    <n v="49.86"/>
    <n v="43.39"/>
    <n v="36.700000000000003"/>
    <n v="32.340000000000003"/>
    <n v="38.619999999999997"/>
    <n v="52.51"/>
    <n v="43.74"/>
    <n v="34.64"/>
    <n v="49.09"/>
    <n v="48.2"/>
    <n v="39.07"/>
    <n v="58.26"/>
    <n v="50.06"/>
    <n v="24.71"/>
    <n v="8.09"/>
    <n v="47.47"/>
    <n v="56.7"/>
    <n v="43.46"/>
    <n v="57.05"/>
    <n v="50"/>
    <n v="47.22"/>
    <n v="41.98"/>
    <n v="14.97"/>
    <n v="25.76"/>
    <n v="50.57"/>
    <n v="33.409999999999997"/>
    <n v="37.79"/>
    <n v="30.54"/>
    <n v="29.89"/>
    <n v="81.19"/>
    <n v="28.98"/>
    <n v="41.492258064516143"/>
    <n v="5.1865322580645179"/>
  </r>
  <r>
    <n v="8"/>
    <x v="0"/>
    <x v="7"/>
    <s v="HMRL"/>
    <s v="Public-Free"/>
    <s v="3.3 kW"/>
    <s v="LEVAC-BLE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8"/>
    <s v="Trinity"/>
    <s v="Public-Paid"/>
    <s v="3.3 kW"/>
    <s v="OCPP"/>
    <n v="17"/>
    <x v="1"/>
    <n v="110.22"/>
    <n v="79.27"/>
    <n v="128.22999999999999"/>
    <n v="90.38"/>
    <n v="116.45"/>
    <n v="103.1"/>
    <n v="123.87"/>
    <n v="153.41"/>
    <n v="70.7"/>
    <n v="102.96"/>
    <n v="104.35"/>
    <n v="139.96"/>
    <n v="80.33"/>
    <n v="114.67"/>
    <n v="88.87"/>
    <n v="88.24"/>
    <n v="119.24"/>
    <n v="93.7"/>
    <n v="75.78"/>
    <n v="91.47"/>
    <n v="83.6"/>
    <n v="69.34"/>
    <n v="56.29"/>
    <n v="78.209999999999994"/>
    <n v="107.38"/>
    <n v="63.22"/>
    <n v="99.38"/>
    <n v="72.010000000000005"/>
    <n v="114.56"/>
    <n v="97.08"/>
    <n v="116.97"/>
    <n v="97.846451612903223"/>
    <n v="5.7556736242884252"/>
  </r>
  <r>
    <n v="10"/>
    <x v="0"/>
    <x v="8"/>
    <s v="Trinity"/>
    <s v="Public-Paid"/>
    <s v="3.3 kW"/>
    <s v="DC Charger"/>
    <n v="1"/>
    <x v="1"/>
    <n v="0"/>
    <n v="3.75"/>
    <n v="0.99"/>
    <n v="9.5399999999999991"/>
    <n v="5.51"/>
    <n v="6.24"/>
    <n v="7.19"/>
    <n v="16.239999999999998"/>
    <n v="22.84"/>
    <n v="7.93"/>
    <n v="14.85"/>
    <n v="9.94"/>
    <n v="8.73"/>
    <n v="0"/>
    <n v="0"/>
    <n v="0"/>
    <n v="16.760000000000002"/>
    <n v="18.2"/>
    <n v="0"/>
    <n v="0"/>
    <n v="9.25"/>
    <n v="14.95"/>
    <n v="15.21"/>
    <n v="11.05"/>
    <n v="7.25"/>
    <n v="16.12"/>
    <n v="13.15"/>
    <n v="4.2699999999999996"/>
    <n v="8.44"/>
    <n v="1.82"/>
    <n v="9.5299999999999994"/>
    <n v="8.379032258064516"/>
    <n v="8.379032258064516"/>
  </r>
  <r>
    <n v="11"/>
    <x v="0"/>
    <x v="8"/>
    <s v="Trinity"/>
    <s v="Public-Paid"/>
    <s v="12kW"/>
    <s v="DC Charger"/>
    <n v="1"/>
    <x v="1"/>
    <n v="0"/>
    <n v="5.91"/>
    <n v="0"/>
    <n v="0.01"/>
    <n v="0"/>
    <n v="0"/>
    <n v="0"/>
    <n v="0"/>
    <n v="0"/>
    <n v="0"/>
    <n v="0"/>
    <n v="0"/>
    <n v="0"/>
    <n v="0"/>
    <n v="0"/>
    <n v="0"/>
    <n v="0"/>
    <n v="0"/>
    <n v="7.06"/>
    <n v="6.37"/>
    <n v="4.63"/>
    <n v="0"/>
    <n v="0"/>
    <n v="0"/>
    <n v="0"/>
    <n v="0"/>
    <n v="0"/>
    <n v="0"/>
    <n v="7.67"/>
    <n v="0"/>
    <n v="0"/>
    <n v="1.0209677419354839"/>
    <n v="1.0209677419354839"/>
  </r>
  <r>
    <n v="12"/>
    <x v="0"/>
    <x v="9"/>
    <s v="ETO"/>
    <s v="Public-Paid"/>
    <s v="3.3 kW"/>
    <s v="OCPP"/>
    <n v="6"/>
    <x v="1"/>
    <n v="15.03"/>
    <n v="6.1"/>
    <n v="22.13"/>
    <n v="26.9"/>
    <n v="19.59"/>
    <n v="22.95"/>
    <n v="28.6"/>
    <n v="16.89"/>
    <n v="17.07"/>
    <n v="25.48"/>
    <n v="9.56"/>
    <n v="13.4"/>
    <n v="15.65"/>
    <n v="10.63"/>
    <n v="5.05"/>
    <n v="19.96"/>
    <n v="4.9400000000000004"/>
    <n v="13.19"/>
    <n v="39.369999999999997"/>
    <n v="20.6"/>
    <n v="14.25"/>
    <n v="11.6"/>
    <n v="13.34"/>
    <n v="11.75"/>
    <n v="22"/>
    <n v="14.99"/>
    <n v="17.04"/>
    <n v="8.93"/>
    <n v="10.28"/>
    <n v="35.380000000000003"/>
    <n v="0"/>
    <n v="16.53709677419355"/>
    <n v="2.7561827956989249"/>
  </r>
  <r>
    <n v="13"/>
    <x v="0"/>
    <x v="10"/>
    <s v="Trinity"/>
    <s v="Public-Paid"/>
    <s v="3.3 kW"/>
    <s v="OCPP"/>
    <n v="6"/>
    <x v="1"/>
    <n v="32.72"/>
    <n v="14.78"/>
    <n v="28.1"/>
    <n v="35.450000000000003"/>
    <n v="30.94"/>
    <n v="32.39"/>
    <n v="26.36"/>
    <n v="41.44"/>
    <n v="25.39"/>
    <n v="37.19"/>
    <n v="32.159999999999997"/>
    <n v="28.07"/>
    <n v="20.12"/>
    <n v="12.88"/>
    <n v="23.03"/>
    <n v="31.89"/>
    <n v="20.66"/>
    <n v="37.94"/>
    <n v="25.63"/>
    <n v="31.24"/>
    <n v="25.42"/>
    <n v="31.65"/>
    <n v="36.869999999999997"/>
    <n v="37.369999999999997"/>
    <n v="25.34"/>
    <n v="24.67"/>
    <n v="40.33"/>
    <n v="25.46"/>
    <n v="32.79"/>
    <n v="36.93"/>
    <n v="24.82"/>
    <n v="29.355806451612903"/>
    <n v="4.8926344086021505"/>
  </r>
  <r>
    <n v="14"/>
    <x v="0"/>
    <x v="11"/>
    <s v="ETO"/>
    <s v="Public-Paid"/>
    <s v="3.3 kW"/>
    <s v="OCPP"/>
    <n v="3"/>
    <x v="1"/>
    <n v="50.29"/>
    <n v="44.6"/>
    <n v="39.770000000000003"/>
    <n v="33.049999999999997"/>
    <n v="50.86"/>
    <n v="46.67"/>
    <n v="43.93"/>
    <n v="56.43"/>
    <n v="62.7"/>
    <n v="62.29"/>
    <n v="37.6"/>
    <n v="56.5"/>
    <n v="41.05"/>
    <n v="47.83"/>
    <n v="30.57"/>
    <n v="38.53"/>
    <n v="42.8"/>
    <n v="73.55"/>
    <n v="45.59"/>
    <n v="36.14"/>
    <n v="41.72"/>
    <n v="58.53"/>
    <n v="20.49"/>
    <n v="47.72"/>
    <n v="54.6"/>
    <n v="51.3"/>
    <n v="55.1"/>
    <n v="36.69"/>
    <n v="50.9"/>
    <n v="63.04"/>
    <n v="55.88"/>
    <n v="47.636129032258069"/>
    <n v="15.878709677419357"/>
  </r>
  <r>
    <n v="15"/>
    <x v="0"/>
    <x v="12"/>
    <s v="ETO"/>
    <s v="Public-Free"/>
    <s v="3.3 kW"/>
    <s v="LEVAC-BLE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x v="13"/>
    <s v="Bluedart"/>
    <s v="Public-Free"/>
    <s v="3.3 kW"/>
    <s v="LEVAC-BLE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4"/>
    <s v="Dhuni Polymers"/>
    <s v="Public-Free"/>
    <s v="3.3 kW"/>
    <s v="LEVAC-BLE"/>
    <n v="1"/>
    <x v="3"/>
    <n v="0"/>
    <n v="2.1909999999999998"/>
    <n v="0"/>
    <n v="0"/>
    <n v="0"/>
    <n v="0"/>
    <n v="0"/>
    <n v="0"/>
    <n v="1.9590000000000001"/>
    <n v="2.1999999999999999E-2"/>
    <n v="0"/>
    <n v="0"/>
    <n v="0"/>
    <n v="0"/>
    <n v="0"/>
    <n v="1.353"/>
    <n v="0.151"/>
    <n v="0"/>
    <n v="1E-3"/>
    <n v="0"/>
    <n v="1.792"/>
    <n v="0"/>
    <n v="2.8159999999999998"/>
    <n v="0"/>
    <n v="0"/>
    <n v="0"/>
    <n v="3.036"/>
    <n v="0"/>
    <n v="0.48499999999999999"/>
    <n v="0"/>
    <n v="0"/>
    <n v="0.4453548387096774"/>
    <n v="0.4453548387096774"/>
  </r>
  <r>
    <n v="18"/>
    <x v="0"/>
    <x v="15"/>
    <s v="EFL"/>
    <s v="Public-Paid"/>
    <s v="12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9"/>
    <n v="0"/>
    <n v="0"/>
    <n v="0"/>
    <n v="0"/>
    <n v="0"/>
    <n v="0"/>
    <n v="0"/>
    <n v="0"/>
    <n v="0"/>
    <n v="0"/>
    <n v="0"/>
    <n v="0.19322580645161291"/>
    <n v="0.19322580645161291"/>
  </r>
  <r>
    <n v="19"/>
    <x v="0"/>
    <x v="16"/>
    <s v="Trinity"/>
    <s v="Public-Paid"/>
    <s v="3.3 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7"/>
    <s v="Trinity"/>
    <s v="Public-Paid"/>
    <s v="3.3 kW"/>
    <s v="OCPP"/>
    <n v="10"/>
    <x v="1"/>
    <n v="28.96"/>
    <n v="53"/>
    <n v="92.98"/>
    <n v="72.27"/>
    <n v="69.98"/>
    <n v="45.9"/>
    <n v="55.46"/>
    <n v="53.72"/>
    <n v="79.34"/>
    <n v="87.73"/>
    <n v="55.37"/>
    <n v="72.62"/>
    <n v="62.56"/>
    <n v="74.3"/>
    <n v="36.29"/>
    <n v="21.27"/>
    <n v="40.14"/>
    <n v="68.010000000000005"/>
    <n v="65.88"/>
    <n v="52.75"/>
    <n v="83.25"/>
    <n v="52.32"/>
    <n v="46.23"/>
    <n v="59.31"/>
    <n v="57.81"/>
    <n v="38.979999999999997"/>
    <n v="60.82"/>
    <n v="49.91"/>
    <n v="43.77"/>
    <n v="62.96"/>
    <n v="56.45"/>
    <n v="58.075483870967744"/>
    <n v="5.8075483870967748"/>
  </r>
  <r>
    <n v="21"/>
    <x v="0"/>
    <x v="18"/>
    <s v="Trinity"/>
    <s v="Public-Paid"/>
    <s v="3.3 kW"/>
    <s v="OCPP"/>
    <n v="8"/>
    <x v="1"/>
    <m/>
    <m/>
    <m/>
    <m/>
    <m/>
    <m/>
    <m/>
    <n v="90.74"/>
    <n v="48.25"/>
    <n v="111.42"/>
    <n v="114.74"/>
    <n v="60.97"/>
    <n v="72.400000000000006"/>
    <n v="32.53"/>
    <n v="76.430000000000007"/>
    <n v="111.05"/>
    <n v="87.15"/>
    <n v="145.09"/>
    <n v="124.46"/>
    <n v="120.49"/>
    <n v="101.34"/>
    <n v="99.17"/>
    <n v="83.63"/>
    <n v="105.57"/>
    <n v="95.92"/>
    <n v="105.23"/>
    <n v="46.58"/>
    <n v="46.29"/>
    <n v="149.66"/>
    <n v="114.07"/>
    <n v="56.74"/>
    <n v="91.663333333333341"/>
    <n v="11.457916666666668"/>
  </r>
  <r>
    <n v="22"/>
    <x v="0"/>
    <x v="19"/>
    <s v="Trinity"/>
    <s v="Public-Paid"/>
    <s v="3.3 kW"/>
    <s v="OCPP"/>
    <n v="1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27.57"/>
    <n v="95.41"/>
    <n v="61.489999999999995"/>
    <n v="6.1489999999999991"/>
  </r>
  <r>
    <n v="23"/>
    <x v="1"/>
    <x v="20"/>
    <s v="Trinity"/>
    <s v="Public-Paid"/>
    <s v="3.3 kW"/>
    <s v="OCPP"/>
    <n v="5"/>
    <x v="1"/>
    <n v="2.83"/>
    <n v="16.88"/>
    <n v="18.149999999999999"/>
    <n v="9.81"/>
    <n v="4.07"/>
    <n v="23.29"/>
    <n v="0"/>
    <n v="18.54"/>
    <n v="9.5500000000000007"/>
    <n v="3.85"/>
    <n v="25.91"/>
    <n v="18.03"/>
    <n v="13.13"/>
    <n v="0"/>
    <n v="0"/>
    <n v="11.13"/>
    <n v="20.43"/>
    <n v="7.79"/>
    <n v="20.43"/>
    <n v="8.52"/>
    <n v="2.1800000000000002"/>
    <n v="13.66"/>
    <n v="11.44"/>
    <n v="6.53"/>
    <n v="10.94"/>
    <n v="5.33"/>
    <n v="6.16"/>
    <n v="9.2200000000000006"/>
    <n v="10.37"/>
    <n v="12.65"/>
    <n v="10.07"/>
    <n v="10.673870967741935"/>
    <n v="2.1347741935483873"/>
  </r>
  <r>
    <n v="24"/>
    <x v="1"/>
    <x v="21"/>
    <s v="Big Basket"/>
    <s v="Public-Free"/>
    <s v="3.3 kW"/>
    <s v="LEVAC-BLE"/>
    <n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"/>
    <x v="22"/>
    <s v="Trinity"/>
    <s v="Public-Paid"/>
    <s v="3.3 kW"/>
    <s v="OCPP"/>
    <n v="10"/>
    <x v="1"/>
    <n v="67.91"/>
    <n v="56.22"/>
    <n v="96.37"/>
    <n v="86.16"/>
    <n v="84.85"/>
    <n v="77.709999999999994"/>
    <n v="78.040000000000006"/>
    <n v="75.260000000000005"/>
    <n v="76.900000000000006"/>
    <n v="54.47"/>
    <n v="60.85"/>
    <n v="66.22"/>
    <n v="73.38"/>
    <n v="63.48"/>
    <n v="73.569999999999993"/>
    <n v="80.010000000000005"/>
    <n v="66.150000000000006"/>
    <n v="62.55"/>
    <n v="76.13"/>
    <n v="69.349999999999994"/>
    <n v="79.63"/>
    <n v="67.98"/>
    <n v="63.79"/>
    <n v="42.26"/>
    <n v="111"/>
    <n v="102.32"/>
    <n v="85.12"/>
    <n v="77.63"/>
    <n v="82.03"/>
    <n v="80.540000000000006"/>
    <n v="82.38"/>
    <n v="74.84709677419356"/>
    <n v="7.4847096774193558"/>
  </r>
  <r>
    <n v="26"/>
    <x v="2"/>
    <x v="23"/>
    <s v="Trinity"/>
    <s v="Public-Paid"/>
    <s v="3.3 kW"/>
    <s v="OCPP"/>
    <n v="5"/>
    <x v="1"/>
    <n v="13.67"/>
    <n v="14.83"/>
    <n v="8.93"/>
    <n v="24.63"/>
    <n v="21.97"/>
    <n v="17.239999999999998"/>
    <n v="0"/>
    <n v="20.43"/>
    <n v="26.93"/>
    <n v="11.7"/>
    <n v="20.58"/>
    <n v="10.17"/>
    <n v="11"/>
    <n v="8.02"/>
    <n v="0"/>
    <n v="6.36"/>
    <n v="0"/>
    <n v="18.829999999999998"/>
    <n v="13.06"/>
    <n v="7.87"/>
    <n v="0"/>
    <n v="14.03"/>
    <n v="13.11"/>
    <n v="7.73"/>
    <n v="13.66"/>
    <n v="0"/>
    <n v="17.07"/>
    <n v="0"/>
    <n v="19.57"/>
    <n v="22.64"/>
    <n v="12.46"/>
    <n v="12.144838709677417"/>
    <n v="2.4289677419354834"/>
  </r>
  <r>
    <n v="27"/>
    <x v="2"/>
    <x v="24"/>
    <s v="Trinity"/>
    <s v="Public-Paid"/>
    <s v="3.3 kW"/>
    <s v="OCPP"/>
    <n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"/>
    <x v="3"/>
    <x v="25"/>
    <s v="Trinity"/>
    <s v="Public-Paid"/>
    <s v="3.3 kW"/>
    <s v="OCPP"/>
    <n v="5"/>
    <x v="1"/>
    <n v="40.619999999999997"/>
    <n v="25.23"/>
    <n v="42.99"/>
    <n v="33.270000000000003"/>
    <n v="34.39"/>
    <n v="42.07"/>
    <n v="29.81"/>
    <n v="45.5"/>
    <n v="22.7"/>
    <n v="34.06"/>
    <n v="20.74"/>
    <n v="25.83"/>
    <n v="17.489999999999998"/>
    <n v="38.479999999999997"/>
    <n v="26.57"/>
    <n v="31.43"/>
    <n v="32.94"/>
    <n v="31.14"/>
    <n v="29.17"/>
    <n v="16.920000000000002"/>
    <n v="35.26"/>
    <n v="28.53"/>
    <n v="17.34"/>
    <n v="22.7"/>
    <n v="26.66"/>
    <n v="44.92"/>
    <n v="24.37"/>
    <n v="44.61"/>
    <n v="25.59"/>
    <n v="30.57"/>
    <n v="34.76"/>
    <n v="30.86"/>
    <n v="6.1719999999999997"/>
  </r>
  <r>
    <n v="29"/>
    <x v="4"/>
    <x v="26"/>
    <s v="SOU"/>
    <s v="Public-Paid"/>
    <s v="3.3 kW"/>
    <s v="OCPP"/>
    <n v="40"/>
    <x v="1"/>
    <n v="270.33999999999997"/>
    <n v="364.5"/>
    <n v="538.82000000000005"/>
    <n v="537.36"/>
    <n v="501.22"/>
    <n v="514.70000000000005"/>
    <n v="540.13"/>
    <n v="379.31"/>
    <n v="171.21"/>
    <n v="478.4"/>
    <n v="498.15"/>
    <n v="467.71"/>
    <n v="548.26"/>
    <n v="504.88"/>
    <n v="195.85"/>
    <n v="364.75"/>
    <n v="530.98"/>
    <n v="485.39"/>
    <n v="418.34"/>
    <n v="491.2"/>
    <n v="361.57"/>
    <n v="530.82000000000005"/>
    <n v="161.81"/>
    <n v="509.65"/>
    <n v="495.03"/>
    <n v="528.30999999999995"/>
    <n v="610.86"/>
    <n v="597.49"/>
    <n v="234.19"/>
    <n v="278.01"/>
    <n v="490.85"/>
    <n v="438.71258064516127"/>
    <n v="10.967814516129032"/>
  </r>
  <r>
    <n v="30"/>
    <x v="5"/>
    <x v="27"/>
    <s v="ETO"/>
    <s v="Public-Free"/>
    <s v="3.3 kW"/>
    <s v="LEVAC-BLE"/>
    <n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3.2258064516129034E-5"/>
    <n v="5.3763440860215059E-6"/>
  </r>
  <r>
    <n v="31"/>
    <x v="5"/>
    <x v="28"/>
    <s v="Flipkart"/>
    <s v="Public-Paid"/>
    <s v="3.3 kW"/>
    <s v="OCPP"/>
    <n v="3"/>
    <x v="1"/>
    <n v="57.64"/>
    <n v="69.599999999999994"/>
    <n v="59.19"/>
    <n v="68.2"/>
    <n v="57.71"/>
    <n v="80.430000000000007"/>
    <n v="66.459999999999994"/>
    <n v="72.23"/>
    <n v="76.31"/>
    <n v="68.33"/>
    <n v="84.43"/>
    <n v="59.66"/>
    <n v="68.59"/>
    <n v="69.989999999999995"/>
    <n v="59.12"/>
    <n v="54.13"/>
    <n v="54.85"/>
    <n v="74.61"/>
    <n v="73.16"/>
    <n v="62.27"/>
    <n v="60.09"/>
    <n v="74.56"/>
    <n v="58.66"/>
    <n v="63.7"/>
    <n v="55.34"/>
    <n v="72.91"/>
    <n v="79.81"/>
    <n v="75.760000000000005"/>
    <n v="56.14"/>
    <n v="56.22"/>
    <n v="60.44"/>
    <n v="66.146451612903221"/>
    <n v="22.048817204301074"/>
  </r>
  <r>
    <n v="32"/>
    <x v="5"/>
    <x v="29"/>
    <s v="Flipkart"/>
    <s v="Public-Paid"/>
    <s v="3.3 kW"/>
    <s v="OCPP"/>
    <n v="9"/>
    <x v="1"/>
    <n v="141.80000000000001"/>
    <n v="187.2"/>
    <n v="185.43"/>
    <n v="175.71"/>
    <n v="140.13"/>
    <n v="132.58000000000001"/>
    <n v="214.57"/>
    <n v="154.5"/>
    <n v="190.36"/>
    <n v="174.99"/>
    <n v="175.21"/>
    <n v="229.43"/>
    <n v="238.89"/>
    <n v="216.83"/>
    <n v="222"/>
    <n v="124.6"/>
    <n v="165.66"/>
    <n v="161.19"/>
    <n v="157.43"/>
    <n v="118.49"/>
    <n v="165.72"/>
    <n v="163.94"/>
    <n v="148.43"/>
    <n v="139.57"/>
    <n v="179.14"/>
    <n v="149.80000000000001"/>
    <n v="140.19"/>
    <n v="213.45"/>
    <n v="170.92"/>
    <n v="121.15"/>
    <n v="162.5"/>
    <n v="169.73580645161286"/>
    <n v="18.859534050179207"/>
  </r>
  <r>
    <n v="33"/>
    <x v="5"/>
    <x v="30"/>
    <s v="EFL"/>
    <s v="Public-Free"/>
    <s v="6 kW"/>
    <s v="OCPP"/>
    <n v="1"/>
    <x v="1"/>
    <n v="0"/>
    <n v="0"/>
    <n v="0"/>
    <n v="0"/>
    <n v="0"/>
    <n v="0"/>
    <n v="0"/>
    <n v="5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3"/>
    <n v="0.19967741935483868"/>
    <n v="0.19967741935483868"/>
  </r>
  <r>
    <n v="34"/>
    <x v="5"/>
    <x v="31"/>
    <s v="Trinity"/>
    <s v="Public-Paid"/>
    <s v="3.3 kW"/>
    <s v="OCPP"/>
    <n v="7"/>
    <x v="1"/>
    <n v="215.96"/>
    <n v="176.84"/>
    <n v="217.42"/>
    <n v="211.87"/>
    <n v="217.88"/>
    <n v="183.55"/>
    <n v="180.63"/>
    <n v="193.43"/>
    <n v="190.74"/>
    <n v="190.17"/>
    <n v="162.28"/>
    <n v="177.18"/>
    <n v="149.85"/>
    <n v="191.96"/>
    <n v="203.95"/>
    <n v="208.23"/>
    <n v="149.74"/>
    <n v="150.09"/>
    <n v="166.26"/>
    <n v="186.99"/>
    <n v="182.32"/>
    <n v="120.62"/>
    <n v="164.56"/>
    <n v="149.05000000000001"/>
    <n v="118.96"/>
    <n v="130.83000000000001"/>
    <n v="128.54"/>
    <n v="144.57"/>
    <n v="151.97"/>
    <n v="177.06"/>
    <n v="165.15"/>
    <n v="172.85967741935485"/>
    <n v="24.694239631336409"/>
  </r>
  <r>
    <n v="35"/>
    <x v="6"/>
    <x v="32"/>
    <s v="MCD"/>
    <s v="Public-Paid"/>
    <s v="3.3 kW"/>
    <s v="LEVAC-BLE"/>
    <n v="105"/>
    <x v="2"/>
    <n v="0"/>
    <n v="0"/>
    <n v="0"/>
    <n v="7.0999999999999994E-2"/>
    <n v="1.776"/>
    <n v="1.0999999999999999E-2"/>
    <n v="0"/>
    <n v="0"/>
    <n v="0"/>
    <n v="5.4509999999999996"/>
    <n v="0.86199999999999999"/>
    <n v="0"/>
    <n v="0"/>
    <n v="0"/>
    <n v="2.1640000000000001"/>
    <n v="0"/>
    <n v="0"/>
    <n v="0"/>
    <n v="0"/>
    <n v="0"/>
    <n v="0"/>
    <n v="0"/>
    <n v="1E-3"/>
    <n v="7.1959999999999997"/>
    <n v="0"/>
    <n v="0"/>
    <n v="4.2839999999999998"/>
    <n v="0"/>
    <n v="4.1749999999999998"/>
    <n v="8.7929999999999993"/>
    <n v="0"/>
    <n v="1.1220645161290319"/>
    <n v="1.0686328725038399E-2"/>
  </r>
  <r>
    <n v="36"/>
    <x v="6"/>
    <x v="33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x v="6"/>
    <x v="34"/>
    <m/>
    <s v="Public-Paid"/>
    <s v="3.3 kW"/>
    <s v="LEVAC-BLE"/>
    <n v="82"/>
    <x v="2"/>
    <n v="16.259"/>
    <n v="0"/>
    <n v="0.315"/>
    <n v="11.356999999999999"/>
    <n v="5.867"/>
    <n v="0"/>
    <n v="0"/>
    <n v="13.06"/>
    <n v="0"/>
    <n v="6.2560000000000002"/>
    <n v="19.07"/>
    <n v="6.1440000000000001"/>
    <n v="0"/>
    <n v="0"/>
    <n v="0"/>
    <n v="23.817"/>
    <n v="4.5999999999999999E-2"/>
    <n v="0"/>
    <n v="0.255"/>
    <n v="0"/>
    <n v="0"/>
    <n v="13.897"/>
    <n v="11.92"/>
    <n v="7.12"/>
    <n v="3.3000000000000002E-2"/>
    <n v="0"/>
    <n v="7.9000000000000001E-2"/>
    <n v="0"/>
    <n v="11.321999999999999"/>
    <n v="13.773999999999999"/>
    <n v="0"/>
    <n v="5.1803548387096781"/>
    <n v="6.317505900865461E-2"/>
  </r>
  <r>
    <n v="38"/>
    <x v="6"/>
    <x v="35"/>
    <s v="ETO"/>
    <s v="Public-Paid"/>
    <s v="3.3 kW"/>
    <s v="OCPP"/>
    <n v="5"/>
    <x v="1"/>
    <n v="30.48"/>
    <n v="71.900000000000006"/>
    <n v="84.4"/>
    <n v="65.55"/>
    <n v="60.82"/>
    <n v="45.59"/>
    <n v="40.520000000000003"/>
    <n v="73.489999999999995"/>
    <n v="55.18"/>
    <n v="62.96"/>
    <n v="50.26"/>
    <n v="50.67"/>
    <n v="46.81"/>
    <n v="60.62"/>
    <n v="49.26"/>
    <n v="58.96"/>
    <n v="58.5"/>
    <n v="77.03"/>
    <n v="66.73"/>
    <n v="59.09"/>
    <n v="53.88"/>
    <n v="74.45"/>
    <n v="54.78"/>
    <n v="56.6"/>
    <n v="63.42"/>
    <n v="33.86"/>
    <n v="52.12"/>
    <n v="70.62"/>
    <n v="91.04"/>
    <n v="73.31"/>
    <n v="54.34"/>
    <n v="59.588387096774177"/>
    <n v="11.917677419354835"/>
  </r>
  <r>
    <n v="39"/>
    <x v="6"/>
    <x v="36"/>
    <s v="ETO"/>
    <s v="Public-Free"/>
    <s v="3.3 kW"/>
    <s v="LEVAC-BLE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"/>
    <x v="6"/>
    <x v="37"/>
    <s v="ETO"/>
    <s v="Public-Paid"/>
    <s v="3.3 kW"/>
    <s v="OCPP"/>
    <n v="16"/>
    <x v="1"/>
    <n v="7.19"/>
    <n v="22.7"/>
    <n v="17.260000000000002"/>
    <n v="29.79"/>
    <n v="24.58"/>
    <n v="19.91"/>
    <n v="1.7"/>
    <n v="10.59"/>
    <n v="14.39"/>
    <n v="13.15"/>
    <n v="12.73"/>
    <n v="17.91"/>
    <n v="4.1100000000000003"/>
    <n v="13.28"/>
    <n v="7.67"/>
    <n v="18.829999999999998"/>
    <n v="12.55"/>
    <n v="17.73"/>
    <n v="12.76"/>
    <n v="17.95"/>
    <n v="0.33"/>
    <n v="18.489999999999998"/>
    <n v="7.45"/>
    <n v="11.01"/>
    <n v="15.58"/>
    <n v="12.18"/>
    <n v="7.52"/>
    <n v="22"/>
    <n v="11.99"/>
    <n v="31.97"/>
    <n v="24.55"/>
    <n v="14.833870967741934"/>
    <n v="0.92711693548387086"/>
  </r>
  <r>
    <n v="41"/>
    <x v="6"/>
    <x v="38"/>
    <s v="ETO"/>
    <s v="Public-Paid"/>
    <s v="3.3 kW"/>
    <s v="OCPP"/>
    <n v="10"/>
    <x v="1"/>
    <n v="0.13"/>
    <n v="29.61"/>
    <n v="40.76"/>
    <n v="68.52"/>
    <n v="40.340000000000003"/>
    <n v="45.42"/>
    <n v="33.69"/>
    <n v="22.76"/>
    <n v="26.89"/>
    <n v="75.959999999999994"/>
    <n v="60.86"/>
    <n v="55.28"/>
    <n v="37.33"/>
    <n v="30.74"/>
    <n v="7.59"/>
    <n v="29.92"/>
    <n v="39.14"/>
    <n v="21.93"/>
    <n v="15.76"/>
    <n v="18.71"/>
    <n v="16.41"/>
    <n v="8.08"/>
    <n v="0"/>
    <n v="14.03"/>
    <n v="30.93"/>
    <n v="26.22"/>
    <n v="0.02"/>
    <n v="18.190000000000001"/>
    <n v="21.8"/>
    <n v="43.79"/>
    <n v="37.729999999999997"/>
    <n v="29.630322580645156"/>
    <n v="2.9630322580645156"/>
  </r>
  <r>
    <n v="42"/>
    <x v="6"/>
    <x v="39"/>
    <s v="ETO"/>
    <s v="Public-Paid"/>
    <s v="3.3 kW"/>
    <s v="OCPP"/>
    <n v="13"/>
    <x v="1"/>
    <n v="0"/>
    <n v="0.53"/>
    <n v="0.22"/>
    <n v="18.78"/>
    <n v="24.92"/>
    <n v="20.89"/>
    <n v="4.6500000000000004"/>
    <n v="20.100000000000001"/>
    <n v="11.53"/>
    <n v="9.01"/>
    <n v="16.53"/>
    <n v="0"/>
    <n v="0"/>
    <n v="0"/>
    <n v="0"/>
    <n v="9.8000000000000007"/>
    <n v="5.31"/>
    <n v="10.53"/>
    <n v="7.45"/>
    <n v="8.5299999999999994"/>
    <n v="0"/>
    <n v="1.04"/>
    <n v="7.87"/>
    <n v="4.33"/>
    <n v="7.68"/>
    <n v="0"/>
    <n v="6.93"/>
    <n v="5.53"/>
    <n v="7.52"/>
    <n v="18.88"/>
    <n v="21.03"/>
    <n v="8.0512903225806465"/>
    <n v="0.61933002481389587"/>
  </r>
  <r>
    <n v="43"/>
    <x v="6"/>
    <x v="40"/>
    <s v="ETO"/>
    <s v="Public-Paid"/>
    <s v="3.3 kW"/>
    <s v="OCPP"/>
    <n v="19"/>
    <x v="1"/>
    <n v="62.15"/>
    <n v="59.21"/>
    <n v="61.13"/>
    <n v="55.43"/>
    <n v="42.75"/>
    <n v="70.8"/>
    <n v="58.23"/>
    <n v="64.69"/>
    <n v="63.32"/>
    <n v="57.9"/>
    <n v="76.06"/>
    <n v="66.42"/>
    <n v="25.77"/>
    <n v="4.1100000000000003"/>
    <n v="0"/>
    <n v="4.1399999999999997"/>
    <n v="4.63"/>
    <n v="4.51"/>
    <n v="0"/>
    <n v="2.65"/>
    <n v="4.0999999999999996"/>
    <n v="4.68"/>
    <n v="4.2"/>
    <n v="3.79"/>
    <n v="4.5199999999999996"/>
    <n v="4.91"/>
    <n v="3.82"/>
    <n v="3.25"/>
    <n v="4.1100000000000003"/>
    <n v="0"/>
    <n v="4.4400000000000004"/>
    <n v="26.636129032258065"/>
    <n v="1.4019015280135825"/>
  </r>
  <r>
    <n v="44"/>
    <x v="6"/>
    <x v="41"/>
    <s v="ETO"/>
    <s v="Public-Free"/>
    <s v="3.3 kW"/>
    <s v="LEVAC-BLE"/>
    <n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6"/>
    <x v="42"/>
    <s v="ETO"/>
    <s v="Public-Free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6"/>
    <x v="43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6"/>
    <x v="44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x v="6"/>
    <x v="45"/>
    <s v="Trinity"/>
    <s v="Public-Free"/>
    <s v="3.3 kW"/>
    <s v="OCPP"/>
    <n v="6"/>
    <x v="3"/>
    <n v="59.64"/>
    <n v="23.94"/>
    <n v="39.299999999999997"/>
    <n v="62.93"/>
    <n v="56.27"/>
    <n v="0"/>
    <n v="8.1300000000000008"/>
    <n v="58.18"/>
    <n v="66.489999999999995"/>
    <n v="57.39"/>
    <n v="44.36"/>
    <n v="45.81"/>
    <n v="15.31"/>
    <n v="29.25"/>
    <n v="20.5"/>
    <n v="41.55"/>
    <n v="44.38"/>
    <n v="54.85"/>
    <n v="53.95"/>
    <n v="0"/>
    <n v="0"/>
    <n v="33.479999999999997"/>
    <n v="49.92"/>
    <n v="48.5"/>
    <n v="51.45"/>
    <n v="0"/>
    <n v="0"/>
    <n v="0"/>
    <n v="49.92"/>
    <n v="33.909999999999997"/>
    <n v="32.93"/>
    <n v="34.914193548387104"/>
    <n v="5.8190322580645173"/>
  </r>
  <r>
    <n v="49"/>
    <x v="6"/>
    <x v="45"/>
    <s v="Trinity"/>
    <s v="Public-Free"/>
    <s v="7.4 kW"/>
    <s v="OCPP"/>
    <n v="1"/>
    <x v="3"/>
    <n v="23.3"/>
    <n v="22.8"/>
    <n v="9.8800000000000008"/>
    <n v="0"/>
    <n v="0"/>
    <n v="0"/>
    <n v="0"/>
    <n v="0"/>
    <n v="0"/>
    <n v="0"/>
    <n v="0.1"/>
    <n v="9.52"/>
    <n v="0"/>
    <n v="0"/>
    <n v="9.2899999999999991"/>
    <n v="12.09"/>
    <n v="4.45"/>
    <n v="13.8"/>
    <n v="16.77"/>
    <n v="0"/>
    <n v="0"/>
    <n v="6.88"/>
    <n v="25.74"/>
    <n v="18.68"/>
    <n v="22.93"/>
    <n v="0"/>
    <n v="17.440000000000001"/>
    <n v="0"/>
    <n v="27.02"/>
    <n v="23.56"/>
    <n v="31.52"/>
    <n v="9.5409677419354857"/>
    <n v="9.5409677419354857"/>
  </r>
  <r>
    <n v="50"/>
    <x v="6"/>
    <x v="46"/>
    <s v="Log9"/>
    <s v="Public-Free"/>
    <s v="15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6"/>
    <x v="47"/>
    <s v="Log9"/>
    <s v="Public-Free"/>
    <s v="15kW"/>
    <s v="DC Charger"/>
    <n v="1"/>
    <x v="1"/>
    <n v="84.98"/>
    <n v="82.43"/>
    <n v="85.23"/>
    <n v="80.41"/>
    <n v="79.48"/>
    <n v="81.37"/>
    <n v="80.180000000000007"/>
    <n v="85.98"/>
    <n v="87.45"/>
    <n v="84.51"/>
    <n v="88.69"/>
    <n v="85.41"/>
    <n v="86.49"/>
    <n v="85.92"/>
    <n v="84.18"/>
    <n v="88.63"/>
    <n v="85.84"/>
    <n v="87.75"/>
    <n v="83.62"/>
    <n v="85.98"/>
    <n v="88.18"/>
    <n v="86.22"/>
    <n v="87.76"/>
    <n v="88.19"/>
    <n v="83.67"/>
    <n v="72.87"/>
    <n v="84.78"/>
    <n v="79.34"/>
    <n v="0"/>
    <n v="0"/>
    <n v="0"/>
    <n v="76.30774193548389"/>
    <n v="76.30774193548389"/>
  </r>
  <r>
    <n v="52"/>
    <x v="6"/>
    <x v="48"/>
    <s v="Log9"/>
    <s v="Public-Free"/>
    <s v="15kW"/>
    <s v="DC Charger"/>
    <n v="1"/>
    <x v="1"/>
    <n v="10.119999999999999"/>
    <n v="11.67"/>
    <n v="10.48"/>
    <n v="9.69"/>
    <n v="11.29"/>
    <n v="10.84"/>
    <n v="9.98"/>
    <n v="14.69"/>
    <n v="16.55"/>
    <n v="15.92"/>
    <n v="14.77"/>
    <n v="15.98"/>
    <n v="14.37"/>
    <n v="15.22"/>
    <n v="17.73"/>
    <n v="15.55"/>
    <n v="16.48"/>
    <n v="14.69"/>
    <n v="15.78"/>
    <n v="18.43"/>
    <n v="17.59"/>
    <n v="18.920000000000002"/>
    <n v="17.329999999999998"/>
    <n v="16.79"/>
    <n v="18.46"/>
    <n v="10.62"/>
    <n v="17.89"/>
    <n v="16.78"/>
    <n v="0"/>
    <n v="0"/>
    <n v="0"/>
    <n v="13.374516129032255"/>
    <n v="13.374516129032255"/>
  </r>
  <r>
    <n v="53"/>
    <x v="7"/>
    <x v="49"/>
    <s v="ETO"/>
    <s v="Public-Paid"/>
    <s v="3.3kW"/>
    <s v="OCPP"/>
    <n v="20"/>
    <x v="1"/>
    <n v="38.54"/>
    <n v="63.19"/>
    <n v="78.59"/>
    <n v="95.3"/>
    <n v="75.75"/>
    <n v="42.96"/>
    <n v="33.51"/>
    <n v="65.52"/>
    <n v="57.14"/>
    <n v="63.36"/>
    <n v="70.48"/>
    <n v="71.63"/>
    <n v="56.16"/>
    <n v="32.79"/>
    <n v="30.66"/>
    <n v="43.27"/>
    <n v="57.01"/>
    <n v="62.79"/>
    <n v="59.08"/>
    <n v="56.8"/>
    <n v="46.99"/>
    <n v="19.41"/>
    <n v="44.25"/>
    <n v="64.87"/>
    <n v="83.54"/>
    <n v="32.450000000000003"/>
    <n v="36.119999999999997"/>
    <n v="23.21"/>
    <n v="45.78"/>
    <n v="36.299999999999997"/>
    <n v="30"/>
    <n v="52.175806451612893"/>
    <n v="2.6087903225806448"/>
  </r>
  <r>
    <n v="54"/>
    <x v="7"/>
    <x v="50"/>
    <s v="Trinity"/>
    <s v="Public-Paid"/>
    <s v="3.3kW"/>
    <s v="OCPP"/>
    <n v="2"/>
    <x v="1"/>
    <n v="15.97"/>
    <n v="18.98"/>
    <n v="16.09"/>
    <n v="21.72"/>
    <n v="16.260000000000002"/>
    <n v="19.34"/>
    <n v="20.47"/>
    <n v="12.13"/>
    <n v="12.17"/>
    <n v="10.210000000000001"/>
    <n v="15.77"/>
    <n v="18.809999999999999"/>
    <n v="6.74"/>
    <n v="7.13"/>
    <n v="10.9"/>
    <n v="7.18"/>
    <n v="1.05"/>
    <n v="2.88"/>
    <n v="10.63"/>
    <n v="7.44"/>
    <n v="0"/>
    <n v="0"/>
    <n v="0"/>
    <n v="0"/>
    <n v="10.06"/>
    <n v="0"/>
    <n v="0"/>
    <n v="11"/>
    <n v="0"/>
    <n v="0"/>
    <n v="0.72"/>
    <n v="8.8274193548387103"/>
    <n v="4.4137096774193552"/>
  </r>
  <r>
    <n v="55"/>
    <x v="6"/>
    <x v="51"/>
    <s v="ETO"/>
    <s v="Public-Free"/>
    <s v="3.3 kW"/>
    <s v="LEVAC-BLE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"/>
    <x v="6"/>
    <x v="52"/>
    <s v="Trinity"/>
    <s v="Public-Paid"/>
    <s v="7.4 kW"/>
    <s v="OCPP"/>
    <n v="2"/>
    <x v="4"/>
    <n v="17.52"/>
    <n v="49.73"/>
    <n v="0"/>
    <n v="0"/>
    <n v="50.65"/>
    <n v="0"/>
    <n v="0"/>
    <n v="0"/>
    <n v="0"/>
    <n v="19.79"/>
    <n v="0"/>
    <n v="0"/>
    <n v="0"/>
    <n v="44.83"/>
    <n v="13.32"/>
    <n v="0"/>
    <n v="42.59"/>
    <n v="0"/>
    <n v="48.64"/>
    <n v="0"/>
    <n v="0"/>
    <n v="0"/>
    <n v="3.62"/>
    <n v="4.0199999999999996"/>
    <n v="0"/>
    <n v="33.22"/>
    <n v="14.93"/>
    <n v="0"/>
    <n v="42.07"/>
    <n v="0"/>
    <n v="0"/>
    <n v="12.417096774193547"/>
    <n v="6.2085483870967737"/>
  </r>
  <r>
    <n v="57"/>
    <x v="6"/>
    <x v="53"/>
    <m/>
    <s v="Private-Paid"/>
    <s v="3.3kW"/>
    <s v="OCPP"/>
    <n v="2"/>
    <x v="3"/>
    <n v="18.34"/>
    <n v="26.96"/>
    <n v="32.01"/>
    <n v="36.11"/>
    <n v="41.37"/>
    <n v="3.03"/>
    <n v="0"/>
    <n v="23.92"/>
    <n v="24.59"/>
    <n v="32.68"/>
    <n v="22.12"/>
    <n v="14.48"/>
    <n v="0"/>
    <n v="0"/>
    <n v="19.47"/>
    <n v="53.28"/>
    <n v="17.72"/>
    <n v="23.43"/>
    <n v="15.22"/>
    <n v="21.71"/>
    <n v="3.41"/>
    <n v="27.08"/>
    <n v="24.89"/>
    <n v="30.44"/>
    <n v="10.89"/>
    <n v="0.03"/>
    <n v="14.93"/>
    <n v="0"/>
    <n v="22.94"/>
    <n v="42.78"/>
    <n v="31.28"/>
    <n v="20.48741935483871"/>
    <n v="10.243709677419355"/>
  </r>
  <r>
    <n v="58"/>
    <x v="6"/>
    <x v="54"/>
    <s v="Trinity"/>
    <s v="Public-Paid"/>
    <s v="3.3kW"/>
    <s v="OCPP"/>
    <n v="20"/>
    <x v="1"/>
    <n v="40.98"/>
    <n v="57.38"/>
    <n v="60.81"/>
    <n v="27.46"/>
    <n v="29.16"/>
    <n v="27.67"/>
    <n v="27.46"/>
    <n v="37.409999999999997"/>
    <n v="64.19"/>
    <n v="68.06"/>
    <n v="24.05"/>
    <n v="49.6"/>
    <n v="40.92"/>
    <n v="24.47"/>
    <n v="51.9"/>
    <n v="43.51"/>
    <n v="43"/>
    <n v="35.08"/>
    <n v="38.950000000000003"/>
    <n v="40.31"/>
    <n v="7.72"/>
    <n v="27.11"/>
    <n v="37.32"/>
    <n v="44.9"/>
    <n v="41.9"/>
    <n v="37.020000000000003"/>
    <n v="35.28"/>
    <n v="32.130000000000003"/>
    <n v="42.56"/>
    <n v="48.93"/>
    <n v="62.52"/>
    <n v="40.314838709677424"/>
    <n v="2.015741935483871"/>
  </r>
  <r>
    <n v="59"/>
    <x v="6"/>
    <x v="55"/>
    <s v="Trinity"/>
    <s v="Public-Paid"/>
    <s v="3.3kW"/>
    <s v="OCPP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6"/>
    <x v="55"/>
    <s v="Trinity"/>
    <s v="Public-Paid"/>
    <s v="7.4 kW"/>
    <s v="OCPP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x v="6"/>
    <x v="55"/>
    <s v="Trinity"/>
    <s v="Public-Paid"/>
    <s v="3.3kW"/>
    <s v="LEVAC-BLE"/>
    <n v="2"/>
    <x v="4"/>
    <n v="0"/>
    <n v="0"/>
    <n v="0"/>
    <n v="0"/>
    <n v="0"/>
    <n v="0"/>
    <n v="0"/>
    <n v="0"/>
    <n v="0"/>
    <n v="0.97799999999999998"/>
    <n v="0"/>
    <n v="0"/>
    <n v="0"/>
    <n v="0.157"/>
    <n v="0"/>
    <n v="0"/>
    <n v="1.2E-2"/>
    <n v="0"/>
    <n v="0"/>
    <n v="0"/>
    <n v="0"/>
    <n v="0"/>
    <n v="0"/>
    <n v="0"/>
    <n v="0"/>
    <n v="0"/>
    <n v="0"/>
    <n v="0"/>
    <n v="0"/>
    <n v="0"/>
    <n v="0"/>
    <n v="3.6999999999999998E-2"/>
    <n v="1.8499999999999999E-2"/>
  </r>
  <r>
    <n v="62"/>
    <x v="8"/>
    <x v="56"/>
    <s v="Trinity"/>
    <s v="Public-Paid"/>
    <s v="3.3kW"/>
    <s v="OCPP"/>
    <n v="10"/>
    <x v="1"/>
    <m/>
    <m/>
    <m/>
    <m/>
    <m/>
    <m/>
    <m/>
    <m/>
    <m/>
    <n v="0.78"/>
    <n v="0.39"/>
    <n v="3.7600000000000002"/>
    <n v="1.1399999999999997"/>
    <n v="14.18"/>
    <n v="50.019999999999996"/>
    <n v="79.25"/>
    <n v="140.51"/>
    <n v="100.55"/>
    <n v="144.85"/>
    <n v="139.59"/>
    <n v="66.900000000000006"/>
    <n v="0"/>
    <n v="40.25"/>
    <n v="73.8"/>
    <n v="46.39"/>
    <n v="25.98"/>
    <n v="41.98"/>
    <n v="40.39"/>
    <n v="64.13"/>
    <n v="51.92"/>
    <n v="29.83"/>
    <n v="52.572272727272725"/>
    <n v="5.25722727272727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x v="1"/>
    <s v="Amazon"/>
    <s v="Public-Paid"/>
    <s v="3.3 kW"/>
    <s v="OCPP"/>
    <n v="9"/>
    <x v="0"/>
    <n v="84.87"/>
    <n v="98.78"/>
    <n v="101.7"/>
    <n v="101.98"/>
    <n v="87.45"/>
    <n v="86.84"/>
    <n v="99.06"/>
    <n v="92.68"/>
    <n v="113.95"/>
    <n v="86.43"/>
    <n v="97.7"/>
    <n v="77.81"/>
    <n v="52.21"/>
    <n v="101.49"/>
    <n v="80.95"/>
    <n v="86.69"/>
    <n v="74.42"/>
    <n v="53.3"/>
    <n v="74.709999999999994"/>
    <n v="86.18"/>
    <n v="95.01"/>
    <n v="88.21"/>
    <n v="90.33"/>
    <n v="71.19"/>
    <n v="76.37"/>
    <n v="93.36"/>
    <n v="94.13"/>
    <n v="60.84"/>
    <n v="81.56"/>
    <n v="64.16"/>
    <n v="85.145333333333355"/>
    <n v="9.4605925925925956"/>
  </r>
  <r>
    <n v="3"/>
    <x v="0"/>
    <x v="2"/>
    <s v="Amazon"/>
    <s v="Public-Paid"/>
    <s v="3.3 kW"/>
    <s v="OCPP"/>
    <n v="3"/>
    <x v="0"/>
    <n v="31.31"/>
    <n v="31.78"/>
    <n v="15.37"/>
    <n v="24.96"/>
    <n v="28.03"/>
    <n v="17.79"/>
    <n v="22.13"/>
    <n v="23.36"/>
    <n v="35.54"/>
    <n v="25.85"/>
    <n v="21.42"/>
    <n v="29.51"/>
    <n v="20.38"/>
    <n v="21.48"/>
    <n v="33.54"/>
    <n v="13.4"/>
    <n v="8.2899999999999991"/>
    <n v="22.65"/>
    <n v="15.87"/>
    <n v="20.07"/>
    <n v="21.87"/>
    <n v="9.73"/>
    <n v="29.26"/>
    <n v="17.79"/>
    <n v="28.28"/>
    <n v="17.690000000000001"/>
    <n v="15.62"/>
    <n v="8.49"/>
    <n v="13.99"/>
    <n v="27.95"/>
    <n v="21.780000000000005"/>
    <n v="7.2600000000000016"/>
  </r>
  <r>
    <n v="4"/>
    <x v="0"/>
    <x v="3"/>
    <s v="ETO"/>
    <s v="Public-Paid"/>
    <s v="3.3 kW"/>
    <s v="OCPP"/>
    <n v="8"/>
    <x v="1"/>
    <n v="30.47"/>
    <n v="60.43"/>
    <n v="70.73"/>
    <n v="85.05"/>
    <n v="38.090000000000003"/>
    <n v="51.77"/>
    <n v="63.03"/>
    <n v="82.65"/>
    <n v="76.17"/>
    <n v="89.1"/>
    <n v="74.33"/>
    <n v="102.89"/>
    <n v="73.180000000000007"/>
    <n v="48.08"/>
    <n v="50.21"/>
    <n v="67.63"/>
    <n v="75.510000000000005"/>
    <n v="100.24"/>
    <n v="110.21"/>
    <n v="70.72"/>
    <n v="68.58"/>
    <n v="95.29"/>
    <n v="75.19"/>
    <n v="81.569999999999993"/>
    <n v="54.87"/>
    <n v="77.25"/>
    <n v="48.21"/>
    <n v="69.91"/>
    <n v="15.64"/>
    <n v="63.27"/>
    <n v="69.009"/>
    <n v="8.626125"/>
  </r>
  <r>
    <n v="5"/>
    <x v="0"/>
    <x v="4"/>
    <s v="Trinity"/>
    <s v="Public-Paid"/>
    <s v="3.3 kW"/>
    <s v="OCPP"/>
    <n v="24"/>
    <x v="1"/>
    <n v="171.99"/>
    <n v="187.87"/>
    <n v="116.47"/>
    <n v="129.35"/>
    <n v="91.04"/>
    <n v="160.63999999999999"/>
    <n v="165.86"/>
    <n v="234.02"/>
    <n v="105.31"/>
    <n v="220.49"/>
    <n v="128.22"/>
    <n v="159.76"/>
    <n v="181.9"/>
    <n v="210.24"/>
    <n v="181.9"/>
    <n v="175.18"/>
    <n v="159.58000000000001"/>
    <n v="266.01"/>
    <n v="245.39"/>
    <n v="230.05"/>
    <n v="204.44"/>
    <n v="320.42"/>
    <n v="270.05"/>
    <n v="254.27"/>
    <n v="246.53"/>
    <n v="279.83"/>
    <n v="268.07"/>
    <n v="225.41"/>
    <n v="286.77"/>
    <n v="291.14"/>
    <n v="205.60666666666665"/>
    <n v="8.5669444444444434"/>
  </r>
  <r>
    <n v="6"/>
    <x v="0"/>
    <x v="4"/>
    <s v="Trinity"/>
    <s v="Public-Paid"/>
    <s v="3 kW"/>
    <s v="DC Charger"/>
    <n v="1"/>
    <x v="1"/>
    <n v="9.82"/>
    <n v="4.82"/>
    <n v="10.1"/>
    <n v="20.97"/>
    <n v="8.94"/>
    <n v="22.81"/>
    <n v="5.61"/>
    <n v="24.57"/>
    <n v="0"/>
    <n v="0.22"/>
    <n v="0"/>
    <n v="2.89"/>
    <n v="8.7200000000000006"/>
    <n v="0"/>
    <n v="13.59"/>
    <n v="4.7699999999999996"/>
    <n v="11.99"/>
    <n v="7.84"/>
    <n v="15.79"/>
    <n v="20.29"/>
    <n v="0.75"/>
    <n v="22.4"/>
    <n v="11.56"/>
    <n v="11.24"/>
    <n v="0"/>
    <n v="8.31"/>
    <n v="15.86"/>
    <n v="0"/>
    <n v="12.84"/>
    <n v="9.06"/>
    <n v="9.5253333333333323"/>
    <n v="9.5253333333333323"/>
  </r>
  <r>
    <n v="7"/>
    <x v="0"/>
    <x v="4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5"/>
    <s v="Trinity"/>
    <s v="Public-Paid"/>
    <s v="3.3 kW"/>
    <s v="OCPP"/>
    <n v="6"/>
    <x v="1"/>
    <n v="14.76"/>
    <n v="31.38"/>
    <n v="33.46"/>
    <n v="33.200000000000003"/>
    <n v="12.68"/>
    <n v="24.14"/>
    <n v="8.14"/>
    <n v="29.79"/>
    <n v="40.94"/>
    <n v="26.78"/>
    <n v="14.38"/>
    <n v="25.94"/>
    <n v="29.86"/>
    <n v="21.2"/>
    <n v="23.71"/>
    <n v="13.65"/>
    <n v="24.95"/>
    <n v="29.15"/>
    <n v="22.82"/>
    <n v="44.37"/>
    <n v="22.18"/>
    <n v="24.96"/>
    <n v="16.32"/>
    <n v="18.13"/>
    <n v="22.13"/>
    <n v="27.24"/>
    <n v="22.49"/>
    <n v="29.49"/>
    <n v="30.48"/>
    <n v="37.99"/>
    <n v="25.223666666666666"/>
    <n v="4.2039444444444447"/>
  </r>
  <r>
    <n v="9"/>
    <x v="0"/>
    <x v="6"/>
    <s v="ETO"/>
    <s v="Public-Paid"/>
    <s v="3.3 kW"/>
    <s v="OCPP"/>
    <n v="3"/>
    <x v="1"/>
    <n v="66.8"/>
    <n v="55.74"/>
    <n v="56.62"/>
    <n v="68.62"/>
    <n v="65.41"/>
    <n v="63.03"/>
    <n v="54.26"/>
    <n v="57.46"/>
    <n v="40.31"/>
    <n v="48.4"/>
    <n v="42.6"/>
    <n v="21.58"/>
    <n v="47.54"/>
    <n v="39.020000000000003"/>
    <n v="76.47"/>
    <n v="50.01"/>
    <n v="43.24"/>
    <n v="59.22"/>
    <n v="61.56"/>
    <n v="54.54"/>
    <n v="66.900000000000006"/>
    <n v="57.36"/>
    <n v="59.7"/>
    <n v="103.94"/>
    <n v="64.849999999999994"/>
    <n v="57.57"/>
    <n v="65.14"/>
    <n v="70.14"/>
    <n v="77.7"/>
    <n v="39.049999999999997"/>
    <n v="57.826000000000008"/>
    <n v="19.275333333333336"/>
  </r>
  <r>
    <n v="10"/>
    <x v="0"/>
    <x v="7"/>
    <s v="Trinity"/>
    <s v="Public-Free"/>
    <s v="3.3 kW"/>
    <s v="OCPP"/>
    <n v="1"/>
    <x v="0"/>
    <n v="0"/>
    <n v="0"/>
    <n v="0"/>
    <n v="0"/>
    <n v="0"/>
    <n v="0"/>
    <n v="2.8"/>
    <n v="0"/>
    <n v="0"/>
    <n v="0"/>
    <n v="0"/>
    <n v="2.9"/>
    <n v="0"/>
    <n v="2.64"/>
    <n v="0"/>
    <n v="0"/>
    <n v="0"/>
    <n v="0"/>
    <n v="2.42"/>
    <n v="0"/>
    <n v="0"/>
    <n v="2.2200000000000002"/>
    <n v="0"/>
    <n v="0"/>
    <n v="0"/>
    <n v="0"/>
    <n v="0"/>
    <n v="0"/>
    <n v="0"/>
    <n v="0"/>
    <n v="0.4326666666666667"/>
    <n v="0.4326666666666667"/>
  </r>
  <r>
    <n v="11"/>
    <x v="0"/>
    <x v="8"/>
    <s v="EFL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9"/>
    <s v="Trinity"/>
    <s v="Public-Paid"/>
    <s v="3.3 kW"/>
    <s v="OCPP"/>
    <n v="2"/>
    <x v="0"/>
    <n v="0"/>
    <n v="0"/>
    <n v="0"/>
    <n v="0"/>
    <n v="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"/>
    <n v="9.1499999999999998E-2"/>
  </r>
  <r>
    <n v="13"/>
    <x v="0"/>
    <x v="9"/>
    <s v="Trinity"/>
    <s v="Public-Paid"/>
    <s v="15 kw"/>
    <s v="DC Charger"/>
    <n v="2"/>
    <x v="0"/>
    <n v="34.99"/>
    <n v="61.57"/>
    <n v="41.44"/>
    <n v="21.72"/>
    <n v="44.9"/>
    <n v="28.31"/>
    <n v="0"/>
    <n v="11.14"/>
    <n v="60.19"/>
    <n v="45.7"/>
    <n v="15.68"/>
    <n v="27.89"/>
    <n v="0"/>
    <n v="0"/>
    <n v="0"/>
    <n v="0"/>
    <n v="0"/>
    <n v="0"/>
    <n v="0"/>
    <n v="0"/>
    <n v="0"/>
    <n v="0"/>
    <n v="0"/>
    <n v="17.8"/>
    <n v="83.59"/>
    <n v="0"/>
    <n v="33.14"/>
    <n v="11.15"/>
    <n v="48.47"/>
    <n v="7.02"/>
    <n v="19.823333333333331"/>
    <n v="9.9116666666666653"/>
  </r>
  <r>
    <n v="14"/>
    <x v="0"/>
    <x v="10"/>
    <s v="Trinity"/>
    <s v="Public-Paid"/>
    <s v="3.3 kW"/>
    <s v="OCPP"/>
    <n v="10"/>
    <x v="1"/>
    <n v="52.45"/>
    <n v="82.92"/>
    <n v="116.58"/>
    <n v="56.92"/>
    <n v="72.790000000000006"/>
    <n v="82.95"/>
    <n v="86.98"/>
    <n v="66.72"/>
    <n v="85.63"/>
    <n v="50"/>
    <n v="88.19"/>
    <n v="104.7"/>
    <n v="59.09"/>
    <n v="64.42"/>
    <n v="74.67"/>
    <n v="94.66"/>
    <n v="56.46"/>
    <n v="88"/>
    <n v="54.97"/>
    <n v="54.74"/>
    <n v="84.68"/>
    <n v="53.66"/>
    <n v="85.15"/>
    <n v="80.31"/>
    <n v="79.66"/>
    <n v="60.28"/>
    <n v="79.33"/>
    <n v="43.23"/>
    <n v="54.54"/>
    <n v="63.36"/>
    <n v="72.601333333333343"/>
    <n v="7.260133333333334"/>
  </r>
  <r>
    <n v="15"/>
    <x v="0"/>
    <x v="11"/>
    <s v="Trinity"/>
    <s v="Public-Paid"/>
    <s v="3.3 kW"/>
    <s v="OCPP"/>
    <n v="2"/>
    <x v="0"/>
    <n v="0"/>
    <n v="0"/>
    <n v="0"/>
    <n v="0"/>
    <n v="0"/>
    <n v="0"/>
    <n v="0"/>
    <n v="0"/>
    <n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33333333333333E-2"/>
    <n v="5.1666666666666666E-3"/>
  </r>
  <r>
    <n v="16"/>
    <x v="0"/>
    <x v="11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2"/>
    <s v="Trinity"/>
    <s v="Public-Paid"/>
    <s v="3.3 kW"/>
    <s v="OCPP"/>
    <n v="10"/>
    <x v="1"/>
    <n v="72.91"/>
    <n v="91.76"/>
    <n v="56.26"/>
    <n v="57.46"/>
    <n v="77.8"/>
    <n v="158.08000000000001"/>
    <n v="113.57"/>
    <n v="57.19"/>
    <n v="58.67"/>
    <n v="59.86"/>
    <n v="45.1"/>
    <n v="18.34"/>
    <n v="47.86"/>
    <n v="69.349999999999994"/>
    <n v="71.2"/>
    <n v="71.739999999999995"/>
    <n v="82.08"/>
    <n v="107.91"/>
    <n v="115.32"/>
    <n v="72.430000000000007"/>
    <n v="63.43"/>
    <n v="113.65"/>
    <n v="134.57"/>
    <n v="137.19999999999999"/>
    <n v="152.62"/>
    <n v="130.61000000000001"/>
    <n v="118.21"/>
    <n v="94.74"/>
    <n v="128.41999999999999"/>
    <n v="143.44999999999999"/>
    <n v="90.726333333333329"/>
    <n v="9.0726333333333322"/>
  </r>
  <r>
    <n v="18"/>
    <x v="0"/>
    <x v="13"/>
    <s v="Trinity"/>
    <s v="Public-Paid"/>
    <s v="3.3 kW"/>
    <s v="OCPP"/>
    <n v="5"/>
    <x v="0"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"/>
    <x v="0"/>
    <x v="13"/>
    <s v="Trinity"/>
    <s v="Public-Paid"/>
    <s v="12 kW"/>
    <s v="DC Charger"/>
    <n v="1"/>
    <x v="0"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.44"/>
    <n v="0"/>
    <n v="0"/>
    <n v="0"/>
    <n v="2.1999999999999999E-2"/>
    <n v="2.1999999999999999E-2"/>
  </r>
  <r>
    <n v="20"/>
    <x v="0"/>
    <x v="13"/>
    <s v="Trinity"/>
    <s v="Public-Paid"/>
    <s v="25 kW"/>
    <s v="DC Charger"/>
    <n v="2"/>
    <x v="0"/>
    <m/>
    <m/>
    <m/>
    <m/>
    <m/>
    <m/>
    <m/>
    <m/>
    <m/>
    <m/>
    <m/>
    <m/>
    <m/>
    <m/>
    <m/>
    <m/>
    <m/>
    <n v="0"/>
    <n v="0"/>
    <n v="0"/>
    <n v="0"/>
    <n v="0"/>
    <n v="7.79"/>
    <n v="0"/>
    <n v="0"/>
    <n v="0"/>
    <n v="0"/>
    <n v="0"/>
    <n v="0"/>
    <n v="0"/>
    <n v="0.59923076923076923"/>
    <n v="0.29961538461538462"/>
  </r>
  <r>
    <n v="21"/>
    <x v="0"/>
    <x v="13"/>
    <s v="Trinity"/>
    <s v="Public-Paid"/>
    <s v="60 kw"/>
    <s v="DC Charger"/>
    <n v="1"/>
    <x v="0"/>
    <m/>
    <m/>
    <m/>
    <m/>
    <m/>
    <m/>
    <m/>
    <m/>
    <m/>
    <m/>
    <m/>
    <m/>
    <m/>
    <m/>
    <m/>
    <m/>
    <m/>
    <n v="0"/>
    <n v="0"/>
    <n v="0"/>
    <n v="0"/>
    <n v="0"/>
    <n v="26.77"/>
    <n v="0"/>
    <n v="0"/>
    <n v="0"/>
    <n v="7.48"/>
    <n v="0"/>
    <n v="0"/>
    <n v="0"/>
    <n v="2.6346153846153846"/>
    <n v="2.6346153846153846"/>
  </r>
  <r>
    <n v="22"/>
    <x v="0"/>
    <x v="14"/>
    <s v="Trinity"/>
    <s v="Public-Paid"/>
    <s v="3.3 kW"/>
    <s v="OCPP"/>
    <n v="5"/>
    <x v="1"/>
    <n v="24.51"/>
    <n v="20.56"/>
    <n v="45.93"/>
    <n v="52.74"/>
    <n v="71.8"/>
    <n v="86.47"/>
    <n v="66.42"/>
    <n v="84.06"/>
    <n v="49.97"/>
    <n v="50.48"/>
    <n v="53.32"/>
    <n v="89.68"/>
    <n v="93.63"/>
    <n v="89.75"/>
    <n v="77.77"/>
    <n v="90.29"/>
    <n v="133.54"/>
    <n v="53.36"/>
    <n v="114.67"/>
    <n v="63.92"/>
    <n v="96.1"/>
    <n v="99.29"/>
    <n v="79.760000000000005"/>
    <n v="79.8"/>
    <n v="89.68"/>
    <n v="74.260000000000005"/>
    <n v="91.72"/>
    <n v="85.21"/>
    <n v="108.45"/>
    <n v="88.18"/>
    <n v="76.843999999999994"/>
    <n v="15.368799999999998"/>
  </r>
  <r>
    <n v="23"/>
    <x v="0"/>
    <x v="15"/>
    <s v="Trinity"/>
    <s v="Public-Paid"/>
    <s v="3.3 kW"/>
    <s v="OCPP"/>
    <n v="1"/>
    <x v="0"/>
    <m/>
    <m/>
    <m/>
    <m/>
    <m/>
    <m/>
    <m/>
    <m/>
    <m/>
    <m/>
    <m/>
    <m/>
    <n v="0"/>
    <n v="0"/>
    <n v="0"/>
    <n v="0"/>
    <n v="0"/>
    <n v="1.54"/>
    <n v="0"/>
    <n v="0"/>
    <n v="0"/>
    <n v="0"/>
    <n v="0"/>
    <n v="0"/>
    <n v="0"/>
    <n v="0"/>
    <n v="0"/>
    <n v="0"/>
    <n v="0"/>
    <n v="0"/>
    <n v="8.5555555555555551E-2"/>
    <n v="8.5555555555555551E-2"/>
  </r>
  <r>
    <n v="24"/>
    <x v="0"/>
    <x v="15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2.46"/>
    <n v="0.56000000000000005"/>
    <n v="0"/>
    <n v="87.65"/>
    <n v="0"/>
    <n v="0"/>
    <n v="0"/>
    <n v="0"/>
    <n v="0"/>
    <n v="0"/>
    <n v="0"/>
    <n v="0"/>
    <n v="0.9"/>
    <n v="0.75"/>
    <n v="3.0773333333333337"/>
    <n v="3.0773333333333337"/>
  </r>
  <r>
    <n v="25"/>
    <x v="0"/>
    <x v="1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"/>
    <x v="0"/>
    <x v="15"/>
    <s v="Trinity"/>
    <s v="Public-Paid"/>
    <s v="25 kW"/>
    <s v="DC Charger"/>
    <n v="2"/>
    <x v="0"/>
    <n v="0"/>
    <n v="0"/>
    <n v="0"/>
    <n v="0"/>
    <n v="0"/>
    <n v="0"/>
    <n v="0.28999999999999998"/>
    <n v="0"/>
    <n v="0.25"/>
    <n v="0"/>
    <n v="0.22"/>
    <n v="0"/>
    <n v="0"/>
    <n v="8.25"/>
    <n v="7"/>
    <n v="22.3"/>
    <n v="22.24"/>
    <n v="17.829999999999998"/>
    <n v="17.62"/>
    <n v="48.69"/>
    <n v="0"/>
    <n v="0"/>
    <n v="0"/>
    <n v="0"/>
    <n v="3.92"/>
    <n v="11.06"/>
    <n v="13.36"/>
    <n v="0"/>
    <n v="0"/>
    <n v="0"/>
    <n v="5.7676666666666661"/>
    <n v="2.883833333333333"/>
  </r>
  <r>
    <n v="27"/>
    <x v="0"/>
    <x v="16"/>
    <s v="Trinity"/>
    <s v="Public-Paid"/>
    <s v="3.3 kW"/>
    <s v="OCPP"/>
    <n v="8"/>
    <x v="1"/>
    <n v="1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333333333333335"/>
    <n v="6.1666666666666668E-2"/>
  </r>
  <r>
    <n v="28"/>
    <x v="0"/>
    <x v="1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"/>
    <x v="0"/>
    <x v="18"/>
    <s v="Trinity"/>
    <s v="Public-Paid"/>
    <s v="3.3 kW"/>
    <s v="OCPP"/>
    <n v="3"/>
    <x v="1"/>
    <m/>
    <m/>
    <m/>
    <n v="0.92"/>
    <n v="132.66"/>
    <n v="145.37"/>
    <n v="95.09"/>
    <n v="58.92"/>
    <n v="100.97"/>
    <n v="47.61"/>
    <n v="158.57"/>
    <n v="184.54"/>
    <n v="177.34"/>
    <n v="168.46"/>
    <n v="174.86"/>
    <n v="146.75"/>
    <n v="127.17"/>
    <n v="178.39"/>
    <n v="157.61000000000001"/>
    <n v="138.08000000000001"/>
    <n v="157.1"/>
    <n v="171.38"/>
    <n v="138.57"/>
    <n v="136.31"/>
    <n v="115.81"/>
    <n v="183.56"/>
    <n v="144.05000000000001"/>
    <n v="160.07"/>
    <n v="166.74"/>
    <n v="196.44"/>
    <n v="139.38296296296298"/>
    <n v="46.460987654320995"/>
  </r>
  <r>
    <n v="30"/>
    <x v="0"/>
    <x v="19"/>
    <s v="Trinity"/>
    <s v="Public-Paid"/>
    <s v="3.3 kW"/>
    <s v="OCPP"/>
    <n v="3"/>
    <x v="1"/>
    <m/>
    <m/>
    <m/>
    <m/>
    <m/>
    <m/>
    <n v="23.06"/>
    <n v="103.44"/>
    <n v="76.099999999999994"/>
    <n v="41.88"/>
    <n v="62.84"/>
    <n v="62.31"/>
    <n v="81.180000000000007"/>
    <n v="61.56"/>
    <n v="54.79"/>
    <n v="77.62"/>
    <n v="100.96"/>
    <n v="47.32"/>
    <n v="74.209999999999994"/>
    <n v="67.03"/>
    <n v="62.58"/>
    <n v="20.81"/>
    <n v="0"/>
    <n v="0"/>
    <n v="0"/>
    <n v="0"/>
    <n v="0"/>
    <n v="0"/>
    <n v="0"/>
    <n v="0"/>
    <n v="42.403750000000002"/>
    <n v="14.134583333333333"/>
  </r>
  <r>
    <n v="31"/>
    <x v="0"/>
    <x v="20"/>
    <s v="Trinity"/>
    <s v="Public-Paid"/>
    <s v="3.3 kW"/>
    <s v="OCPP"/>
    <n v="1"/>
    <x v="1"/>
    <m/>
    <m/>
    <m/>
    <m/>
    <m/>
    <m/>
    <m/>
    <m/>
    <m/>
    <m/>
    <m/>
    <m/>
    <n v="10.72"/>
    <n v="14.85"/>
    <n v="8.5299999999999994"/>
    <n v="0"/>
    <n v="0.01"/>
    <n v="0"/>
    <n v="22.18"/>
    <n v="7.35"/>
    <n v="7.48"/>
    <n v="17.55"/>
    <n v="14.49"/>
    <n v="19.11"/>
    <n v="8.2799999999999994"/>
    <n v="30.72"/>
    <n v="14.35"/>
    <n v="7.32"/>
    <n v="7.65"/>
    <n v="14.07"/>
    <n v="11.369999999999997"/>
    <n v="11.369999999999997"/>
  </r>
  <r>
    <n v="32"/>
    <x v="0"/>
    <x v="21"/>
    <s v="Trinity"/>
    <s v="Public-Paid"/>
    <s v="3.3 kW"/>
    <s v="OCPP"/>
    <n v="5"/>
    <x v="1"/>
    <m/>
    <m/>
    <m/>
    <m/>
    <m/>
    <m/>
    <m/>
    <m/>
    <m/>
    <m/>
    <m/>
    <m/>
    <m/>
    <m/>
    <m/>
    <n v="0"/>
    <n v="0"/>
    <n v="25.3"/>
    <n v="33.35"/>
    <n v="29.7"/>
    <n v="34.93"/>
    <n v="26.83"/>
    <n v="38.549999999999997"/>
    <n v="34.78"/>
    <n v="11.75"/>
    <n v="10.64"/>
    <n v="18.07"/>
    <n v="14.85"/>
    <n v="37.5"/>
    <n v="22.61"/>
    <n v="22.590666666666671"/>
    <n v="4.518133333333334"/>
  </r>
  <r>
    <n v="33"/>
    <x v="0"/>
    <x v="22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4"/>
    <x v="0"/>
    <x v="23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x v="0"/>
    <x v="24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"/>
    <x v="1"/>
    <x v="25"/>
    <s v="Trinity"/>
    <s v="Public-Paid"/>
    <s v="3.3 kW"/>
    <s v="OCPP"/>
    <n v="5"/>
    <x v="1"/>
    <n v="22.34"/>
    <n v="9.41"/>
    <n v="15.47"/>
    <n v="8.69"/>
    <n v="18.14"/>
    <n v="2.6"/>
    <n v="13.81"/>
    <n v="0.02"/>
    <n v="4.9000000000000004"/>
    <n v="8.61"/>
    <n v="17.09"/>
    <n v="9.77"/>
    <n v="14.64"/>
    <n v="0"/>
    <n v="14.93"/>
    <n v="3.89"/>
    <n v="3.29"/>
    <n v="13.6"/>
    <n v="14.92"/>
    <n v="0"/>
    <n v="0"/>
    <n v="23.09"/>
    <n v="11.87"/>
    <n v="15.85"/>
    <n v="18.670000000000002"/>
    <n v="9.48"/>
    <n v="9.1999999999999993"/>
    <n v="0"/>
    <n v="15.87"/>
    <n v="12.58"/>
    <n v="10.424333333333331"/>
    <n v="2.0848666666666662"/>
  </r>
  <r>
    <n v="37"/>
    <x v="1"/>
    <x v="26"/>
    <s v="Trinity"/>
    <s v="Public-Paid"/>
    <s v="3.3 kW"/>
    <s v="OCPP"/>
    <n v="10"/>
    <x v="1"/>
    <n v="97.2"/>
    <n v="99.91"/>
    <n v="83.88"/>
    <n v="105.24"/>
    <n v="105.03"/>
    <n v="100.29"/>
    <n v="85.91"/>
    <n v="79.790000000000006"/>
    <n v="117.88"/>
    <n v="67.12"/>
    <n v="105.63"/>
    <n v="96.75"/>
    <n v="84.13"/>
    <n v="112.49"/>
    <n v="89.23"/>
    <n v="64"/>
    <n v="94.48"/>
    <n v="92.22"/>
    <n v="99.92"/>
    <n v="87.08"/>
    <n v="80.900000000000006"/>
    <n v="78.34"/>
    <n v="97.36"/>
    <n v="89"/>
    <n v="104.1"/>
    <n v="94.3"/>
    <n v="84.98"/>
    <n v="103.94"/>
    <n v="95.87"/>
    <n v="96.97"/>
    <n v="93.131333333333316"/>
    <n v="9.3131333333333313"/>
  </r>
  <r>
    <n v="38"/>
    <x v="2"/>
    <x v="27"/>
    <s v="Trinity"/>
    <s v="Public-Paid"/>
    <s v="3.3 kW"/>
    <s v="OCPP"/>
    <n v="3"/>
    <x v="1"/>
    <n v="15.83"/>
    <n v="10.57"/>
    <n v="7.55"/>
    <n v="7.8"/>
    <n v="7.26"/>
    <n v="5.34"/>
    <n v="0"/>
    <n v="18.329999999999998"/>
    <n v="11.22"/>
    <n v="12.52"/>
    <n v="12.01"/>
    <n v="9.5299999999999994"/>
    <n v="2.89"/>
    <n v="4.54"/>
    <n v="18.07"/>
    <n v="11.32"/>
    <n v="13.74"/>
    <n v="8.15"/>
    <n v="10.89"/>
    <n v="13.08"/>
    <n v="0"/>
    <n v="0.03"/>
    <n v="20.58"/>
    <n v="12.46"/>
    <n v="9.01"/>
    <n v="12.93"/>
    <n v="8.16"/>
    <n v="0"/>
    <n v="16.190000000000001"/>
    <n v="6.4"/>
    <n v="9.5466666666666651"/>
    <n v="3.1822222222222218"/>
  </r>
  <r>
    <n v="39"/>
    <x v="2"/>
    <x v="28"/>
    <s v="Trinity"/>
    <s v="Public-Paid"/>
    <s v="3.3 kW"/>
    <s v="OCPP"/>
    <n v="7"/>
    <x v="1"/>
    <n v="102.05"/>
    <n v="85.99"/>
    <n v="100.18"/>
    <n v="94.68"/>
    <n v="101.38"/>
    <n v="104.95"/>
    <n v="80.790000000000006"/>
    <n v="116.8"/>
    <n v="24.41"/>
    <n v="67.010000000000005"/>
    <n v="78.510000000000005"/>
    <n v="97.3"/>
    <n v="124.07"/>
    <n v="86.83"/>
    <n v="65.98"/>
    <n v="131.58000000000001"/>
    <n v="99.35"/>
    <n v="93.92"/>
    <n v="78.05"/>
    <n v="132.5"/>
    <n v="88.2"/>
    <n v="75.31"/>
    <n v="122.04"/>
    <n v="162.94999999999999"/>
    <n v="89.54"/>
    <n v="101.51"/>
    <n v="113.03"/>
    <n v="101.53"/>
    <n v="73.25"/>
    <n v="172.85"/>
    <n v="98.884666666666661"/>
    <n v="14.126380952380952"/>
  </r>
  <r>
    <n v="40"/>
    <x v="3"/>
    <x v="29"/>
    <s v="Trinity"/>
    <s v="Public-Paid"/>
    <s v="3.3 kW"/>
    <s v="OCPP"/>
    <n v="5"/>
    <x v="1"/>
    <n v="45.69"/>
    <n v="35.26"/>
    <n v="31.73"/>
    <n v="52.17"/>
    <n v="35.85"/>
    <n v="38.01"/>
    <n v="45.15"/>
    <n v="52.23"/>
    <n v="34.76"/>
    <n v="37.53"/>
    <n v="34.39"/>
    <n v="39.57"/>
    <n v="33.229999999999997"/>
    <n v="48.82"/>
    <n v="32.409999999999997"/>
    <n v="27.82"/>
    <n v="57.34"/>
    <n v="28.01"/>
    <n v="44.88"/>
    <n v="37.479999999999997"/>
    <n v="36.72"/>
    <n v="49.56"/>
    <n v="53.71"/>
    <n v="30.88"/>
    <n v="43.36"/>
    <n v="39.630000000000003"/>
    <n v="38.299999999999997"/>
    <n v="28.77"/>
    <n v="61.46"/>
    <n v="52.85"/>
    <n v="40.919000000000004"/>
    <n v="8.1838000000000015"/>
  </r>
  <r>
    <n v="41"/>
    <x v="4"/>
    <x v="30"/>
    <s v="Trinity"/>
    <s v="Public-Paid"/>
    <s v="3.3 kW"/>
    <s v="OCPP"/>
    <n v="5"/>
    <x v="1"/>
    <n v="61.36"/>
    <n v="25.37"/>
    <n v="24.34"/>
    <n v="32.82"/>
    <n v="34.130000000000003"/>
    <n v="6.51"/>
    <n v="44.5"/>
    <n v="36.07"/>
    <n v="40.270000000000003"/>
    <n v="16.53"/>
    <n v="38.69"/>
    <n v="18.05"/>
    <n v="25.17"/>
    <n v="31.23"/>
    <n v="16.64"/>
    <n v="32.340000000000003"/>
    <n v="0.4"/>
    <n v="41.78"/>
    <n v="25.29"/>
    <n v="16.079999999999998"/>
    <n v="22.35"/>
    <n v="17.64"/>
    <n v="17.54"/>
    <n v="19.71"/>
    <n v="22.14"/>
    <n v="19.46"/>
    <n v="22.52"/>
    <n v="23.58"/>
    <n v="23.61"/>
    <n v="20.9"/>
    <n v="25.900666666666666"/>
    <n v="5.180133333333333"/>
  </r>
  <r>
    <n v="42"/>
    <x v="5"/>
    <x v="31"/>
    <s v="Flipkart"/>
    <s v="Public-Paid"/>
    <s v="3.3 kW"/>
    <s v="OCPP"/>
    <n v="3"/>
    <x v="1"/>
    <n v="78.739999999999995"/>
    <n v="71.900000000000006"/>
    <n v="66.58"/>
    <n v="52.25"/>
    <n v="56.94"/>
    <n v="72.3"/>
    <n v="84.1"/>
    <n v="60.16"/>
    <n v="48.38"/>
    <n v="63.8"/>
    <n v="69.989999999999995"/>
    <n v="43.64"/>
    <n v="61.59"/>
    <n v="31.91"/>
    <n v="73.19"/>
    <n v="73.37"/>
    <n v="45.96"/>
    <n v="12.57"/>
    <n v="25.93"/>
    <n v="23.58"/>
    <n v="11.22"/>
    <n v="23.8"/>
    <n v="16.559999999999999"/>
    <n v="25.95"/>
    <n v="21.89"/>
    <n v="4.99"/>
    <n v="24.94"/>
    <n v="6.8"/>
    <n v="37.54"/>
    <n v="23.18"/>
    <n v="43.791666666666657"/>
    <n v="14.59722222222222"/>
  </r>
  <r>
    <n v="43"/>
    <x v="5"/>
    <x v="32"/>
    <s v="Flipkart"/>
    <s v="Public-Paid"/>
    <s v="3.3 kW"/>
    <s v="OCPP"/>
    <n v="9"/>
    <x v="1"/>
    <n v="222.25"/>
    <n v="91.84"/>
    <n v="129.15"/>
    <n v="160.03"/>
    <n v="164.05"/>
    <n v="155.24"/>
    <n v="210.95"/>
    <n v="229.32"/>
    <n v="204.98"/>
    <n v="108.52"/>
    <n v="123.07"/>
    <n v="191.57"/>
    <n v="164.03"/>
    <n v="188.57"/>
    <n v="93.51"/>
    <n v="274.83"/>
    <n v="189.56"/>
    <n v="133.86000000000001"/>
    <n v="135.91"/>
    <n v="176.11"/>
    <n v="158.94999999999999"/>
    <n v="188.75"/>
    <n v="148.33000000000001"/>
    <n v="145.26"/>
    <n v="99.61"/>
    <n v="112.64"/>
    <n v="61.79"/>
    <n v="171.22"/>
    <n v="155.04"/>
    <n v="178.07"/>
    <n v="158.90033333333335"/>
    <n v="17.655592592592594"/>
  </r>
  <r>
    <n v="44"/>
    <x v="5"/>
    <x v="33"/>
    <s v="EFL"/>
    <s v="Public-Free"/>
    <s v="3.3 kW"/>
    <s v="OCPP"/>
    <n v="8"/>
    <x v="1"/>
    <n v="25.35"/>
    <n v="34.69"/>
    <n v="29.91"/>
    <n v="42.38"/>
    <n v="49.37"/>
    <n v="38.409999999999997"/>
    <n v="72.16"/>
    <n v="24.51"/>
    <n v="41.53"/>
    <n v="16.16"/>
    <n v="23.6"/>
    <n v="27.35"/>
    <n v="11.62"/>
    <n v="22.66"/>
    <n v="10.79"/>
    <n v="28.88"/>
    <n v="5.69"/>
    <n v="38.619999999999997"/>
    <n v="26.46"/>
    <n v="13.93"/>
    <n v="6.5"/>
    <n v="3.81"/>
    <n v="2.33"/>
    <n v="10.16"/>
    <n v="9.7200000000000006"/>
    <n v="4.8899999999999997"/>
    <n v="17.96"/>
    <n v="30.24"/>
    <n v="18.43"/>
    <n v="23.77"/>
    <n v="23.729333333333333"/>
    <n v="2.9661666666666666"/>
  </r>
  <r>
    <n v="45"/>
    <x v="5"/>
    <x v="33"/>
    <s v="EFL"/>
    <s v="Public-Free"/>
    <s v="6 kW"/>
    <s v="DC Charger"/>
    <n v="1"/>
    <x v="1"/>
    <n v="0.01"/>
    <n v="0.79"/>
    <n v="0"/>
    <n v="10.43"/>
    <n v="0"/>
    <n v="0.26"/>
    <n v="9.6199999999999992"/>
    <n v="3.57"/>
    <n v="0"/>
    <n v="0"/>
    <n v="0"/>
    <n v="0"/>
    <n v="0"/>
    <n v="0"/>
    <n v="0"/>
    <n v="0"/>
    <n v="0"/>
    <n v="0"/>
    <n v="0"/>
    <n v="0"/>
    <n v="0"/>
    <n v="0"/>
    <n v="3.15"/>
    <n v="0"/>
    <n v="0"/>
    <n v="0"/>
    <n v="0"/>
    <n v="0"/>
    <n v="2.71"/>
    <n v="0"/>
    <n v="1.018"/>
    <n v="1.018"/>
  </r>
  <r>
    <n v="46"/>
    <x v="5"/>
    <x v="34"/>
    <s v="Trinity"/>
    <s v="Public-Paid"/>
    <s v="3.3 kW"/>
    <s v="OCPP"/>
    <n v="7"/>
    <x v="1"/>
    <n v="155.46"/>
    <n v="108.82"/>
    <n v="172.11"/>
    <n v="129.01"/>
    <n v="116.21"/>
    <n v="173.55"/>
    <n v="138.47999999999999"/>
    <n v="166.76"/>
    <n v="114.85"/>
    <n v="87.76"/>
    <n v="108.88"/>
    <n v="114.97"/>
    <n v="100.52"/>
    <n v="117.86"/>
    <n v="127.22"/>
    <n v="102.52"/>
    <n v="100.68"/>
    <n v="113.79"/>
    <n v="123.77"/>
    <n v="102.66"/>
    <n v="120.52"/>
    <n v="111.28"/>
    <n v="68.08"/>
    <n v="84.85"/>
    <n v="107.26"/>
    <n v="53.77"/>
    <n v="79.59"/>
    <n v="113.7"/>
    <n v="102.49"/>
    <n v="107.67"/>
    <n v="114.16966666666666"/>
    <n v="16.309952380952378"/>
  </r>
  <r>
    <n v="47"/>
    <x v="5"/>
    <x v="35"/>
    <s v="Trinity"/>
    <s v="Public-Paid"/>
    <s v="3.3 kW"/>
    <s v="OCPP"/>
    <n v="8"/>
    <x v="1"/>
    <n v="28.45"/>
    <n v="119.79"/>
    <n v="136.13"/>
    <n v="120.63"/>
    <n v="149.32"/>
    <n v="107.84"/>
    <n v="145.76"/>
    <n v="117.59"/>
    <n v="137"/>
    <n v="96.57"/>
    <n v="116.81"/>
    <n v="86.14"/>
    <n v="147.46"/>
    <n v="129.99"/>
    <n v="98.31"/>
    <n v="144.29"/>
    <n v="89.25"/>
    <n v="133.16"/>
    <n v="139.24"/>
    <n v="96.16"/>
    <n v="90.89"/>
    <n v="123.89"/>
    <n v="118.5"/>
    <n v="99.47"/>
    <n v="95.44"/>
    <n v="56.05"/>
    <n v="71.180000000000007"/>
    <n v="80.25"/>
    <n v="158.55000000000001"/>
    <n v="134.91"/>
    <n v="112.30066666666663"/>
    <n v="14.037583333333329"/>
  </r>
  <r>
    <n v="48"/>
    <x v="5"/>
    <x v="36"/>
    <s v="Trinity"/>
    <s v="Public-Paid"/>
    <s v="3.3 kW"/>
    <s v="OCPP"/>
    <n v="6"/>
    <x v="1"/>
    <n v="30.91"/>
    <n v="15.09"/>
    <n v="25.01"/>
    <n v="26.61"/>
    <n v="11.3"/>
    <n v="22.42"/>
    <n v="16.32"/>
    <n v="12.93"/>
    <n v="23.1"/>
    <n v="9.66"/>
    <n v="26.52"/>
    <n v="8.11"/>
    <n v="18.32"/>
    <n v="17.66"/>
    <n v="23.59"/>
    <n v="20.49"/>
    <n v="19.96"/>
    <n v="8.82"/>
    <n v="29.23"/>
    <n v="19.41"/>
    <n v="28.46"/>
    <n v="31.2"/>
    <n v="28.09"/>
    <n v="42.69"/>
    <n v="56.01"/>
    <n v="15.67"/>
    <n v="19.88"/>
    <n v="45.97"/>
    <n v="29.27"/>
    <n v="37.549999999999997"/>
    <n v="24.008333333333329"/>
    <n v="4.0013888888888882"/>
  </r>
  <r>
    <n v="49"/>
    <x v="5"/>
    <x v="37"/>
    <s v="ETO"/>
    <s v="Public-Free"/>
    <s v="3.3 kW"/>
    <s v="LEVAC-BLE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6"/>
    <x v="38"/>
    <s v="ETO"/>
    <s v="Public-Paid"/>
    <s v="3.3kW"/>
    <s v="OCPP"/>
    <n v="20"/>
    <x v="1"/>
    <n v="64.94"/>
    <n v="101.47"/>
    <n v="92.97"/>
    <n v="84.4"/>
    <n v="90.62"/>
    <n v="81.59"/>
    <n v="52.81"/>
    <n v="61.11"/>
    <n v="64.72"/>
    <n v="81.510000000000005"/>
    <n v="52.38"/>
    <n v="36.770000000000003"/>
    <n v="60.79"/>
    <n v="50.63"/>
    <n v="56.89"/>
    <n v="68.62"/>
    <n v="79.06"/>
    <n v="82.58"/>
    <n v="34.9"/>
    <n v="42.64"/>
    <n v="44.78"/>
    <n v="52.28"/>
    <n v="63.29"/>
    <n v="77.790000000000006"/>
    <n v="81.209999999999994"/>
    <n v="76.83"/>
    <n v="77.98"/>
    <n v="34.35"/>
    <n v="47.95"/>
    <n v="71.42"/>
    <n v="65.642666666666656"/>
    <n v="3.2821333333333329"/>
  </r>
  <r>
    <n v="51"/>
    <x v="6"/>
    <x v="39"/>
    <s v="Trinity"/>
    <s v="Public-Paid"/>
    <s v="3.3kW"/>
    <s v="OCPP"/>
    <n v="3"/>
    <x v="1"/>
    <n v="0"/>
    <n v="0"/>
    <n v="0"/>
    <n v="0"/>
    <n v="0"/>
    <n v="0"/>
    <n v="0"/>
    <n v="0"/>
    <n v="0"/>
    <n v="0"/>
    <n v="0"/>
    <n v="0"/>
    <n v="3.26"/>
    <n v="0"/>
    <n v="0"/>
    <n v="9.1300000000000008"/>
    <n v="0"/>
    <n v="0"/>
    <n v="0"/>
    <n v="0"/>
    <n v="0"/>
    <n v="0"/>
    <n v="0"/>
    <n v="0"/>
    <n v="0"/>
    <n v="0"/>
    <n v="0"/>
    <n v="0"/>
    <n v="0"/>
    <n v="0"/>
    <n v="0.41300000000000003"/>
    <n v="0.13766666666666669"/>
  </r>
  <r>
    <n v="52"/>
    <x v="7"/>
    <x v="40"/>
    <s v="SOU"/>
    <s v="Public-Paid"/>
    <s v="3.3 kW"/>
    <s v="OCPP"/>
    <n v="40"/>
    <x v="1"/>
    <n v="187.15"/>
    <n v="264.02999999999997"/>
    <n v="309.14999999999998"/>
    <n v="238.86"/>
    <n v="241.89"/>
    <n v="281.08"/>
    <n v="340.89"/>
    <n v="165.75"/>
    <n v="145.07"/>
    <n v="272.7"/>
    <n v="310.39999999999998"/>
    <n v="316.13"/>
    <n v="363.25"/>
    <n v="416.82"/>
    <n v="197.2"/>
    <n v="179"/>
    <n v="177.66"/>
    <n v="166.07"/>
    <n v="171.64"/>
    <n v="182.14"/>
    <n v="191.9"/>
    <n v="192.7"/>
    <n v="103.03"/>
    <n v="197.64"/>
    <n v="175.68"/>
    <n v="209.57"/>
    <n v="211.78"/>
    <n v="390.9"/>
    <n v="195.68"/>
    <n v="174.04"/>
    <n v="232.32666666666665"/>
    <n v="5.8081666666666667"/>
  </r>
  <r>
    <n v="53"/>
    <x v="8"/>
    <x v="41"/>
    <s v="ETO"/>
    <s v="Public-Paid"/>
    <s v="3.3 kW"/>
    <s v="OCPP"/>
    <n v="19"/>
    <x v="1"/>
    <n v="27.97"/>
    <n v="22.16"/>
    <n v="26.97"/>
    <n v="23.7"/>
    <n v="28.46"/>
    <n v="27.64"/>
    <n v="19.32"/>
    <n v="20.34"/>
    <n v="28.05"/>
    <n v="32.11"/>
    <n v="23.8"/>
    <n v="30.58"/>
    <n v="32.99"/>
    <n v="22.51"/>
    <n v="32.86"/>
    <n v="39.39"/>
    <n v="19.28"/>
    <n v="29.57"/>
    <n v="39.56"/>
    <n v="33.03"/>
    <n v="28.64"/>
    <n v="19.690000000000001"/>
    <n v="23.19"/>
    <n v="23.8"/>
    <n v="8.31"/>
    <n v="11.05"/>
    <n v="28.04"/>
    <n v="18.23"/>
    <n v="26.9"/>
    <n v="21.46"/>
    <n v="25.653333333333329"/>
    <n v="1.350175438596491"/>
  </r>
  <r>
    <n v="54"/>
    <x v="9"/>
    <x v="42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x v="10"/>
    <x v="43"/>
    <s v="Trinity"/>
    <s v="Public-Paid"/>
    <s v="3.3kW"/>
    <s v="OCPP"/>
    <n v="10"/>
    <x v="1"/>
    <n v="76.91"/>
    <n v="43.57"/>
    <n v="22.46"/>
    <n v="96.35"/>
    <n v="93.41"/>
    <n v="106.72"/>
    <n v="52.68"/>
    <n v="77.900000000000006"/>
    <n v="71.709999999999994"/>
    <n v="93.43"/>
    <n v="96.23"/>
    <n v="136.57"/>
    <n v="115.01"/>
    <n v="102.78"/>
    <n v="103.63"/>
    <n v="54.79"/>
    <n v="0"/>
    <n v="63.34"/>
    <n v="106.1"/>
    <n v="124.45"/>
    <n v="90.32"/>
    <n v="53.68"/>
    <n v="114.15"/>
    <n v="115.66"/>
    <n v="53.29"/>
    <n v="63.12"/>
    <n v="110.36"/>
    <n v="99.35"/>
    <n v="91.72"/>
    <n v="88.54"/>
    <n v="83.941000000000003"/>
    <n v="8.3940999999999999"/>
  </r>
  <r>
    <n v="56"/>
    <x v="10"/>
    <x v="43"/>
    <s v="Trinity"/>
    <s v="Public-Paid"/>
    <s v="7.4 kW"/>
    <s v="OCPP"/>
    <n v="1"/>
    <x v="1"/>
    <n v="21.62"/>
    <n v="0"/>
    <n v="0"/>
    <n v="0"/>
    <n v="20.57"/>
    <n v="8.73"/>
    <n v="0"/>
    <n v="0"/>
    <n v="12.28"/>
    <n v="0"/>
    <n v="0"/>
    <n v="0"/>
    <n v="0"/>
    <n v="0"/>
    <n v="7.26"/>
    <n v="18.329999999999998"/>
    <n v="18.02"/>
    <n v="12.01"/>
    <n v="2.5299999999999998"/>
    <n v="27.32"/>
    <n v="0"/>
    <n v="24.93"/>
    <n v="0"/>
    <n v="0"/>
    <n v="0"/>
    <n v="0"/>
    <n v="0"/>
    <n v="0"/>
    <n v="7.13"/>
    <n v="0"/>
    <n v="6.0243333333333338"/>
    <n v="6.0243333333333338"/>
  </r>
  <r>
    <n v="57"/>
    <x v="10"/>
    <x v="44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10"/>
    <x v="4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x v="10"/>
    <x v="46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11"/>
    <x v="47"/>
    <s v="ETO"/>
    <s v="Public-Paid"/>
    <s v="3.3 kW"/>
    <s v="OCPP"/>
    <n v="5"/>
    <x v="1"/>
    <n v="47.28"/>
    <n v="41.13"/>
    <n v="54.21"/>
    <n v="54.45"/>
    <n v="53.78"/>
    <n v="50.23"/>
    <n v="66.47"/>
    <n v="52.72"/>
    <n v="45.27"/>
    <n v="45.48"/>
    <n v="48.69"/>
    <n v="54.38"/>
    <n v="59.77"/>
    <n v="52.51"/>
    <n v="57.6"/>
    <n v="64.319999999999993"/>
    <n v="64.7"/>
    <n v="57.35"/>
    <n v="56.39"/>
    <n v="81.39"/>
    <n v="67.069999999999993"/>
    <n v="67.790000000000006"/>
    <n v="46.84"/>
    <n v="66.05"/>
    <n v="32.06"/>
    <n v="61.75"/>
    <n v="52.49"/>
    <n v="62"/>
    <n v="50.16"/>
    <n v="72.069999999999993"/>
    <n v="56.213333333333331"/>
    <n v="11.242666666666667"/>
  </r>
  <r>
    <n v="61"/>
    <x v="11"/>
    <x v="48"/>
    <s v="ETO"/>
    <s v="Public-Paid"/>
    <s v="3.3 kW"/>
    <s v="OCPP"/>
    <n v="16"/>
    <x v="1"/>
    <n v="0"/>
    <n v="0"/>
    <n v="0"/>
    <n v="6.22"/>
    <n v="12.02"/>
    <n v="16.989999999999998"/>
    <n v="6.21"/>
    <n v="13.56"/>
    <n v="9.16"/>
    <n v="8.89"/>
    <n v="8.24"/>
    <n v="10.92"/>
    <n v="0"/>
    <n v="0.01"/>
    <n v="8.84"/>
    <n v="6.24"/>
    <n v="0.41"/>
    <n v="7.64"/>
    <n v="7.84"/>
    <n v="6.4"/>
    <n v="6.81"/>
    <n v="1.26"/>
    <n v="0"/>
    <n v="0"/>
    <n v="0"/>
    <n v="5.74"/>
    <n v="20.13"/>
    <n v="39.78"/>
    <n v="35.49"/>
    <n v="36.340000000000003"/>
    <n v="9.1713333333333331"/>
    <n v="0.57320833333333332"/>
  </r>
  <r>
    <n v="62"/>
    <x v="11"/>
    <x v="49"/>
    <s v="ETO"/>
    <s v="Public-Paid"/>
    <s v="3.3 kW"/>
    <s v="OCPP"/>
    <n v="10"/>
    <x v="1"/>
    <n v="18.559999999999999"/>
    <n v="39.46"/>
    <n v="36.799999999999997"/>
    <n v="39.57"/>
    <n v="35.75"/>
    <n v="17.61"/>
    <n v="2.76"/>
    <n v="15.95"/>
    <n v="20.100000000000001"/>
    <n v="40.19"/>
    <n v="30.72"/>
    <n v="17.329999999999998"/>
    <n v="20.48"/>
    <n v="31.21"/>
    <n v="9.5500000000000007"/>
    <n v="25.65"/>
    <n v="27.29"/>
    <n v="0.06"/>
    <n v="42.04"/>
    <n v="32.21"/>
    <n v="9.75"/>
    <n v="11.04"/>
    <n v="27.61"/>
    <n v="16"/>
    <n v="9"/>
    <n v="41.5"/>
    <n v="25.87"/>
    <n v="8.83"/>
    <n v="28.08"/>
    <n v="42.96"/>
    <n v="24.131000000000004"/>
    <n v="2.4131000000000005"/>
  </r>
  <r>
    <n v="63"/>
    <x v="11"/>
    <x v="50"/>
    <s v="ETO"/>
    <s v="Public-Paid"/>
    <s v="3.3 kW"/>
    <s v="OCPP"/>
    <n v="13"/>
    <x v="1"/>
    <n v="31.73"/>
    <n v="54.88"/>
    <n v="51.6"/>
    <n v="47.21"/>
    <n v="46.5"/>
    <n v="33.81"/>
    <n v="29.11"/>
    <n v="45.13"/>
    <n v="29.56"/>
    <n v="28.85"/>
    <n v="29.14"/>
    <n v="33.78"/>
    <n v="20.440000000000001"/>
    <n v="50.44"/>
    <n v="31.49"/>
    <n v="48.11"/>
    <n v="25.93"/>
    <n v="41.96"/>
    <n v="43.85"/>
    <n v="65.25"/>
    <n v="39.07"/>
    <n v="27.8"/>
    <n v="50.57"/>
    <n v="56.79"/>
    <n v="44.14"/>
    <n v="67.040000000000006"/>
    <n v="70.72"/>
    <n v="18.84"/>
    <n v="71.56"/>
    <n v="51.44"/>
    <n v="42.891333333333336"/>
    <n v="3.2993333333333337"/>
  </r>
  <r>
    <n v="64"/>
    <x v="11"/>
    <x v="51"/>
    <s v="ETO"/>
    <s v="Public-Paid"/>
    <s v="3.3 kW"/>
    <s v="OCPP"/>
    <n v="6"/>
    <x v="1"/>
    <m/>
    <m/>
    <m/>
    <m/>
    <m/>
    <m/>
    <m/>
    <m/>
    <m/>
    <m/>
    <m/>
    <m/>
    <m/>
    <m/>
    <m/>
    <m/>
    <m/>
    <n v="0"/>
    <n v="0"/>
    <n v="0"/>
    <n v="0"/>
    <n v="0"/>
    <n v="0"/>
    <n v="3.1"/>
    <n v="40.74"/>
    <n v="0"/>
    <n v="0"/>
    <n v="0"/>
    <n v="0"/>
    <n v="0"/>
    <n v="3.3723076923076927"/>
    <n v="0.56205128205128208"/>
  </r>
  <r>
    <n v="65"/>
    <x v="11"/>
    <x v="52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x v="11"/>
    <x v="53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x v="11"/>
    <x v="54"/>
    <s v="Trinity"/>
    <s v="Public-Paid"/>
    <s v="7.4 kW"/>
    <s v="OCPP"/>
    <n v="2"/>
    <x v="0"/>
    <n v="0"/>
    <n v="45.88"/>
    <n v="0"/>
    <n v="0"/>
    <n v="0"/>
    <n v="0"/>
    <n v="0"/>
    <n v="0"/>
    <n v="0"/>
    <n v="0"/>
    <n v="0"/>
    <n v="0"/>
    <n v="0"/>
    <n v="0"/>
    <n v="0"/>
    <n v="44.55"/>
    <n v="0"/>
    <n v="0"/>
    <n v="43.86"/>
    <n v="0"/>
    <n v="0"/>
    <n v="46.88"/>
    <n v="0"/>
    <n v="22.27"/>
    <n v="0"/>
    <n v="50.16"/>
    <n v="0"/>
    <n v="0"/>
    <n v="42.77"/>
    <n v="2.97"/>
    <n v="9.9780000000000015"/>
    <n v="4.9890000000000008"/>
  </r>
  <r>
    <n v="68"/>
    <x v="11"/>
    <x v="55"/>
    <m/>
    <s v="Private-Paid"/>
    <s v="3.3kW"/>
    <s v="OCPP"/>
    <n v="2"/>
    <x v="0"/>
    <n v="0"/>
    <n v="10.26"/>
    <n v="1.29"/>
    <n v="8.44"/>
    <n v="20.89"/>
    <n v="15.96"/>
    <n v="4.84"/>
    <n v="0.57999999999999996"/>
    <n v="13.51"/>
    <n v="4.68"/>
    <n v="12.65"/>
    <n v="0"/>
    <n v="5.09"/>
    <n v="0"/>
    <n v="0"/>
    <n v="4.8600000000000003"/>
    <n v="4.7300000000000004"/>
    <n v="0.43"/>
    <n v="10.37"/>
    <n v="17.649999999999999"/>
    <n v="13.84"/>
    <n v="11.18"/>
    <n v="0"/>
    <n v="20.41"/>
    <n v="10.15"/>
    <n v="0"/>
    <n v="4.28"/>
    <n v="2.76"/>
    <n v="2.64"/>
    <n v="2.85"/>
    <n v="6.8113333333333346"/>
    <n v="3.4056666666666673"/>
  </r>
  <r>
    <n v="69"/>
    <x v="11"/>
    <x v="56"/>
    <s v="Trinity"/>
    <s v="Public-Free"/>
    <s v="3.3 kW"/>
    <s v="OCPP"/>
    <n v="6"/>
    <x v="0"/>
    <n v="47.63"/>
    <n v="53.32"/>
    <n v="90.27"/>
    <n v="73.88"/>
    <n v="63.68"/>
    <n v="13.48"/>
    <n v="4.6500000000000004"/>
    <n v="79.95"/>
    <n v="62.63"/>
    <n v="75.47"/>
    <n v="0"/>
    <n v="63.88"/>
    <n v="0"/>
    <n v="7.76"/>
    <n v="61.92"/>
    <n v="41.96"/>
    <n v="0"/>
    <n v="53.05"/>
    <n v="24.69"/>
    <n v="12.31"/>
    <n v="1.8"/>
    <n v="28.26"/>
    <n v="23.39"/>
    <n v="29.79"/>
    <n v="43.1"/>
    <n v="37.65"/>
    <n v="7.75"/>
    <n v="0.96"/>
    <n v="42.16"/>
    <n v="29.73"/>
    <n v="35.837333333333326"/>
    <n v="5.972888888888888"/>
  </r>
  <r>
    <n v="70"/>
    <x v="11"/>
    <x v="56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1"/>
    <x v="11"/>
    <x v="57"/>
    <s v="Trinity"/>
    <s v="Public-Paid"/>
    <s v="3.3kW"/>
    <s v="OCPP"/>
    <n v="20"/>
    <x v="1"/>
    <n v="52.68"/>
    <n v="55.55"/>
    <n v="60.48"/>
    <n v="57.31"/>
    <n v="60.23"/>
    <n v="52.46"/>
    <n v="34.51"/>
    <n v="35.31"/>
    <n v="51.38"/>
    <n v="41.64"/>
    <n v="36.173999999999999"/>
    <n v="30.62"/>
    <n v="37.979999999999997"/>
    <n v="34.86"/>
    <n v="30.25"/>
    <n v="33.630000000000003"/>
    <n v="29.14"/>
    <n v="40.31"/>
    <n v="27.35"/>
    <n v="41.2"/>
    <n v="14.93"/>
    <n v="31.79"/>
    <n v="25.18"/>
    <n v="33.799999999999997"/>
    <n v="30.57"/>
    <n v="15.17"/>
    <n v="16.78"/>
    <n v="1.54"/>
    <n v="9.94"/>
    <n v="16.04"/>
    <n v="34.626799999999996"/>
    <n v="1.7313399999999999"/>
  </r>
  <r>
    <n v="72"/>
    <x v="11"/>
    <x v="58"/>
    <m/>
    <s v="Public-Paid"/>
    <s v="3.3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"/>
    <n v="0"/>
    <n v="0"/>
    <n v="0"/>
    <n v="0"/>
    <n v="0"/>
    <n v="0"/>
    <n v="0"/>
    <n v="0.04"/>
    <n v="0"/>
    <n v="0"/>
    <n v="0"/>
    <n v="7.6666666666666671E-3"/>
    <n v="7.6666666666666669E-4"/>
  </r>
  <r>
    <n v="73"/>
    <x v="11"/>
    <x v="59"/>
    <s v="Trinity"/>
    <s v="Public-Paid"/>
    <s v="3.3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11"/>
    <x v="59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x v="11"/>
    <x v="60"/>
    <s v="BYPL MCD Parking"/>
    <s v="Public-Paid"/>
    <s v="3.3kW"/>
    <s v="OCPP"/>
    <n v="3"/>
    <x v="0"/>
    <n v="7.56"/>
    <n v="4.84"/>
    <n v="4.9800000000000004"/>
    <n v="0.52"/>
    <n v="6.1"/>
    <n v="11.95"/>
    <n v="10.36"/>
    <n v="5.13"/>
    <n v="0"/>
    <n v="5.13"/>
    <n v="0"/>
    <n v="0"/>
    <n v="0"/>
    <n v="0"/>
    <n v="0"/>
    <n v="0"/>
    <n v="0"/>
    <n v="1.84"/>
    <n v="3.3"/>
    <n v="0"/>
    <n v="5.09"/>
    <n v="0"/>
    <n v="0"/>
    <n v="0"/>
    <n v="0"/>
    <n v="0"/>
    <n v="0"/>
    <n v="0.02"/>
    <n v="0.38"/>
    <n v="3.1"/>
    <n v="2.3433333333333333"/>
    <n v="0.78111111111111109"/>
  </r>
  <r>
    <n v="76"/>
    <x v="11"/>
    <x v="61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11"/>
    <x v="61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11"/>
    <x v="62"/>
    <s v="BYPL MCD Parking"/>
    <s v="Public-Paid"/>
    <s v="3.3kW"/>
    <s v="OCPP"/>
    <n v="3"/>
    <x v="0"/>
    <n v="5.14"/>
    <n v="5.07"/>
    <n v="0"/>
    <n v="8.5"/>
    <n v="5.07"/>
    <n v="12.67"/>
    <n v="7.32"/>
    <n v="10.47"/>
    <n v="10.58"/>
    <n v="7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053333333333335"/>
    <n v="0.80177777777777781"/>
  </r>
  <r>
    <n v="79"/>
    <x v="11"/>
    <x v="63"/>
    <s v="BYPL MCD Parking"/>
    <s v="Public-Paid"/>
    <s v="3.3kW"/>
    <s v="OCPP"/>
    <n v="3"/>
    <x v="0"/>
    <n v="13.14"/>
    <n v="11.35"/>
    <n v="0"/>
    <n v="11.58"/>
    <n v="4.24"/>
    <n v="8.59"/>
    <n v="7.47"/>
    <n v="4.24"/>
    <n v="8.59"/>
    <n v="8.49"/>
    <n v="6.97"/>
    <n v="9.33"/>
    <n v="10.29"/>
    <n v="8.3800000000000008"/>
    <n v="4.95"/>
    <n v="5.99"/>
    <n v="11.88"/>
    <n v="10.58"/>
    <n v="5.67"/>
    <n v="6.79"/>
    <n v="2.88"/>
    <n v="0"/>
    <n v="2.88"/>
    <n v="4.49"/>
    <n v="0"/>
    <n v="0"/>
    <n v="5.37"/>
    <n v="4.29"/>
    <n v="4.2699999999999996"/>
    <n v="7.25"/>
    <n v="6.3316666666666661"/>
    <n v="2.1105555555555555"/>
  </r>
  <r>
    <n v="80"/>
    <x v="11"/>
    <x v="6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11"/>
    <x v="6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11"/>
    <x v="66"/>
    <s v="BYPL MCD Parking"/>
    <s v="Public-Paid"/>
    <s v="3.3kW"/>
    <s v="OCPP"/>
    <n v="16"/>
    <x v="0"/>
    <m/>
    <m/>
    <n v="0"/>
    <n v="0"/>
    <n v="0"/>
    <n v="0.53"/>
    <n v="0.98"/>
    <n v="0.35"/>
    <n v="0"/>
    <n v="0"/>
    <n v="0"/>
    <m/>
    <n v="0"/>
    <n v="0"/>
    <n v="0"/>
    <n v="0"/>
    <n v="0"/>
    <n v="0"/>
    <n v="0"/>
    <n v="0"/>
    <n v="0"/>
    <n v="1.48"/>
    <n v="0"/>
    <n v="0"/>
    <n v="0"/>
    <n v="0"/>
    <n v="0"/>
    <n v="0"/>
    <n v="0"/>
    <n v="0"/>
    <n v="0.1237037037037037"/>
    <n v="7.7314814814814815E-3"/>
  </r>
  <r>
    <n v="83"/>
    <x v="11"/>
    <x v="67"/>
    <s v="ETO"/>
    <s v="Public-Paid"/>
    <s v="3.3kW"/>
    <s v="OCPP"/>
    <n v="4"/>
    <x v="1"/>
    <m/>
    <m/>
    <m/>
    <m/>
    <m/>
    <m/>
    <m/>
    <m/>
    <m/>
    <m/>
    <m/>
    <m/>
    <m/>
    <m/>
    <m/>
    <m/>
    <m/>
    <m/>
    <m/>
    <m/>
    <m/>
    <m/>
    <m/>
    <m/>
    <m/>
    <n v="0"/>
    <n v="0"/>
    <n v="38.229999999999997"/>
    <n v="12.79"/>
    <n v="0"/>
    <n v="10.203999999999999"/>
    <n v="2.5509999999999997"/>
  </r>
  <r>
    <n v="84"/>
    <x v="11"/>
    <x v="68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11"/>
    <x v="69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1"/>
    <x v="70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1"/>
    <x v="71"/>
    <m/>
    <s v="Public-Paid"/>
    <s v="3.3 kW"/>
    <s v="LEVAC-BLE"/>
    <n v="82"/>
    <x v="0"/>
    <n v="21"/>
    <n v="6.5229999999999997"/>
    <n v="19.460999999999999"/>
    <n v="11.859"/>
    <n v="6.8860000000000001"/>
    <n v="0"/>
    <n v="0"/>
    <n v="8.1829999999999998"/>
    <n v="0"/>
    <n v="0"/>
    <n v="0"/>
    <n v="0.34"/>
    <n v="0"/>
    <n v="0"/>
    <n v="0"/>
    <n v="0"/>
    <n v="0"/>
    <n v="0"/>
    <n v="10.249000000000001"/>
    <n v="0"/>
    <n v="0"/>
    <n v="12.709"/>
    <n v="0"/>
    <n v="0.40500000000000003"/>
    <n v="12.085000000000001"/>
    <n v="3.6999999999999998E-2"/>
    <n v="0"/>
    <n v="0"/>
    <n v="11.321999999999999"/>
    <n v="8.7309999999999999"/>
    <n v="4.3263333333333343"/>
    <n v="5.2760162601626026E-2"/>
  </r>
  <r>
    <n v="88"/>
    <x v="11"/>
    <x v="72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11"/>
    <x v="73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11"/>
    <x v="74"/>
    <s v="Trinity"/>
    <s v="Public-Paid"/>
    <s v="3.3kW"/>
    <s v="LEVAC-BLE"/>
    <n v="2"/>
    <x v="2"/>
    <n v="0"/>
    <n v="2.2839999999999998"/>
    <n v="0"/>
    <n v="0"/>
    <n v="0"/>
    <n v="0"/>
    <n v="0"/>
    <n v="0"/>
    <n v="0"/>
    <n v="0"/>
    <n v="0"/>
    <n v="0"/>
    <n v="7.024"/>
    <n v="0"/>
    <n v="0"/>
    <n v="0"/>
    <n v="0"/>
    <n v="0"/>
    <n v="0"/>
    <n v="0"/>
    <n v="0"/>
    <n v="0"/>
    <n v="0"/>
    <n v="0"/>
    <n v="0"/>
    <n v="0"/>
    <n v="0"/>
    <n v="0"/>
    <n v="0"/>
    <n v="0"/>
    <n v="0.31026666666666664"/>
    <n v="0.155133333333333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8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x v="1"/>
    <s v="Amazon"/>
    <s v="Public-Paid"/>
    <s v="3.3 kW"/>
    <s v="OCPP"/>
    <n v="9"/>
    <x v="0"/>
    <n v="59.31"/>
    <n v="68.95"/>
    <n v="103.14"/>
    <n v="104.23"/>
    <n v="99.06"/>
    <n v="98.19"/>
    <n v="87.73"/>
    <n v="147.72999999999999"/>
    <n v="98.94"/>
    <n v="110.44"/>
    <n v="102.85"/>
    <n v="56.85"/>
    <n v="12.76"/>
    <n v="49.99"/>
    <n v="64.62"/>
    <n v="71.47"/>
    <n v="107.83"/>
    <n v="105.89"/>
    <n v="87.07"/>
    <n v="100.89"/>
    <n v="105.4"/>
    <n v="74.209999999999994"/>
    <n v="84.24"/>
    <n v="87.15"/>
    <n v="90.74"/>
    <n v="57.98"/>
    <n v="102.24"/>
    <n v="98.97499999999998"/>
    <n v="95.234999999999999"/>
    <n v="71.910000000000011"/>
    <n v="74.730999999999995"/>
    <n v="86.47583870967739"/>
    <n v="9.6084265232974886"/>
  </r>
  <r>
    <n v="3"/>
    <x v="0"/>
    <x v="2"/>
    <s v="Amazon"/>
    <s v="Public-Paid"/>
    <s v="3.3 kW"/>
    <s v="OCPP"/>
    <n v="3"/>
    <x v="0"/>
    <n v="20.88"/>
    <n v="14.91"/>
    <n v="24.32"/>
    <n v="25.57"/>
    <n v="21.82"/>
    <n v="20.8"/>
    <n v="26.31"/>
    <n v="4.72"/>
    <n v="18.3"/>
    <n v="13.71"/>
    <n v="24.62"/>
    <n v="12.71"/>
    <n v="0"/>
    <n v="27.06"/>
    <n v="19.760000000000002"/>
    <n v="23.54"/>
    <n v="24.38"/>
    <n v="30.44"/>
    <n v="20.100000000000001"/>
    <n v="20.28"/>
    <n v="23.59"/>
    <n v="11.89"/>
    <n v="25.17"/>
    <n v="24.42"/>
    <n v="14.58"/>
    <n v="26.17"/>
    <n v="18.09"/>
    <n v="21.634"/>
    <n v="0"/>
    <n v="0"/>
    <n v="0"/>
    <n v="18.057225806451616"/>
    <n v="6.0190752688172049"/>
  </r>
  <r>
    <n v="4"/>
    <x v="0"/>
    <x v="3"/>
    <s v="ETO"/>
    <s v="Public-Paid"/>
    <s v="3.3 kW"/>
    <s v="OCPP"/>
    <n v="8"/>
    <x v="1"/>
    <n v="37.47"/>
    <n v="65.02"/>
    <n v="88.97"/>
    <n v="42.72"/>
    <n v="55.41"/>
    <n v="46.66"/>
    <n v="48.4"/>
    <n v="91.1"/>
    <n v="68.099999999999994"/>
    <n v="77.459999999999994"/>
    <n v="57.05"/>
    <n v="69.72"/>
    <n v="30.06"/>
    <n v="45"/>
    <n v="67.83"/>
    <n v="40.4"/>
    <n v="79.489999999999995"/>
    <n v="63.15"/>
    <n v="56.44"/>
    <n v="62.6"/>
    <n v="75.17"/>
    <n v="60.15"/>
    <n v="47.14"/>
    <n v="46.41"/>
    <n v="63.87"/>
    <n v="41.64"/>
    <n v="64.340999999999994"/>
    <n v="78.75"/>
    <n v="56.146000000000001"/>
    <n v="95.6"/>
    <n v="62.762999999999998"/>
    <n v="60.807419354838707"/>
    <n v="7.6009274193548384"/>
  </r>
  <r>
    <n v="5"/>
    <x v="0"/>
    <x v="4"/>
    <s v="Trinity"/>
    <s v="Public-Paid"/>
    <s v="3.3 kW"/>
    <s v="OCPP"/>
    <n v="24"/>
    <x v="1"/>
    <n v="320.45"/>
    <n v="320.26"/>
    <n v="320"/>
    <n v="310.52"/>
    <n v="350.07"/>
    <n v="339.88"/>
    <n v="225.7"/>
    <n v="364"/>
    <n v="387.61"/>
    <n v="342.56"/>
    <n v="357.67"/>
    <n v="367.66"/>
    <n v="280.7"/>
    <n v="249.9"/>
    <n v="336.93"/>
    <n v="285.5"/>
    <n v="396.47"/>
    <n v="346.05"/>
    <n v="397.17"/>
    <n v="321.8"/>
    <n v="435.98"/>
    <n v="435.99"/>
    <n v="438.86"/>
    <n v="465.95"/>
    <n v="421.26"/>
    <n v="405.68"/>
    <n v="419.61"/>
    <n v="381.95"/>
    <n v="441.67"/>
    <n v="435.11"/>
    <n v="442.76"/>
    <n v="365.99096774193561"/>
    <n v="15.249623655913984"/>
  </r>
  <r>
    <n v="6"/>
    <x v="0"/>
    <x v="4"/>
    <s v="Trinity"/>
    <s v="Public-Paid"/>
    <s v="3 kW"/>
    <s v="DC Charger"/>
    <n v="1"/>
    <x v="1"/>
    <n v="12.37"/>
    <n v="13.52"/>
    <n v="17.61"/>
    <n v="16.96"/>
    <n v="22.8"/>
    <n v="14.96"/>
    <n v="0"/>
    <n v="20.79"/>
    <n v="16"/>
    <n v="5.98"/>
    <n v="17.04"/>
    <n v="12.09"/>
    <n v="8.5"/>
    <n v="24.06"/>
    <n v="14.72"/>
    <n v="6.41"/>
    <n v="19.53"/>
    <n v="10.16"/>
    <n v="10.85"/>
    <n v="6.5"/>
    <n v="8.73"/>
    <n v="3.61"/>
    <n v="11.66"/>
    <n v="19.75"/>
    <n v="19.54"/>
    <n v="23.95"/>
    <n v="15.76"/>
    <n v="6.98"/>
    <n v="13.28"/>
    <n v="5.83"/>
    <n v="25.8"/>
    <n v="13.733548387096775"/>
    <n v="13.733548387096775"/>
  </r>
  <r>
    <n v="7"/>
    <x v="0"/>
    <x v="4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5"/>
    <s v="Trinity"/>
    <s v="Public-Paid"/>
    <s v="3.3 kW"/>
    <s v="OCPP"/>
    <n v="6"/>
    <x v="1"/>
    <n v="22.45"/>
    <n v="32.5"/>
    <n v="24.04"/>
    <n v="29.36"/>
    <n v="27.31"/>
    <n v="45.35"/>
    <n v="25.95"/>
    <n v="28.28"/>
    <n v="35.630000000000003"/>
    <n v="12.42"/>
    <n v="13.33"/>
    <n v="31.03"/>
    <n v="18.8"/>
    <n v="1.65"/>
    <n v="28.66"/>
    <n v="19.64"/>
    <n v="39.020000000000003"/>
    <n v="40.25"/>
    <n v="31.18"/>
    <n v="30.68"/>
    <n v="27.75"/>
    <n v="24.21"/>
    <n v="36.06"/>
    <n v="29.76"/>
    <n v="32.14"/>
    <n v="23.53"/>
    <n v="26.817"/>
    <n v="22.367000000000001"/>
    <n v="20.643999999999998"/>
    <n v="32.703000000000003"/>
    <n v="30.741"/>
    <n v="27.233935483870962"/>
    <n v="4.538989247311827"/>
  </r>
  <r>
    <n v="9"/>
    <x v="0"/>
    <x v="6"/>
    <s v="ETO"/>
    <s v="Public-Paid"/>
    <s v="3.3 kW"/>
    <s v="OCPP"/>
    <n v="3"/>
    <x v="1"/>
    <n v="41.11"/>
    <n v="48.11"/>
    <n v="60.53"/>
    <n v="51.14"/>
    <n v="38.840000000000003"/>
    <n v="93.55"/>
    <n v="48.44"/>
    <n v="50.99"/>
    <n v="62.75"/>
    <n v="39.549999999999997"/>
    <n v="61.82"/>
    <n v="68.37"/>
    <n v="56.47"/>
    <n v="23.59"/>
    <n v="89.13"/>
    <n v="65.239999999999995"/>
    <n v="57.15"/>
    <n v="52.93"/>
    <n v="71.94"/>
    <n v="79.930000000000007"/>
    <n v="44.83"/>
    <n v="45.51"/>
    <n v="43.07"/>
    <n v="54.07"/>
    <n v="64.400000000000006"/>
    <n v="22.97"/>
    <n v="74.631"/>
    <n v="65.701000000000008"/>
    <n v="34.736999999999995"/>
    <n v="46.054000000000002"/>
    <n v="53.023000000000003"/>
    <n v="55.179870967741941"/>
    <n v="18.393290322580647"/>
  </r>
  <r>
    <n v="10"/>
    <x v="0"/>
    <x v="7"/>
    <s v="Trinity"/>
    <s v="Public-Free"/>
    <s v="3.3 kW"/>
    <s v="OCPP"/>
    <n v="1"/>
    <x v="0"/>
    <n v="0"/>
    <n v="0"/>
    <n v="0"/>
    <n v="0"/>
    <n v="2.73"/>
    <n v="0"/>
    <n v="0"/>
    <n v="2.25"/>
    <n v="0"/>
    <n v="0"/>
    <n v="0"/>
    <n v="0"/>
    <n v="0.28999999999999998"/>
    <n v="2.82"/>
    <n v="0"/>
    <n v="0"/>
    <n v="0"/>
    <n v="3.05"/>
    <n v="0"/>
    <n v="2.15"/>
    <n v="0"/>
    <n v="0"/>
    <n v="0"/>
    <n v="0"/>
    <n v="4.26"/>
    <n v="0"/>
    <n v="0"/>
    <n v="0"/>
    <n v="0"/>
    <n v="0"/>
    <n v="3.165"/>
    <n v="0.66822580645161289"/>
    <n v="0.66822580645161289"/>
  </r>
  <r>
    <n v="11"/>
    <x v="0"/>
    <x v="8"/>
    <s v="EFL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9"/>
    <s v="Trinity"/>
    <s v="Public-Paid"/>
    <s v="3.3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799999999999994"/>
    <n v="0"/>
    <n v="0"/>
    <n v="0"/>
    <n v="14.73"/>
    <n v="0"/>
    <n v="0"/>
    <n v="0"/>
    <n v="0"/>
    <n v="0"/>
    <n v="0.79064516129032247"/>
    <n v="0.39532258064516124"/>
  </r>
  <r>
    <n v="13"/>
    <x v="0"/>
    <x v="9"/>
    <s v="Trinity"/>
    <s v="Public-Paid"/>
    <s v="15 kw"/>
    <s v="DC Charger"/>
    <n v="2"/>
    <x v="0"/>
    <n v="15.97"/>
    <n v="3.4"/>
    <n v="0"/>
    <n v="17.2"/>
    <n v="21.52"/>
    <n v="13.48"/>
    <n v="22.98"/>
    <n v="98.12"/>
    <n v="40.4"/>
    <n v="32.44"/>
    <n v="64.38"/>
    <n v="33.47"/>
    <n v="35.520000000000003"/>
    <n v="0"/>
    <n v="2.79"/>
    <n v="9.84"/>
    <n v="0"/>
    <n v="0"/>
    <n v="10.029999999999999"/>
    <n v="0"/>
    <n v="10.59"/>
    <n v="74.91"/>
    <n v="89.2"/>
    <n v="53.61"/>
    <n v="92.8"/>
    <n v="9.77"/>
    <n v="21.16"/>
    <n v="41.74"/>
    <n v="28.4"/>
    <n v="14.73"/>
    <n v="51.93"/>
    <n v="29.367096774193545"/>
    <n v="14.683548387096772"/>
  </r>
  <r>
    <n v="14"/>
    <x v="0"/>
    <x v="10"/>
    <s v="Trinity"/>
    <s v="Public-Paid"/>
    <s v="3.3 kW"/>
    <s v="OCPP"/>
    <n v="10"/>
    <x v="1"/>
    <n v="94.74"/>
    <n v="86.23"/>
    <n v="78.83"/>
    <n v="78.31"/>
    <n v="92.45"/>
    <n v="90.05"/>
    <n v="76.739999999999995"/>
    <n v="95.59"/>
    <n v="116.89"/>
    <n v="90.62"/>
    <n v="94.94"/>
    <n v="53.06"/>
    <n v="67.5"/>
    <n v="42.15"/>
    <n v="54.52"/>
    <n v="118.97"/>
    <n v="85.89"/>
    <n v="30.44"/>
    <n v="20.100000000000001"/>
    <n v="98.46"/>
    <n v="90.68"/>
    <n v="86.25"/>
    <n v="58.7"/>
    <n v="86.12"/>
    <n v="78.260000000000005"/>
    <n v="74.09"/>
    <n v="70.272999999999982"/>
    <n v="83.567000000000007"/>
    <n v="133.70099999999999"/>
    <n v="120.846"/>
    <n v="127.42"/>
    <n v="83.109258064516155"/>
    <n v="8.3109258064516158"/>
  </r>
  <r>
    <n v="15"/>
    <x v="0"/>
    <x v="11"/>
    <s v="Trinity"/>
    <s v="Public-Paid"/>
    <s v="3.3 kW"/>
    <s v="OCPP"/>
    <n v="2"/>
    <x v="0"/>
    <n v="2.29"/>
    <n v="0"/>
    <n v="0"/>
    <n v="0"/>
    <n v="0"/>
    <n v="0"/>
    <n v="0"/>
    <n v="0"/>
    <n v="0"/>
    <n v="0"/>
    <n v="0"/>
    <n v="0"/>
    <n v="0"/>
    <n v="0"/>
    <n v="0"/>
    <n v="0"/>
    <n v="0"/>
    <n v="0"/>
    <n v="5.65"/>
    <n v="2.76"/>
    <n v="17.79"/>
    <n v="23.01"/>
    <n v="25.73"/>
    <n v="17.93"/>
    <n v="18.82"/>
    <n v="24.95"/>
    <n v="17.100000000000001"/>
    <n v="32.35"/>
    <n v="23.623000000000001"/>
    <n v="40.715000000000003"/>
    <n v="7.585"/>
    <n v="8.3968709677419344"/>
    <n v="4.1984354838709672"/>
  </r>
  <r>
    <n v="16"/>
    <x v="0"/>
    <x v="11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2"/>
    <s v="Trinity"/>
    <s v="Public-Paid"/>
    <s v="3.3 kW"/>
    <s v="OCPP"/>
    <n v="10"/>
    <x v="1"/>
    <n v="140.16999999999999"/>
    <n v="124.66"/>
    <n v="123.42"/>
    <n v="126.47"/>
    <n v="118.16"/>
    <n v="144.18"/>
    <n v="124.05"/>
    <n v="164.94"/>
    <n v="142.06"/>
    <n v="100.01"/>
    <n v="107.82"/>
    <n v="106.62"/>
    <n v="77.52"/>
    <n v="74.7"/>
    <n v="129.35"/>
    <n v="117.89"/>
    <n v="112.51"/>
    <n v="143.68"/>
    <n v="130.07"/>
    <n v="184.91"/>
    <n v="109.44"/>
    <n v="180.13"/>
    <n v="115.41"/>
    <n v="141.29"/>
    <n v="124.47"/>
    <n v="150.97"/>
    <n v="125.958"/>
    <n v="184.10699999999997"/>
    <n v="112.60799999999999"/>
    <n v="139.40299999999996"/>
    <n v="104.04899999999999"/>
    <n v="128.42016129032257"/>
    <n v="12.842016129032256"/>
  </r>
  <r>
    <n v="18"/>
    <x v="0"/>
    <x v="13"/>
    <s v="Trinity"/>
    <s v="Public-Paid"/>
    <s v="3.3 kW"/>
    <s v="OCPP"/>
    <n v="5"/>
    <x v="0"/>
    <n v="0"/>
    <n v="0"/>
    <n v="0"/>
    <n v="8.99"/>
    <n v="0"/>
    <n v="0"/>
    <n v="0"/>
    <n v="0"/>
    <n v="0"/>
    <n v="0.48"/>
    <n v="0"/>
    <n v="0"/>
    <n v="0"/>
    <n v="0"/>
    <n v="2.77"/>
    <n v="0"/>
    <n v="6.48"/>
    <n v="0"/>
    <n v="0"/>
    <n v="0"/>
    <n v="0"/>
    <n v="6.15"/>
    <n v="5.92"/>
    <n v="0"/>
    <n v="9.32"/>
    <n v="7.4"/>
    <n v="1.95"/>
    <n v="9.02"/>
    <n v="7.92"/>
    <n v="7.47"/>
    <n v="8.15"/>
    <n v="2.6458064516129034"/>
    <n v="0.52916129032258064"/>
  </r>
  <r>
    <n v="19"/>
    <x v="0"/>
    <x v="13"/>
    <s v="Trinity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3"/>
    <s v="Trinity"/>
    <s v="Public-Paid"/>
    <s v="15 kw"/>
    <s v="DC Charger"/>
    <n v="1"/>
    <x v="0"/>
    <n v="0"/>
    <n v="0"/>
    <n v="0"/>
    <n v="0"/>
    <n v="0"/>
    <n v="0"/>
    <n v="0"/>
    <n v="1.85"/>
    <n v="4.25"/>
    <n v="0"/>
    <n v="0"/>
    <n v="0"/>
    <n v="0"/>
    <n v="0"/>
    <n v="0"/>
    <n v="7.11"/>
    <n v="4.2300000000000004"/>
    <n v="0"/>
    <n v="0"/>
    <n v="16.48"/>
    <n v="0.1"/>
    <n v="0.06"/>
    <n v="0.02"/>
    <n v="24.61"/>
    <n v="5.52"/>
    <n v="0"/>
    <n v="15.47"/>
    <n v="24.55"/>
    <n v="17.07"/>
    <n v="25.13"/>
    <n v="29.62"/>
    <n v="5.6796774193548387"/>
    <n v="5.6796774193548387"/>
  </r>
  <r>
    <n v="21"/>
    <x v="0"/>
    <x v="13"/>
    <s v="Trinity"/>
    <s v="Public-Paid"/>
    <s v="25 kW"/>
    <s v="DC Charger"/>
    <n v="1"/>
    <x v="0"/>
    <n v="0"/>
    <n v="0"/>
    <n v="0"/>
    <n v="0"/>
    <n v="0"/>
    <n v="0"/>
    <n v="0"/>
    <n v="0"/>
    <n v="3.41"/>
    <n v="3.57"/>
    <n v="0"/>
    <n v="0"/>
    <n v="0"/>
    <n v="13.58"/>
    <n v="9.89"/>
    <n v="9.31"/>
    <n v="0"/>
    <n v="0"/>
    <n v="0"/>
    <n v="19.48"/>
    <n v="39.17"/>
    <n v="22.83"/>
    <n v="8.33"/>
    <n v="58.1"/>
    <n v="0"/>
    <n v="0"/>
    <n v="0"/>
    <n v="0"/>
    <n v="10.98"/>
    <n v="21.07"/>
    <n v="0"/>
    <n v="7.0877419354838711"/>
    <n v="7.0877419354838711"/>
  </r>
  <r>
    <n v="22"/>
    <x v="0"/>
    <x v="13"/>
    <s v="Trinity"/>
    <s v="Public-Paid"/>
    <s v="60 kw"/>
    <s v="DC Charger"/>
    <n v="1"/>
    <x v="0"/>
    <n v="0"/>
    <n v="0"/>
    <n v="0"/>
    <n v="0"/>
    <n v="0"/>
    <n v="0"/>
    <n v="0"/>
    <n v="0"/>
    <n v="7.48"/>
    <n v="2.0299999999999998"/>
    <n v="11.28"/>
    <n v="0"/>
    <n v="0"/>
    <n v="51.65"/>
    <n v="85.58"/>
    <n v="99.83"/>
    <n v="18.149999999999999"/>
    <n v="14.43"/>
    <n v="0"/>
    <n v="34.6"/>
    <n v="59.3"/>
    <n v="28.28"/>
    <n v="49.6"/>
    <n v="40.4"/>
    <n v="24.23"/>
    <n v="16.829999999999998"/>
    <n v="15.33"/>
    <n v="21.33"/>
    <n v="134.1"/>
    <n v="48.13"/>
    <n v="86.75"/>
    <n v="27.397096774193553"/>
    <n v="27.397096774193553"/>
  </r>
  <r>
    <n v="23"/>
    <x v="0"/>
    <x v="14"/>
    <s v="Trinity"/>
    <s v="Public-Paid"/>
    <s v="3.3 kW"/>
    <s v="OCPP"/>
    <n v="5"/>
    <x v="1"/>
    <n v="131.37"/>
    <n v="90.27"/>
    <n v="137.74"/>
    <n v="121.32"/>
    <n v="79.48"/>
    <n v="114.39"/>
    <n v="113.16"/>
    <n v="72.930000000000007"/>
    <n v="134.83000000000001"/>
    <n v="72.88"/>
    <n v="150.99"/>
    <n v="81.55"/>
    <n v="108.29"/>
    <n v="23.38"/>
    <n v="114.25"/>
    <n v="37.85"/>
    <n v="118.93"/>
    <n v="73.319999999999993"/>
    <n v="104.1"/>
    <n v="110.44"/>
    <n v="63.57"/>
    <n v="63.83"/>
    <n v="92.02"/>
    <n v="134.09"/>
    <n v="126.12"/>
    <n v="70.45"/>
    <n v="132.19900000000001"/>
    <n v="86.796999999999997"/>
    <n v="94.999000000000009"/>
    <n v="151.02800000000002"/>
    <n v="136.35999999999999"/>
    <n v="101.38493548387095"/>
    <n v="20.276987096774189"/>
  </r>
  <r>
    <n v="24"/>
    <x v="0"/>
    <x v="15"/>
    <s v="Trinity"/>
    <s v="Public-Paid"/>
    <s v="3.3 kW"/>
    <s v="OCPP"/>
    <n v="1"/>
    <x v="0"/>
    <n v="0"/>
    <n v="7.29"/>
    <n v="15.59"/>
    <n v="7.85"/>
    <n v="13.05"/>
    <n v="7.59"/>
    <n v="7.7"/>
    <n v="3.99"/>
    <n v="7.42"/>
    <n v="4.8099999999999996"/>
    <n v="13.43"/>
    <n v="0"/>
    <n v="19.62"/>
    <n v="15.44"/>
    <n v="11.53"/>
    <n v="8.14"/>
    <n v="11.81"/>
    <n v="0.35"/>
    <n v="24.66"/>
    <n v="21.9"/>
    <n v="0"/>
    <n v="2.6"/>
    <n v="0.47"/>
    <n v="1.98"/>
    <n v="0"/>
    <n v="5.16"/>
    <n v="0"/>
    <n v="0"/>
    <n v="3.63"/>
    <n v="0.46"/>
    <n v="7.94"/>
    <n v="7.2390322580645154"/>
    <n v="7.2390322580645154"/>
  </r>
  <r>
    <n v="25"/>
    <x v="0"/>
    <x v="15"/>
    <s v="Trinity"/>
    <s v="Public-Paid"/>
    <s v="7.4 kW"/>
    <s v="OCPP"/>
    <n v="1"/>
    <x v="0"/>
    <n v="0"/>
    <n v="0"/>
    <n v="6.63"/>
    <n v="0"/>
    <n v="0"/>
    <n v="0"/>
    <n v="6.7"/>
    <n v="0.54"/>
    <n v="0"/>
    <n v="0"/>
    <n v="0"/>
    <n v="13.73"/>
    <n v="0"/>
    <n v="3.17"/>
    <n v="0"/>
    <n v="0"/>
    <n v="0"/>
    <n v="1.33"/>
    <n v="0"/>
    <n v="6.47"/>
    <n v="0"/>
    <n v="0"/>
    <n v="10.95"/>
    <n v="0"/>
    <n v="16.399999999999999"/>
    <n v="0"/>
    <n v="0"/>
    <n v="0"/>
    <n v="0"/>
    <n v="0"/>
    <n v="0"/>
    <n v="2.1264516129032254"/>
    <n v="2.1264516129032254"/>
  </r>
  <r>
    <n v="26"/>
    <x v="0"/>
    <x v="15"/>
    <s v="Trinity"/>
    <s v="Public-Paid"/>
    <s v="12kW"/>
    <s v="DC Charger"/>
    <n v="1"/>
    <x v="0"/>
    <n v="0"/>
    <n v="8.9600000000000009"/>
    <n v="12.7"/>
    <n v="10.75"/>
    <n v="8.5500000000000007"/>
    <n v="25.96"/>
    <n v="8.52"/>
    <n v="10.16"/>
    <n v="19.309999999999999"/>
    <n v="19.07"/>
    <n v="7.46"/>
    <n v="0"/>
    <n v="4.01"/>
    <n v="0"/>
    <n v="16.38"/>
    <n v="8.89"/>
    <n v="19.5"/>
    <n v="31.43"/>
    <n v="5.65"/>
    <n v="18.98"/>
    <n v="12.79"/>
    <n v="31.23"/>
    <n v="6.21"/>
    <n v="0.8"/>
    <n v="0"/>
    <n v="5.0199999999999996"/>
    <n v="13.09"/>
    <n v="20.66"/>
    <n v="8.48"/>
    <n v="9.85"/>
    <n v="0"/>
    <n v="11.11"/>
    <n v="11.11"/>
  </r>
  <r>
    <n v="27"/>
    <x v="0"/>
    <x v="15"/>
    <s v="Trinity"/>
    <s v="Public-Paid"/>
    <s v="25 kW"/>
    <s v="DC Charger"/>
    <n v="2"/>
    <x v="0"/>
    <n v="16.22"/>
    <n v="11.41"/>
    <n v="16.100000000000001"/>
    <n v="0"/>
    <n v="0"/>
    <n v="8.17"/>
    <n v="0"/>
    <n v="19.329999999999998"/>
    <n v="10.51"/>
    <n v="0"/>
    <n v="0"/>
    <n v="13.01"/>
    <n v="0"/>
    <n v="0"/>
    <n v="0"/>
    <n v="0"/>
    <n v="0"/>
    <n v="0"/>
    <n v="0"/>
    <n v="19.32"/>
    <n v="0"/>
    <n v="0"/>
    <n v="0"/>
    <n v="27.7"/>
    <n v="0"/>
    <n v="19.03"/>
    <n v="41.6"/>
    <n v="13.62"/>
    <n v="12.97"/>
    <n v="0"/>
    <n v="25.78"/>
    <n v="8.2183870967741939"/>
    <n v="4.1091935483870969"/>
  </r>
  <r>
    <n v="28"/>
    <x v="0"/>
    <x v="16"/>
    <s v="Trinity"/>
    <s v="Public-Paid"/>
    <s v="3.3 kW"/>
    <s v="OCPP"/>
    <n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"/>
    <x v="0"/>
    <x v="1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x v="18"/>
    <s v="Trinity"/>
    <s v="Public-Paid"/>
    <s v="3.3 kW"/>
    <s v="OCPP"/>
    <n v="9"/>
    <x v="1"/>
    <n v="179.62"/>
    <n v="165.98"/>
    <n v="188.31"/>
    <n v="175.68"/>
    <n v="156.66"/>
    <n v="162.96"/>
    <n v="186.49"/>
    <n v="184.86"/>
    <n v="169.53"/>
    <n v="171.53"/>
    <n v="189.98"/>
    <n v="142.4"/>
    <n v="157.86000000000001"/>
    <n v="90.3"/>
    <n v="157.47"/>
    <n v="121.67"/>
    <n v="239.15"/>
    <n v="156.66"/>
    <n v="143.82"/>
    <n v="220.12"/>
    <n v="169.61"/>
    <n v="156.4"/>
    <n v="154.91"/>
    <n v="172.3"/>
    <n v="152.71"/>
    <n v="132.83000000000001"/>
    <n v="188.22800000000004"/>
    <n v="176.25799999999998"/>
    <n v="168.928"/>
    <n v="198.76800000000011"/>
    <n v="108.76199999999999"/>
    <n v="165.83077419354839"/>
    <n v="18.425641577060933"/>
  </r>
  <r>
    <n v="31"/>
    <x v="0"/>
    <x v="19"/>
    <s v="Trinity"/>
    <s v="Public-Paid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"/>
    <x v="0"/>
    <x v="20"/>
    <s v="Trinity"/>
    <s v="Public-Paid"/>
    <s v="3.3 kW"/>
    <s v="OCPP"/>
    <n v="1"/>
    <x v="1"/>
    <n v="10.45"/>
    <n v="16.96"/>
    <n v="9.4499999999999993"/>
    <n v="7.55"/>
    <n v="12.14"/>
    <n v="6.34"/>
    <n v="6.55"/>
    <n v="22.65"/>
    <n v="11.6"/>
    <n v="16.420000000000002"/>
    <n v="9.1999999999999993"/>
    <n v="4.13"/>
    <n v="3.42"/>
    <n v="4.79"/>
    <n v="13.38"/>
    <n v="7.47"/>
    <n v="12.11"/>
    <n v="7.76"/>
    <n v="12.56"/>
    <n v="10.01"/>
    <n v="6.22"/>
    <n v="20.29"/>
    <n v="7.09"/>
    <n v="13.4"/>
    <n v="5.16"/>
    <n v="15.98"/>
    <n v="13.115"/>
    <n v="14.001999999999999"/>
    <n v="10.555"/>
    <n v="19.558"/>
    <n v="6.0430000000000001"/>
    <n v="10.850096774193549"/>
    <n v="10.850096774193549"/>
  </r>
  <r>
    <n v="33"/>
    <x v="0"/>
    <x v="21"/>
    <s v="Trinity"/>
    <s v="Public-Paid"/>
    <s v="3.3 kW"/>
    <s v="OCPP"/>
    <n v="5"/>
    <x v="1"/>
    <n v="16.75"/>
    <n v="33.65"/>
    <n v="36.42"/>
    <n v="27.62"/>
    <n v="48.65"/>
    <n v="34.770000000000003"/>
    <n v="76.94"/>
    <n v="56.33"/>
    <n v="48.34"/>
    <n v="44.16"/>
    <n v="45.07"/>
    <n v="51.58"/>
    <n v="31.57"/>
    <n v="15.12"/>
    <n v="45.53"/>
    <n v="32.28"/>
    <n v="29.97"/>
    <n v="40.340000000000003"/>
    <n v="40.456000000000003"/>
    <n v="53.85"/>
    <n v="31.68"/>
    <n v="47.7"/>
    <n v="45.06"/>
    <n v="39.18"/>
    <n v="45.22"/>
    <n v="31.67"/>
    <n v="25.274000000000001"/>
    <n v="54.975999999999999"/>
    <n v="57.628000000000007"/>
    <n v="40.368999999999993"/>
    <n v="29.846999999999998"/>
    <n v="40.580645161290313"/>
    <n v="8.1161290322580619"/>
  </r>
  <r>
    <n v="34"/>
    <x v="0"/>
    <x v="22"/>
    <s v="Trinity"/>
    <s v="Public-Paid"/>
    <s v="3.3 kW"/>
    <s v="OCPP"/>
    <n v="1"/>
    <x v="2"/>
    <m/>
    <m/>
    <m/>
    <m/>
    <m/>
    <n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38461538461536E-2"/>
    <n v="8.6538461538461536E-2"/>
  </r>
  <r>
    <n v="35"/>
    <x v="0"/>
    <x v="23"/>
    <s v="Trinity"/>
    <s v="Public-Paid"/>
    <s v="3.3 kW"/>
    <s v="OCPP"/>
    <n v="3"/>
    <x v="1"/>
    <m/>
    <m/>
    <m/>
    <m/>
    <m/>
    <m/>
    <m/>
    <m/>
    <m/>
    <m/>
    <m/>
    <m/>
    <m/>
    <m/>
    <m/>
    <m/>
    <n v="15.76"/>
    <n v="27.69"/>
    <n v="39.25"/>
    <n v="16.89"/>
    <n v="21.54"/>
    <n v="31"/>
    <n v="28.36"/>
    <n v="26.22"/>
    <n v="14.52"/>
    <n v="49.31"/>
    <n v="8.3949999999999996"/>
    <n v="37.529000000000003"/>
    <n v="18.896999999999998"/>
    <n v="33.208999999999996"/>
    <n v="31.670999999999996"/>
    <n v="26.682733333333331"/>
    <n v="8.8942444444444444"/>
  </r>
  <r>
    <n v="36"/>
    <x v="0"/>
    <x v="24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x v="0"/>
    <x v="25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x v="0"/>
    <x v="26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"/>
    <x v="1"/>
    <x v="27"/>
    <s v="Trinity"/>
    <s v="Public-Paid"/>
    <s v="3.3 kW"/>
    <s v="OCPP"/>
    <n v="5"/>
    <x v="1"/>
    <n v="5.66"/>
    <n v="20.74"/>
    <n v="10.8"/>
    <n v="7.67"/>
    <n v="0"/>
    <n v="17.37"/>
    <n v="7.76"/>
    <n v="19.760000000000002"/>
    <n v="5.96"/>
    <n v="5.66"/>
    <n v="27.65"/>
    <n v="0"/>
    <n v="0"/>
    <n v="8.73"/>
    <n v="7.66"/>
    <n v="4.5"/>
    <n v="4.24"/>
    <n v="4.45"/>
    <n v="0"/>
    <n v="6.89"/>
    <n v="23.93"/>
    <n v="10.44"/>
    <n v="15.38"/>
    <n v="3.03"/>
    <n v="10.11"/>
    <n v="0"/>
    <n v="9.2829999999999995"/>
    <n v="9.0890000000000004"/>
    <n v="10.305"/>
    <n v="11.443999999999999"/>
    <n v="7.8339999999999996"/>
    <n v="8.9143548387096772"/>
    <n v="1.7828709677419354"/>
  </r>
  <r>
    <n v="40"/>
    <x v="1"/>
    <x v="28"/>
    <s v="Trinity"/>
    <s v="Public-Paid"/>
    <s v="3.3 kW"/>
    <s v="OCPP"/>
    <n v="10"/>
    <x v="1"/>
    <n v="93.11"/>
    <n v="91.23"/>
    <n v="61.49"/>
    <n v="93.75"/>
    <n v="128.21"/>
    <n v="98.9"/>
    <n v="98.09"/>
    <n v="122.34"/>
    <n v="140.69"/>
    <n v="76.099999999999994"/>
    <n v="151.29"/>
    <n v="103.13"/>
    <n v="0"/>
    <n v="84.57"/>
    <n v="55.88"/>
    <n v="107.57"/>
    <n v="120.42"/>
    <n v="98.16"/>
    <n v="129.07"/>
    <n v="116.08"/>
    <n v="99.34"/>
    <n v="131.22"/>
    <n v="89.03"/>
    <n v="71.900000000000006"/>
    <n v="116.81"/>
    <n v="161.88999999999999"/>
    <n v="83.560000000000016"/>
    <n v="118.006"/>
    <n v="89.783999999999992"/>
    <n v="105.06500000000004"/>
    <n v="116.79300000000001"/>
    <n v="101.72509677419356"/>
    <n v="10.172509677419356"/>
  </r>
  <r>
    <n v="41"/>
    <x v="2"/>
    <x v="29"/>
    <s v="Trinity"/>
    <s v="Public-Paid"/>
    <s v="3.3 kW"/>
    <s v="OCPP"/>
    <n v="3"/>
    <x v="1"/>
    <n v="0"/>
    <n v="7.74"/>
    <n v="10.73"/>
    <n v="12.72"/>
    <n v="0"/>
    <n v="5.64"/>
    <n v="12.23"/>
    <n v="11.03"/>
    <n v="13.17"/>
    <n v="13.9"/>
    <n v="7.52"/>
    <n v="0"/>
    <n v="0"/>
    <n v="13.01"/>
    <n v="11.58"/>
    <n v="4.59"/>
    <n v="13.8"/>
    <n v="0"/>
    <n v="14.02"/>
    <n v="16.260000000000002"/>
    <n v="8.6199999999999992"/>
    <n v="11.05"/>
    <n v="14.12"/>
    <n v="2.94"/>
    <n v="15.58"/>
    <n v="0"/>
    <n v="2.9000000000000001E-2"/>
    <n v="13.763"/>
    <n v="7.7770000000000001"/>
    <n v="8.0470000000000006"/>
    <n v="8.0350000000000001"/>
    <n v="8.3193870967741965"/>
    <n v="2.7731290322580655"/>
  </r>
  <r>
    <n v="42"/>
    <x v="2"/>
    <x v="30"/>
    <s v="Trinity"/>
    <s v="Public-Paid"/>
    <s v="3.3 kW"/>
    <s v="OCPP"/>
    <n v="7"/>
    <x v="1"/>
    <n v="69.62"/>
    <n v="151.38999999999999"/>
    <n v="175.15"/>
    <n v="143.19"/>
    <n v="182.89"/>
    <n v="120"/>
    <n v="147.19"/>
    <n v="151.66999999999999"/>
    <n v="121.36"/>
    <n v="163.69999999999999"/>
    <n v="140.87"/>
    <n v="77.72"/>
    <n v="76.98"/>
    <n v="58.09"/>
    <n v="103.66"/>
    <n v="136.19999999999999"/>
    <n v="124.28"/>
    <n v="148.93"/>
    <n v="164.32"/>
    <n v="79.08"/>
    <n v="190.69"/>
    <n v="114.55"/>
    <n v="144.63999999999999"/>
    <n v="130.33000000000001"/>
    <n v="123.78"/>
    <n v="143.88"/>
    <n v="171.23400000000001"/>
    <n v="80.971000000000004"/>
    <n v="181.36900000000003"/>
    <n v="113.91799999999998"/>
    <n v="141.38499999999999"/>
    <n v="131.38829032258064"/>
    <n v="18.769755760368664"/>
  </r>
  <r>
    <n v="43"/>
    <x v="3"/>
    <x v="31"/>
    <s v="Trinity"/>
    <s v="Public-Paid"/>
    <s v="3.3 kW"/>
    <s v="OCPP"/>
    <n v="5"/>
    <x v="1"/>
    <n v="25.28"/>
    <n v="36.479999999999997"/>
    <n v="37.119999999999997"/>
    <n v="46.85"/>
    <n v="53.74"/>
    <n v="41.65"/>
    <n v="25.54"/>
    <n v="60.31"/>
    <n v="59.73"/>
    <n v="48.25"/>
    <n v="45.18"/>
    <n v="44.15"/>
    <n v="9.8699999999999992"/>
    <n v="47.49"/>
    <n v="38.24"/>
    <n v="39.96"/>
    <n v="37.79"/>
    <n v="70.95"/>
    <n v="46.78"/>
    <n v="47.13"/>
    <n v="47.08"/>
    <n v="49"/>
    <n v="40.450000000000003"/>
    <n v="41.45"/>
    <n v="38.94"/>
    <n v="34.25"/>
    <n v="34.162999999999997"/>
    <n v="51.056000000000012"/>
    <n v="48.771000000000001"/>
    <n v="24.532"/>
    <n v="32.591999999999999"/>
    <n v="42.089483870967754"/>
    <n v="8.4178967741935509"/>
  </r>
  <r>
    <n v="44"/>
    <x v="4"/>
    <x v="32"/>
    <s v="Trinity"/>
    <s v="Public-Paid"/>
    <s v="3.3 kW"/>
    <s v="OCPP"/>
    <n v="5"/>
    <x v="1"/>
    <n v="24.95"/>
    <n v="38.369999999999997"/>
    <n v="17.23"/>
    <n v="31.14"/>
    <n v="14.26"/>
    <n v="52.53"/>
    <n v="15.69"/>
    <n v="53.55"/>
    <n v="39.18"/>
    <n v="28.79"/>
    <n v="21.45"/>
    <n v="37.14"/>
    <n v="2.1"/>
    <n v="23.32"/>
    <n v="10.73"/>
    <n v="49.8"/>
    <n v="41.24"/>
    <n v="28.23"/>
    <n v="25.15"/>
    <n v="5.53"/>
    <n v="49.76"/>
    <n v="11.87"/>
    <n v="36.96"/>
    <n v="38.130000000000003"/>
    <n v="19.75"/>
    <n v="41.24"/>
    <n v="22.509999999999998"/>
    <n v="28.387"/>
    <n v="32.741"/>
    <n v="32.274000000000001"/>
    <n v="14.530000000000001"/>
    <n v="28.662322580645164"/>
    <n v="5.7324645161290331"/>
  </r>
  <r>
    <n v="45"/>
    <x v="5"/>
    <x v="33"/>
    <s v="Flipkart"/>
    <s v="Public-Paid"/>
    <s v="3.3 kW"/>
    <s v="OCPP"/>
    <n v="3"/>
    <x v="1"/>
    <n v="47.81"/>
    <n v="65.62"/>
    <n v="68.459999999999994"/>
    <n v="65.5"/>
    <n v="6.99"/>
    <n v="35.04"/>
    <n v="54.63"/>
    <n v="43.98"/>
    <n v="67.209999999999994"/>
    <n v="66.56"/>
    <n v="70.66"/>
    <n v="75.349999999999994"/>
    <n v="74.239999999999995"/>
    <n v="30.07"/>
    <n v="0"/>
    <n v="0"/>
    <n v="0"/>
    <n v="0"/>
    <n v="0"/>
    <n v="0"/>
    <n v="0"/>
    <n v="0"/>
    <n v="0"/>
    <n v="0"/>
    <n v="0"/>
    <n v="0"/>
    <n v="7.2999999999999995E-2"/>
    <n v="0"/>
    <n v="0"/>
    <n v="0"/>
    <n v="48.141999999999989"/>
    <n v="26.462419354838708"/>
    <n v="8.8208064516129028"/>
  </r>
  <r>
    <n v="46"/>
    <x v="5"/>
    <x v="34"/>
    <s v="Flipkart"/>
    <s v="Public-Paid"/>
    <s v="3.3 kW"/>
    <s v="OCPP"/>
    <n v="9"/>
    <x v="1"/>
    <n v="120.13"/>
    <n v="162.72"/>
    <n v="274.37"/>
    <n v="240.61"/>
    <n v="280.93"/>
    <n v="176.2"/>
    <n v="225.17"/>
    <n v="224.22"/>
    <n v="163.22"/>
    <n v="171.28"/>
    <n v="240.91"/>
    <n v="195.83"/>
    <n v="243.73"/>
    <n v="177.97"/>
    <n v="232.4"/>
    <n v="202.86"/>
    <n v="228.67"/>
    <n v="193.3"/>
    <n v="203.72"/>
    <n v="199.34"/>
    <n v="205.19"/>
    <n v="218.76"/>
    <n v="190.13"/>
    <n v="235.8"/>
    <n v="186.17"/>
    <n v="262.45999999999998"/>
    <n v="585.39099999999996"/>
    <n v="250.34200000000004"/>
    <n v="132.88400000000004"/>
    <n v="214.56000000000009"/>
    <n v="167.274"/>
    <n v="219.56583870967742"/>
    <n v="24.396204301075269"/>
  </r>
  <r>
    <n v="47"/>
    <x v="5"/>
    <x v="35"/>
    <s v="EFL"/>
    <s v="Public-Free"/>
    <s v="3.3 kW"/>
    <s v="OCPP"/>
    <n v="8"/>
    <x v="1"/>
    <n v="40.29"/>
    <n v="54.55"/>
    <n v="52.28"/>
    <n v="78.75"/>
    <n v="64.31"/>
    <n v="85.81"/>
    <n v="88.74"/>
    <n v="54.43"/>
    <n v="46.11"/>
    <n v="84.65"/>
    <n v="96.96"/>
    <n v="56.74"/>
    <n v="71.62"/>
    <n v="88.46"/>
    <n v="47.62"/>
    <n v="68.47"/>
    <n v="50.2"/>
    <n v="66.56"/>
    <n v="96.85"/>
    <n v="79.69"/>
    <n v="75.459999999999994"/>
    <n v="60.11"/>
    <n v="83.41"/>
    <n v="88.35"/>
    <n v="83.51"/>
    <n v="65.180000000000007"/>
    <n v="96.733000000000004"/>
    <n v="95.927999999999997"/>
    <n v="29.555999999999997"/>
    <n v="58.347000000000001"/>
    <n v="48.844000000000001"/>
    <n v="69.629612903225805"/>
    <n v="8.7037016129032256"/>
  </r>
  <r>
    <n v="48"/>
    <x v="5"/>
    <x v="35"/>
    <s v="EFL"/>
    <s v="Public-Free"/>
    <s v="6 kW"/>
    <s v="DC Charger"/>
    <n v="1"/>
    <x v="1"/>
    <n v="0"/>
    <n v="3.16"/>
    <n v="0"/>
    <n v="0"/>
    <n v="0"/>
    <n v="0"/>
    <n v="0"/>
    <n v="0"/>
    <n v="0"/>
    <n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290322580645161"/>
    <n v="0.11290322580645161"/>
  </r>
  <r>
    <n v="49"/>
    <x v="5"/>
    <x v="36"/>
    <s v="Trinity"/>
    <s v="Public-Paid"/>
    <s v="3.3 kW"/>
    <s v="OCPP"/>
    <n v="7"/>
    <x v="1"/>
    <n v="131.72"/>
    <n v="137.96"/>
    <n v="165.14"/>
    <n v="118.8"/>
    <n v="205.87"/>
    <n v="145.13"/>
    <n v="172.22"/>
    <n v="109.09"/>
    <n v="140.01"/>
    <n v="138.32"/>
    <n v="169.21"/>
    <n v="161.21"/>
    <n v="121.11"/>
    <n v="124.03"/>
    <n v="128.94999999999999"/>
    <n v="155.84"/>
    <n v="110.6"/>
    <n v="140.66999999999999"/>
    <n v="165.56"/>
    <n v="154.24"/>
    <n v="172.5"/>
    <n v="136.84"/>
    <n v="150.16"/>
    <n v="111.49"/>
    <n v="163.61000000000001"/>
    <n v="199.64"/>
    <n v="159.74200000000005"/>
    <n v="213.71800000000007"/>
    <n v="150.85599999999997"/>
    <n v="123.87399999999998"/>
    <n v="169.38900000000004"/>
    <n v="149.91932258064512"/>
    <n v="21.417046082949302"/>
  </r>
  <r>
    <n v="50"/>
    <x v="5"/>
    <x v="37"/>
    <s v="Trinity"/>
    <s v="Public-Paid"/>
    <s v="3.3 kW"/>
    <s v="OCPP"/>
    <n v="8"/>
    <x v="1"/>
    <n v="96.16"/>
    <n v="161.63"/>
    <n v="129.30000000000001"/>
    <n v="148.38"/>
    <n v="126"/>
    <n v="140.03"/>
    <n v="140.06"/>
    <n v="149.12"/>
    <n v="131.74"/>
    <n v="132.76"/>
    <n v="146.05000000000001"/>
    <n v="131.84"/>
    <n v="131.55000000000001"/>
    <n v="139.26"/>
    <n v="128.12"/>
    <n v="168.72"/>
    <n v="174.26"/>
    <n v="164.13"/>
    <n v="149.15"/>
    <n v="156.96"/>
    <n v="123.86"/>
    <n v="135.34"/>
    <n v="180.99"/>
    <n v="146.41999999999999"/>
    <n v="151.65"/>
    <n v="159.35"/>
    <n v="135.92400000000001"/>
    <n v="160.33300000000006"/>
    <n v="133.50200000000004"/>
    <n v="140.17099999999999"/>
    <n v="165.44000000000003"/>
    <n v="144.45806451612901"/>
    <n v="18.057258064516127"/>
  </r>
  <r>
    <n v="51"/>
    <x v="5"/>
    <x v="38"/>
    <s v="Trinity"/>
    <s v="Public-Paid"/>
    <s v="3.3 kW"/>
    <s v="OCPP"/>
    <n v="6"/>
    <x v="1"/>
    <n v="9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934000000000001"/>
    <n v="0"/>
    <n v="0"/>
    <n v="0"/>
    <n v="0"/>
    <n v="0.90916129032258064"/>
    <n v="0.15152688172043011"/>
  </r>
  <r>
    <n v="52"/>
    <x v="5"/>
    <x v="39"/>
    <s v="ETO"/>
    <s v="Public-Free"/>
    <s v="3.3 kW"/>
    <s v="LEVAC-BLE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6"/>
    <x v="40"/>
    <s v="ETO"/>
    <s v="Public-Paid"/>
    <s v="3.3kW"/>
    <s v="OCPP"/>
    <n v="20"/>
    <x v="1"/>
    <n v="85.56"/>
    <n v="52.2"/>
    <n v="89.46"/>
    <n v="81.92"/>
    <n v="53.38"/>
    <n v="53.18"/>
    <n v="78.760000000000005"/>
    <n v="97.24"/>
    <n v="46.12"/>
    <n v="42.94"/>
    <n v="56.31"/>
    <n v="34.700000000000003"/>
    <n v="74.239999999999995"/>
    <n v="81.81"/>
    <n v="76.81"/>
    <n v="94.36"/>
    <n v="88.22"/>
    <n v="85.06"/>
    <n v="47.7"/>
    <n v="63.14"/>
    <n v="81.27"/>
    <n v="75.98"/>
    <n v="76.16"/>
    <n v="88.76"/>
    <n v="61.45"/>
    <n v="35.17"/>
    <n v="53.18"/>
    <n v="57.586999999999982"/>
    <n v="90.632999999999981"/>
    <n v="91.524000000000001"/>
    <n v="100.57699999999997"/>
    <n v="70.819387096774193"/>
    <n v="3.5409693548387096"/>
  </r>
  <r>
    <n v="54"/>
    <x v="6"/>
    <x v="41"/>
    <s v="Trinity"/>
    <s v="Public-Paid"/>
    <s v="3.3kW"/>
    <s v="OCPP"/>
    <n v="3"/>
    <x v="1"/>
    <n v="0"/>
    <n v="0"/>
    <n v="0"/>
    <n v="0"/>
    <n v="0"/>
    <n v="0"/>
    <n v="0"/>
    <n v="0"/>
    <n v="4.4000000000000004"/>
    <n v="0"/>
    <n v="0"/>
    <n v="0"/>
    <n v="0"/>
    <n v="0"/>
    <n v="5.43"/>
    <n v="0"/>
    <n v="0"/>
    <n v="0"/>
    <n v="0"/>
    <n v="0.64"/>
    <n v="0"/>
    <n v="0.28000000000000003"/>
    <n v="0"/>
    <n v="0"/>
    <n v="0"/>
    <n v="0"/>
    <n v="0"/>
    <n v="0"/>
    <n v="0"/>
    <n v="0"/>
    <n v="0"/>
    <n v="0.34677419354838712"/>
    <n v="0.11559139784946237"/>
  </r>
  <r>
    <n v="55"/>
    <x v="7"/>
    <x v="42"/>
    <s v="SOU"/>
    <s v="Public-Paid"/>
    <s v="3.3 kW"/>
    <s v="OCPP"/>
    <n v="40"/>
    <x v="1"/>
    <n v="180.24"/>
    <n v="218.83"/>
    <n v="171.16"/>
    <n v="251.78"/>
    <n v="361.17"/>
    <n v="258.5"/>
    <n v="125.07"/>
    <n v="141.03"/>
    <n v="319.42"/>
    <n v="249.84"/>
    <n v="307.58"/>
    <n v="485.45"/>
    <n v="128.13"/>
    <n v="363.58"/>
    <n v="367.01"/>
    <n v="316.85000000000002"/>
    <n v="354.09"/>
    <n v="390.47"/>
    <n v="450.48"/>
    <n v="373.42"/>
    <n v="132.88999999999999"/>
    <n v="420.78"/>
    <n v="234.82"/>
    <n v="389.47"/>
    <n v="370.66"/>
    <n v="430.36"/>
    <n v="327.93699999999995"/>
    <n v="235.381"/>
    <n v="408.7759999999999"/>
    <n v="344.95500000000004"/>
    <n v="405.61800000000011"/>
    <n v="306.95958064516128"/>
    <n v="7.6739895161290317"/>
  </r>
  <r>
    <n v="56"/>
    <x v="8"/>
    <x v="43"/>
    <s v="ETO"/>
    <s v="Public-Paid"/>
    <s v="3.3 kW"/>
    <s v="OCPP"/>
    <n v="19"/>
    <x v="1"/>
    <n v="20"/>
    <n v="26"/>
    <n v="30.54"/>
    <n v="34.96"/>
    <n v="24.06"/>
    <n v="24.84"/>
    <n v="18.989999999999998"/>
    <n v="23.73"/>
    <n v="22.45"/>
    <n v="31.18"/>
    <n v="35.229999999999997"/>
    <n v="14.3"/>
    <n v="20.5"/>
    <n v="20.239999999999998"/>
    <n v="20.92"/>
    <n v="27.29"/>
    <n v="24.71"/>
    <n v="17.29"/>
    <n v="16.78"/>
    <n v="11.01"/>
    <n v="17.899999999999999"/>
    <n v="19.84"/>
    <n v="22.33"/>
    <n v="11.24"/>
    <n v="12.96"/>
    <n v="5.65"/>
    <n v="23.329000000000001"/>
    <n v="16.751999999999999"/>
    <n v="15.953999999999997"/>
    <n v="15.282"/>
    <n v="15.963000000000001"/>
    <n v="20.716774193548385"/>
    <n v="1.0903565365025465"/>
  </r>
  <r>
    <n v="57"/>
    <x v="9"/>
    <x v="44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10"/>
    <x v="45"/>
    <s v="Trinity"/>
    <s v="Public-Paid"/>
    <s v="3.3kW"/>
    <s v="OCPP"/>
    <n v="10"/>
    <x v="1"/>
    <n v="56.81"/>
    <n v="53.44"/>
    <n v="85.51"/>
    <n v="40.35"/>
    <n v="0"/>
    <n v="15.77"/>
    <n v="131.88"/>
    <n v="104.4"/>
    <n v="76.38"/>
    <n v="33.840000000000003"/>
    <n v="74.98"/>
    <n v="0"/>
    <n v="0"/>
    <n v="0"/>
    <n v="0"/>
    <n v="0"/>
    <n v="0"/>
    <n v="0"/>
    <n v="0"/>
    <n v="9.19"/>
    <n v="30.78"/>
    <n v="49.76"/>
    <n v="67.17"/>
    <n v="33.590000000000003"/>
    <n v="79.14"/>
    <n v="84.39"/>
    <n v="92.98"/>
    <n v="75.89"/>
    <n v="99.862000000000009"/>
    <n v="72.068999999999988"/>
    <n v="53.724999999999994"/>
    <n v="45.867935483870973"/>
    <n v="4.5867935483870976"/>
  </r>
  <r>
    <n v="59"/>
    <x v="10"/>
    <x v="45"/>
    <s v="Trinity"/>
    <s v="Public-Paid"/>
    <s v="7.4 kW"/>
    <s v="OCPP"/>
    <n v="1"/>
    <x v="1"/>
    <n v="0"/>
    <n v="0"/>
    <n v="0"/>
    <n v="0"/>
    <n v="0"/>
    <n v="0"/>
    <n v="0"/>
    <n v="24.26"/>
    <n v="19.25"/>
    <n v="0"/>
    <n v="0"/>
    <n v="0"/>
    <n v="0"/>
    <n v="0"/>
    <n v="0"/>
    <n v="0"/>
    <n v="0"/>
    <n v="0"/>
    <n v="0"/>
    <n v="0"/>
    <n v="0"/>
    <n v="6.95"/>
    <n v="0"/>
    <n v="0"/>
    <n v="0"/>
    <n v="0"/>
    <n v="0"/>
    <n v="0"/>
    <n v="0"/>
    <n v="0"/>
    <n v="0"/>
    <n v="1.6277419354838711"/>
    <n v="1.6277419354838711"/>
  </r>
  <r>
    <n v="60"/>
    <x v="10"/>
    <x v="46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x v="10"/>
    <x v="4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10"/>
    <x v="48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"/>
    <x v="11"/>
    <x v="49"/>
    <s v="ETO"/>
    <s v="Public-Paid"/>
    <s v="3.3 kW"/>
    <s v="OCPP"/>
    <n v="5"/>
    <x v="1"/>
    <n v="58.7"/>
    <n v="42.1"/>
    <n v="66.33"/>
    <n v="56.66"/>
    <n v="49.89"/>
    <n v="74.319999999999993"/>
    <n v="68.790000000000006"/>
    <n v="80.489999999999995"/>
    <n v="51.31"/>
    <n v="63.21"/>
    <n v="81.739999999999995"/>
    <n v="87.14"/>
    <n v="59.95"/>
    <n v="78.84"/>
    <n v="50.99"/>
    <n v="73.52"/>
    <n v="76.81"/>
    <n v="72.78"/>
    <n v="65.97"/>
    <n v="76.59"/>
    <n v="60.55"/>
    <n v="59.57"/>
    <n v="45.29"/>
    <n v="61.73"/>
    <n v="64.02"/>
    <n v="47.7"/>
    <n v="50.116"/>
    <n v="61.44"/>
    <n v="65.90100000000001"/>
    <n v="69.573999999999998"/>
    <n v="32.866999999999997"/>
    <n v="63.060903225806456"/>
    <n v="12.612180645161292"/>
  </r>
  <r>
    <n v="64"/>
    <x v="11"/>
    <x v="50"/>
    <s v="ETO"/>
    <s v="Public-Paid"/>
    <s v="3.3 kW"/>
    <s v="OCPP"/>
    <n v="16"/>
    <x v="1"/>
    <n v="29.02"/>
    <n v="37.700000000000003"/>
    <n v="40.29"/>
    <n v="29.22"/>
    <n v="50.53"/>
    <n v="38.64"/>
    <n v="40.85"/>
    <n v="40.14"/>
    <n v="53.39"/>
    <n v="40.479999999999997"/>
    <n v="39.47"/>
    <n v="26.91"/>
    <n v="41.22"/>
    <n v="47.94"/>
    <n v="56.06"/>
    <n v="42.09"/>
    <n v="33.83"/>
    <n v="38.14"/>
    <n v="41.21"/>
    <n v="29.75"/>
    <n v="36.74"/>
    <n v="21.01"/>
    <n v="19.18"/>
    <n v="29.32"/>
    <n v="40.26"/>
    <n v="2"/>
    <n v="53.508000000000003"/>
    <n v="42.566000000000003"/>
    <n v="45.423999999999999"/>
    <n v="47.387"/>
    <n v="55.872000000000014"/>
    <n v="38.391838709677415"/>
    <n v="2.3994899193548385"/>
  </r>
  <r>
    <n v="65"/>
    <x v="11"/>
    <x v="51"/>
    <s v="ETO"/>
    <s v="Public-Paid"/>
    <s v="3.3 kW"/>
    <s v="OCPP"/>
    <n v="10"/>
    <x v="1"/>
    <n v="34.11"/>
    <n v="18.87"/>
    <n v="25.14"/>
    <n v="32.880000000000003"/>
    <n v="18.16"/>
    <n v="10.86"/>
    <n v="33.49"/>
    <n v="14.75"/>
    <n v="22.36"/>
    <n v="30.25"/>
    <n v="9.5299999999999994"/>
    <n v="9.83"/>
    <n v="16.47"/>
    <n v="24.4"/>
    <n v="24.72"/>
    <n v="33.159999999999997"/>
    <n v="30.98"/>
    <n v="21.12"/>
    <n v="7.99"/>
    <n v="11.38"/>
    <n v="42.36"/>
    <n v="29.77"/>
    <n v="37.53"/>
    <n v="19.920000000000002"/>
    <n v="8.48"/>
    <n v="8.99"/>
    <n v="29"/>
    <n v="51.481999999999999"/>
    <n v="37.358000000000004"/>
    <n v="42.78"/>
    <n v="39.161999999999999"/>
    <n v="25.073612903225804"/>
    <n v="2.5073612903225806"/>
  </r>
  <r>
    <n v="66"/>
    <x v="11"/>
    <x v="52"/>
    <s v="ETO"/>
    <s v="Public-Paid"/>
    <s v="3.3 kW"/>
    <s v="OCPP"/>
    <n v="13"/>
    <x v="1"/>
    <n v="4.6399999999999997"/>
    <n v="68.41"/>
    <n v="59.75"/>
    <n v="31.16"/>
    <n v="47.67"/>
    <n v="15.19"/>
    <n v="52.67"/>
    <n v="61.85"/>
    <n v="75.98"/>
    <n v="39.590000000000003"/>
    <n v="22.1"/>
    <n v="25.94"/>
    <n v="33.79"/>
    <n v="58.43"/>
    <n v="49.99"/>
    <n v="63.47"/>
    <n v="50.95"/>
    <n v="61.02"/>
    <n v="29.16"/>
    <n v="21.64"/>
    <n v="50.79"/>
    <n v="48.97"/>
    <n v="45.53"/>
    <n v="34.619999999999997"/>
    <n v="31.06"/>
    <n v="17.14"/>
    <n v="15.847"/>
    <n v="43.585000000000001"/>
    <n v="41.130999999999993"/>
    <n v="44.524999999999999"/>
    <n v="64.078000000000003"/>
    <n v="42.279870967741942"/>
    <n v="3.25229776674938"/>
  </r>
  <r>
    <n v="67"/>
    <x v="11"/>
    <x v="53"/>
    <s v="ETO"/>
    <s v="Public-Paid"/>
    <s v="3.3 kW"/>
    <s v="OCPP"/>
    <n v="6"/>
    <x v="1"/>
    <n v="0"/>
    <n v="0"/>
    <n v="0"/>
    <n v="0"/>
    <n v="0"/>
    <n v="0"/>
    <n v="0"/>
    <n v="0"/>
    <n v="0"/>
    <n v="0"/>
    <n v="6.96"/>
    <n v="0"/>
    <n v="0"/>
    <n v="0"/>
    <n v="0"/>
    <n v="0"/>
    <n v="0"/>
    <n v="0"/>
    <n v="0"/>
    <n v="0"/>
    <n v="0"/>
    <n v="0"/>
    <n v="0.01"/>
    <n v="5.57"/>
    <n v="0"/>
    <n v="0"/>
    <n v="0"/>
    <n v="4.8170000000000002"/>
    <n v="0"/>
    <n v="0"/>
    <n v="0"/>
    <n v="0.55990322580645158"/>
    <n v="9.3317204301075263E-2"/>
  </r>
  <r>
    <n v="68"/>
    <x v="11"/>
    <x v="54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x v="11"/>
    <x v="55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"/>
    <x v="11"/>
    <x v="56"/>
    <s v="Trinity"/>
    <s v="Public-Paid"/>
    <s v="7.4 kW"/>
    <s v="OCPP"/>
    <n v="2"/>
    <x v="0"/>
    <n v="0"/>
    <n v="0"/>
    <n v="47.37"/>
    <n v="0"/>
    <n v="2.4500000000000002"/>
    <n v="0"/>
    <n v="1.79"/>
    <n v="0"/>
    <n v="4.92"/>
    <n v="0"/>
    <n v="37.159999999999997"/>
    <n v="0"/>
    <n v="0"/>
    <n v="10.18"/>
    <n v="3.9"/>
    <n v="0"/>
    <n v="0"/>
    <n v="0"/>
    <n v="3.78"/>
    <n v="0"/>
    <n v="0"/>
    <n v="0"/>
    <n v="0"/>
    <n v="0"/>
    <n v="0"/>
    <n v="0"/>
    <n v="0"/>
    <n v="0"/>
    <n v="0"/>
    <n v="0"/>
    <n v="0"/>
    <n v="3.5983870967741938"/>
    <n v="1.7991935483870969"/>
  </r>
  <r>
    <n v="71"/>
    <x v="11"/>
    <x v="57"/>
    <m/>
    <s v="Private-Paid"/>
    <s v="3.3kW"/>
    <s v="OCPP"/>
    <n v="2"/>
    <x v="0"/>
    <n v="11.59"/>
    <n v="0"/>
    <n v="2.0499999999999998"/>
    <n v="12.92"/>
    <n v="0"/>
    <n v="0"/>
    <n v="8.92"/>
    <n v="1.97"/>
    <n v="4.26"/>
    <n v="7.4"/>
    <n v="6.73"/>
    <n v="0"/>
    <n v="0.25"/>
    <n v="9.27"/>
    <n v="0"/>
    <n v="4.42"/>
    <n v="7.07"/>
    <n v="7.67"/>
    <n v="0"/>
    <n v="4.3899999999999997"/>
    <n v="0.25"/>
    <n v="7.77"/>
    <n v="0"/>
    <n v="12.2"/>
    <n v="4.6500000000000004"/>
    <n v="0"/>
    <n v="0"/>
    <n v="11.803000000000001"/>
    <n v="11.087999999999999"/>
    <n v="14.202"/>
    <n v="0"/>
    <n v="4.8668709677419351"/>
    <n v="2.4334354838709675"/>
  </r>
  <r>
    <n v="72"/>
    <x v="11"/>
    <x v="58"/>
    <s v="Trinity"/>
    <s v="Public-Free"/>
    <s v="3.3 kW"/>
    <s v="OCPP"/>
    <n v="6"/>
    <x v="0"/>
    <n v="48.69"/>
    <n v="40.159999999999997"/>
    <n v="40.630000000000003"/>
    <n v="13.49"/>
    <n v="0"/>
    <n v="45.93"/>
    <n v="38.159999999999997"/>
    <n v="28.61"/>
    <n v="22.53"/>
    <n v="5.89"/>
    <n v="6.13"/>
    <n v="18.920000000000002"/>
    <n v="45.11"/>
    <n v="33.75"/>
    <n v="26.8"/>
    <n v="10.97"/>
    <n v="47.52"/>
    <n v="16.579999999999998"/>
    <n v="0"/>
    <n v="41.83"/>
    <n v="60.07"/>
    <n v="56.87"/>
    <n v="31.51"/>
    <n v="49.05"/>
    <n v="0"/>
    <n v="0"/>
    <n v="46.63"/>
    <n v="31.128999999999998"/>
    <n v="49.238"/>
    <n v="66.265000000000015"/>
    <n v="46.561"/>
    <n v="31.258806451612909"/>
    <n v="5.2098010752688184"/>
  </r>
  <r>
    <n v="73"/>
    <x v="11"/>
    <x v="58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11"/>
    <x v="59"/>
    <s v="Trinity"/>
    <s v="Public-Paid"/>
    <s v="3.3kW"/>
    <s v="OCPP"/>
    <n v="20"/>
    <x v="1"/>
    <n v="13.34"/>
    <n v="2.61"/>
    <n v="13.71"/>
    <n v="13"/>
    <n v="0"/>
    <n v="13.81"/>
    <n v="6.13"/>
    <n v="6.03"/>
    <n v="6.98"/>
    <n v="19.37"/>
    <n v="4.54"/>
    <n v="9.75"/>
    <n v="9.93"/>
    <n v="20.22"/>
    <n v="0.93"/>
    <n v="21.73"/>
    <n v="20.69"/>
    <n v="5.97"/>
    <n v="7.14"/>
    <n v="8.82"/>
    <n v="11.93"/>
    <n v="13.05"/>
    <n v="10.76"/>
    <n v="42.85"/>
    <n v="21.96"/>
    <n v="22.6"/>
    <n v="33.445"/>
    <n v="17.904000000000003"/>
    <n v="16.940999999999999"/>
    <n v="15.680999999999999"/>
    <n v="10.003"/>
    <n v="13.607225806451611"/>
    <n v="0.68036129032258053"/>
  </r>
  <r>
    <n v="75"/>
    <x v="11"/>
    <x v="60"/>
    <m/>
    <s v="Public-Paid"/>
    <s v="3.3kW"/>
    <s v="OCPP"/>
    <n v="10"/>
    <x v="1"/>
    <n v="0"/>
    <n v="7.68"/>
    <n v="13.32"/>
    <n v="3.18"/>
    <n v="2.78"/>
    <n v="2.75"/>
    <n v="7.98"/>
    <n v="8.82"/>
    <n v="26.04"/>
    <n v="0.22"/>
    <n v="0"/>
    <n v="0.28999999999999998"/>
    <n v="0.08"/>
    <n v="0.88"/>
    <n v="0"/>
    <n v="0.81"/>
    <n v="0"/>
    <n v="7.75"/>
    <n v="0.33"/>
    <n v="9.41"/>
    <n v="9.4"/>
    <n v="21.09"/>
    <n v="13.67"/>
    <n v="22.13"/>
    <n v="13.87"/>
    <n v="13.18"/>
    <n v="38.213000000000001"/>
    <n v="29.174999999999997"/>
    <n v="15.19"/>
    <n v="13.164"/>
    <n v="23.648999999999997"/>
    <n v="9.8403548387096773"/>
    <n v="0.98403548387096773"/>
  </r>
  <r>
    <n v="76"/>
    <x v="11"/>
    <x v="61"/>
    <s v="Trinity"/>
    <s v="Public-Paid"/>
    <s v="3.3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11"/>
    <x v="61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11"/>
    <x v="62"/>
    <s v="BYPL MCD Parking"/>
    <s v="Public-Paid"/>
    <s v="3.3kW"/>
    <s v="OCPP"/>
    <n v="3"/>
    <x v="0"/>
    <n v="0"/>
    <n v="0"/>
    <n v="0"/>
    <n v="1.87"/>
    <n v="0"/>
    <n v="0"/>
    <n v="0"/>
    <n v="0"/>
    <n v="0"/>
    <n v="0"/>
    <n v="0"/>
    <n v="0"/>
    <n v="0"/>
    <n v="0"/>
    <n v="0"/>
    <n v="0.97"/>
    <n v="1.02"/>
    <n v="0.66"/>
    <n v="4.21"/>
    <n v="6.03"/>
    <n v="5.18"/>
    <n v="8.59"/>
    <n v="2.46"/>
    <n v="5.55"/>
    <n v="0.14000000000000001"/>
    <n v="2.0499999999999998"/>
    <n v="6.2070000000000007"/>
    <n v="5.495000000000001"/>
    <n v="5.9969999999999999"/>
    <n v="8.1859999999999999"/>
    <n v="7.4089999999999998"/>
    <n v="2.3233548387096778"/>
    <n v="0.77445161290322595"/>
  </r>
  <r>
    <n v="79"/>
    <x v="11"/>
    <x v="63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11"/>
    <x v="63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11"/>
    <x v="6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11"/>
    <x v="65"/>
    <s v="BYPL MCD Parking"/>
    <s v="Public-Paid"/>
    <s v="3.3kW"/>
    <s v="OCPP"/>
    <n v="3"/>
    <x v="0"/>
    <n v="5.15"/>
    <n v="9.5"/>
    <n v="7.84"/>
    <n v="11.8"/>
    <n v="0"/>
    <n v="6.64"/>
    <n v="9.01"/>
    <n v="9.56"/>
    <n v="2.5499999999999998"/>
    <n v="8.5399999999999991"/>
    <n v="20.76"/>
    <n v="4.4400000000000004"/>
    <n v="5.98"/>
    <n v="20.57"/>
    <n v="9.39"/>
    <n v="11.81"/>
    <n v="23.2"/>
    <n v="6.54"/>
    <n v="7.76"/>
    <n v="11.99"/>
    <n v="10.25"/>
    <n v="6.31"/>
    <n v="0"/>
    <n v="6.87"/>
    <n v="9.56"/>
    <n v="5.22"/>
    <n v="8.2129999999999992"/>
    <n v="7.484"/>
    <n v="7.1070000000000002"/>
    <n v="13.334"/>
    <n v="15.109"/>
    <n v="9.1124838709677416"/>
    <n v="3.0374946236559137"/>
  </r>
  <r>
    <n v="83"/>
    <x v="11"/>
    <x v="66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11"/>
    <x v="6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11"/>
    <x v="68"/>
    <s v="BYPL MCD Parking"/>
    <s v="Public-Paid"/>
    <s v="3.3kW"/>
    <s v="OCPP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1"/>
    <x v="69"/>
    <s v="ETO"/>
    <s v="Public-Paid"/>
    <s v="3.3kW"/>
    <s v="OCPP"/>
    <n v="4"/>
    <x v="1"/>
    <n v="0"/>
    <n v="0"/>
    <n v="0"/>
    <n v="0"/>
    <n v="0"/>
    <n v="0"/>
    <n v="0"/>
    <n v="3.68"/>
    <n v="1.76"/>
    <n v="3.11"/>
    <n v="2.84"/>
    <n v="0.54"/>
    <n v="0"/>
    <n v="0"/>
    <n v="0"/>
    <n v="0"/>
    <n v="5.68"/>
    <n v="2.15"/>
    <n v="0"/>
    <n v="0"/>
    <n v="0"/>
    <n v="0"/>
    <n v="0"/>
    <n v="0"/>
    <n v="0"/>
    <n v="0"/>
    <n v="0"/>
    <n v="0"/>
    <n v="0"/>
    <n v="0"/>
    <n v="0"/>
    <n v="0.6374193548387096"/>
    <n v="0.1593548387096774"/>
  </r>
  <r>
    <n v="87"/>
    <x v="11"/>
    <x v="70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x v="11"/>
    <x v="71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8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x v="1"/>
    <s v="Amazon"/>
    <s v="Public-Paid"/>
    <s v="3.3 kW"/>
    <s v="OCPP"/>
    <n v="9"/>
    <x v="0"/>
    <n v="92.787000000000006"/>
    <n v="101.70000000000002"/>
    <n v="79.428000000000011"/>
    <n v="114.19099999999999"/>
    <n v="83.426000000000002"/>
    <n v="95.926000000000002"/>
    <n v="120.46799999999999"/>
    <n v="78.236999999999995"/>
    <n v="106.523"/>
    <n v="75.521000000000001"/>
    <n v="78.786999999999992"/>
    <n v="89.052000000000007"/>
    <n v="125.167"/>
    <n v="112.98900000000002"/>
    <n v="95.831999999999994"/>
    <n v="91.771000000000001"/>
    <n v="74.62"/>
    <n v="122.54100000000001"/>
    <n v="96.517000000000024"/>
    <n v="109.999"/>
    <n v="109.87600000000002"/>
    <n v="104.227"/>
    <n v="99.611999999999995"/>
    <n v="114.58299999999997"/>
    <n v="116.70699999999997"/>
    <n v="101.64200000000001"/>
    <n v="100.25100000000003"/>
    <n v="101.52199999999999"/>
    <n v="104.72599999999997"/>
    <n v="86.288999999999987"/>
    <n v="99.497233333333313"/>
    <n v="11.055248148148145"/>
  </r>
  <r>
    <n v="3"/>
    <x v="0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s v="ETO"/>
    <s v="Public-Paid"/>
    <s v="3.3 kW"/>
    <s v="OCPP"/>
    <n v="8"/>
    <x v="1"/>
    <n v="54.69400000000001"/>
    <n v="43.104999999999997"/>
    <n v="63.162999999999997"/>
    <n v="71.160000000000011"/>
    <n v="66.375"/>
    <n v="121.589"/>
    <n v="85.662999999999997"/>
    <n v="59.411999999999999"/>
    <n v="81.239000000000004"/>
    <n v="63.446999999999989"/>
    <n v="60.563000000000002"/>
    <n v="105.46700000000001"/>
    <n v="129.36799999999997"/>
    <n v="72.718000000000004"/>
    <n v="84.918999999999997"/>
    <n v="53.802999999999997"/>
    <n v="52.661999999999999"/>
    <n v="82.955000000000013"/>
    <n v="90.96399999999997"/>
    <n v="68.998999999999995"/>
    <n v="48.95"/>
    <n v="82.146000000000015"/>
    <n v="50.776000000000003"/>
    <n v="75.978999999999999"/>
    <n v="64.421000000000006"/>
    <n v="96.521999999999991"/>
    <n v="72.224000000000004"/>
    <n v="54.061000000000007"/>
    <n v="55.771000000000001"/>
    <n v="68.768000000000001"/>
    <n v="72.729433333333347"/>
    <n v="9.0911791666666684"/>
  </r>
  <r>
    <n v="5"/>
    <x v="0"/>
    <x v="4"/>
    <s v="Trinity"/>
    <s v="Public-Paid"/>
    <s v="3.3 kW"/>
    <s v="OCPP"/>
    <n v="24"/>
    <x v="1"/>
    <n v="400.3"/>
    <n v="424.71"/>
    <n v="412.12"/>
    <n v="388"/>
    <n v="337.75"/>
    <n v="386.5"/>
    <n v="381.61"/>
    <n v="379.88"/>
    <n v="378.61"/>
    <n v="408.57"/>
    <n v="467.87299999999988"/>
    <n v="419.32"/>
    <n v="421.4"/>
    <n v="447.42"/>
    <n v="450.07"/>
    <n v="472.38"/>
    <n v="276.43"/>
    <n v="533"/>
    <n v="357.81"/>
    <n v="451.65"/>
    <n v="434.07"/>
    <n v="387.12"/>
    <n v="469.58"/>
    <n v="449.58"/>
    <n v="455.62"/>
    <n v="427.02"/>
    <n v="435.24"/>
    <n v="388"/>
    <n v="442.91"/>
    <n v="409.61"/>
    <n v="416.47176666666672"/>
    <n v="17.352990277777781"/>
  </r>
  <r>
    <n v="6"/>
    <x v="0"/>
    <x v="4"/>
    <s v="Trinity"/>
    <s v="Public-Paid"/>
    <s v="3 kW"/>
    <s v="DC Charger"/>
    <n v="1"/>
    <x v="1"/>
    <n v="15.08"/>
    <n v="5.25"/>
    <n v="12.9"/>
    <n v="5.2"/>
    <n v="14.25"/>
    <n v="6.92"/>
    <n v="12.84"/>
    <n v="8.26"/>
    <n v="0.93"/>
    <n v="0.19"/>
    <n v="0"/>
    <n v="0.35"/>
    <n v="6.91"/>
    <n v="12.48"/>
    <n v="12.61"/>
    <n v="14.17"/>
    <n v="8.82"/>
    <n v="18.14"/>
    <n v="1.42"/>
    <n v="15.87"/>
    <n v="8.6999999999999993"/>
    <n v="9.35"/>
    <n v="27.04"/>
    <n v="24.26"/>
    <n v="14.2"/>
    <n v="8.1199999999999992"/>
    <n v="12.87"/>
    <n v="9.08"/>
    <n v="13.03"/>
    <n v="8.8699999999999992"/>
    <n v="10.270333333333332"/>
    <n v="10.270333333333332"/>
  </r>
  <r>
    <n v="7"/>
    <x v="0"/>
    <x v="4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4"/>
    <n v="0"/>
    <n v="0"/>
    <n v="0"/>
    <n v="0"/>
    <n v="0"/>
    <n v="0"/>
    <n v="0"/>
    <n v="0"/>
    <n v="0"/>
    <n v="0"/>
    <n v="0"/>
    <n v="1.3333333333333333E-3"/>
    <n v="6.6666666666666664E-4"/>
  </r>
  <r>
    <n v="8"/>
    <x v="0"/>
    <x v="5"/>
    <s v="Trinity"/>
    <s v="Public-Paid"/>
    <s v="3.3 kW"/>
    <s v="OCPP"/>
    <n v="6"/>
    <x v="1"/>
    <n v="38.747999999999998"/>
    <n v="32.540999999999997"/>
    <n v="37.167000000000002"/>
    <n v="27.206"/>
    <n v="28.418000000000003"/>
    <n v="44.882000000000005"/>
    <n v="24.459"/>
    <n v="33.658999999999999"/>
    <n v="28.021000000000001"/>
    <n v="35.456999999999994"/>
    <n v="25.707000000000001"/>
    <n v="34.095999999999997"/>
    <n v="29.009"/>
    <n v="25.972999999999999"/>
    <n v="25.646000000000001"/>
    <n v="32.616"/>
    <n v="17.044"/>
    <n v="35.080000000000005"/>
    <n v="30.798000000000002"/>
    <n v="42.176999999999992"/>
    <n v="29.904"/>
    <n v="41.655000000000001"/>
    <n v="32.567999999999998"/>
    <n v="27.71"/>
    <n v="42.534000000000006"/>
    <n v="37.451999999999998"/>
    <n v="45.494999999999997"/>
    <n v="26.019000000000002"/>
    <n v="34.502000000000002"/>
    <n v="36.163999999999994"/>
    <n v="32.756900000000002"/>
    <n v="5.4594833333333339"/>
  </r>
  <r>
    <n v="9"/>
    <x v="0"/>
    <x v="6"/>
    <s v="ETO"/>
    <s v="Public-Paid"/>
    <s v="3.3 kW"/>
    <s v="OCPP"/>
    <n v="3"/>
    <x v="1"/>
    <n v="54.099999999999994"/>
    <n v="71.229000000000013"/>
    <n v="41.057000000000002"/>
    <n v="49.744"/>
    <n v="57.363999999999997"/>
    <n v="61.917999999999999"/>
    <n v="44.384999999999998"/>
    <n v="51.154999999999994"/>
    <n v="56.789000000000001"/>
    <n v="70.805000000000007"/>
    <n v="54.524000000000001"/>
    <n v="33.116"/>
    <n v="74.153000000000006"/>
    <n v="48.935000000000002"/>
    <n v="41.001999999999995"/>
    <n v="59.336000000000006"/>
    <n v="56.158999999999999"/>
    <n v="72.161000000000001"/>
    <n v="30.049999999999997"/>
    <n v="41.550000000000004"/>
    <n v="59.273000000000003"/>
    <n v="38.669000000000004"/>
    <n v="47.684999999999995"/>
    <n v="75.917000000000002"/>
    <n v="57.898000000000003"/>
    <n v="62.073999999999998"/>
    <n v="67.301000000000002"/>
    <n v="44.392000000000003"/>
    <n v="76.771999999999991"/>
    <n v="54.733999999999995"/>
    <n v="55.141566666666655"/>
    <n v="18.380522222222218"/>
  </r>
  <r>
    <n v="10"/>
    <x v="0"/>
    <x v="7"/>
    <s v="Trinity"/>
    <s v="Public-Free"/>
    <s v="3.3 kW"/>
    <s v="OCPP"/>
    <n v="1"/>
    <x v="0"/>
    <n v="0"/>
    <n v="0"/>
    <n v="0"/>
    <n v="1.1850000000000001"/>
    <n v="0"/>
    <n v="0.86599999999999999"/>
    <n v="1.1259999999999999"/>
    <n v="0"/>
    <n v="2.2149999999999999"/>
    <n v="1.671"/>
    <n v="0"/>
    <n v="1.7289999999999999"/>
    <n v="0"/>
    <n v="0"/>
    <n v="0"/>
    <n v="0"/>
    <n v="4.8390000000000004"/>
    <n v="0"/>
    <n v="3.944"/>
    <n v="0"/>
    <n v="0"/>
    <n v="0.86199999999999999"/>
    <n v="0"/>
    <n v="1.137"/>
    <n v="0"/>
    <n v="3.3679999999999999"/>
    <n v="0"/>
    <n v="0"/>
    <n v="0"/>
    <n v="1.7010000000000001"/>
    <n v="0.82143333333333324"/>
    <n v="0.82143333333333324"/>
  </r>
  <r>
    <n v="11"/>
    <x v="0"/>
    <x v="8"/>
    <s v="Trinity"/>
    <s v="Public-Paid"/>
    <s v="3.3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8"/>
    <s v="Trinity"/>
    <s v="Public-Paid"/>
    <s v="7.4 kW"/>
    <s v="OCPP"/>
    <n v="2"/>
    <x v="0"/>
    <m/>
    <m/>
    <m/>
    <m/>
    <m/>
    <m/>
    <m/>
    <m/>
    <m/>
    <m/>
    <m/>
    <m/>
    <m/>
    <m/>
    <m/>
    <m/>
    <m/>
    <m/>
    <m/>
    <m/>
    <m/>
    <m/>
    <n v="0"/>
    <n v="14.44"/>
    <n v="0"/>
    <n v="0"/>
    <n v="0"/>
    <n v="0"/>
    <n v="0"/>
    <n v="0"/>
    <n v="1.8049999999999999"/>
    <n v="0.90249999999999997"/>
  </r>
  <r>
    <n v="13"/>
    <x v="0"/>
    <x v="8"/>
    <s v="Trinity"/>
    <s v="Public-Paid"/>
    <s v="15 kw"/>
    <s v="DC Charger"/>
    <n v="2"/>
    <x v="0"/>
    <n v="0"/>
    <n v="7.9729999999999999"/>
    <n v="0"/>
    <n v="27.911999999999999"/>
    <n v="15.375"/>
    <n v="88.940000000000012"/>
    <n v="11.52"/>
    <n v="24.32"/>
    <n v="7.44"/>
    <n v="6.5350000000000001"/>
    <n v="0"/>
    <n v="0"/>
    <n v="0"/>
    <n v="0"/>
    <n v="7.3849999999999998"/>
    <n v="29.620999999999999"/>
    <n v="5.827"/>
    <n v="6.476"/>
    <n v="0"/>
    <n v="10.4"/>
    <n v="73.783000000000001"/>
    <n v="40.335999999999999"/>
    <n v="78.495000000000005"/>
    <n v="27.44"/>
    <n v="0"/>
    <n v="32.35"/>
    <n v="0"/>
    <n v="0"/>
    <n v="0"/>
    <n v="0"/>
    <n v="16.7376"/>
    <n v="8.3688000000000002"/>
  </r>
  <r>
    <n v="14"/>
    <x v="0"/>
    <x v="9"/>
    <s v="Trinity"/>
    <s v="Public-Paid"/>
    <s v="3.3 kW"/>
    <s v="OCPP"/>
    <n v="10"/>
    <x v="1"/>
    <n v="97.52600000000001"/>
    <n v="98.783999999999992"/>
    <n v="98.031000000000006"/>
    <n v="106.316"/>
    <n v="91.533000000000001"/>
    <n v="123.486"/>
    <n v="76.545999999999978"/>
    <n v="85.207999999999998"/>
    <n v="62.314999999999998"/>
    <n v="100.32600000000001"/>
    <n v="93.346000000000004"/>
    <n v="92.225999999999985"/>
    <n v="73.712000000000003"/>
    <n v="84.364999999999995"/>
    <n v="108.185"/>
    <n v="89.894000000000005"/>
    <n v="66.802999999999997"/>
    <n v="81.814000000000007"/>
    <n v="82.456000000000003"/>
    <n v="105.383"/>
    <n v="81.485000000000014"/>
    <n v="66.335999999999999"/>
    <n v="81.84"/>
    <n v="68.585999999999999"/>
    <n v="98.956999999999994"/>
    <n v="77.272999999999996"/>
    <n v="92.04500000000003"/>
    <n v="88.066000000000003"/>
    <n v="100.084"/>
    <n v="87.611999999999995"/>
    <n v="88.684633333333309"/>
    <n v="8.8684633333333309"/>
  </r>
  <r>
    <n v="15"/>
    <x v="0"/>
    <x v="10"/>
    <s v="Trinity"/>
    <s v="Public-Paid"/>
    <s v="3.3 kW"/>
    <s v="OCPP"/>
    <n v="4"/>
    <x v="0"/>
    <n v="44.352000000000004"/>
    <n v="24.85"/>
    <n v="13.082000000000001"/>
    <n v="30.400999999999996"/>
    <n v="7.4269999999999996"/>
    <n v="27.575000000000003"/>
    <n v="13.407"/>
    <n v="31.229999999999997"/>
    <n v="18.228000000000002"/>
    <n v="32.004000000000005"/>
    <n v="6.2439999999999998"/>
    <n v="24.469000000000001"/>
    <n v="20.198"/>
    <n v="12.505000000000001"/>
    <n v="28.642999999999997"/>
    <n v="18.861000000000001"/>
    <n v="24.758000000000003"/>
    <n v="21.658999999999999"/>
    <n v="22.920999999999999"/>
    <n v="13.978"/>
    <n v="16.182000000000002"/>
    <n v="20.335000000000001"/>
    <n v="24.777999999999999"/>
    <n v="15.568"/>
    <n v="26.222000000000001"/>
    <n v="19.699000000000002"/>
    <n v="33.756999999999998"/>
    <n v="10.327999999999999"/>
    <n v="22.818999999999999"/>
    <n v="21.548000000000002"/>
    <n v="21.600933333333327"/>
    <n v="5.4002333333333317"/>
  </r>
  <r>
    <n v="16"/>
    <x v="0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1"/>
    <s v="Trinity"/>
    <s v="Public-Paid"/>
    <s v="3.3 kW"/>
    <s v="OCPP"/>
    <n v="10"/>
    <x v="1"/>
    <n v="146.03"/>
    <n v="198.52200000000002"/>
    <n v="171.97"/>
    <n v="171.15400000000002"/>
    <n v="162.52099999999999"/>
    <n v="141.15600000000006"/>
    <n v="100.23200000000001"/>
    <n v="162.05799999999994"/>
    <n v="150.82199999999997"/>
    <n v="119.06199999999998"/>
    <n v="117.26200000000001"/>
    <n v="95.807000000000002"/>
    <n v="128.64099999999999"/>
    <n v="123.92199999999997"/>
    <n v="150.06899999999999"/>
    <n v="113.20900000000002"/>
    <n v="56.286999999999999"/>
    <n v="49.048999999999999"/>
    <n v="58.014999999999993"/>
    <n v="103.21100000000001"/>
    <n v="91.392999999999986"/>
    <n v="85.822999999999993"/>
    <n v="90.188999999999993"/>
    <n v="70.434999999999988"/>
    <n v="122.974"/>
    <n v="80.312999999999988"/>
    <n v="15.724"/>
    <n v="63.127000000000002"/>
    <n v="97.641000000000005"/>
    <n v="84.921999999999997"/>
    <n v="110.718"/>
    <n v="11.0718"/>
  </r>
  <r>
    <n v="18"/>
    <x v="0"/>
    <x v="12"/>
    <s v="Trinity"/>
    <s v="Public-Paid"/>
    <s v="3.3 kW"/>
    <s v="OCPP"/>
    <n v="3"/>
    <x v="0"/>
    <n v="6.67"/>
    <n v="5.99"/>
    <n v="6.51"/>
    <n v="7.71"/>
    <n v="1.27"/>
    <n v="2.0699999999999998"/>
    <n v="11.25"/>
    <n v="5.44"/>
    <n v="8.1999999999999993"/>
    <n v="6.13"/>
    <n v="7.32"/>
    <n v="7.46"/>
    <n v="7.42"/>
    <n v="6.28"/>
    <n v="28.632000000000001"/>
    <n v="6.79"/>
    <n v="49.43"/>
    <n v="48.46"/>
    <n v="6.75"/>
    <n v="32.94"/>
    <n v="46.57"/>
    <n v="1.02"/>
    <n v="38.770000000000003"/>
    <n v="32.799999999999997"/>
    <n v="35.78"/>
    <n v="30.99"/>
    <n v="17.52"/>
    <n v="25.66"/>
    <n v="31.11"/>
    <n v="25.75"/>
    <n v="18.289733333333331"/>
    <n v="6.0965777777777772"/>
  </r>
  <r>
    <n v="19"/>
    <x v="0"/>
    <x v="12"/>
    <s v="Trinity"/>
    <s v="Public-Paid"/>
    <s v="7.4 kW"/>
    <s v="OCPP"/>
    <n v="2"/>
    <x v="0"/>
    <m/>
    <m/>
    <m/>
    <m/>
    <m/>
    <m/>
    <m/>
    <m/>
    <m/>
    <m/>
    <m/>
    <m/>
    <m/>
    <m/>
    <m/>
    <m/>
    <m/>
    <m/>
    <m/>
    <m/>
    <n v="0"/>
    <n v="0"/>
    <n v="0"/>
    <n v="32.25"/>
    <n v="16.079999999999998"/>
    <n v="4.0199999999999996"/>
    <n v="32.51"/>
    <n v="48.96"/>
    <n v="2.29"/>
    <n v="36.17"/>
    <n v="17.227999999999998"/>
    <n v="8.613999999999999"/>
  </r>
  <r>
    <n v="20"/>
    <x v="0"/>
    <x v="12"/>
    <s v="Trinity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x v="0"/>
    <x v="12"/>
    <s v="Trinity"/>
    <s v="Public-Paid"/>
    <s v="15 kw"/>
    <s v="DC Charger"/>
    <n v="1"/>
    <x v="0"/>
    <n v="0"/>
    <n v="0"/>
    <n v="25.75"/>
    <n v="28.24"/>
    <n v="0"/>
    <n v="18.45"/>
    <n v="19.97"/>
    <n v="0"/>
    <n v="0"/>
    <n v="34.5"/>
    <n v="45.18"/>
    <n v="37.58"/>
    <n v="33.72"/>
    <n v="9.75"/>
    <n v="0"/>
    <n v="0"/>
    <n v="8.23"/>
    <n v="10.1"/>
    <n v="34.39"/>
    <n v="24.8"/>
    <n v="7.63"/>
    <n v="0.12"/>
    <n v="0"/>
    <n v="8.2899999999999991"/>
    <n v="31.67"/>
    <n v="27.09"/>
    <n v="29.92"/>
    <n v="0"/>
    <n v="0"/>
    <n v="0"/>
    <n v="14.512666666666668"/>
    <n v="14.512666666666668"/>
  </r>
  <r>
    <n v="22"/>
    <x v="0"/>
    <x v="12"/>
    <s v="Trinity"/>
    <s v="Public-Paid"/>
    <s v="25 kW"/>
    <s v="DC Charger"/>
    <n v="1"/>
    <x v="0"/>
    <n v="0"/>
    <n v="0"/>
    <n v="0"/>
    <n v="0"/>
    <n v="6.62"/>
    <n v="35.44"/>
    <n v="41.66"/>
    <n v="24.36"/>
    <n v="0"/>
    <n v="0"/>
    <n v="2.2799999999999998"/>
    <n v="18.739999999999998"/>
    <n v="51.4"/>
    <n v="58.81"/>
    <n v="9.9499999999999993"/>
    <n v="0"/>
    <n v="11.13"/>
    <n v="25.12"/>
    <n v="19.73"/>
    <n v="14.13"/>
    <n v="26.78"/>
    <n v="0"/>
    <n v="0"/>
    <n v="0"/>
    <n v="14.07"/>
    <n v="15.71"/>
    <n v="6.31"/>
    <n v="20.36"/>
    <n v="16.100000000000001"/>
    <n v="9.4499999999999993"/>
    <n v="14.271666666666667"/>
    <n v="14.271666666666667"/>
  </r>
  <r>
    <n v="23"/>
    <x v="0"/>
    <x v="12"/>
    <s v="Trinity"/>
    <s v="Public-Paid"/>
    <s v="60 kw"/>
    <s v="DC Charger"/>
    <n v="1"/>
    <x v="0"/>
    <n v="81.13"/>
    <n v="16.2"/>
    <n v="2.35"/>
    <n v="43.63"/>
    <n v="27.35"/>
    <n v="54.13"/>
    <n v="81.28"/>
    <n v="12.48"/>
    <n v="28.73"/>
    <n v="40.299999999999997"/>
    <n v="93.43"/>
    <n v="34.229999999999997"/>
    <n v="17.600000000000001"/>
    <n v="8.5500000000000007"/>
    <n v="48.5"/>
    <n v="27.03"/>
    <n v="0"/>
    <n v="21.48"/>
    <n v="46.78"/>
    <n v="48.3"/>
    <n v="72.680000000000007"/>
    <n v="39.130000000000003"/>
    <n v="0"/>
    <n v="46.9"/>
    <n v="84.3"/>
    <n v="143.25"/>
    <n v="110.73"/>
    <n v="36.28"/>
    <n v="19.7"/>
    <n v="0"/>
    <n v="42.881666666666661"/>
    <n v="42.881666666666661"/>
  </r>
  <r>
    <n v="24"/>
    <x v="0"/>
    <x v="13"/>
    <s v="Trinity"/>
    <s v="Public-Paid"/>
    <s v="3.3 kW"/>
    <s v="OCPP"/>
    <n v="7"/>
    <x v="1"/>
    <n v="82.206999999999994"/>
    <n v="86.182000000000002"/>
    <n v="100.31799999999998"/>
    <n v="124.20100000000001"/>
    <n v="114.35400000000003"/>
    <n v="136.255"/>
    <n v="135.55200000000002"/>
    <n v="95.733999999999995"/>
    <n v="107.99199999999999"/>
    <n v="130.25399999999999"/>
    <n v="108.19800000000001"/>
    <n v="86.295000000000016"/>
    <n v="47.714000000000006"/>
    <n v="129.614"/>
    <n v="128.709"/>
    <n v="76.783999999999992"/>
    <n v="102.22"/>
    <n v="66.832999999999998"/>
    <n v="72.283000000000001"/>
    <n v="48.488"/>
    <n v="67.423000000000002"/>
    <n v="37.701999999999998"/>
    <n v="18.053999999999998"/>
    <n v="38.631"/>
    <n v="47.581000000000003"/>
    <n v="52.81900000000001"/>
    <n v="74.704999999999998"/>
    <n v="63.397000000000006"/>
    <n v="68.393000000000001"/>
    <n v="59.473999999999997"/>
    <n v="83.612200000000016"/>
    <n v="11.944600000000003"/>
  </r>
  <r>
    <n v="25"/>
    <x v="0"/>
    <x v="14"/>
    <s v="Trinity"/>
    <s v="Public-Paid"/>
    <s v="3.3 kW"/>
    <s v="OCPP"/>
    <n v="1"/>
    <x v="0"/>
    <n v="0.1"/>
    <n v="0.877"/>
    <n v="0"/>
    <n v="25.4"/>
    <n v="1.71"/>
    <n v="4.22"/>
    <n v="7.15"/>
    <n v="5.9"/>
    <n v="0"/>
    <n v="7.92"/>
    <n v="16.649999999999999"/>
    <n v="5.38"/>
    <n v="2.0699999999999998"/>
    <n v="2.4700000000000002"/>
    <n v="0"/>
    <n v="0"/>
    <n v="6.34"/>
    <n v="17.61"/>
    <n v="13.25"/>
    <n v="0"/>
    <n v="21.77"/>
    <n v="13.45"/>
    <n v="5.97"/>
    <n v="2.74"/>
    <n v="11.57"/>
    <n v="6.7"/>
    <n v="8.99"/>
    <n v="8.6300000000000008"/>
    <n v="14.576999999999998"/>
    <n v="6.6440000000000001"/>
    <n v="7.2695999999999987"/>
    <n v="7.2695999999999987"/>
  </r>
  <r>
    <n v="26"/>
    <x v="0"/>
    <x v="14"/>
    <s v="Trinity"/>
    <s v="Public-Paid"/>
    <s v="7.4 kW"/>
    <s v="OCPP"/>
    <n v="1"/>
    <x v="0"/>
    <n v="9.73"/>
    <n v="0"/>
    <n v="0"/>
    <n v="0"/>
    <n v="0"/>
    <n v="0"/>
    <n v="0"/>
    <n v="2.0699999999999998"/>
    <n v="0"/>
    <n v="0"/>
    <n v="0"/>
    <n v="0.94"/>
    <n v="0"/>
    <n v="0"/>
    <n v="19.02"/>
    <n v="15.69"/>
    <n v="0"/>
    <n v="0"/>
    <n v="0"/>
    <n v="0"/>
    <n v="0"/>
    <n v="0"/>
    <n v="1.06"/>
    <n v="2.7"/>
    <n v="0"/>
    <n v="0"/>
    <n v="0"/>
    <n v="0"/>
    <n v="0"/>
    <n v="0"/>
    <n v="1.7070000000000001"/>
    <n v="1.7070000000000001"/>
  </r>
  <r>
    <n v="27"/>
    <x v="0"/>
    <x v="14"/>
    <s v="Trinity"/>
    <s v="Public-Paid"/>
    <s v="12kW"/>
    <s v="DC Charger"/>
    <n v="1"/>
    <x v="0"/>
    <n v="1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233333333333329"/>
    <n v="0.36233333333333329"/>
  </r>
  <r>
    <n v="28"/>
    <x v="0"/>
    <x v="14"/>
    <s v="Trinity"/>
    <s v="Public-Paid"/>
    <s v="25 kW"/>
    <s v="DC Charger"/>
    <n v="2"/>
    <x v="0"/>
    <n v="0"/>
    <n v="0"/>
    <n v="0"/>
    <n v="0"/>
    <n v="13.85"/>
    <n v="0"/>
    <n v="37.57"/>
    <n v="9.58"/>
    <n v="10.28"/>
    <n v="14.96"/>
    <n v="19.28"/>
    <n v="73.88"/>
    <n v="20.65"/>
    <n v="0"/>
    <n v="0"/>
    <n v="0"/>
    <n v="31.84"/>
    <n v="11.85"/>
    <n v="2.06"/>
    <n v="40.729999999999997"/>
    <n v="0"/>
    <n v="10.220000000000001"/>
    <n v="7.19"/>
    <n v="15.9"/>
    <n v="13.9"/>
    <n v="21.66"/>
    <n v="35.22"/>
    <n v="0"/>
    <n v="0"/>
    <n v="0"/>
    <n v="13.020666666666667"/>
    <n v="6.5103333333333335"/>
  </r>
  <r>
    <n v="29"/>
    <x v="0"/>
    <x v="1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x v="16"/>
    <s v="Trinity"/>
    <s v="Public-Paid"/>
    <s v="3.3 kW"/>
    <s v="OCPP"/>
    <n v="9"/>
    <x v="1"/>
    <n v="193.60500000000002"/>
    <n v="185.48799999999997"/>
    <n v="183.185"/>
    <n v="209.19499999999996"/>
    <n v="191.19"/>
    <n v="173.94100000000003"/>
    <n v="183.39400000000006"/>
    <n v="182.90900000000005"/>
    <n v="165.59300000000005"/>
    <n v="155.46899999999999"/>
    <n v="176.12199999999999"/>
    <n v="172.11099999999999"/>
    <n v="125.69"/>
    <n v="162.511"/>
    <n v="144.38399999999999"/>
    <n v="143.678"/>
    <n v="157.57199999999997"/>
    <n v="174.20700000000002"/>
    <n v="134.34"/>
    <n v="120.87"/>
    <n v="166.88"/>
    <n v="143.81"/>
    <n v="136.41"/>
    <n v="141.26"/>
    <n v="174.4"/>
    <n v="117.56"/>
    <n v="137.63"/>
    <n v="137.12"/>
    <n v="115.29"/>
    <n v="92.78"/>
    <n v="156.6198"/>
    <n v="17.402200000000001"/>
  </r>
  <r>
    <n v="31"/>
    <x v="0"/>
    <x v="16"/>
    <s v="Trinity"/>
    <s v="Public-Paid"/>
    <s v="15 kw"/>
    <s v="DC Charger"/>
    <n v="1"/>
    <x v="1"/>
    <m/>
    <m/>
    <m/>
    <m/>
    <m/>
    <m/>
    <m/>
    <m/>
    <m/>
    <m/>
    <n v="5.4899999999999993"/>
    <n v="20.77"/>
    <n v="39.809999999999995"/>
    <n v="26.45"/>
    <n v="17.850000000000001"/>
    <n v="31.09"/>
    <n v="30.3"/>
    <n v="19.650000000000002"/>
    <n v="26.91"/>
    <n v="30.72"/>
    <n v="29.98"/>
    <n v="17.64"/>
    <n v="18.18"/>
    <n v="19.989999999999998"/>
    <n v="39.979999999999997"/>
    <n v="32.07"/>
    <n v="32.56"/>
    <n v="25.27"/>
    <n v="27.39"/>
    <n v="28.05"/>
    <n v="26.0075"/>
    <n v="26.0075"/>
  </r>
  <r>
    <n v="32"/>
    <x v="0"/>
    <x v="17"/>
    <s v="Trinity"/>
    <s v="Public-Paid"/>
    <s v="3.3 kW"/>
    <s v="OCPP"/>
    <n v="8"/>
    <x v="1"/>
    <n v="0"/>
    <n v="0"/>
    <n v="0"/>
    <n v="0"/>
    <n v="0"/>
    <n v="0"/>
    <n v="0"/>
    <n v="0"/>
    <n v="0"/>
    <n v="0"/>
    <n v="0"/>
    <n v="0"/>
    <n v="11.061999999999999"/>
    <n v="71.956000000000017"/>
    <n v="88.400999999999996"/>
    <n v="115.625"/>
    <n v="67.76100000000001"/>
    <n v="104.949"/>
    <n v="142.28"/>
    <n v="123.11"/>
    <n v="123.15"/>
    <n v="105.12"/>
    <n v="93.64"/>
    <n v="99.62"/>
    <n v="119.44"/>
    <n v="105.88"/>
    <n v="89.65"/>
    <n v="108.73"/>
    <n v="94.35"/>
    <n v="87.01"/>
    <n v="58.391133333333336"/>
    <n v="7.298891666666667"/>
  </r>
  <r>
    <n v="33"/>
    <x v="0"/>
    <x v="17"/>
    <s v="Trinity"/>
    <s v="Public-Paid"/>
    <s v="7.4 kW"/>
    <s v="OCPP"/>
    <n v="2"/>
    <x v="1"/>
    <m/>
    <m/>
    <m/>
    <m/>
    <m/>
    <m/>
    <m/>
    <m/>
    <m/>
    <m/>
    <m/>
    <m/>
    <n v="0"/>
    <n v="0"/>
    <n v="48.478999999999999"/>
    <n v="55.137"/>
    <n v="18.447000000000003"/>
    <n v="34.524000000000001"/>
    <n v="48.37"/>
    <n v="48"/>
    <n v="59.17"/>
    <n v="35.14"/>
    <n v="29.38"/>
    <n v="49.26"/>
    <n v="67.040000000000006"/>
    <n v="34.31"/>
    <n v="30.36"/>
    <n v="42.26"/>
    <n v="46.14"/>
    <n v="44.64"/>
    <n v="38.369833333333332"/>
    <n v="19.184916666666666"/>
  </r>
  <r>
    <n v="34"/>
    <x v="0"/>
    <x v="18"/>
    <s v="Trinity"/>
    <s v="Public-Paid"/>
    <s v="3.3 kW"/>
    <s v="OCPP"/>
    <n v="1"/>
    <x v="1"/>
    <n v="11.381000000000002"/>
    <n v="10"/>
    <n v="17.872"/>
    <n v="4.1310000000000002"/>
    <n v="11.085999999999999"/>
    <n v="20.155999999999999"/>
    <n v="31.902000000000001"/>
    <n v="21.640999999999998"/>
    <n v="25.009"/>
    <n v="23.792999999999999"/>
    <n v="11.553000000000001"/>
    <n v="10.913"/>
    <n v="6.9079999999999986"/>
    <n v="19.288"/>
    <n v="5.7839999999999998"/>
    <n v="29.177999999999997"/>
    <n v="9.3089999999999993"/>
    <n v="4.1050000000000004"/>
    <n v="16.320999999999998"/>
    <n v="9.9669999999999987"/>
    <n v="18.696999999999999"/>
    <n v="15.146000000000001"/>
    <n v="20.624000000000002"/>
    <n v="5.7959999999999994"/>
    <n v="9.5400000000000009"/>
    <n v="17.004000000000001"/>
    <n v="12.996999999999998"/>
    <n v="16.77"/>
    <n v="22.481999999999999"/>
    <n v="11.35"/>
    <n v="15.023433333333337"/>
    <n v="15.023433333333337"/>
  </r>
  <r>
    <n v="35"/>
    <x v="0"/>
    <x v="19"/>
    <s v="Trinity"/>
    <s v="Public-Paid"/>
    <s v="3.3 kW"/>
    <s v="OCPP"/>
    <n v="5"/>
    <x v="1"/>
    <n v="31.263999999999996"/>
    <n v="28.219000000000001"/>
    <n v="44.227999999999994"/>
    <n v="47.819000000000003"/>
    <n v="42.576000000000001"/>
    <n v="30.171000000000003"/>
    <n v="33.129000000000005"/>
    <n v="40.810000000000009"/>
    <n v="51.741"/>
    <n v="40.271999999999991"/>
    <n v="32.208999999999996"/>
    <n v="18.353000000000002"/>
    <n v="46.425999999999995"/>
    <n v="54.948"/>
    <n v="24.738"/>
    <n v="14.454000000000001"/>
    <n v="68.355000000000018"/>
    <n v="34.206000000000003"/>
    <n v="37.832000000000008"/>
    <n v="80.906999999999996"/>
    <n v="43.004999999999995"/>
    <n v="61.690999999999995"/>
    <n v="61.701000000000001"/>
    <n v="61.312000000000005"/>
    <n v="56.401999999999994"/>
    <n v="45.944000000000003"/>
    <n v="65.16"/>
    <n v="37.357000000000006"/>
    <n v="71.917000000000002"/>
    <n v="75.420000000000016"/>
    <n v="46.085533333333338"/>
    <n v="9.2171066666666679"/>
  </r>
  <r>
    <n v="36"/>
    <x v="0"/>
    <x v="20"/>
    <s v="Trinity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x v="0"/>
    <x v="21"/>
    <s v="Trinity"/>
    <s v="Public-Paid"/>
    <s v="3.3 kW"/>
    <s v="OCPP"/>
    <n v="3"/>
    <x v="1"/>
    <n v="35.79"/>
    <n v="34.923999999999999"/>
    <n v="5.2950000000000008"/>
    <n v="23.904000000000003"/>
    <n v="20.911999999999999"/>
    <n v="20.814999999999998"/>
    <n v="25.189"/>
    <n v="19.709000000000003"/>
    <n v="40.298999999999999"/>
    <n v="23.272000000000002"/>
    <n v="30.690999999999995"/>
    <n v="28.407"/>
    <n v="24.849"/>
    <n v="16.407000000000004"/>
    <n v="28.1"/>
    <n v="28.734999999999999"/>
    <n v="6.673"/>
    <n v="16.117999999999999"/>
    <n v="11.663"/>
    <n v="30.077999999999999"/>
    <n v="22.475999999999999"/>
    <n v="15.468"/>
    <n v="51.064999999999998"/>
    <n v="17.210000000000004"/>
    <n v="9.1609999999999996"/>
    <n v="0.47000000000000003"/>
    <n v="13.73"/>
    <n v="9.9489999999999998"/>
    <n v="39.948"/>
    <n v="4.9460000000000006"/>
    <n v="21.875099999999996"/>
    <n v="7.2916999999999987"/>
  </r>
  <r>
    <n v="38"/>
    <x v="0"/>
    <x v="22"/>
    <s v="Trinity"/>
    <s v="Public-Paid"/>
    <s v="3.3 kW"/>
    <s v="OCPP"/>
    <n v="4"/>
    <x v="1"/>
    <m/>
    <m/>
    <m/>
    <m/>
    <m/>
    <m/>
    <m/>
    <m/>
    <m/>
    <m/>
    <m/>
    <m/>
    <m/>
    <m/>
    <n v="0"/>
    <n v="0"/>
    <n v="0"/>
    <n v="18.981999999999999"/>
    <n v="39.915999999999997"/>
    <n v="18.748999999999999"/>
    <n v="35.021000000000001"/>
    <n v="67.013000000000005"/>
    <n v="27.397000000000002"/>
    <n v="50.093999999999994"/>
    <n v="25.358000000000004"/>
    <n v="34.625"/>
    <n v="0"/>
    <n v="14.329999999999998"/>
    <n v="7.4340000000000002"/>
    <n v="7.5369999999999999"/>
    <n v="21.653499999999998"/>
    <n v="5.4133749999999994"/>
  </r>
  <r>
    <n v="39"/>
    <x v="0"/>
    <x v="23"/>
    <s v="Trinity"/>
    <s v="Public-Paid"/>
    <s v="22 kw"/>
    <s v="OCPP"/>
    <n v="1"/>
    <x v="2"/>
    <m/>
    <m/>
    <m/>
    <m/>
    <m/>
    <m/>
    <m/>
    <m/>
    <m/>
    <m/>
    <m/>
    <m/>
    <m/>
    <m/>
    <m/>
    <m/>
    <n v="0.06"/>
    <n v="0"/>
    <n v="0"/>
    <n v="0"/>
    <n v="9.0399999999999991"/>
    <n v="7.234"/>
    <n v="0"/>
    <n v="0"/>
    <n v="0"/>
    <n v="0"/>
    <n v="0"/>
    <n v="10.852"/>
    <n v="0"/>
    <n v="0"/>
    <n v="1.9418571428571429"/>
    <n v="1.9418571428571429"/>
  </r>
  <r>
    <n v="40"/>
    <x v="0"/>
    <x v="24"/>
    <s v="Trinity"/>
    <s v="Public-Paid"/>
    <s v="3.3 kW"/>
    <s v="OCPP"/>
    <n v="5"/>
    <x v="1"/>
    <m/>
    <m/>
    <m/>
    <m/>
    <m/>
    <m/>
    <m/>
    <m/>
    <m/>
    <m/>
    <m/>
    <m/>
    <m/>
    <m/>
    <m/>
    <m/>
    <m/>
    <m/>
    <m/>
    <m/>
    <m/>
    <m/>
    <m/>
    <m/>
    <m/>
    <n v="7.34"/>
    <n v="10.779"/>
    <n v="30.335000000000001"/>
    <n v="22.026000000000003"/>
    <n v="25.181000000000001"/>
    <n v="19.132200000000001"/>
    <n v="3.8264400000000003"/>
  </r>
  <r>
    <n v="41"/>
    <x v="0"/>
    <x v="25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x v="0"/>
    <x v="26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27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1"/>
    <x v="28"/>
    <s v="Trinity"/>
    <s v="Public-Paid"/>
    <s v="3.3 kW"/>
    <s v="OCPP"/>
    <n v="5"/>
    <x v="1"/>
    <n v="11.478000000000002"/>
    <n v="1.536"/>
    <n v="12.25"/>
    <n v="6.6429999999999998"/>
    <n v="11.609"/>
    <n v="13.994999999999999"/>
    <n v="6.4860000000000007"/>
    <n v="17.888000000000002"/>
    <n v="0"/>
    <n v="12.443999999999999"/>
    <n v="2.8879999999999999"/>
    <n v="5.7569999999999997"/>
    <n v="7.3719999999999999"/>
    <n v="5.8840000000000003"/>
    <n v="9.6179999999999986"/>
    <n v="0"/>
    <n v="11.321"/>
    <n v="10.404"/>
    <n v="10.353999999999999"/>
    <n v="0"/>
    <n v="2.3290000000000002"/>
    <n v="21.656999999999996"/>
    <n v="0"/>
    <n v="40.709999999999994"/>
    <n v="8.92"/>
    <n v="9.6159999999999997"/>
    <n v="7.4489999999999998"/>
    <n v="8.472999999999999"/>
    <n v="14.129999999999999"/>
    <n v="0"/>
    <n v="9.0403666666666673"/>
    <n v="1.8080733333333334"/>
  </r>
  <r>
    <n v="45"/>
    <x v="1"/>
    <x v="29"/>
    <s v="Trinity"/>
    <s v="Public-Paid"/>
    <s v="3.3 kW"/>
    <s v="OCPP"/>
    <n v="10"/>
    <x v="1"/>
    <n v="80.813000000000002"/>
    <n v="103.05999999999999"/>
    <n v="89.498000000000005"/>
    <n v="115.79299999999998"/>
    <n v="109.72199999999999"/>
    <n v="104.55700000000002"/>
    <n v="92.569000000000003"/>
    <n v="66.986000000000004"/>
    <n v="127.626"/>
    <n v="86.23299999999999"/>
    <n v="110.52499999999999"/>
    <n v="45.262"/>
    <n v="69.02600000000001"/>
    <n v="98.146999999999991"/>
    <n v="99.78"/>
    <n v="85.664000000000016"/>
    <n v="110.40300000000003"/>
    <n v="98.427000000000007"/>
    <n v="98.651999999999973"/>
    <n v="116.15699999999998"/>
    <n v="103.52499999999999"/>
    <n v="111.379"/>
    <n v="79.697000000000003"/>
    <n v="96.516000000000005"/>
    <n v="110.66000000000001"/>
    <n v="126.727"/>
    <n v="102.36099999999999"/>
    <n v="92.237000000000023"/>
    <n v="106.44499999999999"/>
    <n v="41.192999999999998"/>
    <n v="95.988"/>
    <n v="9.5988000000000007"/>
  </r>
  <r>
    <n v="46"/>
    <x v="2"/>
    <x v="30"/>
    <s v="Trinity"/>
    <s v="Public-Paid"/>
    <s v="3.3 kW"/>
    <s v="OCPP"/>
    <n v="3"/>
    <x v="1"/>
    <n v="16.309999999999999"/>
    <n v="12.338000000000001"/>
    <n v="14.169"/>
    <n v="21.044"/>
    <n v="19.241"/>
    <n v="0.20799999999999999"/>
    <n v="7.9009999999999998"/>
    <n v="14.355"/>
    <n v="0"/>
    <n v="7.0460000000000003"/>
    <n v="5.2910000000000004"/>
    <n v="5.0469999999999997"/>
    <n v="5.149"/>
    <n v="3.6120000000000001"/>
    <n v="6.41"/>
    <n v="0"/>
    <n v="6.9109999999999996"/>
    <n v="4.7389999999999999"/>
    <n v="5.5650000000000004"/>
    <n v="0.79600000000000004"/>
    <n v="8.7669999999999995"/>
    <n v="6.085"/>
    <n v="0"/>
    <n v="6.0650000000000004"/>
    <n v="4.7119999999999997"/>
    <n v="5.2460000000000004"/>
    <n v="4.3529999999999998"/>
    <n v="8.2080000000000002"/>
    <n v="0"/>
    <n v="0"/>
    <n v="6.6522666666666659"/>
    <n v="2.217422222222222"/>
  </r>
  <r>
    <n v="47"/>
    <x v="2"/>
    <x v="31"/>
    <s v="Trinity"/>
    <s v="Public-Paid"/>
    <s v="3.3 kW"/>
    <s v="OCPP"/>
    <n v="7"/>
    <x v="1"/>
    <n v="47.419999999999987"/>
    <n v="95.404000000000011"/>
    <n v="112.057"/>
    <n v="133.75700000000001"/>
    <n v="122.554"/>
    <n v="109.09299999999999"/>
    <n v="125.395"/>
    <n v="109.68200000000002"/>
    <n v="127.74"/>
    <n v="141.24300000000002"/>
    <n v="113.30300000000003"/>
    <n v="121.16"/>
    <n v="107.31399999999999"/>
    <n v="151.55799999999999"/>
    <n v="103.56900000000002"/>
    <n v="113.64100000000001"/>
    <n v="129.637"/>
    <n v="135.28599999999997"/>
    <n v="80.781999999999996"/>
    <n v="113.19100000000002"/>
    <n v="147.005"/>
    <n v="81.704999999999998"/>
    <n v="112.60800000000003"/>
    <n v="165.851"/>
    <n v="88.988"/>
    <n v="154.25400000000002"/>
    <n v="107.91599999999997"/>
    <n v="136.553"/>
    <n v="93.561000000000007"/>
    <n v="108.57599999999999"/>
    <n v="116.36010000000002"/>
    <n v="16.622871428571433"/>
  </r>
  <r>
    <n v="48"/>
    <x v="3"/>
    <x v="32"/>
    <s v="Trinity"/>
    <s v="Public-Paid"/>
    <s v="3.3 kW"/>
    <s v="OCPP"/>
    <n v="7"/>
    <x v="1"/>
    <n v="60.66899999999999"/>
    <n v="55.521000000000001"/>
    <n v="41.25500000000001"/>
    <n v="54.172000000000004"/>
    <n v="35.952999999999996"/>
    <n v="31.808"/>
    <n v="42.978999999999999"/>
    <n v="21.312000000000001"/>
    <n v="38.313000000000002"/>
    <n v="37.042000000000002"/>
    <n v="54.891999999999996"/>
    <n v="34.973999999999997"/>
    <n v="33.332000000000001"/>
    <n v="46.652000000000001"/>
    <n v="48.308"/>
    <n v="33.067999999999998"/>
    <n v="60.353999999999992"/>
    <n v="35.170999999999999"/>
    <n v="52.855999999999995"/>
    <n v="38.616999999999997"/>
    <n v="36.939"/>
    <n v="38.615000000000002"/>
    <n v="60.556999999999988"/>
    <n v="30.625"/>
    <n v="47.486000000000004"/>
    <n v="28.314999999999998"/>
    <n v="60.355999999999995"/>
    <n v="56.737999999999992"/>
    <n v="39.556000000000004"/>
    <n v="45.502000000000002"/>
    <n v="43.397900000000007"/>
    <n v="6.1997000000000009"/>
  </r>
  <r>
    <n v="49"/>
    <x v="4"/>
    <x v="33"/>
    <s v="Trinity"/>
    <s v="Public-Paid"/>
    <s v="3.3 kW"/>
    <s v="OCPP"/>
    <n v="5"/>
    <x v="1"/>
    <n v="45.093000000000004"/>
    <n v="25.456"/>
    <n v="19.960999999999999"/>
    <n v="65.483999999999995"/>
    <n v="35.512"/>
    <n v="35.408000000000001"/>
    <n v="17.722999999999999"/>
    <n v="37.375999999999998"/>
    <n v="31.4"/>
    <n v="22.916"/>
    <n v="18.177999999999997"/>
    <n v="58.491999999999997"/>
    <n v="20.175000000000001"/>
    <n v="27.845000000000002"/>
    <n v="29.877000000000002"/>
    <n v="52.015999999999998"/>
    <n v="42.652000000000001"/>
    <n v="23.265999999999998"/>
    <n v="47.512999999999998"/>
    <n v="11.891999999999999"/>
    <n v="37.894000000000005"/>
    <n v="38.787000000000006"/>
    <n v="11.366000000000001"/>
    <n v="35.331000000000003"/>
    <n v="35.659999999999997"/>
    <n v="27.433"/>
    <n v="29.887"/>
    <n v="36.596999999999994"/>
    <n v="30.191000000000003"/>
    <n v="37.707999999999998"/>
    <n v="32.969633333333334"/>
    <n v="6.5939266666666665"/>
  </r>
  <r>
    <n v="50"/>
    <x v="5"/>
    <x v="34"/>
    <s v="Flipkart"/>
    <s v="Public-Paid"/>
    <s v="3.3 kW"/>
    <s v="OCPP"/>
    <n v="3"/>
    <x v="1"/>
    <n v="58.434000000000012"/>
    <n v="64.965000000000003"/>
    <n v="91.073999999999998"/>
    <n v="89.86"/>
    <n v="69.381999999999977"/>
    <n v="88.791999999999987"/>
    <n v="79.320999999999984"/>
    <n v="88.494"/>
    <n v="93.685000000000002"/>
    <n v="93.82099999999997"/>
    <n v="90.206999999999994"/>
    <n v="89.820999999999998"/>
    <n v="82.423999999999992"/>
    <n v="95.436999999999998"/>
    <n v="73.14100000000002"/>
    <n v="91.61999999999999"/>
    <n v="59.532000000000004"/>
    <n v="82.178000000000011"/>
    <n v="8.4939999999999998"/>
    <n v="0"/>
    <n v="1.5069999999999999"/>
    <n v="100.06000000000002"/>
    <n v="100.17800000000003"/>
    <n v="81.394000000000005"/>
    <n v="79.882999999999996"/>
    <n v="92.503"/>
    <n v="71.511000000000024"/>
    <n v="94.790999999999997"/>
    <n v="87.632000000000019"/>
    <n v="75.798000000000002"/>
    <n v="75.864633333333344"/>
    <n v="25.288211111111114"/>
  </r>
  <r>
    <n v="51"/>
    <x v="5"/>
    <x v="35"/>
    <s v="Flipkart"/>
    <s v="Public-Paid"/>
    <s v="3.3 kW"/>
    <s v="OCPP"/>
    <n v="9"/>
    <x v="1"/>
    <n v="206.10100000000003"/>
    <n v="191.36100000000002"/>
    <n v="164.60999999999999"/>
    <n v="207.84500000000006"/>
    <n v="128.27099999999999"/>
    <n v="181.83000000000004"/>
    <n v="224.43500000000006"/>
    <n v="229.96100000000004"/>
    <n v="126.10799999999999"/>
    <n v="197.67700000000008"/>
    <n v="231.86500000000001"/>
    <n v="168.38800000000001"/>
    <n v="205.02900000000002"/>
    <n v="148.67199999999994"/>
    <n v="203.81700000000012"/>
    <n v="202.31699999999998"/>
    <n v="161.14299999999997"/>
    <n v="138.52000000000004"/>
    <n v="129.53200000000001"/>
    <n v="153.40299999999996"/>
    <n v="165.92300000000003"/>
    <n v="187.10499999999996"/>
    <n v="171.27300000000002"/>
    <n v="163.67600000000004"/>
    <n v="146.69"/>
    <n v="179.577"/>
    <n v="175.92600000000004"/>
    <n v="198.50900000000004"/>
    <n v="139.04899999999998"/>
    <n v="172.73199999999997"/>
    <n v="176.71150000000003"/>
    <n v="19.634611111111113"/>
  </r>
  <r>
    <n v="52"/>
    <x v="5"/>
    <x v="36"/>
    <s v="EFL"/>
    <s v="Public-Free"/>
    <s v="3.3 kW"/>
    <s v="OCPP"/>
    <n v="8"/>
    <x v="1"/>
    <n v="110.92100000000001"/>
    <n v="75.141000000000005"/>
    <n v="121.15100000000005"/>
    <n v="60.493999999999993"/>
    <n v="64.053999999999988"/>
    <n v="77.746999999999986"/>
    <n v="94.909000000000034"/>
    <n v="67.615000000000009"/>
    <n v="55.069999999999979"/>
    <n v="69.128"/>
    <n v="92.507000000000005"/>
    <n v="111.14599999999999"/>
    <n v="68.707000000000008"/>
    <n v="69.433000000000007"/>
    <n v="61.495999999999995"/>
    <n v="76.682999999999993"/>
    <n v="25.712"/>
    <n v="44.289000000000001"/>
    <n v="51.347000000000001"/>
    <n v="65.95"/>
    <n v="31.414999999999999"/>
    <n v="52.971999999999994"/>
    <n v="95.902000000000029"/>
    <n v="83.887999999999991"/>
    <n v="112.90600000000001"/>
    <n v="64.38000000000001"/>
    <n v="88.450999999999979"/>
    <n v="55.752999999999986"/>
    <n v="30.207000000000001"/>
    <n v="62.162999999999997"/>
    <n v="71.384566666666672"/>
    <n v="8.923070833333334"/>
  </r>
  <r>
    <n v="53"/>
    <x v="5"/>
    <x v="36"/>
    <s v="EFL"/>
    <s v="Public-Free"/>
    <s v="6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5"/>
    <x v="37"/>
    <s v="Trinity"/>
    <s v="Public-Paid"/>
    <s v="3.3 kW"/>
    <s v="OCPP"/>
    <n v="7"/>
    <x v="1"/>
    <n v="169.25700000000001"/>
    <n v="168.529"/>
    <n v="224.73000000000002"/>
    <n v="155.98799999999997"/>
    <n v="179.35499999999999"/>
    <n v="154.839"/>
    <n v="199.83699999999999"/>
    <n v="170.78700000000001"/>
    <n v="151.41600000000003"/>
    <n v="187.49100000000001"/>
    <n v="170.26199999999997"/>
    <n v="182.91800000000003"/>
    <n v="154.81699999999998"/>
    <n v="169.952"/>
    <n v="203.65800000000002"/>
    <n v="177.785"/>
    <n v="165.208"/>
    <n v="174.51"/>
    <n v="172.27600000000001"/>
    <n v="159.54400000000001"/>
    <n v="173.67500000000004"/>
    <n v="140.48100000000002"/>
    <n v="167.673"/>
    <n v="162.38"/>
    <n v="152.78799999999998"/>
    <n v="177.56899999999999"/>
    <n v="171.51999999999998"/>
    <n v="170.762"/>
    <n v="124.78499999999997"/>
    <n v="162.80799999999999"/>
    <n v="169.92000000000002"/>
    <n v="24.274285714285718"/>
  </r>
  <r>
    <n v="55"/>
    <x v="5"/>
    <x v="38"/>
    <s v="Trinity"/>
    <s v="Public-Paid"/>
    <s v="3.3 kW"/>
    <s v="OCPP"/>
    <n v="10"/>
    <x v="1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.51299999999999"/>
    <n v="214.93600000000006"/>
    <n v="15.592809523809526"/>
    <n v="1.5592809523809525"/>
  </r>
  <r>
    <n v="56"/>
    <x v="5"/>
    <x v="39"/>
    <s v="Trinity"/>
    <s v="Public-Paid"/>
    <s v="3.3 kW"/>
    <s v="OCPP"/>
    <n v="8"/>
    <x v="1"/>
    <n v="134.126"/>
    <n v="140.14000000000004"/>
    <n v="143.00299999999999"/>
    <n v="92.235000000000014"/>
    <n v="118.54599999999999"/>
    <n v="118.67600000000002"/>
    <n v="148.321"/>
    <n v="146.10799999999998"/>
    <n v="133.54600000000002"/>
    <n v="115.18599999999999"/>
    <n v="133.06100000000001"/>
    <n v="118.75399999999996"/>
    <n v="122.387"/>
    <n v="137.21900000000005"/>
    <n v="118.72100000000002"/>
    <n v="114.53500000000005"/>
    <n v="132.18199999999999"/>
    <n v="143.60500000000002"/>
    <n v="137.21299999999999"/>
    <n v="137.90799999999996"/>
    <n v="143.46200000000002"/>
    <n v="102.23499999999999"/>
    <n v="158.36299999999994"/>
    <n v="124.371"/>
    <n v="123.85799999999999"/>
    <n v="135.26299999999998"/>
    <n v="88.382999999999996"/>
    <n v="120.45499999999998"/>
    <n v="119.58599999999998"/>
    <n v="142.636"/>
    <n v="128.13613333333333"/>
    <n v="16.017016666666667"/>
  </r>
  <r>
    <n v="57"/>
    <x v="5"/>
    <x v="40"/>
    <s v="Trinity"/>
    <s v="Public-Paid"/>
    <s v="3.3 kW"/>
    <s v="OCPP"/>
    <n v="6"/>
    <x v="1"/>
    <n v="0"/>
    <n v="0"/>
    <n v="0"/>
    <n v="0"/>
    <n v="0"/>
    <n v="0"/>
    <n v="0"/>
    <n v="0"/>
    <n v="0"/>
    <n v="0"/>
    <n v="0"/>
    <n v="0"/>
    <n v="0"/>
    <n v="9.9759999999999991"/>
    <n v="3.4319999999999999"/>
    <n v="0"/>
    <n v="0"/>
    <n v="0"/>
    <n v="0"/>
    <n v="0"/>
    <n v="0"/>
    <n v="0"/>
    <n v="0"/>
    <n v="0"/>
    <n v="0"/>
    <n v="0"/>
    <n v="0"/>
    <n v="0"/>
    <n v="0"/>
    <n v="0"/>
    <n v="0.44693333333333329"/>
    <n v="7.4488888888888882E-2"/>
  </r>
  <r>
    <n v="58"/>
    <x v="6"/>
    <x v="41"/>
    <s v="ETO"/>
    <s v="Public-Paid"/>
    <s v="3.3kW"/>
    <s v="OCPP"/>
    <n v="20"/>
    <x v="1"/>
    <n v="81.986999999999981"/>
    <n v="32.458000000000006"/>
    <n v="56.978999999999999"/>
    <n v="86.382000000000019"/>
    <n v="63.963000000000008"/>
    <n v="105.02900000000004"/>
    <n v="89.885999999999996"/>
    <n v="85.858000000000018"/>
    <n v="37.676999999999985"/>
    <n v="0"/>
    <n v="18.732000000000003"/>
    <n v="82.834000000000017"/>
    <n v="74.2"/>
    <n v="53.854000000000006"/>
    <n v="46.592999999999989"/>
    <n v="38.385999999999996"/>
    <n v="30.018000000000004"/>
    <n v="61.083000000000013"/>
    <n v="54.827000000000012"/>
    <n v="53.35799999999999"/>
    <n v="49.615000000000009"/>
    <n v="68.853000000000009"/>
    <n v="18.622999999999998"/>
    <n v="58.523999999999994"/>
    <n v="83.000000000000028"/>
    <n v="68.045000000000002"/>
    <n v="75.736000000000018"/>
    <n v="58.998999999999995"/>
    <n v="21.266999999999999"/>
    <n v="2.09"/>
    <n v="55.295200000000015"/>
    <n v="2.7647600000000008"/>
  </r>
  <r>
    <n v="59"/>
    <x v="6"/>
    <x v="42"/>
    <s v="Trinity"/>
    <s v="Public-Paid"/>
    <s v="3.3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3"/>
    <n v="3.9420000000000002"/>
    <n v="0"/>
    <n v="0"/>
    <n v="0"/>
    <n v="0"/>
    <n v="0"/>
    <n v="0"/>
    <n v="0"/>
    <n v="0"/>
    <n v="0"/>
    <n v="0"/>
    <n v="0.3590666666666667"/>
    <n v="0.1196888888888889"/>
  </r>
  <r>
    <n v="60"/>
    <x v="7"/>
    <x v="43"/>
    <s v="SOU"/>
    <s v="Public-Paid"/>
    <s v="3.3 kW"/>
    <s v="OCPP"/>
    <n v="40"/>
    <x v="1"/>
    <n v="362.46300000000014"/>
    <n v="452.41100000000012"/>
    <n v="298.70900000000006"/>
    <n v="225.67100000000005"/>
    <n v="374.2609999999998"/>
    <n v="368.7639999999999"/>
    <n v="340.53700000000009"/>
    <n v="494.35799999999978"/>
    <n v="441.25200000000007"/>
    <n v="342.89299999999992"/>
    <n v="331.24899999999997"/>
    <n v="367.21699999999976"/>
    <n v="325.6819999999999"/>
    <n v="337.17999999999972"/>
    <n v="400.59800000000007"/>
    <n v="552.97999999999979"/>
    <n v="494.17200000000014"/>
    <n v="300.8180000000001"/>
    <n v="164.72900000000001"/>
    <n v="428.42599999999987"/>
    <n v="320.75099999999986"/>
    <n v="347.24999999999983"/>
    <n v="505.13100000000009"/>
    <n v="338.87099999999992"/>
    <n v="200.49999999999994"/>
    <n v="342.94599999999997"/>
    <n v="360.89100000000008"/>
    <n v="359.50299999999993"/>
    <n v="445.67899999999992"/>
    <n v="437.28000000000003"/>
    <n v="368.77239999999995"/>
    <n v="9.2193099999999983"/>
  </r>
  <r>
    <n v="61"/>
    <x v="8"/>
    <x v="44"/>
    <s v="ETO"/>
    <s v="Public-Paid"/>
    <s v="3.3 kW"/>
    <s v="OCPP"/>
    <n v="19"/>
    <x v="1"/>
    <n v="17.426000000000002"/>
    <n v="14.012999999999998"/>
    <n v="10.543999999999999"/>
    <n v="10.267999999999999"/>
    <n v="9.5830000000000002"/>
    <n v="4.6909999999999998"/>
    <n v="7.6910000000000007"/>
    <n v="10.602"/>
    <n v="8.9789999999999992"/>
    <n v="12.777999999999999"/>
    <n v="12.969000000000001"/>
    <n v="22.423000000000002"/>
    <n v="30.951000000000004"/>
    <n v="23.697000000000003"/>
    <n v="12.286000000000001"/>
    <n v="9.3330000000000002"/>
    <n v="6.7469999999999999"/>
    <n v="18.266000000000002"/>
    <n v="12.381"/>
    <n v="9.9280000000000008"/>
    <n v="12.982000000000001"/>
    <n v="10.141999999999999"/>
    <n v="13.483000000000001"/>
    <n v="12.562999999999999"/>
    <n v="12.133000000000001"/>
    <n v="10.643000000000001"/>
    <n v="11.326000000000001"/>
    <n v="9.9439999999999991"/>
    <n v="4.8479999999999999"/>
    <n v="16.393000000000001"/>
    <n v="12.667100000000001"/>
    <n v="0.66668947368421061"/>
  </r>
  <r>
    <n v="62"/>
    <x v="9"/>
    <x v="45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"/>
    <x v="10"/>
    <x v="46"/>
    <s v="Trinity"/>
    <s v="Public-Paid"/>
    <s v="3.3kW"/>
    <s v="OCPP"/>
    <n v="10"/>
    <x v="1"/>
    <n v="60.704999999999977"/>
    <n v="85.320000000000022"/>
    <n v="60.126000000000005"/>
    <n v="90.430999999999997"/>
    <n v="46.073000000000008"/>
    <n v="18.837"/>
    <n v="18.059999999999999"/>
    <n v="43.782999999999994"/>
    <n v="35.062000000000005"/>
    <n v="48.127000000000002"/>
    <n v="30.368999999999996"/>
    <n v="19.170000000000002"/>
    <n v="18.917000000000002"/>
    <n v="18.794"/>
    <n v="56.327999999999996"/>
    <n v="22.396000000000001"/>
    <n v="28.994999999999997"/>
    <n v="32.26"/>
    <n v="12.94"/>
    <n v="56.23"/>
    <n v="34.549999999999997"/>
    <n v="57.67"/>
    <n v="45.16"/>
    <n v="26.86"/>
    <n v="93.143000000000043"/>
    <n v="47.01400000000001"/>
    <n v="55.326999999999998"/>
    <n v="45.110000000000007"/>
    <n v="26.015999999999998"/>
    <n v="40.719000000000001"/>
    <n v="42.483066666666673"/>
    <n v="4.2483066666666671"/>
  </r>
  <r>
    <n v="64"/>
    <x v="10"/>
    <x v="46"/>
    <s v="Trinity"/>
    <s v="Public-Paid"/>
    <s v="7.4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7.86"/>
    <n v="51.51"/>
    <n v="7.35"/>
    <n v="34.5"/>
    <n v="0.04"/>
    <n v="24.34"/>
    <n v="0.85"/>
    <n v="2.96"/>
    <n v="0"/>
    <n v="0"/>
    <n v="0"/>
    <n v="0"/>
    <n v="0"/>
    <n v="0"/>
    <n v="4.3136666666666663"/>
    <n v="4.3136666666666663"/>
  </r>
  <r>
    <n v="65"/>
    <x v="10"/>
    <x v="4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299999999999986"/>
    <n v="0"/>
    <n v="0"/>
    <n v="0"/>
    <n v="0"/>
    <n v="0"/>
    <n v="0"/>
    <n v="0"/>
    <n v="0"/>
    <n v="0"/>
    <n v="0"/>
    <n v="0"/>
    <n v="0.32433333333333331"/>
    <n v="0.32433333333333331"/>
  </r>
  <r>
    <n v="66"/>
    <x v="10"/>
    <x v="48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x v="10"/>
    <x v="4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.61"/>
    <n v="0"/>
    <n v="0"/>
    <n v="0"/>
    <n v="0"/>
    <n v="0"/>
    <n v="0"/>
    <n v="0"/>
    <n v="0"/>
    <n v="0"/>
    <n v="0"/>
    <n v="0"/>
    <n v="0"/>
    <n v="2.0333333333333332E-2"/>
    <n v="2.0333333333333332E-2"/>
  </r>
  <r>
    <n v="68"/>
    <x v="11"/>
    <x v="50"/>
    <s v="ETO"/>
    <s v="Public-Paid"/>
    <s v="3.3 kW"/>
    <s v="OCPP"/>
    <n v="5"/>
    <x v="1"/>
    <n v="54.02"/>
    <n v="49.312000000000005"/>
    <n v="46.436"/>
    <n v="75.896000000000015"/>
    <n v="49.452999999999996"/>
    <n v="55.795000000000002"/>
    <n v="22.443999999999996"/>
    <n v="36.475999999999999"/>
    <n v="50.649000000000008"/>
    <n v="38.648999999999994"/>
    <n v="45.260000000000005"/>
    <n v="49.683999999999997"/>
    <n v="42.98"/>
    <n v="47.082999999999991"/>
    <n v="50.559999999999995"/>
    <n v="51.246999999999993"/>
    <n v="51.753000000000007"/>
    <n v="69.652999999999992"/>
    <n v="53.808999999999997"/>
    <n v="66.293000000000006"/>
    <n v="22.17"/>
    <n v="34.059999999999995"/>
    <n v="41.742000000000004"/>
    <n v="36.180999999999997"/>
    <n v="19.619"/>
    <n v="38.147999999999982"/>
    <n v="26.860000000000003"/>
    <n v="50.018000000000001"/>
    <n v="43.98"/>
    <n v="37.733000000000004"/>
    <n v="45.265433333333327"/>
    <n v="9.0530866666666654"/>
  </r>
  <r>
    <n v="69"/>
    <x v="11"/>
    <x v="51"/>
    <s v="ETO"/>
    <s v="Public-Paid"/>
    <s v="3.3 kW"/>
    <s v="OCPP"/>
    <n v="16"/>
    <x v="1"/>
    <n v="36.833999999999996"/>
    <n v="53.452999999999996"/>
    <n v="31.695000000000004"/>
    <n v="29.454999999999998"/>
    <n v="52.997999999999998"/>
    <n v="29.923999999999999"/>
    <n v="61.33"/>
    <n v="34.482999999999997"/>
    <n v="41.506"/>
    <n v="36.855000000000004"/>
    <n v="35.342999999999996"/>
    <n v="32.945"/>
    <n v="41.895000000000003"/>
    <n v="34.113"/>
    <n v="53.163999999999994"/>
    <n v="33.305999999999997"/>
    <n v="47.616000000000007"/>
    <n v="30.699000000000002"/>
    <n v="34.4"/>
    <n v="43.5"/>
    <n v="11.654999999999999"/>
    <n v="10.911999999999999"/>
    <n v="15.215999999999999"/>
    <n v="11.897"/>
    <n v="36.156000000000006"/>
    <n v="37.655000000000001"/>
    <n v="31.57"/>
    <n v="31.102"/>
    <n v="43.316000000000003"/>
    <n v="43.768000000000001"/>
    <n v="35.625366666666665"/>
    <n v="2.2265854166666665"/>
  </r>
  <r>
    <n v="70"/>
    <x v="11"/>
    <x v="52"/>
    <s v="ETO"/>
    <s v="Public-Paid"/>
    <s v="3.3 kW"/>
    <s v="OCPP"/>
    <n v="10"/>
    <x v="1"/>
    <n v="51.35799999999999"/>
    <n v="7.7110000000000003"/>
    <n v="16.495000000000001"/>
    <n v="29.082000000000001"/>
    <n v="1.5109999999999999"/>
    <n v="42.338999999999999"/>
    <n v="36.393000000000001"/>
    <n v="24.850999999999999"/>
    <n v="17.999000000000002"/>
    <n v="22.471"/>
    <n v="31.806999999999999"/>
    <n v="20.076000000000001"/>
    <n v="23.121000000000002"/>
    <n v="33.580999999999996"/>
    <n v="34.948"/>
    <n v="7.5229999999999997"/>
    <n v="16.649000000000001"/>
    <n v="1.1840000000000002"/>
    <n v="21.785"/>
    <n v="12.846"/>
    <n v="13.038999999999998"/>
    <n v="0"/>
    <n v="0"/>
    <n v="0"/>
    <n v="0"/>
    <n v="0"/>
    <n v="0"/>
    <n v="0"/>
    <n v="0"/>
    <n v="0"/>
    <n v="15.558966666666668"/>
    <n v="1.5558966666666669"/>
  </r>
  <r>
    <n v="71"/>
    <x v="11"/>
    <x v="53"/>
    <s v="ETO"/>
    <s v="Public-Paid"/>
    <s v="3.3 kW"/>
    <s v="OCPP"/>
    <n v="13"/>
    <x v="1"/>
    <n v="29.152999999999999"/>
    <n v="21.111000000000001"/>
    <n v="15.254999999999999"/>
    <n v="52.864000000000004"/>
    <n v="32.182000000000002"/>
    <n v="44.149000000000008"/>
    <n v="56.753999999999998"/>
    <n v="45.23"/>
    <n v="13.68"/>
    <n v="36.673000000000002"/>
    <n v="70.936999999999998"/>
    <n v="28.782000000000004"/>
    <n v="37.884999999999998"/>
    <n v="35.511000000000003"/>
    <n v="28.686"/>
    <n v="42.161000000000001"/>
    <n v="13.548"/>
    <n v="61.008999999999993"/>
    <n v="32.177999999999997"/>
    <n v="56.699999999999996"/>
    <n v="48.585999999999999"/>
    <n v="24.288"/>
    <n v="4.1550000000000002"/>
    <n v="25.257999999999999"/>
    <n v="42.51"/>
    <n v="37.529000000000003"/>
    <n v="26.082999999999998"/>
    <n v="14.141999999999999"/>
    <n v="21.864999999999995"/>
    <n v="21.536000000000001"/>
    <n v="34.013333333333335"/>
    <n v="2.6164102564102567"/>
  </r>
  <r>
    <n v="72"/>
    <x v="11"/>
    <x v="54"/>
    <s v="ETO"/>
    <s v="Public-Paid"/>
    <s v="3.3 kW"/>
    <s v="OCPP"/>
    <n v="20"/>
    <x v="1"/>
    <n v="2.7429999999999999"/>
    <n v="0"/>
    <n v="0"/>
    <n v="0"/>
    <n v="0"/>
    <n v="0"/>
    <n v="147.10299999999998"/>
    <n v="172.29400000000001"/>
    <n v="181.33"/>
    <n v="198.70900000000003"/>
    <n v="104.62700000000001"/>
    <n v="155.64600000000002"/>
    <n v="284.53599999999994"/>
    <n v="172.42200000000003"/>
    <n v="201.98600000000002"/>
    <n v="223.99999999999997"/>
    <n v="118.42399999999996"/>
    <n v="115.648"/>
    <n v="174.001"/>
    <n v="221.95600000000005"/>
    <n v="230.66899999999998"/>
    <n v="215.62700000000001"/>
    <n v="263.56400000000014"/>
    <n v="219.74499999999992"/>
    <n v="139.79599999999999"/>
    <n v="298.40200000000004"/>
    <n v="196.29400000000004"/>
    <n v="229.30200000000005"/>
    <n v="258.02699999999999"/>
    <n v="248.57900000000001"/>
    <n v="159.18099999999998"/>
    <n v="7.9590499999999995"/>
  </r>
  <r>
    <n v="73"/>
    <x v="11"/>
    <x v="55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11"/>
    <x v="56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x v="11"/>
    <x v="57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599999999999996"/>
    <n v="0"/>
    <n v="0.13533333333333333"/>
    <n v="6.7666666666666667E-2"/>
  </r>
  <r>
    <n v="76"/>
    <x v="11"/>
    <x v="58"/>
    <m/>
    <s v="Private-Paid"/>
    <s v="3.3kW"/>
    <s v="OCPP"/>
    <n v="2"/>
    <x v="0"/>
    <n v="9.886000000000001"/>
    <n v="0"/>
    <n v="0.37799999999999995"/>
    <n v="0"/>
    <n v="3.75"/>
    <n v="5.4669999999999996"/>
    <n v="1.964"/>
    <n v="0"/>
    <n v="10.003"/>
    <n v="0"/>
    <n v="0"/>
    <n v="5.226"/>
    <n v="10.484"/>
    <n v="0.72"/>
    <n v="20.253"/>
    <n v="0"/>
    <n v="0"/>
    <n v="0"/>
    <n v="0.42599999999999999"/>
    <n v="12.457000000000001"/>
    <n v="0"/>
    <n v="0"/>
    <n v="0"/>
    <n v="0"/>
    <n v="0"/>
    <n v="0"/>
    <n v="0"/>
    <n v="0"/>
    <n v="0"/>
    <n v="0"/>
    <n v="2.7004666666666668"/>
    <n v="1.3502333333333334"/>
  </r>
  <r>
    <n v="77"/>
    <x v="11"/>
    <x v="59"/>
    <s v="Trinity"/>
    <s v="Public-Free"/>
    <s v="3.3 kW"/>
    <s v="OCPP"/>
    <n v="6"/>
    <x v="0"/>
    <n v="21.931999999999999"/>
    <n v="0"/>
    <n v="39.267000000000003"/>
    <n v="42.683"/>
    <n v="50.771999999999998"/>
    <n v="41.890999999999998"/>
    <n v="39.061999999999998"/>
    <n v="0"/>
    <n v="23.431000000000001"/>
    <n v="33.884999999999998"/>
    <n v="46.025999999999996"/>
    <n v="65.206000000000003"/>
    <n v="59.536000000000001"/>
    <n v="66.477999999999994"/>
    <n v="0"/>
    <n v="20.387"/>
    <n v="3.7629999999999999"/>
    <n v="81.242999999999995"/>
    <n v="82.63900000000001"/>
    <n v="73.975000000000009"/>
    <n v="33.277999999999999"/>
    <n v="6.8390000000000004"/>
    <n v="20.434000000000001"/>
    <n v="47.678000000000004"/>
    <n v="55.322999999999993"/>
    <n v="71.590999999999994"/>
    <n v="59.191999999999993"/>
    <n v="36.656999999999996"/>
    <n v="21.652000000000001"/>
    <n v="9.1509999999999998"/>
    <n v="38.465700000000005"/>
    <n v="6.4109500000000006"/>
  </r>
  <r>
    <n v="78"/>
    <x v="11"/>
    <x v="59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x v="11"/>
    <x v="60"/>
    <s v="Trinity"/>
    <s v="Public-Paid"/>
    <s v="3.3kW"/>
    <s v="OCPP"/>
    <n v="20"/>
    <x v="1"/>
    <n v="33.668999999999997"/>
    <n v="30.119000000000003"/>
    <n v="28.026"/>
    <n v="35.923000000000002"/>
    <n v="27.506"/>
    <n v="31.949000000000005"/>
    <n v="30.124999999999996"/>
    <n v="18.560000000000002"/>
    <n v="20.105000000000004"/>
    <n v="30.866000000000007"/>
    <n v="35.346000000000004"/>
    <n v="30.258000000000003"/>
    <n v="25.417000000000002"/>
    <n v="34.856000000000002"/>
    <n v="28.591999999999995"/>
    <n v="18.894000000000002"/>
    <n v="15.389999999999999"/>
    <n v="14.723999999999998"/>
    <n v="38.815999999999995"/>
    <n v="29.577999999999999"/>
    <n v="22.245000000000001"/>
    <n v="36.312000000000005"/>
    <n v="28.94"/>
    <n v="45.72699999999999"/>
    <n v="26.07"/>
    <n v="46.464999999999996"/>
    <n v="53.404999999999994"/>
    <n v="55.094000000000015"/>
    <n v="103.74699999999999"/>
    <n v="115.011"/>
    <n v="36.39116666666667"/>
    <n v="1.8195583333333336"/>
  </r>
  <r>
    <n v="80"/>
    <x v="11"/>
    <x v="61"/>
    <s v="Trinity"/>
    <s v="Public-Paid"/>
    <s v="3.3kW"/>
    <s v="OCPP"/>
    <n v="10"/>
    <x v="1"/>
    <n v="35.433"/>
    <n v="28.241999999999997"/>
    <n v="29.069999999999997"/>
    <n v="31.216000000000001"/>
    <n v="27.029000000000003"/>
    <n v="41.984000000000002"/>
    <n v="23.408000000000001"/>
    <n v="37.119"/>
    <n v="18.933"/>
    <n v="51.93099999999999"/>
    <n v="49.159000000000006"/>
    <n v="38.942000000000007"/>
    <n v="49.283000000000001"/>
    <n v="47.346999999999994"/>
    <n v="72.361000000000004"/>
    <n v="69.347000000000008"/>
    <n v="41.573999999999998"/>
    <n v="63.977999999999994"/>
    <n v="90.26700000000001"/>
    <n v="76.049000000000021"/>
    <n v="61.295000000000002"/>
    <n v="39.856000000000002"/>
    <n v="67.363"/>
    <n v="76.285000000000011"/>
    <n v="81.114999999999981"/>
    <n v="31.753"/>
    <n v="68.7"/>
    <n v="82.572000000000003"/>
    <n v="53.409000000000006"/>
    <n v="52.080999999999989"/>
    <n v="51.236699999999999"/>
    <n v="5.1236699999999997"/>
  </r>
  <r>
    <n v="81"/>
    <x v="11"/>
    <x v="62"/>
    <s v="Trinity"/>
    <s v="Public-Paid"/>
    <s v="3.3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11"/>
    <x v="62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x v="11"/>
    <x v="63"/>
    <s v="BYPL MCD Parking"/>
    <s v="Public-Paid"/>
    <s v="3.3kW"/>
    <s v="OCPP"/>
    <n v="3"/>
    <x v="0"/>
    <n v="5.7930000000000001"/>
    <n v="0"/>
    <n v="4.8129999999999997"/>
    <n v="0.23799999999999999"/>
    <n v="0"/>
    <n v="0"/>
    <n v="0"/>
    <n v="0"/>
    <n v="0"/>
    <n v="0"/>
    <n v="0"/>
    <n v="0"/>
    <n v="1.732"/>
    <n v="0"/>
    <n v="0"/>
    <n v="0"/>
    <n v="0"/>
    <n v="0"/>
    <n v="0"/>
    <n v="2.9739999999999998"/>
    <n v="1.8360000000000001"/>
    <n v="0.97100000000000009"/>
    <n v="0"/>
    <n v="0"/>
    <n v="0"/>
    <n v="0"/>
    <n v="0"/>
    <n v="0"/>
    <n v="0"/>
    <n v="0"/>
    <n v="0.6119"/>
    <n v="0.20396666666666666"/>
  </r>
  <r>
    <n v="84"/>
    <x v="11"/>
    <x v="6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11"/>
    <x v="64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1"/>
    <x v="6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1"/>
    <x v="66"/>
    <s v="BYPL MCD Parking"/>
    <s v="Public-Paid"/>
    <s v="3.3kW"/>
    <s v="OCPP"/>
    <n v="3"/>
    <x v="0"/>
    <n v="8.7249999999999996"/>
    <n v="7.7969999999999997"/>
    <n v="0"/>
    <n v="5.2690000000000001"/>
    <n v="4.9359999999999999"/>
    <n v="8.5020000000000007"/>
    <n v="11.641000000000002"/>
    <n v="9.2720000000000002"/>
    <n v="8.8460000000000001"/>
    <n v="4.415"/>
    <n v="9.6829999999999998"/>
    <n v="14.877000000000001"/>
    <n v="5.6549999999999994"/>
    <n v="10.09"/>
    <n v="11.655999999999999"/>
    <n v="5.2010000000000005"/>
    <n v="2.4490000000000003"/>
    <n v="1.8440000000000001"/>
    <n v="14.36"/>
    <n v="4.9119999999999999"/>
    <n v="15.72"/>
    <n v="12.872"/>
    <n v="8.2910000000000004"/>
    <n v="2.9039999999999999"/>
    <n v="9.2000000000000011"/>
    <n v="12.58"/>
    <n v="9.7799999999999994"/>
    <n v="12.351000000000001"/>
    <n v="11.843"/>
    <n v="11.831"/>
    <n v="8.583400000000001"/>
    <n v="2.8611333333333335"/>
  </r>
  <r>
    <n v="88"/>
    <x v="11"/>
    <x v="6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11"/>
    <x v="6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11"/>
    <x v="69"/>
    <s v="BYPL MCD Parking"/>
    <s v="Public-Paid"/>
    <s v="3.3kW"/>
    <s v="OCPP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11"/>
    <x v="70"/>
    <s v="ETO"/>
    <s v="Public-Paid"/>
    <s v="3.3kW"/>
    <s v="OCPP"/>
    <n v="4"/>
    <x v="1"/>
    <n v="0"/>
    <n v="0"/>
    <n v="0"/>
    <n v="2.6669999999999998"/>
    <n v="0"/>
    <n v="0"/>
    <n v="0"/>
    <n v="2.274"/>
    <n v="0"/>
    <n v="0"/>
    <n v="1.157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330000000000001"/>
    <n v="5.0825000000000002E-2"/>
  </r>
  <r>
    <n v="92"/>
    <x v="11"/>
    <x v="71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11"/>
    <x v="72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"/>
    <x v="11"/>
    <x v="73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5"/>
    <x v="11"/>
    <x v="74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6"/>
    <x v="11"/>
    <x v="75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11"/>
    <x v="76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11"/>
    <x v="77"/>
    <s v="Trinity"/>
    <s v="Public-Paid"/>
    <s v="3.3kW"/>
    <s v="LEVAC-BLE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0"/>
    <n v="0"/>
    <n v="0"/>
    <n v="0"/>
    <n v="0"/>
    <n v="0"/>
    <n v="0"/>
    <n v="0"/>
    <n v="0.20833333333333334"/>
    <n v="0.1041666666666666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8">
  <r>
    <n v="1"/>
    <x v="0"/>
    <s v="EVCS-360003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660000000000014"/>
    <n v="8.7590000000000003"/>
    <n v="0"/>
    <n v="0.58467741935483875"/>
    <n v="9.7446236559139796E-2"/>
  </r>
  <r>
    <n v="2"/>
    <x v="0"/>
    <s v="EVCS-360004"/>
    <x v="1"/>
    <s v="Amazon"/>
    <s v="Public-Paid"/>
    <s v="3.3 kW"/>
    <s v="OCPP"/>
    <n v="9"/>
    <x v="0"/>
    <n v="132.74699999999999"/>
    <n v="142.49199999999996"/>
    <n v="184.26200000000006"/>
    <n v="205.34199999999996"/>
    <n v="195.00399999999996"/>
    <n v="190.88400000000001"/>
    <n v="172.36399999999998"/>
    <n v="197.38300000000007"/>
    <n v="189.05399999999997"/>
    <n v="179.12000000000006"/>
    <n v="176.57400000000001"/>
    <n v="150.04299999999995"/>
    <n v="184.81399999999994"/>
    <n v="135.19300000000001"/>
    <n v="115.48399999999998"/>
    <n v="173.61799999999997"/>
    <n v="177.93400000000005"/>
    <n v="164.53699999999998"/>
    <n v="172.03399999999996"/>
    <n v="124.41899999999998"/>
    <n v="198.00300000000001"/>
    <n v="251.23199999999997"/>
    <n v="206.35199999999995"/>
    <n v="252.38399999999999"/>
    <n v="172.23699999999999"/>
    <n v="191.66399999999999"/>
    <n v="132.09000000000003"/>
    <n v="180.12700000000001"/>
    <n v="179.71200000000005"/>
    <n v="179.52799999999996"/>
    <n v="163.44000000000003"/>
    <n v="176.45390322580647"/>
    <n v="19.605989247311829"/>
  </r>
  <r>
    <n v="3"/>
    <x v="0"/>
    <s v="EVCS-360005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s v="EVCS-360014"/>
    <x v="3"/>
    <s v="ETO"/>
    <s v="Public-Paid"/>
    <s v="3.3 kW"/>
    <s v="OCPP"/>
    <n v="8"/>
    <x v="1"/>
    <n v="65.248000000000005"/>
    <n v="55.866"/>
    <n v="40.518999999999998"/>
    <n v="95.122"/>
    <n v="76.303000000000011"/>
    <n v="64.709000000000003"/>
    <n v="46.553000000000004"/>
    <n v="83.078000000000003"/>
    <n v="107.31599999999999"/>
    <n v="82.134999999999991"/>
    <n v="98.448999999999998"/>
    <n v="26.041"/>
    <n v="89.147999999999996"/>
    <n v="69.954999999999998"/>
    <n v="129.85499999999999"/>
    <n v="67.206000000000003"/>
    <n v="99.804000000000002"/>
    <n v="108.881"/>
    <n v="116.22000000000001"/>
    <n v="78.802000000000007"/>
    <n v="104.91199999999999"/>
    <n v="111.12"/>
    <n v="98.957999999999998"/>
    <n v="118.491"/>
    <n v="85.778000000000006"/>
    <n v="110.20399999999999"/>
    <n v="97.909000000000006"/>
    <n v="103.678"/>
    <n v="121.14400000000001"/>
    <n v="80.775000000000006"/>
    <n v="113.761"/>
    <n v="88.643225806451625"/>
    <n v="11.080403225806453"/>
  </r>
  <r>
    <n v="5"/>
    <x v="0"/>
    <s v="EVCS-360017"/>
    <x v="4"/>
    <s v="Trinity"/>
    <s v="Public-Paid"/>
    <s v="3.3 kW"/>
    <s v="OCPP"/>
    <n v="29"/>
    <x v="2"/>
    <n v="869.64899999999989"/>
    <n v="698.44399999999962"/>
    <n v="880.2660000000003"/>
    <n v="808.17799999999977"/>
    <n v="779.94899999999984"/>
    <n v="907.14400000000001"/>
    <n v="817.04"/>
    <n v="977.53800000000012"/>
    <n v="1018.843"/>
    <n v="934.26700000000017"/>
    <n v="920.19199999999978"/>
    <n v="882.89800000000014"/>
    <n v="737.45299999999997"/>
    <n v="573.18400000000008"/>
    <n v="560.28600000000017"/>
    <n v="595.14599999999996"/>
    <n v="732.25200000000018"/>
    <n v="768.57900000000018"/>
    <n v="758.61200000000031"/>
    <n v="836.68600000000038"/>
    <n v="631.91600000000028"/>
    <n v="864.52499999999986"/>
    <n v="703.51900000000023"/>
    <n v="769.8720000000003"/>
    <n v="882.39300000000026"/>
    <n v="742.58899999999983"/>
    <n v="830.04400000000032"/>
    <n v="836.57799999999997"/>
    <n v="662.25199999999984"/>
    <n v="770.72400000000027"/>
    <n v="912.36499999999978"/>
    <n v="795.5930000000003"/>
    <n v="27.434241379310354"/>
  </r>
  <r>
    <n v="6"/>
    <x v="0"/>
    <s v="EVCS-360017"/>
    <x v="4"/>
    <s v="Trinity"/>
    <s v="Public-Paid"/>
    <s v="3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s v="EVCS-360017"/>
    <x v="4"/>
    <s v="Trinity"/>
    <s v="Public-Paid"/>
    <s v="12kW"/>
    <s v="DC Charger"/>
    <n v="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599999999999999"/>
    <n v="6.4"/>
    <n v="0"/>
    <n v="0"/>
    <n v="0"/>
    <n v="0"/>
    <n v="81.02"/>
    <n v="58.09"/>
    <n v="18.489999999999998"/>
    <n v="2.96"/>
    <n v="0"/>
    <n v="26.880000000000003"/>
    <n v="46.63000000000001"/>
    <n v="7.8170967741935495"/>
    <n v="0.97713709677419369"/>
  </r>
  <r>
    <n v="8"/>
    <x v="0"/>
    <s v="EVCS-360019"/>
    <x v="5"/>
    <s v="Trinity"/>
    <s v="Public-Paid"/>
    <s v="3.3 kW"/>
    <s v="OCPP"/>
    <n v="6"/>
    <x v="2"/>
    <n v="36.522999999999996"/>
    <n v="62.141000000000005"/>
    <n v="50.417999999999999"/>
    <n v="49.994"/>
    <n v="52.509"/>
    <n v="55.114999999999995"/>
    <n v="26.724999999999998"/>
    <n v="55.328999999999994"/>
    <n v="44.994000000000007"/>
    <n v="45.878"/>
    <n v="46.367999999999995"/>
    <n v="57.057999999999993"/>
    <n v="42.672999999999995"/>
    <n v="50.01"/>
    <n v="40.508000000000003"/>
    <n v="46.464000000000006"/>
    <n v="62.199999999999996"/>
    <n v="58.288999999999987"/>
    <n v="57.776000000000003"/>
    <n v="57.158000000000001"/>
    <n v="50.757000000000005"/>
    <n v="56.802"/>
    <n v="56.706000000000003"/>
    <n v="56.000999999999991"/>
    <n v="50.135999999999996"/>
    <n v="43.287999999999997"/>
    <n v="44.369"/>
    <n v="48.62"/>
    <n v="58.564999999999998"/>
    <n v="43.419999999999995"/>
    <n v="46.78"/>
    <n v="50.115290322580641"/>
    <n v="8.3525483870967729"/>
  </r>
  <r>
    <n v="9"/>
    <x v="0"/>
    <s v="EVCS-360020"/>
    <x v="6"/>
    <s v="ETO"/>
    <s v="Public-Paid"/>
    <s v="3.3 kW"/>
    <s v="OCPP"/>
    <n v="3"/>
    <x v="1"/>
    <n v="60.504999999999995"/>
    <n v="88.169000000000011"/>
    <n v="92.097999999999985"/>
    <n v="52.94"/>
    <n v="101.404"/>
    <n v="62.759000000000007"/>
    <n v="59.298000000000002"/>
    <n v="54.537999999999997"/>
    <n v="100.84400000000001"/>
    <n v="99.031000000000006"/>
    <n v="78.043000000000006"/>
    <n v="107.46799999999999"/>
    <n v="73.602000000000004"/>
    <n v="79.488"/>
    <n v="66.041000000000011"/>
    <n v="81.628999999999991"/>
    <n v="101.52200000000001"/>
    <n v="95.082000000000008"/>
    <n v="95.589999999999989"/>
    <n v="90.678000000000011"/>
    <n v="70.51100000000001"/>
    <n v="96.960999999999999"/>
    <n v="103.79499999999999"/>
    <n v="118.748"/>
    <n v="115.289"/>
    <n v="52.37299999999999"/>
    <n v="73.075999999999993"/>
    <n v="61.639000000000003"/>
    <n v="140.61000000000001"/>
    <n v="89.922999999999988"/>
    <n v="118.209"/>
    <n v="86.511709677419361"/>
    <n v="28.837236559139786"/>
  </r>
  <r>
    <n v="10"/>
    <x v="0"/>
    <s v="EVCS-360028"/>
    <x v="7"/>
    <s v="Trinity"/>
    <s v="Public-Free"/>
    <s v="3.3 kW"/>
    <s v="OCPP"/>
    <n v="1"/>
    <x v="3"/>
    <n v="0"/>
    <n v="0"/>
    <n v="2.645"/>
    <n v="0"/>
    <n v="0"/>
    <n v="0"/>
    <n v="0"/>
    <n v="3.379"/>
    <n v="0"/>
    <n v="0"/>
    <n v="0"/>
    <n v="0"/>
    <n v="0"/>
    <n v="3.3580000000000001"/>
    <n v="0"/>
    <n v="0"/>
    <n v="0"/>
    <n v="0"/>
    <n v="1.244"/>
    <n v="0"/>
    <n v="0"/>
    <n v="0"/>
    <n v="0"/>
    <n v="0"/>
    <n v="0"/>
    <n v="0"/>
    <n v="5.0599999999999996"/>
    <n v="0"/>
    <n v="0"/>
    <n v="0"/>
    <n v="0"/>
    <n v="0.50600000000000001"/>
    <n v="0.50600000000000001"/>
  </r>
  <r>
    <n v="11"/>
    <x v="0"/>
    <s v="EVCS-360030"/>
    <x v="8"/>
    <s v="Trinity"/>
    <s v="Public-Paid"/>
    <s v="7.4 kW"/>
    <s v="OCPP"/>
    <n v="2"/>
    <x v="0"/>
    <n v="0"/>
    <n v="0"/>
    <n v="3.2199999999999998"/>
    <n v="0"/>
    <n v="1.183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03225806451611"/>
    <n v="7.1016129032258055E-2"/>
  </r>
  <r>
    <n v="12"/>
    <x v="0"/>
    <s v="EVCS-360030"/>
    <x v="8"/>
    <s v="Trinity"/>
    <s v="Public-Paid"/>
    <s v="15 kw"/>
    <s v="DC Charger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1.6129032258064516E-3"/>
    <n v="8.0645161290322581E-4"/>
  </r>
  <r>
    <n v="13"/>
    <x v="0"/>
    <s v="EVCS-360031"/>
    <x v="9"/>
    <s v="Trinity"/>
    <s v="Public-Paid"/>
    <s v="3.3 kW"/>
    <s v="OCPP"/>
    <n v="7"/>
    <x v="2"/>
    <n v="103.00700000000001"/>
    <n v="45.223000000000006"/>
    <n v="73.332000000000008"/>
    <n v="134.28399999999999"/>
    <n v="66.87299999999999"/>
    <n v="118.46900000000001"/>
    <n v="126.70000000000002"/>
    <n v="58.077999999999996"/>
    <n v="103.99700000000001"/>
    <n v="98.159999999999982"/>
    <n v="123.71800000000002"/>
    <n v="145.79799999999997"/>
    <n v="96.092999999999989"/>
    <n v="105.95700000000001"/>
    <n v="102.15299999999999"/>
    <n v="103.634"/>
    <n v="168.91499999999999"/>
    <n v="78.928000000000011"/>
    <n v="127.495"/>
    <n v="79.094999999999999"/>
    <n v="96.07"/>
    <n v="113.98600000000002"/>
    <n v="94.272999999999996"/>
    <n v="92.214999999999989"/>
    <n v="77.550999999999988"/>
    <n v="110.628"/>
    <n v="91.956000000000003"/>
    <n v="35.763999999999996"/>
    <n v="65.055999999999997"/>
    <n v="108.246"/>
    <n v="58.553000000000004"/>
    <n v="96.909903225806474"/>
    <n v="13.844271889400925"/>
  </r>
  <r>
    <n v="14"/>
    <x v="0"/>
    <s v="EVCS-360031"/>
    <x v="9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x v="0"/>
    <s v="EVCS-360032"/>
    <x v="10"/>
    <s v="Trinity"/>
    <s v="Public-Paid"/>
    <s v="3.3 kW"/>
    <s v="OCPP"/>
    <n v="4"/>
    <x v="0"/>
    <n v="23.619"/>
    <n v="27.281000000000002"/>
    <n v="16.170000000000002"/>
    <n v="12.983000000000001"/>
    <n v="36.816000000000003"/>
    <n v="11.452"/>
    <n v="27.925999999999998"/>
    <n v="18.641999999999999"/>
    <n v="17.87"/>
    <n v="24.780999999999999"/>
    <n v="21.536999999999999"/>
    <n v="12.955000000000002"/>
    <n v="29.381999999999998"/>
    <n v="10.788"/>
    <n v="13.512"/>
    <n v="18.624000000000002"/>
    <n v="47.01"/>
    <n v="26.074000000000005"/>
    <n v="23.85"/>
    <n v="22.932000000000002"/>
    <n v="19.103000000000002"/>
    <n v="22.048000000000002"/>
    <n v="13.822000000000001"/>
    <n v="23.893000000000001"/>
    <n v="34.184999999999995"/>
    <n v="20.152000000000001"/>
    <n v="24.462"/>
    <n v="32.738"/>
    <n v="28.716000000000001"/>
    <n v="15.664999999999999"/>
    <n v="6.4480000000000004"/>
    <n v="22.110838709677424"/>
    <n v="5.5277096774193559"/>
  </r>
  <r>
    <n v="16"/>
    <x v="0"/>
    <s v="EVCS-360032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EVCS-360034"/>
    <x v="11"/>
    <s v="Trinity"/>
    <s v="Public-Paid"/>
    <s v="3.3 kW"/>
    <s v="OCPP"/>
    <n v="19"/>
    <x v="2"/>
    <n v="156.36999999999998"/>
    <n v="178.23700000000002"/>
    <n v="171.90899999999999"/>
    <n v="162.85599999999999"/>
    <n v="169.83399999999997"/>
    <n v="204.46999999999991"/>
    <n v="171.18199999999999"/>
    <n v="204.19699999999997"/>
    <n v="233.41599999999997"/>
    <n v="302.30500000000001"/>
    <n v="275.35400000000004"/>
    <n v="217.76299999999998"/>
    <n v="243.809"/>
    <n v="191.78699999999998"/>
    <n v="192.08999999999997"/>
    <n v="276.173"/>
    <n v="307.87900000000008"/>
    <n v="261.63199999999995"/>
    <n v="189.27200000000005"/>
    <n v="186.13499999999996"/>
    <n v="205.61500000000001"/>
    <n v="268.22499999999997"/>
    <n v="213.685"/>
    <n v="178.70400000000001"/>
    <n v="182.15499999999997"/>
    <n v="158.01400000000001"/>
    <n v="227.42599999999999"/>
    <n v="166.68599999999998"/>
    <n v="191.82899999999998"/>
    <n v="244.75999999999996"/>
    <n v="257.85599999999994"/>
    <n v="212.63306451612905"/>
    <n v="11.191213921901529"/>
  </r>
  <r>
    <n v="18"/>
    <x v="0"/>
    <s v="EVCS-360034"/>
    <x v="11"/>
    <s v="Trinity"/>
    <s v="Public-Paid"/>
    <s v="15kw"/>
    <s v="DC Charger"/>
    <n v="1"/>
    <x v="2"/>
    <n v="61.65"/>
    <n v="68.48"/>
    <n v="61.95"/>
    <n v="103.92999999999999"/>
    <n v="59.22"/>
    <n v="92.350000000000009"/>
    <n v="69.570000000000007"/>
    <n v="85.121000000000009"/>
    <n v="0"/>
    <n v="0"/>
    <n v="0"/>
    <n v="0"/>
    <n v="0"/>
    <n v="0"/>
    <n v="0"/>
    <n v="0"/>
    <n v="0"/>
    <n v="6.9489999999999998"/>
    <n v="87.039999999999992"/>
    <n v="59.13000000000001"/>
    <n v="60.79"/>
    <n v="10.74"/>
    <n v="28.09"/>
    <n v="34.130000000000003"/>
    <n v="79.41"/>
    <n v="68.518999999999991"/>
    <n v="11.63"/>
    <n v="0"/>
    <n v="21.93"/>
    <n v="45.451000000000001"/>
    <n v="87.689999999999969"/>
    <n v="38.831290322580649"/>
    <n v="38.831290322580649"/>
  </r>
  <r>
    <n v="19"/>
    <x v="0"/>
    <s v="EVCS-360035"/>
    <x v="12"/>
    <s v="Trinity"/>
    <s v="Public-Paid"/>
    <s v="3.3 kW"/>
    <s v="OCPP"/>
    <n v="8"/>
    <x v="2"/>
    <n v="197.13700000000003"/>
    <n v="108.09500000000001"/>
    <n v="122.85600000000001"/>
    <n v="196.17600000000002"/>
    <n v="177.36600000000001"/>
    <n v="156.78199999999998"/>
    <n v="170.65100000000001"/>
    <n v="137.81500000000003"/>
    <n v="162.86100000000005"/>
    <n v="143.58600000000004"/>
    <n v="146.74600000000004"/>
    <n v="86.798999999999978"/>
    <n v="134.96699999999996"/>
    <n v="82.435000000000002"/>
    <n v="137.98900000000003"/>
    <n v="127.94199999999999"/>
    <n v="131.97899999999998"/>
    <n v="191.69699999999997"/>
    <n v="164.24099999999999"/>
    <n v="191.35999999999999"/>
    <n v="156.441"/>
    <n v="180.00399999999999"/>
    <n v="158.70600000000007"/>
    <n v="184.30600000000001"/>
    <n v="130.47800000000004"/>
    <n v="181.83099999999999"/>
    <n v="148.529"/>
    <n v="127.62799999999999"/>
    <n v="174.19300000000001"/>
    <n v="113.22999999999999"/>
    <n v="209.89800000000002"/>
    <n v="152.73303225806453"/>
    <n v="19.091629032258066"/>
  </r>
  <r>
    <n v="20"/>
    <x v="0"/>
    <s v="EVCS-360035"/>
    <x v="13"/>
    <s v="Trinity"/>
    <s v="Public-Paid"/>
    <s v="7.4 kW"/>
    <s v="OCPP"/>
    <n v="1"/>
    <x v="0"/>
    <n v="0"/>
    <n v="0"/>
    <n v="0"/>
    <n v="33.033000000000001"/>
    <n v="14.14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2"/>
    <n v="1.522"/>
  </r>
  <r>
    <n v="21"/>
    <x v="0"/>
    <s v="EVCS-360035"/>
    <x v="13"/>
    <s v="Trinity"/>
    <s v="Public-Paid"/>
    <s v="12 kW"/>
    <s v="DC Charger"/>
    <n v="1"/>
    <x v="0"/>
    <n v="0"/>
    <n v="0"/>
    <n v="0"/>
    <n v="10.11"/>
    <n v="0"/>
    <n v="7.77"/>
    <n v="2.88"/>
    <n v="7.85"/>
    <n v="0"/>
    <n v="0"/>
    <n v="6.35"/>
    <n v="10.89"/>
    <n v="0"/>
    <n v="0"/>
    <n v="0"/>
    <n v="12.559999999999999"/>
    <n v="25.049999999999997"/>
    <n v="14.16"/>
    <n v="14.98"/>
    <n v="15.14"/>
    <n v="0"/>
    <n v="12.350000000000001"/>
    <n v="17.259999999999998"/>
    <n v="10.92"/>
    <n v="8.1999999999999993"/>
    <n v="28.869999999999997"/>
    <n v="28.05"/>
    <n v="7.69"/>
    <n v="14.43"/>
    <n v="11.07"/>
    <n v="0"/>
    <n v="8.5993548387096777"/>
    <n v="8.5993548387096777"/>
  </r>
  <r>
    <n v="22"/>
    <x v="0"/>
    <s v="EVCS-360035"/>
    <x v="13"/>
    <s v="Trinity"/>
    <s v="Public-Paid"/>
    <s v="15 kw"/>
    <s v="DC Charger"/>
    <n v="1"/>
    <x v="0"/>
    <n v="12.7"/>
    <n v="45.331000000000003"/>
    <n v="30.740000000000002"/>
    <n v="1.88"/>
    <n v="4.43"/>
    <n v="51.53"/>
    <n v="42.44"/>
    <n v="30.21"/>
    <n v="59.371000000000002"/>
    <n v="37.17"/>
    <n v="0"/>
    <n v="10.66"/>
    <n v="10.51"/>
    <n v="15.728999999999999"/>
    <n v="16.361000000000001"/>
    <n v="24.04"/>
    <n v="21.978999999999999"/>
    <n v="0"/>
    <n v="0"/>
    <n v="38.85"/>
    <n v="43.879999999999995"/>
    <n v="39.64"/>
    <n v="55.798999999999999"/>
    <n v="29.850000000000005"/>
    <n v="16.170000000000002"/>
    <n v="0"/>
    <n v="20.72"/>
    <n v="34.729999999999997"/>
    <n v="42.51"/>
    <n v="49.15"/>
    <n v="41.030999999999999"/>
    <n v="26.690677419354838"/>
    <n v="26.690677419354838"/>
  </r>
  <r>
    <n v="23"/>
    <x v="0"/>
    <s v="EVCS-360035"/>
    <x v="13"/>
    <s v="Trinity"/>
    <s v="Public-Paid"/>
    <s v="60 kw"/>
    <s v="DC Charger"/>
    <n v="1"/>
    <x v="0"/>
    <n v="227.75"/>
    <n v="169.2"/>
    <n v="356.70000000000005"/>
    <n v="228.47699999999998"/>
    <n v="32.325000000000003"/>
    <n v="222.05"/>
    <n v="302.10000000000002"/>
    <n v="471.72399999999999"/>
    <n v="392.99999999999994"/>
    <n v="313.07499999999999"/>
    <n v="160.72499999999999"/>
    <n v="99.871999999999986"/>
    <n v="192.80199999999999"/>
    <n v="215.999"/>
    <n v="315.70100000000008"/>
    <n v="346.72599999999994"/>
    <n v="320.40000000000003"/>
    <n v="184.22699999999995"/>
    <n v="169.65"/>
    <n v="226.20099999999991"/>
    <n v="477.17399999999992"/>
    <n v="401.524"/>
    <n v="446.52499999999992"/>
    <n v="405.42500000000001"/>
    <n v="138.42600000000002"/>
    <n v="146.84899999999999"/>
    <n v="418.92699999999996"/>
    <n v="398.27799999999991"/>
    <n v="486.07800000000003"/>
    <n v="395.5"/>
    <n v="444.0499999999999"/>
    <n v="293.78903225806448"/>
    <n v="293.78903225806448"/>
  </r>
  <r>
    <n v="24"/>
    <x v="0"/>
    <s v="EVCS-360035"/>
    <x v="13"/>
    <s v="Trinity"/>
    <s v="Public-Paid"/>
    <s v="120 kw"/>
    <s v="DC Charger"/>
    <n v="1"/>
    <x v="0"/>
    <n v="237.99000000000004"/>
    <n v="280.14999999999998"/>
    <n v="279.15999999999997"/>
    <n v="111.87"/>
    <n v="134.91"/>
    <n v="254.49"/>
    <n v="451.53"/>
    <n v="319.35999999999996"/>
    <n v="454.17999999999995"/>
    <n v="381.13"/>
    <n v="209.59000000000003"/>
    <n v="87.95"/>
    <n v="210.77"/>
    <n v="168.96"/>
    <n v="253.83999999999997"/>
    <n v="282.37"/>
    <n v="294.36999999999995"/>
    <n v="154.64000000000001"/>
    <n v="80.139999999999986"/>
    <n v="299.12"/>
    <n v="399.15000000000003"/>
    <n v="416.22999999999996"/>
    <n v="406.15000000000003"/>
    <n v="323.88"/>
    <n v="143.4"/>
    <n v="27.21"/>
    <n v="358.39999999999992"/>
    <n v="404.39000000000004"/>
    <n v="468.18"/>
    <n v="414.1699999999999"/>
    <n v="432.94999999999993"/>
    <n v="281.95580645161289"/>
    <n v="281.95580645161289"/>
  </r>
  <r>
    <n v="25"/>
    <x v="0"/>
    <s v="EVCS-360041"/>
    <x v="14"/>
    <s v="Trinity"/>
    <s v="Public-Paid"/>
    <s v="3.3 kW"/>
    <s v="OCPP"/>
    <n v="7"/>
    <x v="2"/>
    <n v="34.646000000000001"/>
    <n v="163.92099999999999"/>
    <n v="126.964"/>
    <n v="135.75299999999999"/>
    <n v="165.10599999999997"/>
    <n v="96.382999999999996"/>
    <n v="139.19199999999998"/>
    <n v="112.245"/>
    <n v="109.11499999999999"/>
    <n v="117.836"/>
    <n v="91.846000000000004"/>
    <n v="90.448999999999998"/>
    <n v="133.53199999999998"/>
    <n v="51.187000000000005"/>
    <n v="107.26600000000002"/>
    <n v="85.540999999999997"/>
    <n v="107.71900000000001"/>
    <n v="95.907000000000011"/>
    <n v="125.038"/>
    <n v="152.40799999999999"/>
    <n v="134.99700000000001"/>
    <n v="158.44299999999998"/>
    <n v="181.36800000000002"/>
    <n v="161.59"/>
    <n v="137.155"/>
    <n v="207.26499999999996"/>
    <n v="131.405"/>
    <n v="148.62"/>
    <n v="108.23400000000001"/>
    <n v="190.74200000000002"/>
    <n v="193.60900000000004"/>
    <n v="128.88651612903226"/>
    <n v="18.412359447004608"/>
  </r>
  <r>
    <n v="26"/>
    <x v="0"/>
    <s v="EVCS-360036"/>
    <x v="15"/>
    <s v="Trinity"/>
    <s v="Public-Paid"/>
    <s v="3.3 kW"/>
    <s v="OCPP"/>
    <n v="1"/>
    <x v="0"/>
    <n v="7.2910000000000004"/>
    <n v="1.2329999999999999"/>
    <n v="13.481999999999999"/>
    <n v="13.291"/>
    <n v="1.4609999999999999"/>
    <n v="12.169"/>
    <n v="14.670999999999999"/>
    <n v="10.559000000000001"/>
    <n v="8.5239999999999991"/>
    <n v="6.8380000000000001"/>
    <n v="2.726"/>
    <n v="11.540000000000001"/>
    <n v="6.7559999999999993"/>
    <n v="3.9129999999999994"/>
    <n v="6.4640000000000004"/>
    <n v="13.444000000000001"/>
    <n v="13.063000000000001"/>
    <n v="14.88"/>
    <n v="10.952999999999999"/>
    <n v="8.7129999999999992"/>
    <n v="7.3239999999999998"/>
    <n v="1.3330000000000002"/>
    <n v="5.0939999999999994"/>
    <n v="2.3090000000000002"/>
    <n v="9.6079999999999988"/>
    <n v="0"/>
    <n v="2.532"/>
    <n v="7.7679999999999998"/>
    <n v="11.036000000000001"/>
    <n v="5.835"/>
    <n v="10.114000000000001"/>
    <n v="7.9007741935483873"/>
    <n v="7.9007741935483873"/>
  </r>
  <r>
    <n v="27"/>
    <x v="0"/>
    <s v="EVCS-360036"/>
    <x v="15"/>
    <s v="Trinity"/>
    <s v="Public-Paid"/>
    <s v="7.4 kW"/>
    <s v="OCPP"/>
    <n v="1"/>
    <x v="0"/>
    <n v="3.6309999999999998"/>
    <n v="3.5750000000000002"/>
    <n v="0"/>
    <n v="0"/>
    <n v="0"/>
    <n v="1.6419999999999999"/>
    <n v="46.704000000000001"/>
    <n v="18.003"/>
    <n v="23.933999999999997"/>
    <n v="25.531999999999996"/>
    <n v="13.48"/>
    <n v="0"/>
    <n v="26.629000000000001"/>
    <n v="13.783999999999999"/>
    <n v="38.525000000000006"/>
    <n v="12.877000000000001"/>
    <n v="22.718999999999998"/>
    <n v="19.841999999999999"/>
    <n v="0"/>
    <n v="1.595"/>
    <n v="48.076999999999991"/>
    <n v="13.248000000000001"/>
    <n v="27.934999999999999"/>
    <n v="0.57099999999999995"/>
    <n v="1.0449999999999999"/>
    <n v="9.0370000000000008"/>
    <n v="4.3650000000000002"/>
    <n v="37.741"/>
    <n v="0"/>
    <n v="0.84499999999999997"/>
    <n v="30.631"/>
    <n v="14.386032258064519"/>
    <n v="14.386032258064519"/>
  </r>
  <r>
    <n v="28"/>
    <x v="0"/>
    <s v="EVCS-360036"/>
    <x v="15"/>
    <s v="Trinity"/>
    <s v="Public-Paid"/>
    <s v="12kW"/>
    <s v="DC Charger"/>
    <n v="1"/>
    <x v="0"/>
    <n v="22.849999999999998"/>
    <n v="16.86"/>
    <n v="44.89"/>
    <n v="19.829999999999998"/>
    <n v="0"/>
    <n v="0"/>
    <n v="16.12"/>
    <n v="33.480000000000004"/>
    <n v="25.8"/>
    <n v="30.57"/>
    <n v="32.770000000000003"/>
    <n v="51.89"/>
    <n v="8.6999999999999993"/>
    <n v="0"/>
    <n v="0"/>
    <n v="33.269999999999996"/>
    <n v="52.759999999999991"/>
    <n v="48.600999999999999"/>
    <n v="8.82"/>
    <n v="0"/>
    <n v="32.059999999999995"/>
    <n v="0.02"/>
    <n v="32.03"/>
    <n v="61.25"/>
    <n v="26.29"/>
    <n v="0"/>
    <n v="0"/>
    <n v="16.099999999999998"/>
    <n v="31.360000000000003"/>
    <n v="0.04"/>
    <n v="0"/>
    <n v="20.850354838709674"/>
    <n v="20.850354838709674"/>
  </r>
  <r>
    <n v="29"/>
    <x v="0"/>
    <s v="EVCS-360036"/>
    <x v="15"/>
    <s v="Trinity"/>
    <s v="Public-Paid"/>
    <s v="25 kW"/>
    <s v="DC Charger"/>
    <n v="2"/>
    <x v="0"/>
    <n v="134.81900000000002"/>
    <n v="77.438000000000002"/>
    <n v="128.881"/>
    <n v="106.10400000000001"/>
    <n v="84.8"/>
    <n v="100.92399999999999"/>
    <n v="172.01600000000002"/>
    <n v="158.73999999999998"/>
    <n v="122.68399999999998"/>
    <n v="157.08199999999999"/>
    <n v="141.52499999999998"/>
    <n v="95.513000000000005"/>
    <n v="85.137"/>
    <n v="130.75399999999999"/>
    <n v="145.39400000000001"/>
    <n v="129.238"/>
    <n v="148.47399999999999"/>
    <n v="192.63200000000001"/>
    <n v="98.411000000000001"/>
    <n v="122.515"/>
    <n v="128.803"/>
    <n v="133.20600000000002"/>
    <n v="194.84900000000005"/>
    <n v="125.965"/>
    <n v="301.83599999999996"/>
    <n v="66.355000000000004"/>
    <n v="128.83799999999999"/>
    <n v="84.528000000000006"/>
    <n v="85.670999999999992"/>
    <n v="241.857"/>
    <n v="43.091000000000001"/>
    <n v="131.22838709677418"/>
    <n v="65.614193548387092"/>
  </r>
  <r>
    <n v="30"/>
    <x v="0"/>
    <s v="EVCS-360039"/>
    <x v="16"/>
    <s v="Trinity"/>
    <s v="Public-Paid"/>
    <s v="3.3 kW"/>
    <s v="OCPP"/>
    <n v="9"/>
    <x v="2"/>
    <n v="195.75799999999998"/>
    <n v="126.71300000000001"/>
    <n v="180.13700000000003"/>
    <n v="196.52300000000002"/>
    <n v="179.09400000000002"/>
    <n v="152.52600000000001"/>
    <n v="183.32899999999998"/>
    <n v="209.67400000000001"/>
    <n v="154.97999999999999"/>
    <n v="183.73100000000002"/>
    <n v="192.79800000000003"/>
    <n v="186.44100000000003"/>
    <n v="151.24800000000002"/>
    <n v="176.20299999999997"/>
    <n v="3.1"/>
    <n v="125.02600000000002"/>
    <n v="148.40700000000004"/>
    <n v="195.05500000000006"/>
    <n v="189.21800000000002"/>
    <n v="154.98100000000005"/>
    <n v="225.67800000000005"/>
    <n v="147.72400000000005"/>
    <n v="124.43800000000003"/>
    <n v="192.41199999999998"/>
    <n v="140.44599999999997"/>
    <n v="183.52"/>
    <n v="185.33400000000006"/>
    <n v="151.50400000000002"/>
    <n v="177.89700000000002"/>
    <n v="175.96200000000002"/>
    <n v="180.27799999999999"/>
    <n v="166.77854838709681"/>
    <n v="18.530949820788535"/>
  </r>
  <r>
    <n v="31"/>
    <x v="0"/>
    <s v="EVCS-360039"/>
    <x v="16"/>
    <s v="Trinity"/>
    <s v="Public-Paid"/>
    <s v="15 kw"/>
    <s v="DC Charger"/>
    <n v="1"/>
    <x v="2"/>
    <n v="10.059999999999999"/>
    <n v="30.83"/>
    <n v="25.63"/>
    <n v="20.48"/>
    <n v="29.7"/>
    <n v="15.71"/>
    <n v="18.52"/>
    <n v="31.950000000000003"/>
    <n v="23.92"/>
    <n v="17.239999999999998"/>
    <n v="5.25"/>
    <n v="7.18"/>
    <n v="1.38"/>
    <n v="0"/>
    <n v="0"/>
    <n v="0"/>
    <n v="2.0999999999999996"/>
    <n v="3.74"/>
    <n v="9.17"/>
    <n v="0"/>
    <n v="0"/>
    <n v="5.62"/>
    <n v="5.4399999999999995"/>
    <n v="3.1199999999999997"/>
    <n v="9.82"/>
    <n v="11.68"/>
    <n v="5.63"/>
    <n v="2.5299999999999998"/>
    <n v="5.85"/>
    <n v="5.12"/>
    <n v="4.9000000000000004"/>
    <n v="10.082903225806451"/>
    <n v="10.082903225806451"/>
  </r>
  <r>
    <n v="32"/>
    <x v="0"/>
    <s v="EVCS-360040"/>
    <x v="17"/>
    <s v="Trinity"/>
    <s v="Public-Paid"/>
    <s v="3.3 kW"/>
    <s v="OCPP"/>
    <n v="8"/>
    <x v="2"/>
    <n v="38.042999999999999"/>
    <n v="87.667000000000016"/>
    <n v="107.60899999999999"/>
    <n v="65.012"/>
    <n v="118.73499999999999"/>
    <n v="69.424999999999997"/>
    <n v="123.31700000000001"/>
    <n v="92.438000000000017"/>
    <n v="92.675000000000011"/>
    <n v="106.00900000000001"/>
    <n v="87.738000000000014"/>
    <n v="101.42699999999999"/>
    <n v="76.521000000000001"/>
    <n v="62.959000000000003"/>
    <n v="24.89"/>
    <n v="70.992999999999995"/>
    <n v="91.328000000000003"/>
    <n v="90.495000000000005"/>
    <n v="62.550999999999995"/>
    <n v="120.57699999999997"/>
    <n v="105.48400000000001"/>
    <n v="68.657000000000011"/>
    <n v="117.39600000000002"/>
    <n v="108.38299999999998"/>
    <n v="109.70600000000002"/>
    <n v="75.097999999999985"/>
    <n v="118.66800000000001"/>
    <n v="116.06699999999996"/>
    <n v="93.516000000000005"/>
    <n v="125.87400000000001"/>
    <n v="89.542000000000002"/>
    <n v="90.92903225806451"/>
    <n v="11.366129032258064"/>
  </r>
  <r>
    <n v="33"/>
    <x v="0"/>
    <s v="EVCS-360040"/>
    <x v="17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4"/>
    <x v="0"/>
    <s v="EVCS-360042"/>
    <x v="18"/>
    <s v="Trinity"/>
    <s v="Public-Paid"/>
    <s v="3.3 kW"/>
    <s v="OCPP"/>
    <n v="2"/>
    <x v="1"/>
    <n v="8.34"/>
    <n v="10.747"/>
    <n v="11.548999999999999"/>
    <n v="16.987000000000002"/>
    <n v="9.2689999999999984"/>
    <n v="13.154"/>
    <n v="1.89"/>
    <n v="12.931999999999999"/>
    <n v="12.478000000000002"/>
    <n v="8.7419999999999991"/>
    <n v="8.2919999999999998"/>
    <n v="0"/>
    <n v="7.9360000000000008"/>
    <n v="5.5380000000000003"/>
    <n v="10.097999999999999"/>
    <n v="2.4710000000000001"/>
    <n v="9.9550000000000001"/>
    <n v="11.978"/>
    <n v="7.4909999999999997"/>
    <n v="16.399999999999999"/>
    <n v="16.141999999999999"/>
    <n v="23.507000000000001"/>
    <n v="12.156000000000001"/>
    <n v="10.597"/>
    <n v="8.2560000000000002"/>
    <n v="14.375000000000002"/>
    <n v="23.77"/>
    <n v="8.1809999999999992"/>
    <n v="21.664999999999999"/>
    <n v="12.904999999999999"/>
    <n v="1.0960000000000001"/>
    <n v="10.932161290322583"/>
    <n v="5.4660806451612913"/>
  </r>
  <r>
    <n v="35"/>
    <x v="0"/>
    <s v="EVCS-360043"/>
    <x v="19"/>
    <s v="Trinity"/>
    <s v="Public-Paid"/>
    <s v="3.3 kW"/>
    <s v="OCPP"/>
    <n v="11"/>
    <x v="2"/>
    <n v="168.37599999999995"/>
    <n v="80.819000000000003"/>
    <n v="229.84200000000001"/>
    <n v="213.24499999999998"/>
    <n v="175.51300000000001"/>
    <n v="103.33099999999999"/>
    <n v="198.90299999999999"/>
    <n v="177.22700000000003"/>
    <n v="172.79300000000003"/>
    <n v="83.073999999999998"/>
    <n v="143.84199999999996"/>
    <n v="147.84300000000002"/>
    <n v="56.003"/>
    <n v="85.045000000000016"/>
    <n v="23.064"/>
    <n v="91.981000000000023"/>
    <n v="114.45399999999999"/>
    <n v="139.05700000000002"/>
    <n v="95.356000000000009"/>
    <n v="60.091999999999999"/>
    <n v="146.99199999999999"/>
    <n v="159.32300000000001"/>
    <n v="170.04699999999997"/>
    <n v="159.46600000000001"/>
    <n v="168.62499999999997"/>
    <n v="135.529"/>
    <n v="80.619"/>
    <n v="137.01700000000002"/>
    <n v="146.89000000000001"/>
    <n v="117.61999999999999"/>
    <n v="158.40100000000001"/>
    <n v="133.56093548387096"/>
    <n v="12.141903225806452"/>
  </r>
  <r>
    <n v="36"/>
    <x v="0"/>
    <s v="EVCS-360043"/>
    <x v="19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x v="0"/>
    <s v="EVCS-360044"/>
    <x v="20"/>
    <s v="Trinity"/>
    <s v="Public-Paid"/>
    <s v="3.3 kW"/>
    <s v="OCPP"/>
    <n v="1"/>
    <x v="3"/>
    <n v="0"/>
    <n v="2.1909999999999998"/>
    <n v="0"/>
    <n v="0"/>
    <n v="0"/>
    <n v="0"/>
    <n v="0"/>
    <n v="0.30499999999999999"/>
    <n v="1.9930000000000001"/>
    <n v="0"/>
    <n v="0"/>
    <n v="2.2389999999999999"/>
    <n v="2.4940000000000002"/>
    <n v="0"/>
    <n v="0"/>
    <n v="0"/>
    <n v="0"/>
    <n v="1.9690000000000001"/>
    <n v="0"/>
    <n v="0"/>
    <n v="0"/>
    <n v="0"/>
    <n v="0"/>
    <n v="2.4119999999999999"/>
    <n v="0"/>
    <n v="3.8970000000000002"/>
    <n v="0"/>
    <n v="0"/>
    <n v="0"/>
    <n v="1.768"/>
    <n v="0"/>
    <n v="0.62154838709677418"/>
    <n v="0.62154838709677418"/>
  </r>
  <r>
    <n v="38"/>
    <x v="0"/>
    <s v="EVCS-360045"/>
    <x v="21"/>
    <s v="Trinity"/>
    <s v="Public-Paid"/>
    <s v="3.3 kW"/>
    <s v="OCPP"/>
    <n v="6"/>
    <x v="2"/>
    <n v="66.688000000000002"/>
    <n v="74.155000000000015"/>
    <n v="63.232999999999997"/>
    <n v="87.85199999999999"/>
    <n v="68.431999999999988"/>
    <n v="77.864000000000004"/>
    <n v="86.51600000000002"/>
    <n v="68.194000000000003"/>
    <n v="76.463999999999999"/>
    <n v="71.60299999999998"/>
    <n v="92.15"/>
    <n v="66.450999999999993"/>
    <n v="38.185000000000002"/>
    <n v="38.324000000000012"/>
    <n v="50.674999999999997"/>
    <n v="75.962999999999994"/>
    <n v="73.38000000000001"/>
    <n v="82.959000000000003"/>
    <n v="61.972999999999999"/>
    <n v="84.084000000000003"/>
    <n v="84.734000000000009"/>
    <n v="64.224999999999994"/>
    <n v="72.514000000000024"/>
    <n v="77.075000000000017"/>
    <n v="81.215999999999994"/>
    <n v="73.05"/>
    <n v="80.594000000000008"/>
    <n v="75.589000000000013"/>
    <n v="63.132000000000005"/>
    <n v="74.984999999999985"/>
    <n v="71.301999999999992"/>
    <n v="71.727774193548399"/>
    <n v="11.954629032258067"/>
  </r>
  <r>
    <n v="39"/>
    <x v="0"/>
    <s v="EVCS-360046"/>
    <x v="22"/>
    <s v="Trinity"/>
    <s v="Public-Paid"/>
    <s v="3.3 kW"/>
    <s v="OCPP"/>
    <n v="13"/>
    <x v="2"/>
    <n v="62.911000000000008"/>
    <n v="81.221999999999994"/>
    <n v="66.390999999999991"/>
    <n v="85.775000000000006"/>
    <n v="72.77000000000001"/>
    <n v="65.36999999999999"/>
    <n v="93.049000000000007"/>
    <n v="68.096999999999994"/>
    <n v="87.153999999999996"/>
    <n v="58.071000000000005"/>
    <n v="72.539000000000001"/>
    <n v="81.706999999999994"/>
    <n v="59.792999999999999"/>
    <n v="19.929000000000002"/>
    <n v="3.01"/>
    <n v="23.687000000000001"/>
    <n v="107.89499999999998"/>
    <n v="35.316000000000003"/>
    <n v="75.868000000000009"/>
    <n v="46.629000000000005"/>
    <n v="125.30100000000002"/>
    <n v="76.025000000000006"/>
    <n v="158.15899999999999"/>
    <n v="96.118999999999986"/>
    <n v="148.77300000000002"/>
    <n v="112.139"/>
    <n v="101.42999999999999"/>
    <n v="83.307000000000002"/>
    <n v="102.39200000000001"/>
    <n v="111.033"/>
    <n v="131.50099999999995"/>
    <n v="81.076193548387053"/>
    <n v="6.2366302729528504"/>
  </r>
  <r>
    <n v="40"/>
    <x v="0"/>
    <s v="EVCS-360047"/>
    <x v="23"/>
    <s v="Trinity"/>
    <s v="Public-Paid"/>
    <s v="22 kw"/>
    <s v="OCPP"/>
    <n v="1"/>
    <x v="3"/>
    <n v="0"/>
    <n v="0"/>
    <n v="0"/>
    <n v="0"/>
    <n v="0"/>
    <n v="0"/>
    <n v="15.727999999999998"/>
    <n v="1.7849999999999999"/>
    <n v="0"/>
    <n v="0"/>
    <n v="0"/>
    <n v="0"/>
    <n v="0"/>
    <n v="0"/>
    <n v="2.798"/>
    <n v="0"/>
    <n v="0"/>
    <n v="0"/>
    <n v="0"/>
    <n v="0"/>
    <n v="13.074"/>
    <n v="14.981999999999999"/>
    <n v="18.163"/>
    <n v="0"/>
    <n v="11.246"/>
    <n v="15.933"/>
    <n v="0"/>
    <n v="13.132000000000001"/>
    <n v="6.2639999999999993"/>
    <n v="0"/>
    <n v="0"/>
    <n v="3.6485483870967745"/>
    <n v="3.6485483870967745"/>
  </r>
  <r>
    <n v="41"/>
    <x v="0"/>
    <s v="EVCS-360048"/>
    <x v="24"/>
    <s v="Trinity"/>
    <s v="Public-Paid"/>
    <s v="3.3 kW"/>
    <s v="OCPP"/>
    <n v="5"/>
    <x v="2"/>
    <n v="25.95"/>
    <n v="15.837"/>
    <n v="29.909000000000002"/>
    <n v="8.2579999999999991"/>
    <n v="15.738000000000003"/>
    <n v="21.632999999999999"/>
    <n v="23.933"/>
    <n v="17.544"/>
    <n v="23.662999999999997"/>
    <n v="19.954000000000001"/>
    <n v="16.826999999999998"/>
    <n v="24.459"/>
    <n v="13.96"/>
    <n v="15.347999999999999"/>
    <n v="38.686999999999998"/>
    <n v="28.036000000000001"/>
    <n v="26.988"/>
    <n v="23.001000000000001"/>
    <n v="17.019000000000002"/>
    <n v="13.567"/>
    <n v="11.603000000000002"/>
    <n v="35.569999999999993"/>
    <n v="19.840999999999998"/>
    <n v="11.253"/>
    <n v="22.571000000000002"/>
    <n v="13.362000000000002"/>
    <n v="17.338999999999999"/>
    <n v="18.091000000000001"/>
    <n v="13.823"/>
    <n v="24.588000000000001"/>
    <n v="20.840000000000003"/>
    <n v="20.296516129032256"/>
    <n v="4.0593032258064508"/>
  </r>
  <r>
    <n v="42"/>
    <x v="0"/>
    <s v="EVCS-360049"/>
    <x v="25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s v="EVCS-360050"/>
    <x v="26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s v="EVCS-360051"/>
    <x v="27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s v="EVCS-360052"/>
    <x v="28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0"/>
    <s v="EVCS-360053"/>
    <x v="29"/>
    <s v="Trinity"/>
    <s v="Public-Paid"/>
    <s v="25 kW"/>
    <s v="DC Charger"/>
    <n v="2"/>
    <x v="0"/>
    <n v="209.66099999999994"/>
    <n v="194.14099999999996"/>
    <n v="342.10399999999998"/>
    <n v="196.857"/>
    <n v="50.115000000000002"/>
    <n v="225.73799999999997"/>
    <n v="338.25799999999992"/>
    <n v="430.07499999999999"/>
    <n v="324.36199999999997"/>
    <n v="392.7480000000001"/>
    <n v="135.99"/>
    <n v="81.171999999999997"/>
    <n v="238.77300000000002"/>
    <n v="224.89699999999996"/>
    <n v="240.06800000000007"/>
    <n v="291.58199999999999"/>
    <n v="283.45699999999999"/>
    <n v="204.61600000000004"/>
    <n v="117.664"/>
    <n v="329.58500000000009"/>
    <n v="338.60999999999996"/>
    <n v="322.00700000000001"/>
    <n v="373.87900000000008"/>
    <n v="366.09899999999999"/>
    <n v="107.523"/>
    <n v="82.597000000000008"/>
    <n v="274.464"/>
    <n v="440.97699999999992"/>
    <n v="425.67099999999994"/>
    <n v="421.27700000000004"/>
    <n v="369.90999999999997"/>
    <n v="270.1573225806452"/>
    <n v="135.0786612903226"/>
  </r>
  <r>
    <n v="47"/>
    <x v="0"/>
    <s v="EVCS-360054"/>
    <x v="30"/>
    <s v="Trinity"/>
    <s v="Public-Paid"/>
    <s v="3.3 kW"/>
    <s v="OCPP"/>
    <n v="5"/>
    <x v="3"/>
    <n v="9.0419999999999998"/>
    <n v="5.4009999999999998"/>
    <n v="7.9249999999999998"/>
    <n v="5.9499999999999993"/>
    <n v="17.377000000000002"/>
    <n v="9.4759999999999991"/>
    <n v="7.2040000000000006"/>
    <n v="1.3540000000000001"/>
    <n v="18.940999999999999"/>
    <n v="7.3550000000000004"/>
    <n v="2.4820000000000002"/>
    <n v="7.4809999999999999"/>
    <n v="1.964"/>
    <n v="4.4749999999999996"/>
    <n v="0"/>
    <n v="19.603000000000002"/>
    <n v="5.3529999999999998"/>
    <n v="0"/>
    <n v="8.7489999999999988"/>
    <n v="11.279"/>
    <n v="19.036000000000001"/>
    <n v="5.3840000000000003"/>
    <n v="11.084"/>
    <n v="8.7780000000000005"/>
    <n v="3.758"/>
    <n v="21.143999999999998"/>
    <n v="10.743"/>
    <n v="6.98"/>
    <n v="22.569999999999997"/>
    <n v="5.8559999999999999"/>
    <n v="9.3659999999999997"/>
    <n v="8.9067741935483884"/>
    <n v="1.7813548387096776"/>
  </r>
  <r>
    <n v="48"/>
    <x v="0"/>
    <s v="EVCS-360055"/>
    <x v="31"/>
    <s v="Trinity"/>
    <s v="Public-Paid"/>
    <s v="3.3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0"/>
    <s v="EVCS-360055"/>
    <x v="31"/>
    <s v="Trinity"/>
    <s v="Public-Paid"/>
    <s v="22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0"/>
    <s v="EVCS-360057"/>
    <x v="32"/>
    <s v="Trinity"/>
    <s v="Public-Paid"/>
    <s v="3.3 kW"/>
    <s v="OCPP"/>
    <n v="1"/>
    <x v="0"/>
    <n v="3.698"/>
    <n v="4.7370000000000001"/>
    <n v="3.7160000000000002"/>
    <n v="4.1710000000000003"/>
    <n v="2.3860000000000001"/>
    <n v="4.4180000000000001"/>
    <n v="3.6019999999999999"/>
    <n v="2.7639999999999998"/>
    <n v="5.44"/>
    <n v="4.3549999999999995"/>
    <n v="0"/>
    <n v="6.0049999999999999"/>
    <n v="4.2450000000000001"/>
    <n v="2.2589999999999999"/>
    <n v="3.2450000000000001"/>
    <n v="1.9379999999999999"/>
    <n v="2.1779999999999999"/>
    <n v="3.3540000000000001"/>
    <n v="3.5419999999999998"/>
    <n v="4.4989999999999997"/>
    <n v="3.6509999999999998"/>
    <n v="6.798"/>
    <n v="2.0430000000000001"/>
    <n v="3.5569999999999999"/>
    <n v="4.3520000000000003"/>
    <n v="1.474"/>
    <n v="3.661"/>
    <n v="4.1829999999999998"/>
    <n v="3.84"/>
    <n v="4.3479999999999999"/>
    <n v="2.8940000000000001"/>
    <n v="3.5920322580645161"/>
    <n v="3.5920322580645161"/>
  </r>
  <r>
    <n v="51"/>
    <x v="0"/>
    <s v="EVCS-360057"/>
    <x v="32"/>
    <s v="Trinity"/>
    <s v="Public-Paid"/>
    <s v="7.4 kW"/>
    <s v="OCPP"/>
    <n v="1"/>
    <x v="0"/>
    <n v="0"/>
    <n v="0"/>
    <n v="0"/>
    <n v="0"/>
    <n v="0"/>
    <n v="7.5449999999999999"/>
    <n v="10.347000000000001"/>
    <n v="0"/>
    <n v="0"/>
    <n v="0"/>
    <n v="0"/>
    <n v="0"/>
    <n v="2.831"/>
    <n v="0"/>
    <n v="0"/>
    <n v="0"/>
    <n v="0"/>
    <n v="0"/>
    <n v="0"/>
    <n v="0"/>
    <n v="0"/>
    <n v="0"/>
    <n v="0"/>
    <n v="0"/>
    <n v="0"/>
    <n v="0"/>
    <n v="0"/>
    <n v="0.44800000000000001"/>
    <n v="0"/>
    <n v="0"/>
    <n v="4.5810000000000004"/>
    <n v="0.83070967741935486"/>
    <n v="0.83070967741935486"/>
  </r>
  <r>
    <n v="52"/>
    <x v="0"/>
    <s v="EVCS-360057"/>
    <x v="32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0"/>
    <s v="EVCS-360056"/>
    <x v="33"/>
    <s v="Trinity"/>
    <s v="Public-Paid"/>
    <s v="3.3 kW"/>
    <s v="OCPP"/>
    <n v="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0"/>
    <s v="EVCS-360059"/>
    <x v="34"/>
    <s v="Trinity"/>
    <s v="Public-Paid"/>
    <s v="3.3 kW"/>
    <s v="OCPP"/>
    <n v="1"/>
    <x v="3"/>
    <n v="0"/>
    <n v="0"/>
    <n v="0"/>
    <n v="0"/>
    <n v="0"/>
    <n v="0"/>
    <n v="1.3080000000000001"/>
    <n v="9.9000000000000005E-2"/>
    <n v="0.93100000000000005"/>
    <n v="0"/>
    <n v="0"/>
    <n v="0"/>
    <n v="0"/>
    <n v="0"/>
    <n v="0"/>
    <n v="0"/>
    <n v="0"/>
    <n v="0"/>
    <n v="0"/>
    <n v="0.57099999999999995"/>
    <n v="0"/>
    <n v="0"/>
    <n v="0"/>
    <n v="0"/>
    <n v="0"/>
    <n v="0"/>
    <n v="0"/>
    <n v="0"/>
    <n v="0"/>
    <n v="0"/>
    <n v="0"/>
    <n v="9.3838709677419349E-2"/>
    <n v="9.3838709677419349E-2"/>
  </r>
  <r>
    <n v="55"/>
    <x v="1"/>
    <s v="EVCS-360060"/>
    <x v="35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"/>
    <x v="0"/>
    <s v="EVCS-360061"/>
    <x v="36"/>
    <s v="Trinity"/>
    <s v="Public-Paid"/>
    <s v="3.3 kW"/>
    <s v="OCPP"/>
    <n v="1"/>
    <x v="1"/>
    <n v="0"/>
    <n v="5.4210000000000003"/>
    <n v="0"/>
    <n v="2.6219999999999999"/>
    <n v="3.0070000000000001"/>
    <n v="7.0380000000000003"/>
    <n v="4.8140000000000001"/>
    <n v="2.73"/>
    <n v="3.823"/>
    <n v="2.7170000000000001"/>
    <n v="2.75"/>
    <n v="0"/>
    <n v="4.2450000000000001"/>
    <n v="0"/>
    <n v="0"/>
    <n v="0"/>
    <n v="3.8180000000000005"/>
    <n v="2.718"/>
    <n v="2.718"/>
    <n v="2.7349999999999999"/>
    <n v="0"/>
    <n v="0"/>
    <n v="0"/>
    <n v="0"/>
    <n v="3.2469999999999994"/>
    <n v="0"/>
    <n v="3.8260000000000005"/>
    <n v="2.7639999999999998"/>
    <n v="5.1950000000000003"/>
    <n v="3.7469999999999999"/>
    <n v="3.0350000000000001"/>
    <n v="2.353870967741936"/>
    <n v="2.353870967741936"/>
  </r>
  <r>
    <n v="57"/>
    <x v="0"/>
    <s v="EVCS-360062"/>
    <x v="37"/>
    <s v="Trinity"/>
    <s v="Public-Paid"/>
    <s v="3.3 kW"/>
    <s v="OCPP"/>
    <n v="10"/>
    <x v="2"/>
    <n v="20.826999999999998"/>
    <n v="72.046999999999997"/>
    <n v="63.585999999999991"/>
    <n v="26.423000000000002"/>
    <n v="33.104000000000006"/>
    <n v="25.635000000000005"/>
    <n v="42.916000000000004"/>
    <n v="33.96"/>
    <n v="33.96"/>
    <n v="24.566000000000003"/>
    <n v="39.241999999999997"/>
    <n v="20.795000000000002"/>
    <n v="32.286000000000001"/>
    <n v="2.7919999999999998"/>
    <n v="30.170000000000005"/>
    <n v="31.683000000000003"/>
    <n v="52.219000000000008"/>
    <n v="46.343000000000004"/>
    <n v="27.308000000000003"/>
    <n v="42.518000000000001"/>
    <n v="42.723999999999997"/>
    <n v="45.027999999999999"/>
    <n v="63.667999999999992"/>
    <n v="29.776"/>
    <n v="31.132999999999999"/>
    <n v="32.723999999999997"/>
    <n v="50.055"/>
    <n v="38.732999999999997"/>
    <n v="56.230000000000004"/>
    <n v="72.095999999999989"/>
    <n v="76.114999999999995"/>
    <n v="40.021354838709684"/>
    <n v="4.0021354838709682"/>
  </r>
  <r>
    <n v="58"/>
    <x v="0"/>
    <s v="EVCS-360063"/>
    <x v="38"/>
    <s v="Trinity"/>
    <s v="Public-Paid"/>
    <s v="3.3 kW"/>
    <s v="OCPP"/>
    <n v="2"/>
    <x v="1"/>
    <n v="14.816999999999998"/>
    <n v="17.013999999999999"/>
    <n v="17.318999999999996"/>
    <n v="15.809999999999999"/>
    <n v="5.1539999999999999"/>
    <n v="8.016"/>
    <n v="17.606000000000002"/>
    <n v="25.679999999999993"/>
    <n v="21.312000000000001"/>
    <n v="21.053000000000001"/>
    <n v="37.198"/>
    <n v="18.186"/>
    <n v="16.708000000000002"/>
    <n v="10.736000000000001"/>
    <n v="20.661999999999999"/>
    <n v="14.278999999999998"/>
    <n v="24.295999999999999"/>
    <n v="19.78"/>
    <n v="19.055000000000003"/>
    <n v="18.431999999999999"/>
    <n v="26.200999999999997"/>
    <n v="14.822000000000001"/>
    <n v="29.721999999999998"/>
    <n v="31.164000000000001"/>
    <n v="31.506000000000004"/>
    <n v="17.821999999999999"/>
    <n v="31.384"/>
    <n v="27.744999999999997"/>
    <n v="29.166"/>
    <n v="28.214000000000002"/>
    <n v="21.384999999999998"/>
    <n v="21.040129032258069"/>
    <n v="10.520064516129034"/>
  </r>
  <r>
    <n v="59"/>
    <x v="0"/>
    <m/>
    <x v="39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0"/>
    <s v="EVCS-360064"/>
    <x v="40"/>
    <s v="Trinity"/>
    <s v="Public-Paid"/>
    <s v="3.3 kW"/>
    <s v="OCPP"/>
    <n v="8"/>
    <x v="2"/>
    <n v="22.479999999999997"/>
    <n v="14.017999999999997"/>
    <n v="33.71"/>
    <n v="23.087"/>
    <n v="28.459999999999994"/>
    <n v="27.508000000000003"/>
    <n v="14.956999999999999"/>
    <n v="26.705000000000002"/>
    <n v="36.326000000000001"/>
    <n v="26.114999999999998"/>
    <n v="16.244999999999997"/>
    <n v="17.898000000000003"/>
    <n v="43.561999999999998"/>
    <n v="26.516000000000002"/>
    <n v="34.573"/>
    <n v="10.93"/>
    <n v="25.871999999999996"/>
    <n v="36.32"/>
    <n v="32.74"/>
    <n v="14.398"/>
    <n v="23.084"/>
    <n v="60.191000000000003"/>
    <n v="56.409000000000006"/>
    <n v="58.12"/>
    <n v="36.81"/>
    <n v="50.738"/>
    <n v="46.704999999999991"/>
    <n v="66.970999999999989"/>
    <n v="58.121000000000009"/>
    <n v="41.064"/>
    <n v="83.902000000000001"/>
    <n v="35.307580645161295"/>
    <n v="4.4134475806451618"/>
  </r>
  <r>
    <n v="61"/>
    <x v="0"/>
    <s v="EVCS-360065"/>
    <x v="41"/>
    <s v="Trinity"/>
    <s v="Public-Paid"/>
    <s v="3.3 kW"/>
    <s v="OCPP"/>
    <n v="6"/>
    <x v="2"/>
    <n v="53.324000000000005"/>
    <n v="64.528000000000006"/>
    <n v="58.514000000000003"/>
    <n v="84.314999999999984"/>
    <n v="44.251000000000005"/>
    <n v="85.147000000000006"/>
    <n v="69.74799999999999"/>
    <n v="59.269999999999996"/>
    <n v="75.757999999999981"/>
    <n v="74.941000000000003"/>
    <n v="66.168000000000006"/>
    <n v="83.02"/>
    <n v="79.268999999999991"/>
    <n v="58.898999999999994"/>
    <n v="67.813000000000017"/>
    <n v="72.868000000000009"/>
    <n v="85.445000000000007"/>
    <n v="58.222000000000008"/>
    <n v="71.786999999999992"/>
    <n v="72.055999999999997"/>
    <n v="50.060999999999993"/>
    <n v="51.171999999999997"/>
    <n v="92.534999999999997"/>
    <n v="67.36699999999999"/>
    <n v="79.304999999999993"/>
    <n v="65.360000000000014"/>
    <n v="75.748000000000005"/>
    <n v="62.917999999999985"/>
    <n v="72.534999999999997"/>
    <n v="69.067999999999998"/>
    <n v="70.421999999999997"/>
    <n v="69.09141935483872"/>
    <n v="11.515236559139787"/>
  </r>
  <r>
    <n v="62"/>
    <x v="0"/>
    <s v="EVCS-360072"/>
    <x v="42"/>
    <s v="Trinity"/>
    <s v="Public-Paid"/>
    <s v="60 kw"/>
    <s v="DC Charger"/>
    <n v="1"/>
    <x v="3"/>
    <m/>
    <n v="4.9489999999999998"/>
    <n v="0"/>
    <n v="0"/>
    <n v="0"/>
    <n v="16.725000000000001"/>
    <n v="0"/>
    <n v="36.525000000000006"/>
    <n v="0"/>
    <n v="8.7000000000000011"/>
    <n v="0"/>
    <n v="0"/>
    <n v="0"/>
    <n v="0"/>
    <n v="0"/>
    <n v="18.5"/>
    <n v="0"/>
    <n v="0"/>
    <n v="0"/>
    <n v="0"/>
    <n v="18.625"/>
    <n v="0"/>
    <n v="0"/>
    <n v="0"/>
    <n v="0"/>
    <n v="0"/>
    <n v="0"/>
    <n v="0"/>
    <n v="0"/>
    <n v="0"/>
    <n v="0"/>
    <n v="3.4674666666666667"/>
    <n v="3.4674666666666667"/>
  </r>
  <r>
    <n v="63"/>
    <x v="0"/>
    <m/>
    <x v="43"/>
    <s v="Trinity"/>
    <s v="Public-Paid"/>
    <s v="3.3 kW"/>
    <s v="OCPP"/>
    <n v="1"/>
    <x v="3"/>
    <m/>
    <m/>
    <m/>
    <m/>
    <m/>
    <m/>
    <m/>
    <m/>
    <m/>
    <n v="4.0000000000000001E-3"/>
    <n v="0"/>
    <n v="0"/>
    <n v="0"/>
    <n v="0"/>
    <n v="0"/>
    <n v="2.2509999999999999"/>
    <n v="0"/>
    <n v="1.367"/>
    <n v="0"/>
    <n v="0"/>
    <n v="2.008"/>
    <n v="0"/>
    <n v="0"/>
    <n v="3.2789999999999999"/>
    <n v="0"/>
    <n v="0"/>
    <n v="2.5169999999999999"/>
    <n v="0"/>
    <n v="0"/>
    <n v="0"/>
    <n v="0"/>
    <n v="0.51936363636363625"/>
    <n v="0.51936363636363625"/>
  </r>
  <r>
    <n v="64"/>
    <x v="2"/>
    <s v="EVCS-320001"/>
    <x v="44"/>
    <s v="Trinity"/>
    <s v="Public-Paid"/>
    <s v="15 kw"/>
    <s v="DC Charger"/>
    <n v="1"/>
    <x v="0"/>
    <n v="0"/>
    <n v="0"/>
    <n v="0"/>
    <n v="0"/>
    <n v="0"/>
    <n v="0"/>
    <n v="0"/>
    <n v="0"/>
    <n v="7.4209999999999994"/>
    <n v="0"/>
    <n v="0"/>
    <n v="6.956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377419354838706"/>
    <n v="0.46377419354838706"/>
  </r>
  <r>
    <n v="65"/>
    <x v="0"/>
    <m/>
    <x v="45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x v="0"/>
    <m/>
    <x v="46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x v="3"/>
    <s v="EVCS-370001"/>
    <x v="47"/>
    <s v="Trinity"/>
    <s v="Public-Paid"/>
    <s v="3.3 kW"/>
    <s v="OCPP"/>
    <n v="5"/>
    <x v="1"/>
    <n v="0"/>
    <n v="4.95"/>
    <n v="15.366999999999999"/>
    <n v="9.75"/>
    <n v="7.6679999999999993"/>
    <n v="5.5960000000000001"/>
    <n v="16.571999999999999"/>
    <n v="21.841000000000001"/>
    <n v="2.7759999999999998"/>
    <n v="6.4559999999999995"/>
    <n v="9.3420000000000005"/>
    <n v="13.049999999999999"/>
    <n v="2.8250000000000002"/>
    <n v="6.3929999999999998"/>
    <n v="6.12"/>
    <n v="5.1820000000000004"/>
    <n v="3.048"/>
    <n v="9.8670000000000009"/>
    <n v="0"/>
    <n v="6.5279999999999996"/>
    <n v="2.722"/>
    <n v="2.8069999999999999"/>
    <n v="5.2469999999999999"/>
    <n v="5.4909999999999997"/>
    <n v="2.8260000000000001"/>
    <n v="14.900000000000002"/>
    <n v="5.112000000000001"/>
    <n v="7.1109999999999998"/>
    <n v="5.5090000000000003"/>
    <n v="11.79"/>
    <n v="5.9289999999999994"/>
    <n v="7.1862903225806427"/>
    <n v="1.4372580645161286"/>
  </r>
  <r>
    <n v="68"/>
    <x v="3"/>
    <s v="EVCS-370003"/>
    <x v="48"/>
    <s v="Trinity"/>
    <s v="Public-Paid"/>
    <s v="3.3 kW"/>
    <s v="OCPP"/>
    <n v="10"/>
    <x v="1"/>
    <n v="87.352999999999994"/>
    <n v="64.839999999999989"/>
    <n v="86.860000000000014"/>
    <n v="67.302000000000007"/>
    <n v="81.895999999999987"/>
    <n v="86.992000000000004"/>
    <n v="69.981999999999999"/>
    <n v="77.190999999999988"/>
    <n v="85.77600000000001"/>
    <n v="76.724000000000004"/>
    <n v="64.249000000000009"/>
    <n v="79.241"/>
    <n v="97.745000000000005"/>
    <n v="75.116"/>
    <n v="17.164999999999999"/>
    <n v="77.548000000000002"/>
    <n v="72.450000000000017"/>
    <n v="52.368000000000009"/>
    <n v="87.118000000000009"/>
    <n v="75.61099999999999"/>
    <n v="93.08"/>
    <n v="70.405000000000015"/>
    <n v="67.971000000000004"/>
    <n v="79.966999999999999"/>
    <n v="91.666999999999987"/>
    <n v="80.554000000000016"/>
    <n v="67.775999999999996"/>
    <n v="88.784000000000006"/>
    <n v="84.117000000000004"/>
    <n v="71.476000000000013"/>
    <n v="77.146000000000001"/>
    <n v="76.015161290322609"/>
    <n v="7.6015161290322606"/>
  </r>
  <r>
    <n v="69"/>
    <x v="4"/>
    <s v="EVCS-370004"/>
    <x v="49"/>
    <s v="Trinity"/>
    <s v="Public-Paid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"/>
    <x v="4"/>
    <s v="EVCS-370005"/>
    <x v="50"/>
    <s v="Trinity"/>
    <s v="Public-Paid"/>
    <s v="3.3 kW"/>
    <s v="OCPP"/>
    <n v="7"/>
    <x v="2"/>
    <n v="154.77000000000001"/>
    <n v="73.609000000000009"/>
    <n v="123.44599999999998"/>
    <n v="83.724000000000018"/>
    <n v="87.861000000000018"/>
    <n v="108.63300000000001"/>
    <n v="122.76099999999998"/>
    <n v="127.092"/>
    <n v="103.544"/>
    <n v="95.027999999999992"/>
    <n v="101.849"/>
    <n v="81.850999999999999"/>
    <n v="93.964999999999989"/>
    <n v="68.118000000000009"/>
    <n v="0"/>
    <n v="45.785000000000011"/>
    <n v="76.850999999999985"/>
    <n v="128.92300000000003"/>
    <n v="75.22"/>
    <n v="90.387000000000015"/>
    <n v="77.940000000000012"/>
    <n v="130.13999999999999"/>
    <n v="97.231999999999985"/>
    <n v="108.17100000000002"/>
    <n v="95.49799999999999"/>
    <n v="78.135999999999996"/>
    <n v="120.88999999999999"/>
    <n v="116.05499999999998"/>
    <n v="115.58599999999996"/>
    <n v="85.522999999999996"/>
    <n v="86.52600000000001"/>
    <n v="95.326258064516082"/>
    <n v="13.618036866359441"/>
  </r>
  <r>
    <n v="71"/>
    <x v="5"/>
    <s v="EVCS-370006"/>
    <x v="51"/>
    <s v="Trinity"/>
    <s v="Public-Paid"/>
    <s v="3.3 kW"/>
    <s v="OCPP"/>
    <n v="7"/>
    <x v="2"/>
    <n v="67.094999999999999"/>
    <n v="31.927"/>
    <n v="75.289999999999992"/>
    <n v="45.928999999999995"/>
    <n v="62.88300000000001"/>
    <n v="52.201000000000001"/>
    <n v="43.943999999999996"/>
    <n v="60.770999999999994"/>
    <n v="40.100999999999999"/>
    <n v="25.762"/>
    <n v="63.274999999999991"/>
    <n v="56.650000000000006"/>
    <n v="48.268999999999991"/>
    <n v="32.087000000000003"/>
    <n v="0"/>
    <n v="40.522999999999996"/>
    <n v="51.844000000000001"/>
    <n v="48.43"/>
    <n v="44.050999999999995"/>
    <n v="36.855999999999995"/>
    <n v="43.173999999999999"/>
    <n v="37.207000000000001"/>
    <n v="46.322000000000003"/>
    <n v="41.533999999999999"/>
    <n v="49.504999999999995"/>
    <n v="37.296999999999997"/>
    <n v="75.138999999999996"/>
    <n v="59.218000000000004"/>
    <n v="48.04399999999999"/>
    <n v="38.758000000000003"/>
    <n v="37.884999999999998"/>
    <n v="46.515193548387103"/>
    <n v="6.6450276497695864"/>
  </r>
  <r>
    <n v="72"/>
    <x v="6"/>
    <s v="EVCS-370007"/>
    <x v="52"/>
    <s v="Trinity"/>
    <s v="Public-Paid"/>
    <s v="3.3 kW"/>
    <s v="OCPP"/>
    <n v="5"/>
    <x v="2"/>
    <n v="14.430999999999999"/>
    <n v="34.742000000000004"/>
    <n v="21.887"/>
    <n v="27.987000000000002"/>
    <n v="32.112000000000002"/>
    <n v="27.090000000000003"/>
    <n v="28.152999999999999"/>
    <n v="25.381"/>
    <n v="26.07"/>
    <n v="4.5510000000000002"/>
    <n v="40.696000000000005"/>
    <n v="18.734999999999999"/>
    <n v="36.602000000000004"/>
    <n v="12.57"/>
    <n v="1.6949999999999998"/>
    <n v="28.174000000000003"/>
    <n v="29.86"/>
    <n v="32.881999999999998"/>
    <n v="37.805000000000007"/>
    <n v="23.937000000000001"/>
    <n v="27.110000000000003"/>
    <n v="29.317"/>
    <n v="15.918000000000001"/>
    <n v="31.014000000000003"/>
    <n v="34.433999999999997"/>
    <n v="30.838999999999999"/>
    <n v="26.323999999999998"/>
    <n v="31.848999999999997"/>
    <n v="21.443000000000001"/>
    <n v="45"/>
    <n v="17.222999999999999"/>
    <n v="26.317129032258062"/>
    <n v="5.2634258064516128"/>
  </r>
  <r>
    <n v="73"/>
    <x v="7"/>
    <s v="EVCS-290002"/>
    <x v="53"/>
    <s v="Flipkart"/>
    <s v="Public-Paid"/>
    <s v="3.3 kW"/>
    <s v="OCPP"/>
    <n v="4"/>
    <x v="1"/>
    <n v="72.450999999999993"/>
    <n v="97.243999999999971"/>
    <n v="80.512"/>
    <n v="112.78299999999999"/>
    <n v="91.242999999999981"/>
    <n v="82.835000000000022"/>
    <n v="96.073999999999984"/>
    <n v="83.548999999999992"/>
    <n v="86.727000000000004"/>
    <n v="93.428999999999974"/>
    <n v="100.33000000000001"/>
    <n v="70.926000000000016"/>
    <n v="71.136999999999986"/>
    <n v="71.852000000000004"/>
    <n v="70.896999999999991"/>
    <n v="104.172"/>
    <n v="66.840999999999994"/>
    <n v="108.63799999999999"/>
    <n v="84.888000000000019"/>
    <n v="79.001999999999981"/>
    <n v="88.277999999999992"/>
    <n v="74.506"/>
    <n v="108.386"/>
    <n v="112.414"/>
    <n v="81.194000000000003"/>
    <n v="69.347999999999999"/>
    <n v="97.13900000000001"/>
    <n v="97.718000000000018"/>
    <n v="80.545000000000002"/>
    <n v="99.305000000000021"/>
    <n v="85.64700000000002"/>
    <n v="87.742258064516108"/>
    <n v="21.935564516129027"/>
  </r>
  <r>
    <n v="74"/>
    <x v="7"/>
    <s v="EVCS-290003"/>
    <x v="54"/>
    <s v="Flipkart"/>
    <s v="Public-Paid"/>
    <s v="3.3 kW"/>
    <s v="OCPP"/>
    <n v="9"/>
    <x v="1"/>
    <n v="127.14500000000001"/>
    <n v="133.27800000000002"/>
    <n v="113.634"/>
    <n v="151.93799999999999"/>
    <n v="96.796999999999997"/>
    <n v="137.79800000000003"/>
    <n v="111.59800000000001"/>
    <n v="98.839000000000013"/>
    <n v="118.42399999999999"/>
    <n v="99.511999999999986"/>
    <n v="135.517"/>
    <n v="144.96600000000001"/>
    <n v="115.11999999999998"/>
    <n v="141.089"/>
    <n v="84.888999999999996"/>
    <n v="79.313000000000002"/>
    <n v="66.908999999999992"/>
    <n v="122.16799999999999"/>
    <n v="107.06599999999997"/>
    <n v="71.875999999999991"/>
    <n v="122.26000000000002"/>
    <n v="122.53099999999999"/>
    <n v="100.43200000000002"/>
    <n v="39.261000000000003"/>
    <n v="74.637000000000015"/>
    <n v="104.89299999999999"/>
    <n v="68.456000000000003"/>
    <n v="125.17599999999999"/>
    <n v="84.681000000000012"/>
    <n v="71.006999999999991"/>
    <n v="65.992000000000019"/>
    <n v="104.42587096774196"/>
    <n v="11.602874551971329"/>
  </r>
  <r>
    <n v="75"/>
    <x v="7"/>
    <s v="EVCS-290004"/>
    <x v="55"/>
    <s v="EFL"/>
    <s v="Public-Free"/>
    <s v="3.3 kW"/>
    <s v="OCPP"/>
    <n v="8"/>
    <x v="2"/>
    <n v="24.795000000000002"/>
    <n v="22.016999999999999"/>
    <n v="20.056999999999999"/>
    <n v="10.090999999999999"/>
    <n v="38.543999999999997"/>
    <n v="15.421999999999999"/>
    <n v="57.877000000000002"/>
    <n v="51.216999999999999"/>
    <n v="66.836000000000013"/>
    <n v="35.379000000000005"/>
    <n v="43.723000000000006"/>
    <n v="58.073999999999998"/>
    <n v="40.040000000000006"/>
    <n v="79.075000000000017"/>
    <n v="18.314999999999998"/>
    <n v="23.703999999999997"/>
    <n v="29.388000000000002"/>
    <n v="15.818"/>
    <n v="27.985999999999997"/>
    <n v="37.998000000000005"/>
    <n v="49.595000000000013"/>
    <n v="46.429000000000002"/>
    <n v="47.421999999999997"/>
    <n v="43.275999999999996"/>
    <n v="72.69"/>
    <n v="41.182000000000002"/>
    <n v="44.279999999999994"/>
    <n v="56.298999999999985"/>
    <n v="37.361000000000004"/>
    <n v="57.670999999999999"/>
    <n v="49.86"/>
    <n v="40.723258064516131"/>
    <n v="5.0904072580645163"/>
  </r>
  <r>
    <n v="76"/>
    <x v="7"/>
    <s v="EVCS-290004"/>
    <x v="55"/>
    <s v="EFL"/>
    <s v="Public-Free"/>
    <s v="6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7"/>
    <s v="EVCS-290005"/>
    <x v="56"/>
    <s v="Trinity"/>
    <s v="Public-Paid"/>
    <s v="3.3 kW"/>
    <s v="OCPP"/>
    <n v="7"/>
    <x v="2"/>
    <n v="150.54599999999999"/>
    <n v="143.71299999999999"/>
    <n v="177.65899999999999"/>
    <n v="214.066"/>
    <n v="147.59800000000004"/>
    <n v="174.465"/>
    <n v="160.65199999999999"/>
    <n v="182.94500000000002"/>
    <n v="124.26500000000003"/>
    <n v="122.349"/>
    <n v="149.25700000000001"/>
    <n v="160.34800000000001"/>
    <n v="110.50699999999999"/>
    <n v="121.38399999999999"/>
    <n v="111.50299999999999"/>
    <n v="116.32899999999999"/>
    <n v="102.93"/>
    <n v="141.065"/>
    <n v="117.18"/>
    <n v="122.431"/>
    <n v="136.37400000000002"/>
    <n v="150.726"/>
    <n v="178.91200000000006"/>
    <n v="122.521"/>
    <n v="134.22200000000001"/>
    <n v="136.47199999999998"/>
    <n v="102.84100000000004"/>
    <n v="139.88499999999996"/>
    <n v="127.10399999999998"/>
    <n v="115.81699999999999"/>
    <n v="108.92699999999998"/>
    <n v="138.87074193548386"/>
    <n v="19.838677419354838"/>
  </r>
  <r>
    <n v="78"/>
    <x v="7"/>
    <s v="EVCS-290007"/>
    <x v="57"/>
    <s v="Trinity"/>
    <s v="Public-Paid"/>
    <s v="3.3 kW"/>
    <s v="OCPP"/>
    <n v="10"/>
    <x v="2"/>
    <n v="138.79800000000003"/>
    <n v="140.82399999999998"/>
    <n v="126.03300000000002"/>
    <n v="175.09100000000001"/>
    <n v="175.25600000000003"/>
    <n v="181.44600000000003"/>
    <n v="138.70700000000002"/>
    <n v="141.57699999999997"/>
    <n v="179.81799999999998"/>
    <n v="149.834"/>
    <n v="146.06700000000004"/>
    <n v="137.64599999999999"/>
    <n v="119.50900000000001"/>
    <n v="141.36600000000001"/>
    <n v="112.127"/>
    <n v="99.192999999999998"/>
    <n v="134.72299999999996"/>
    <n v="96.042999999999964"/>
    <n v="141.89699999999999"/>
    <n v="157.82899999999998"/>
    <n v="149.90899999999996"/>
    <n v="134.44399999999999"/>
    <n v="186.70399999999998"/>
    <n v="156.42300000000006"/>
    <n v="166.76799999999994"/>
    <n v="206.00399999999999"/>
    <n v="149.73400000000001"/>
    <n v="155.09400000000002"/>
    <n v="146.77299999999994"/>
    <n v="147.46600000000001"/>
    <n v="136.29399999999998"/>
    <n v="147.39990322580647"/>
    <n v="14.739990322580647"/>
  </r>
  <r>
    <n v="79"/>
    <x v="7"/>
    <s v="EVCS-290009"/>
    <x v="58"/>
    <s v="Trinity"/>
    <s v="Public-Paid"/>
    <s v="3.3 kW"/>
    <s v="OCPP"/>
    <n v="8"/>
    <x v="2"/>
    <n v="28.384999999999998"/>
    <n v="39.191999999999993"/>
    <n v="25.824000000000002"/>
    <n v="54.144000000000005"/>
    <n v="37.919999999999995"/>
    <n v="45.356999999999999"/>
    <n v="53.326999999999984"/>
    <n v="50.143000000000008"/>
    <n v="40.108999999999995"/>
    <n v="31.062000000000001"/>
    <n v="33.736000000000004"/>
    <n v="31.902999999999999"/>
    <n v="24.483999999999998"/>
    <n v="28.709000000000003"/>
    <n v="27.080000000000002"/>
    <n v="41.180000000000007"/>
    <n v="34.155000000000008"/>
    <n v="46.762"/>
    <n v="20.448999999999998"/>
    <n v="52.697999999999993"/>
    <n v="30.511000000000003"/>
    <n v="29.481000000000002"/>
    <n v="37.373000000000005"/>
    <n v="41.815999999999995"/>
    <n v="30.43"/>
    <n v="61.382999999999996"/>
    <n v="41.666999999999994"/>
    <n v="30.351999999999997"/>
    <n v="37.46"/>
    <n v="44.959999999999994"/>
    <n v="26.936"/>
    <n v="37.386709677419354"/>
    <n v="4.6733387096774193"/>
  </r>
  <r>
    <n v="80"/>
    <x v="7"/>
    <s v="EVCS-290010"/>
    <x v="59"/>
    <s v="Trinity"/>
    <s v="Public-Paid"/>
    <s v="3.3 kW"/>
    <s v="OCPP"/>
    <n v="6"/>
    <x v="2"/>
    <n v="0"/>
    <n v="0"/>
    <n v="0"/>
    <n v="2.746"/>
    <n v="6.0000000000000001E-3"/>
    <n v="0"/>
    <n v="0"/>
    <n v="0"/>
    <n v="0"/>
    <n v="0"/>
    <n v="0"/>
    <n v="0"/>
    <n v="0"/>
    <n v="0"/>
    <n v="0"/>
    <n v="2.6150000000000002"/>
    <n v="8.9819999999999993"/>
    <n v="8.5640000000000001"/>
    <n v="15.818000000000001"/>
    <n v="24.64"/>
    <n v="6.6"/>
    <n v="22.998000000000001"/>
    <n v="10.102"/>
    <n v="23.796999999999997"/>
    <n v="11.397000000000002"/>
    <n v="15.879999999999999"/>
    <n v="20.686"/>
    <n v="19.78"/>
    <n v="17.928000000000001"/>
    <n v="14.055999999999999"/>
    <n v="13.242000000000001"/>
    <n v="7.7366774193548391"/>
    <n v="1.2894462365591399"/>
  </r>
  <r>
    <n v="81"/>
    <x v="7"/>
    <s v="EVCS-290011"/>
    <x v="60"/>
    <s v="Trinity"/>
    <s v="Public-Paid"/>
    <s v="3.3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8"/>
    <s v="EVCS-330003"/>
    <x v="61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x v="9"/>
    <s v="EVCS-330002"/>
    <x v="62"/>
    <s v="Flipkart"/>
    <s v="Public-Paid"/>
    <s v="3.3 kW"/>
    <s v="OCPP"/>
    <n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10"/>
    <s v="EVCS-330004"/>
    <x v="63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1.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903225806451615E-2"/>
    <n v="4.0903225806451615E-2"/>
  </r>
  <r>
    <n v="85"/>
    <x v="11"/>
    <m/>
    <x v="64"/>
    <s v="Trinity"/>
    <s v="Public-Paid"/>
    <s v="15 kw"/>
    <s v="DC Charger"/>
    <n v="1"/>
    <x v="0"/>
    <m/>
    <m/>
    <m/>
    <m/>
    <m/>
    <m/>
    <n v="1.1399999999999999"/>
    <n v="2.71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00000000000002"/>
    <n v="0"/>
    <n v="0"/>
    <n v="0"/>
    <n v="0"/>
    <n v="0.23160000000000003"/>
    <n v="0.23160000000000003"/>
  </r>
  <r>
    <n v="86"/>
    <x v="12"/>
    <m/>
    <x v="65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m/>
    <m/>
    <m/>
    <m/>
    <n v="10.978999999999999"/>
    <n v="0"/>
    <n v="0"/>
    <n v="6.99"/>
    <n v="15.22"/>
    <n v="0"/>
    <n v="0"/>
    <n v="0"/>
    <n v="4.148625"/>
    <n v="4.148625"/>
  </r>
  <r>
    <n v="87"/>
    <x v="13"/>
    <m/>
    <x v="66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n v="7.7290000000000001"/>
    <n v="0"/>
    <n v="0"/>
    <n v="0"/>
    <n v="0"/>
    <n v="0"/>
    <n v="0"/>
    <n v="1.1041428571428571"/>
    <n v="1.1041428571428571"/>
  </r>
  <r>
    <n v="88"/>
    <x v="14"/>
    <s v="EVCS-270011"/>
    <x v="67"/>
    <s v="Trinity"/>
    <s v="Public-Paid"/>
    <s v="15 kw"/>
    <s v="DC Charger"/>
    <n v="1"/>
    <x v="0"/>
    <n v="0"/>
    <n v="0"/>
    <n v="0"/>
    <n v="0"/>
    <n v="0"/>
    <n v="0"/>
    <n v="0"/>
    <n v="14.318999999999999"/>
    <n v="0"/>
    <n v="0.06"/>
    <n v="0.14000000000000001"/>
    <n v="0"/>
    <n v="4.21"/>
    <n v="0"/>
    <n v="0"/>
    <n v="0"/>
    <n v="2.02"/>
    <n v="0"/>
    <n v="0"/>
    <n v="0"/>
    <n v="0"/>
    <n v="0"/>
    <n v="0"/>
    <n v="0"/>
    <n v="0"/>
    <n v="0"/>
    <n v="0"/>
    <n v="8.1"/>
    <n v="0"/>
    <n v="0"/>
    <n v="0"/>
    <n v="0.93061290322580636"/>
    <n v="0.93061290322580636"/>
  </r>
  <r>
    <n v="89"/>
    <x v="15"/>
    <s v="EVCS-270005"/>
    <x v="68"/>
    <s v="ETO"/>
    <s v="Public-Paid"/>
    <s v="3.3 kW"/>
    <s v="OCPP"/>
    <n v="20"/>
    <x v="1"/>
    <n v="24.413999999999998"/>
    <n v="46.454999999999991"/>
    <n v="45.368999999999993"/>
    <n v="37.589999999999996"/>
    <n v="18.911000000000001"/>
    <n v="50.478000000000002"/>
    <n v="37.554000000000002"/>
    <n v="35.083000000000006"/>
    <n v="56.931999999999995"/>
    <n v="19.785"/>
    <n v="21.834999999999997"/>
    <n v="23.939999999999998"/>
    <n v="28.893999999999998"/>
    <n v="0"/>
    <n v="13.755000000000001"/>
    <n v="42.944000000000003"/>
    <n v="0"/>
    <n v="18.423999999999999"/>
    <n v="11.378"/>
    <n v="13.407"/>
    <n v="32.364999999999995"/>
    <n v="39.284000000000006"/>
    <n v="33.013000000000005"/>
    <n v="19.587999999999997"/>
    <n v="28.152999999999999"/>
    <n v="20.975000000000001"/>
    <n v="10.177"/>
    <n v="12.894"/>
    <n v="34.795000000000002"/>
    <n v="33.811999999999998"/>
    <n v="33.564999999999998"/>
    <n v="27.282870967741943"/>
    <n v="1.3641435483870972"/>
  </r>
  <r>
    <n v="90"/>
    <x v="15"/>
    <s v="EVCS-270007"/>
    <x v="69"/>
    <s v="ETO"/>
    <s v="Public-Paid"/>
    <s v="3.3 kW"/>
    <s v="OCPP"/>
    <n v="3"/>
    <x v="1"/>
    <n v="17.259"/>
    <n v="37.383000000000003"/>
    <n v="18.167999999999999"/>
    <n v="43.660000000000004"/>
    <n v="37.517000000000003"/>
    <n v="45.62"/>
    <n v="33.83"/>
    <n v="36.947000000000003"/>
    <n v="45.192"/>
    <n v="38.244"/>
    <n v="39.061999999999998"/>
    <n v="49.177999999999997"/>
    <n v="21.810000000000002"/>
    <n v="32.427"/>
    <n v="24.091999999999999"/>
    <n v="45.091000000000001"/>
    <n v="24.161999999999999"/>
    <n v="30.285000000000004"/>
    <n v="16.719000000000001"/>
    <n v="30.318999999999996"/>
    <n v="16.157"/>
    <n v="17.216000000000001"/>
    <n v="20.773"/>
    <n v="27.22"/>
    <n v="12.265999999999998"/>
    <n v="39.340999999999994"/>
    <n v="32.664000000000001"/>
    <n v="20.924999999999997"/>
    <n v="37.099000000000004"/>
    <n v="31.003"/>
    <n v="13.748000000000001"/>
    <n v="30.173451612903236"/>
    <n v="10.057817204301079"/>
  </r>
  <r>
    <n v="91"/>
    <x v="16"/>
    <s v="EVCS-100003"/>
    <x v="70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7"/>
    <s v="EVCS-080001"/>
    <x v="71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9"/>
    <n v="0"/>
    <n v="0"/>
    <n v="0"/>
    <n v="0"/>
    <n v="0.26096774193548389"/>
    <n v="0.26096774193548389"/>
  </r>
  <r>
    <n v="93"/>
    <x v="18"/>
    <s v="EVCS-270008"/>
    <x v="72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"/>
    <n v="0"/>
    <n v="0"/>
    <n v="0"/>
    <n v="0"/>
    <n v="0"/>
    <n v="0"/>
    <n v="0"/>
    <n v="16.13"/>
    <n v="0.52806451612903216"/>
    <n v="0.52806451612903216"/>
  </r>
  <r>
    <n v="94"/>
    <x v="19"/>
    <s v="EVCS-180001"/>
    <x v="73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18.380000000000003"/>
    <n v="0"/>
    <n v="0"/>
    <n v="0"/>
    <n v="0"/>
    <n v="0"/>
    <n v="0"/>
    <n v="0"/>
    <n v="0"/>
    <n v="0"/>
    <n v="0"/>
    <n v="18.222000000000001"/>
    <n v="0"/>
    <n v="35.515999999999998"/>
    <n v="0"/>
    <n v="2.3263870967741935"/>
    <n v="2.3263870967741935"/>
  </r>
  <r>
    <n v="95"/>
    <x v="20"/>
    <s v="EVCS-180002"/>
    <x v="74"/>
    <s v="Trinity"/>
    <s v="Public-Paid"/>
    <s v="15 kw"/>
    <s v="DC Charger"/>
    <n v="1"/>
    <x v="0"/>
    <m/>
    <m/>
    <m/>
    <m/>
    <m/>
    <n v="10.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492307692307694"/>
    <n v="0.40492307692307694"/>
  </r>
  <r>
    <n v="96"/>
    <x v="21"/>
    <s v="EVCS-190001"/>
    <x v="75"/>
    <s v="Trinity"/>
    <s v="Public-Paid"/>
    <s v="15 kw"/>
    <s v="DC Charger"/>
    <n v="1"/>
    <x v="0"/>
    <n v="0"/>
    <n v="0"/>
    <n v="0"/>
    <n v="0"/>
    <n v="0"/>
    <n v="0"/>
    <n v="0"/>
    <n v="0"/>
    <n v="0.01"/>
    <n v="0"/>
    <n v="0"/>
    <n v="0"/>
    <n v="0"/>
    <n v="0"/>
    <n v="0.56900000000000006"/>
    <n v="10.01"/>
    <n v="0"/>
    <n v="0"/>
    <n v="0"/>
    <n v="0"/>
    <n v="0"/>
    <n v="0"/>
    <n v="0"/>
    <n v="0"/>
    <n v="0"/>
    <n v="0"/>
    <n v="0"/>
    <n v="0"/>
    <n v="0"/>
    <n v="0"/>
    <n v="0"/>
    <n v="0.34158064516129033"/>
    <n v="0.34158064516129033"/>
  </r>
  <r>
    <n v="97"/>
    <x v="22"/>
    <s v="EVCS-190002"/>
    <x v="76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23"/>
    <s v="EVCS-270010"/>
    <x v="77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2.4500000000000002"/>
    <n v="0"/>
    <n v="0"/>
    <n v="6.48"/>
    <n v="0"/>
    <n v="4.5999999999999996"/>
    <n v="7.7999999999999989"/>
    <n v="0"/>
    <n v="0"/>
    <n v="0"/>
    <n v="0"/>
    <n v="0"/>
    <n v="0"/>
    <n v="0"/>
    <n v="0"/>
    <n v="0"/>
    <n v="0"/>
    <n v="0"/>
    <n v="0"/>
    <n v="25.55"/>
    <n v="0"/>
    <n v="1.512258064516129"/>
    <n v="1.512258064516129"/>
  </r>
  <r>
    <n v="99"/>
    <x v="24"/>
    <s v="EVCS-270012"/>
    <x v="78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</r>
  <r>
    <n v="100"/>
    <x v="25"/>
    <s v="EVCS-240004"/>
    <x v="79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26"/>
    <s v="EVCS-230001"/>
    <x v="80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x v="27"/>
    <s v="EVCS-320002"/>
    <x v="81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"/>
    <x v="28"/>
    <s v="EVCS-220001"/>
    <x v="82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n v="0"/>
    <n v="2.63"/>
    <n v="0"/>
    <n v="0"/>
    <n v="0"/>
    <n v="0"/>
    <n v="0"/>
    <n v="0"/>
    <n v="0"/>
    <n v="0"/>
    <n v="0"/>
    <n v="0"/>
    <n v="0.21916666666666665"/>
    <n v="0.21916666666666665"/>
  </r>
  <r>
    <n v="104"/>
    <x v="29"/>
    <s v="EVCS-240003"/>
    <x v="83"/>
    <s v="SOU"/>
    <s v="Public-Paid"/>
    <s v="3.3 kW"/>
    <s v="OCPP"/>
    <n v="40"/>
    <x v="1"/>
    <n v="647.61299999999983"/>
    <n v="604.9129999999999"/>
    <n v="604.59200000000021"/>
    <n v="559.74099999999942"/>
    <n v="562.29300000000012"/>
    <n v="327.12200000000001"/>
    <n v="143.33799999999999"/>
    <n v="474.9679999999999"/>
    <n v="436.52900000000005"/>
    <n v="483.68099999999998"/>
    <n v="517.85199999999986"/>
    <n v="565.99699999999996"/>
    <n v="364.84899999999993"/>
    <n v="184.29900000000004"/>
    <n v="607.01600000000008"/>
    <n v="475.58599999999996"/>
    <n v="414.99200000000008"/>
    <n v="475.78699999999998"/>
    <n v="363.57999999999993"/>
    <n v="309.54500000000019"/>
    <n v="138.803"/>
    <n v="395.70900000000012"/>
    <n v="412.84300000000002"/>
    <n v="374.11600000000004"/>
    <n v="455.93399999999986"/>
    <n v="467.17399999999992"/>
    <n v="326.63999999999993"/>
    <n v="117.37500000000001"/>
    <n v="395.18599999999998"/>
    <n v="410.61400000000003"/>
    <n v="398.80899999999991"/>
    <n v="419.91922580645155"/>
    <n v="10.497980645161288"/>
  </r>
  <r>
    <n v="105"/>
    <x v="30"/>
    <s v="EVCS-090001"/>
    <x v="84"/>
    <s v="ETO"/>
    <s v="Public-Paid"/>
    <s v="3.3 kW"/>
    <s v="OCPP"/>
    <n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x v="31"/>
    <s v="EVCS-090003"/>
    <x v="85"/>
    <s v="Mahagun Hotel"/>
    <s v="Public-Paid"/>
    <s v="7.4 kW"/>
    <s v="OCPP"/>
    <n v="2"/>
    <x v="0"/>
    <n v="26.402000000000001"/>
    <n v="3.6830000000000003"/>
    <n v="2.33"/>
    <n v="37.841999999999999"/>
    <n v="0"/>
    <n v="26.454000000000001"/>
    <n v="0"/>
    <n v="0"/>
    <n v="34.895000000000003"/>
    <n v="0"/>
    <n v="0"/>
    <n v="70.766000000000005"/>
    <n v="0"/>
    <n v="0"/>
    <n v="0"/>
    <n v="15.866"/>
    <n v="41.094999999999999"/>
    <n v="0"/>
    <n v="0"/>
    <n v="0"/>
    <n v="0"/>
    <n v="0"/>
    <n v="0"/>
    <n v="0"/>
    <n v="34.622999999999998"/>
    <n v="3.4239999999999999"/>
    <n v="0"/>
    <n v="0"/>
    <n v="32.125999999999998"/>
    <n v="0"/>
    <n v="5.798"/>
    <n v="10.816258064516127"/>
    <n v="5.4081290322580635"/>
  </r>
  <r>
    <n v="107"/>
    <x v="32"/>
    <s v="EVCS-090005"/>
    <x v="86"/>
    <s v="Trinity"/>
    <s v="Public-Paid"/>
    <s v="3.3 kW"/>
    <s v="OCPP"/>
    <n v="6"/>
    <x v="1"/>
    <n v="139.94999999999996"/>
    <n v="66.66200000000002"/>
    <n v="135.34199999999998"/>
    <n v="146.03500000000005"/>
    <n v="164.31400000000008"/>
    <n v="158.23400000000004"/>
    <n v="160.78800000000004"/>
    <n v="138.60399999999998"/>
    <n v="153.80799999999996"/>
    <n v="163.65199999999999"/>
    <n v="93.27300000000001"/>
    <n v="46.771000000000001"/>
    <n v="174.97100000000003"/>
    <n v="94.558999999999969"/>
    <n v="0"/>
    <n v="58.175000000000011"/>
    <n v="88.297999999999988"/>
    <n v="135.08000000000001"/>
    <n v="165.92499999999995"/>
    <n v="201.09400000000008"/>
    <n v="107.071"/>
    <n v="170.83300000000003"/>
    <n v="131.26199999999997"/>
    <n v="156.09300000000005"/>
    <n v="62.061"/>
    <n v="112.45400000000005"/>
    <n v="55.072000000000003"/>
    <n v="123.15300000000002"/>
    <n v="143.126"/>
    <n v="87.576000000000022"/>
    <n v="56.479000000000013"/>
    <n v="119.05532258064518"/>
    <n v="19.842553763440865"/>
  </r>
  <r>
    <n v="108"/>
    <x v="32"/>
    <s v="EVCS-090006"/>
    <x v="8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9"/>
    <x v="32"/>
    <s v="EVCS-090007"/>
    <x v="88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32"/>
    <s v="EVCS-090008"/>
    <x v="8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"/>
    <x v="33"/>
    <s v="EVCS-090009"/>
    <x v="90"/>
    <s v="Trinity"/>
    <s v="Public-Paid"/>
    <s v="3.3 kW"/>
    <s v="OCPP"/>
    <n v="15"/>
    <x v="2"/>
    <n v="318.24200000000002"/>
    <n v="345.09999999999997"/>
    <n v="311.94200000000006"/>
    <n v="353.37900000000002"/>
    <n v="318.20199999999983"/>
    <n v="370.82299999999998"/>
    <n v="382.3239999999999"/>
    <n v="323.53299999999996"/>
    <n v="382.44400000000002"/>
    <n v="291.04799999999994"/>
    <n v="445.78099999999995"/>
    <n v="454.89500000000004"/>
    <n v="518.851"/>
    <n v="238.39000000000001"/>
    <n v="347.28299999999984"/>
    <n v="329.96999999999991"/>
    <n v="390.94399999999996"/>
    <n v="303.678"/>
    <n v="433.28299999999984"/>
    <n v="297.3950000000001"/>
    <n v="413.89199999999994"/>
    <n v="294.69100000000003"/>
    <n v="304.16000000000008"/>
    <n v="307.34500000000003"/>
    <n v="300.25800000000015"/>
    <n v="306.78800000000001"/>
    <n v="278.54900000000004"/>
    <n v="218.46299999999994"/>
    <n v="36.262"/>
    <n v="213.19099999999997"/>
    <n v="352.35800000000012"/>
    <n v="328.4988387096775"/>
    <n v="21.899922580645168"/>
  </r>
  <r>
    <n v="112"/>
    <x v="33"/>
    <s v="EVCS-090009"/>
    <x v="90"/>
    <s v="Trinity"/>
    <s v="Public-Paid"/>
    <s v="12kW"/>
    <s v="DC Charger"/>
    <n v="1"/>
    <x v="2"/>
    <n v="7.81"/>
    <n v="0"/>
    <n v="0"/>
    <n v="0.12000000000000001"/>
    <n v="0"/>
    <n v="0"/>
    <n v="11.63"/>
    <n v="5.18"/>
    <n v="0"/>
    <n v="13.84"/>
    <n v="0"/>
    <n v="0"/>
    <n v="0"/>
    <n v="0"/>
    <n v="2.87"/>
    <n v="17.88"/>
    <n v="0"/>
    <n v="0"/>
    <n v="0"/>
    <n v="15.12"/>
    <n v="4.63"/>
    <n v="37.35"/>
    <n v="42.27"/>
    <n v="20.779999999999998"/>
    <n v="13.280000000000001"/>
    <n v="41.65"/>
    <n v="41.45"/>
    <n v="19.21"/>
    <n v="0"/>
    <n v="0"/>
    <n v="0"/>
    <n v="9.5183870967741928"/>
    <n v="9.5183870967741928"/>
  </r>
  <r>
    <n v="113"/>
    <x v="34"/>
    <s v="EVCS-070004"/>
    <x v="91"/>
    <s v="ETO"/>
    <s v="Public-Paid"/>
    <s v="3.3 kW"/>
    <s v="OCPP"/>
    <n v="5"/>
    <x v="1"/>
    <n v="44.15"/>
    <n v="26.137"/>
    <n v="53.411000000000001"/>
    <n v="42.524999999999999"/>
    <n v="57.986000000000004"/>
    <n v="51.396000000000001"/>
    <n v="44.776000000000003"/>
    <n v="35.869999999999997"/>
    <n v="39.096000000000004"/>
    <n v="28.556000000000001"/>
    <n v="28.934999999999999"/>
    <n v="19.774999999999999"/>
    <n v="43.603000000000002"/>
    <n v="33.006"/>
    <n v="34.070999999999998"/>
    <n v="11.148999999999999"/>
    <n v="23.001000000000001"/>
    <n v="23.727"/>
    <n v="38.085000000000008"/>
    <n v="48.775999999999996"/>
    <n v="23.960999999999999"/>
    <n v="46.774000000000001"/>
    <n v="35.476999999999997"/>
    <n v="36.955000000000005"/>
    <n v="23.953000000000003"/>
    <n v="16.591000000000001"/>
    <n v="25.773000000000003"/>
    <n v="22.246000000000002"/>
    <n v="35.040000000000006"/>
    <n v="51.132000000000005"/>
    <n v="31.291"/>
    <n v="34.749161290322576"/>
    <n v="6.9498322580645153"/>
  </r>
  <r>
    <n v="114"/>
    <x v="34"/>
    <s v="EVCS-070007"/>
    <x v="92"/>
    <s v="ETO"/>
    <s v="Public-Paid"/>
    <s v="3.3 kW"/>
    <s v="OCPP"/>
    <n v="16"/>
    <x v="1"/>
    <n v="62.116"/>
    <n v="69.99499999999999"/>
    <n v="59.122"/>
    <n v="38.561"/>
    <n v="52.851999999999997"/>
    <n v="70.822000000000003"/>
    <n v="83.656999999999996"/>
    <n v="36.094000000000001"/>
    <n v="72.906999999999996"/>
    <n v="90.733999999999995"/>
    <n v="48.133000000000003"/>
    <n v="86.361000000000004"/>
    <n v="102.13800000000001"/>
    <n v="76.478999999999999"/>
    <n v="108.386"/>
    <n v="117.22600000000001"/>
    <n v="137.756"/>
    <n v="102.229"/>
    <n v="114.28500000000001"/>
    <n v="98.789999999999978"/>
    <n v="57.605000000000004"/>
    <n v="156.703"/>
    <n v="100.70199999999998"/>
    <n v="96.91500000000002"/>
    <n v="90.811000000000007"/>
    <n v="65.460999999999999"/>
    <n v="68.578999999999994"/>
    <n v="99.959000000000003"/>
    <n v="110.25399999999999"/>
    <n v="126.75099999999999"/>
    <n v="112.45299999999999"/>
    <n v="87.575354838709686"/>
    <n v="5.4734596774193554"/>
  </r>
  <r>
    <n v="115"/>
    <x v="34"/>
    <s v="EVCS-070008"/>
    <x v="93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"/>
    <x v="34"/>
    <s v="EVCS-070009"/>
    <x v="94"/>
    <s v="ETO"/>
    <s v="Public-Paid"/>
    <s v="3.3 kW"/>
    <s v="OCPP"/>
    <n v="13"/>
    <x v="1"/>
    <n v="83.850999999999999"/>
    <n v="51.623999999999995"/>
    <n v="53.12299999999999"/>
    <n v="54.012999999999998"/>
    <n v="33.291000000000004"/>
    <n v="76.679000000000002"/>
    <n v="91.404000000000011"/>
    <n v="76.021000000000015"/>
    <n v="83.674999999999997"/>
    <n v="127.07"/>
    <n v="101.614"/>
    <n v="83.094999999999999"/>
    <n v="85.729000000000013"/>
    <n v="84.637"/>
    <n v="93.123999999999995"/>
    <n v="91.426000000000016"/>
    <n v="82.459000000000017"/>
    <n v="88.668000000000006"/>
    <n v="107.41500000000001"/>
    <n v="100.86500000000001"/>
    <n v="102.91800000000001"/>
    <n v="185.71299999999999"/>
    <n v="141.92800000000003"/>
    <n v="146.38999999999999"/>
    <n v="182.27800000000002"/>
    <n v="116.14300000000001"/>
    <n v="141.41300000000001"/>
    <n v="150.09700000000001"/>
    <n v="204.70800000000003"/>
    <n v="165.99300000000005"/>
    <n v="202.06899999999999"/>
    <n v="109.33654838709678"/>
    <n v="8.4105037220843677"/>
  </r>
  <r>
    <n v="117"/>
    <x v="34"/>
    <s v="EVCS-070010"/>
    <x v="95"/>
    <s v="ETO"/>
    <s v="Public-Paid"/>
    <s v="3.3 kW"/>
    <s v="OCPP"/>
    <n v="20"/>
    <x v="1"/>
    <n v="410.80900000000003"/>
    <n v="385.47399999999999"/>
    <n v="343.99599999999992"/>
    <n v="343.21400000000017"/>
    <n v="375.95399999999995"/>
    <n v="384.09500000000008"/>
    <n v="315.63899999999995"/>
    <n v="388.8420000000001"/>
    <n v="421.14499999999998"/>
    <n v="383.68899999999996"/>
    <n v="431.15600000000006"/>
    <n v="376.94400000000013"/>
    <n v="422.7290000000001"/>
    <n v="323.76700000000017"/>
    <n v="368.51499999999993"/>
    <n v="316.54799999999994"/>
    <n v="385.8490000000001"/>
    <n v="366.08400000000006"/>
    <n v="517.37000000000023"/>
    <n v="432.35500000000002"/>
    <n v="414.64600000000002"/>
    <n v="444.74399999999974"/>
    <n v="392.39600000000019"/>
    <n v="416.17499999999995"/>
    <n v="345.55399999999997"/>
    <n v="389.017"/>
    <n v="317.16999999999996"/>
    <n v="402.26800000000003"/>
    <n v="471.19200000000012"/>
    <n v="465.56399999999991"/>
    <n v="420.84899999999988"/>
    <n v="392.70158064516136"/>
    <n v="19.635079032258069"/>
  </r>
  <r>
    <n v="118"/>
    <x v="34"/>
    <s v="EVCS-070010"/>
    <x v="95"/>
    <s v="ETO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"/>
    <x v="34"/>
    <s v="EVCS-070011"/>
    <x v="96"/>
    <s v="ETO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0"/>
    <x v="34"/>
    <s v="EVCS-070012"/>
    <x v="97"/>
    <s v="ETO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"/>
    <x v="34"/>
    <s v="EVCS-070013"/>
    <x v="98"/>
    <s v="Trinity"/>
    <s v="Public-Paid"/>
    <s v="7.4 kW"/>
    <s v="OCPP"/>
    <n v="2"/>
    <x v="0"/>
    <n v="0"/>
    <n v="11.429"/>
    <n v="0"/>
    <n v="44.758000000000003"/>
    <n v="11.756"/>
    <n v="0"/>
    <n v="0"/>
    <n v="0"/>
    <n v="0"/>
    <n v="19.916"/>
    <n v="19.736999999999998"/>
    <n v="0"/>
    <n v="0"/>
    <n v="48.269999999999996"/>
    <n v="4.6379999999999999"/>
    <n v="0"/>
    <n v="0"/>
    <n v="0"/>
    <n v="0"/>
    <n v="0"/>
    <n v="0"/>
    <n v="31.988"/>
    <n v="29.164999999999999"/>
    <n v="0"/>
    <n v="0"/>
    <n v="0"/>
    <n v="0"/>
    <n v="37.517000000000003"/>
    <n v="0"/>
    <n v="12.744"/>
    <n v="0"/>
    <n v="8.7715483870967752"/>
    <n v="4.3857741935483876"/>
  </r>
  <r>
    <n v="122"/>
    <x v="34"/>
    <s v="EVCS-070014"/>
    <x v="99"/>
    <m/>
    <s v="Private-Paid"/>
    <s v="3.3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34"/>
    <s v="EVCS-070015"/>
    <x v="100"/>
    <s v="Trinity"/>
    <s v="Public-Free"/>
    <s v="3.3 kW"/>
    <s v="OCPP"/>
    <n v="6"/>
    <x v="3"/>
    <n v="30.853999999999999"/>
    <n v="51.214000000000006"/>
    <n v="20.846"/>
    <n v="12.654"/>
    <n v="0"/>
    <n v="8.9370000000000012"/>
    <n v="27.995000000000001"/>
    <n v="29.176000000000002"/>
    <n v="8.8420000000000005"/>
    <n v="22.188000000000002"/>
    <n v="0"/>
    <n v="0"/>
    <n v="24.579000000000001"/>
    <n v="6.63"/>
    <n v="24.061"/>
    <n v="5.7949999999999999"/>
    <n v="13.058"/>
    <n v="0"/>
    <n v="2.0750000000000002"/>
    <n v="12.71"/>
    <n v="12.196"/>
    <n v="18.122"/>
    <n v="17.07"/>
    <n v="9.577"/>
    <n v="0"/>
    <n v="6.39"/>
    <n v="20.257999999999999"/>
    <n v="15.814000000000002"/>
    <n v="19.795999999999999"/>
    <n v="16.436"/>
    <n v="33.570000000000007"/>
    <n v="15.18848387096774"/>
    <n v="2.5314139784946232"/>
  </r>
  <r>
    <n v="124"/>
    <x v="34"/>
    <s v="EVCS-070016"/>
    <x v="101"/>
    <s v="Trinity"/>
    <s v="Public-Paid"/>
    <s v="3.3 kW"/>
    <s v="OCPP"/>
    <n v="20"/>
    <x v="2"/>
    <n v="178.42699999999994"/>
    <n v="133.97"/>
    <n v="121.41600000000001"/>
    <n v="144.983"/>
    <n v="123.95200000000001"/>
    <n v="90.14200000000001"/>
    <n v="113.831"/>
    <n v="146.68700000000001"/>
    <n v="129.00500000000002"/>
    <n v="149.50799999999995"/>
    <n v="129.97000000000003"/>
    <n v="106.52900000000001"/>
    <n v="122.58299999999998"/>
    <n v="113.298"/>
    <n v="107.172"/>
    <n v="146.74600000000001"/>
    <n v="102.631"/>
    <n v="112.38699999999997"/>
    <n v="121.62"/>
    <n v="145.13600000000002"/>
    <n v="151.79600000000002"/>
    <n v="119.29"/>
    <n v="144.59799999999998"/>
    <n v="148.249"/>
    <n v="181.64099999999999"/>
    <n v="130.476"/>
    <n v="119.387"/>
    <n v="166.673"/>
    <n v="150.90599999999998"/>
    <n v="143.637"/>
    <n v="173.01300000000003"/>
    <n v="134.50512903225808"/>
    <n v="6.7252564516129043"/>
  </r>
  <r>
    <n v="125"/>
    <x v="34"/>
    <s v="EVCS-070016"/>
    <x v="101"/>
    <s v="Trinity"/>
    <s v="Public-Paid"/>
    <s v="7.4 kW"/>
    <s v="OCPP"/>
    <n v="1"/>
    <x v="0"/>
    <n v="0"/>
    <n v="0"/>
    <n v="0"/>
    <n v="18.007000000000001"/>
    <n v="19.788000000000004"/>
    <n v="19.773"/>
    <n v="26.524000000000004"/>
    <n v="18.937000000000001"/>
    <n v="18.914000000000001"/>
    <n v="10.253"/>
    <n v="19.815999999999999"/>
    <n v="14.584"/>
    <n v="18.079000000000001"/>
    <n v="22.326999999999998"/>
    <n v="16.03"/>
    <n v="0"/>
    <n v="0"/>
    <n v="0"/>
    <n v="24.881999999999998"/>
    <n v="18.084"/>
    <n v="0"/>
    <n v="0"/>
    <n v="11.231"/>
    <n v="0"/>
    <n v="0"/>
    <n v="13.554"/>
    <n v="1.8220000000000001"/>
    <n v="0"/>
    <n v="0"/>
    <n v="18.213000000000001"/>
    <n v="0"/>
    <n v="10.026387096774194"/>
    <n v="10.026387096774194"/>
  </r>
  <r>
    <n v="126"/>
    <x v="34"/>
    <s v="EVCS-070016"/>
    <x v="101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x v="34"/>
    <s v="EVCS-070063"/>
    <x v="102"/>
    <s v="Trinity"/>
    <s v="Public-Paid"/>
    <s v="3.3 kW"/>
    <s v="OCPP"/>
    <n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x v="34"/>
    <s v="EVCS-070017"/>
    <x v="103"/>
    <s v="Trinity"/>
    <s v="Public-Paid"/>
    <s v="3.3 kW"/>
    <s v="OCPP"/>
    <n v="15"/>
    <x v="2"/>
    <n v="184.31399999999999"/>
    <n v="181.35900000000004"/>
    <n v="238.953"/>
    <n v="213.29200000000006"/>
    <n v="188.87900000000005"/>
    <n v="222.65899999999996"/>
    <n v="225.97400000000005"/>
    <n v="222.91799999999998"/>
    <n v="198.74799999999996"/>
    <n v="199.02000000000007"/>
    <n v="160.25199999999998"/>
    <n v="169.15200000000002"/>
    <n v="212.846"/>
    <n v="148.11699999999996"/>
    <n v="216.25700000000003"/>
    <n v="123.41400000000002"/>
    <n v="154.15800000000002"/>
    <n v="215.88499999999996"/>
    <n v="228.06599999999997"/>
    <n v="188.54999999999998"/>
    <n v="220.01700000000008"/>
    <n v="224.58900000000003"/>
    <n v="194.63800000000001"/>
    <n v="208.85200000000003"/>
    <n v="196.00600000000003"/>
    <n v="160.303"/>
    <n v="150.47800000000001"/>
    <n v="182.91899999999995"/>
    <n v="222.63499999999999"/>
    <n v="201.51300000000001"/>
    <n v="226.15699999999998"/>
    <n v="196.15870967741935"/>
    <n v="13.077247311827957"/>
  </r>
  <r>
    <n v="129"/>
    <x v="34"/>
    <s v="EVCS-070017"/>
    <x v="103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x v="34"/>
    <s v="EVCS-070020"/>
    <x v="104"/>
    <s v="Trinity"/>
    <s v="Public-Paid"/>
    <s v="3.3 kW"/>
    <s v="OCPP"/>
    <n v="4"/>
    <x v="0"/>
    <n v="0"/>
    <n v="0"/>
    <n v="0"/>
    <n v="0"/>
    <n v="0"/>
    <n v="0"/>
    <n v="0"/>
    <n v="0"/>
    <n v="0"/>
    <n v="0"/>
    <n v="0"/>
    <n v="0"/>
    <n v="0"/>
    <n v="0"/>
    <n v="0"/>
    <n v="0.8819999999999999"/>
    <n v="0"/>
    <n v="0"/>
    <n v="0"/>
    <n v="0"/>
    <n v="4.8019999999999996"/>
    <n v="5.4820000000000002"/>
    <n v="0"/>
    <n v="0"/>
    <n v="1E-3"/>
    <n v="0"/>
    <n v="0"/>
    <n v="0"/>
    <n v="0"/>
    <n v="0"/>
    <n v="0"/>
    <n v="0.3602258064516129"/>
    <n v="9.0056451612903224E-2"/>
  </r>
  <r>
    <n v="131"/>
    <x v="34"/>
    <s v="EVCS-070020"/>
    <x v="104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2"/>
    <x v="34"/>
    <s v="EVCS-070002"/>
    <x v="105"/>
    <s v="BYPL MCD Parking"/>
    <s v="Public-Paid"/>
    <s v="3.3 kW"/>
    <s v="OCPP"/>
    <n v="2"/>
    <x v="0"/>
    <n v="0"/>
    <n v="14.525"/>
    <n v="29.549000000000007"/>
    <n v="24.570999999999998"/>
    <n v="17.615000000000002"/>
    <n v="27.867999999999999"/>
    <n v="9.9809999999999999"/>
    <n v="32.900999999999996"/>
    <n v="22.134999999999998"/>
    <n v="21.145"/>
    <n v="27.343999999999994"/>
    <n v="12.027000000000001"/>
    <n v="25.363"/>
    <n v="18.381999999999998"/>
    <n v="17.123000000000001"/>
    <n v="29.905000000000001"/>
    <n v="38.515999999999998"/>
    <n v="14.127000000000002"/>
    <n v="11.464"/>
    <n v="2.5840000000000001"/>
    <n v="26.701000000000001"/>
    <n v="19.814999999999998"/>
    <n v="24.856000000000002"/>
    <n v="16.488"/>
    <n v="10.954000000000001"/>
    <n v="10.373999999999999"/>
    <n v="2.7690000000000001"/>
    <n v="0.78200000000000003"/>
    <n v="9.3740000000000006"/>
    <n v="17.815000000000001"/>
    <n v="0"/>
    <n v="17.324290322580648"/>
    <n v="8.662145161290324"/>
  </r>
  <r>
    <n v="133"/>
    <x v="34"/>
    <s v="EVCS-070022"/>
    <x v="106"/>
    <s v="BYPL MCD Parking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4"/>
    <x v="34"/>
    <s v="EVCS-070023"/>
    <x v="107"/>
    <s v="BYPL MCD Parking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5"/>
    <x v="34"/>
    <s v="EVCS-070023"/>
    <x v="107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6"/>
    <x v="34"/>
    <s v="EVCS-070025"/>
    <x v="108"/>
    <s v="BYPL MCD Parking"/>
    <s v="Public-Paid"/>
    <s v="3.3 kW"/>
    <s v="OCPP"/>
    <n v="3"/>
    <x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258064516129034E-5"/>
    <n v="1.0752688172043012E-5"/>
  </r>
  <r>
    <n v="137"/>
    <x v="34"/>
    <s v="EVCS-070042"/>
    <x v="109"/>
    <s v="BYPL MCD Parking"/>
    <s v="Public-Paid"/>
    <s v="3.3 kW"/>
    <s v="OCPP"/>
    <n v="3"/>
    <x v="0"/>
    <n v="13.306999999999999"/>
    <n v="1.4330000000000001"/>
    <n v="1.651"/>
    <n v="9.3670000000000009"/>
    <n v="18.067"/>
    <n v="6.9759999999999991"/>
    <n v="16.132999999999999"/>
    <n v="6.9920000000000009"/>
    <n v="24.218999999999998"/>
    <n v="17.832999999999998"/>
    <n v="16.370999999999999"/>
    <n v="20.615000000000002"/>
    <n v="3.2989999999999999"/>
    <n v="15.834"/>
    <n v="19.115000000000002"/>
    <n v="6.194"/>
    <n v="14.933"/>
    <n v="21.3"/>
    <n v="13.255000000000001"/>
    <n v="5.9470000000000001"/>
    <n v="19.709"/>
    <n v="18.875"/>
    <n v="17.73"/>
    <n v="17.335999999999999"/>
    <n v="8.0389999999999997"/>
    <n v="6.3650000000000002"/>
    <n v="0.95199999999999996"/>
    <n v="9.7279999999999998"/>
    <n v="16.270000000000003"/>
    <n v="22.533000000000001"/>
    <n v="6.4180000000000001"/>
    <n v="12.799870967741937"/>
    <n v="4.2666236559139792"/>
  </r>
  <r>
    <n v="138"/>
    <x v="34"/>
    <s v="EVCS-070049"/>
    <x v="110"/>
    <s v="BYPL MCD Parking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9"/>
    <x v="34"/>
    <s v="EVCS-070054"/>
    <x v="111"/>
    <s v="BYPL MCD Parking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0"/>
    <x v="34"/>
    <s v="EVCS-070055"/>
    <x v="112"/>
    <s v="ETO"/>
    <s v="Public-Paid"/>
    <s v="3.3 kW"/>
    <s v="OCPP"/>
    <n v="4"/>
    <x v="3"/>
    <n v="0"/>
    <n v="0"/>
    <n v="0"/>
    <n v="0"/>
    <n v="0"/>
    <n v="0"/>
    <n v="0"/>
    <n v="0"/>
    <n v="0"/>
    <n v="0"/>
    <n v="0"/>
    <n v="9.0570000000000004"/>
    <n v="0"/>
    <n v="0"/>
    <n v="0"/>
    <n v="0"/>
    <n v="0"/>
    <n v="0"/>
    <n v="0"/>
    <n v="0"/>
    <n v="0"/>
    <n v="0"/>
    <n v="12.054"/>
    <n v="0"/>
    <n v="0"/>
    <n v="0"/>
    <n v="0"/>
    <n v="0"/>
    <n v="0"/>
    <n v="0"/>
    <n v="0"/>
    <n v="0.68100000000000005"/>
    <n v="0.17025000000000001"/>
  </r>
  <r>
    <n v="141"/>
    <x v="34"/>
    <s v="EVCS-070056"/>
    <x v="113"/>
    <s v="Trinity"/>
    <s v="Public-Paid"/>
    <s v="3.3 kW"/>
    <s v="OCPP"/>
    <n v="15"/>
    <x v="2"/>
    <n v="103.73500000000001"/>
    <n v="104.395"/>
    <n v="84.684999999999988"/>
    <n v="92.733000000000004"/>
    <n v="97.363"/>
    <n v="86.989000000000004"/>
    <n v="78.730999999999995"/>
    <n v="89.813999999999993"/>
    <n v="90.649000000000015"/>
    <n v="61.768999999999998"/>
    <n v="44.144999999999996"/>
    <n v="86.967999999999989"/>
    <n v="51.425000000000004"/>
    <n v="70.344000000000008"/>
    <n v="41.698"/>
    <n v="64.837000000000003"/>
    <n v="58.64800000000001"/>
    <n v="57.259999999999991"/>
    <n v="67.361000000000004"/>
    <n v="46.105000000000004"/>
    <n v="43.597000000000001"/>
    <n v="67.029999999999987"/>
    <n v="50.672999999999995"/>
    <n v="68.358999999999995"/>
    <n v="85.242999999999995"/>
    <n v="65.42"/>
    <n v="59.338999999999992"/>
    <n v="44.858999999999995"/>
    <n v="66.435000000000002"/>
    <n v="84.719000000000008"/>
    <n v="39.844000000000001"/>
    <n v="69.52167741935483"/>
    <n v="4.6347784946236557"/>
  </r>
  <r>
    <n v="142"/>
    <x v="34"/>
    <s v="EVCS-070056"/>
    <x v="113"/>
    <s v="Trinity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3"/>
    <x v="34"/>
    <s v="EVCS-070057"/>
    <x v="114"/>
    <s v="BRPL MCD Parking"/>
    <s v="Public-Free"/>
    <s v="3.3 kW"/>
    <s v="OCPP"/>
    <n v="2"/>
    <x v="3"/>
    <n v="10.186999999999999"/>
    <n v="0"/>
    <n v="0"/>
    <n v="0"/>
    <n v="0"/>
    <n v="10.132999999999999"/>
    <n v="0"/>
    <n v="12.564"/>
    <n v="0"/>
    <n v="16.279999999999998"/>
    <n v="0"/>
    <n v="0"/>
    <n v="0"/>
    <n v="8.4219999999999988"/>
    <n v="0"/>
    <n v="0"/>
    <n v="4.4020000000000001"/>
    <n v="0"/>
    <n v="0"/>
    <n v="12.515000000000001"/>
    <n v="5.4189999999999996"/>
    <n v="5.0549999999999997"/>
    <n v="8.8000000000000007"/>
    <n v="0"/>
    <n v="0"/>
    <n v="0"/>
    <n v="10.535"/>
    <n v="1.0940000000000001"/>
    <n v="14.441000000000001"/>
    <n v="5.12"/>
    <n v="10.256"/>
    <n v="4.3620322580645166"/>
    <n v="2.1810161290322583"/>
  </r>
  <r>
    <n v="144"/>
    <x v="34"/>
    <s v="EVCS-070058"/>
    <x v="115"/>
    <s v="Sold"/>
    <s v="Public-Free"/>
    <s v="3.3 kW"/>
    <s v="OCPP"/>
    <n v="2"/>
    <x v="3"/>
    <n v="7.827"/>
    <n v="0"/>
    <n v="17.121000000000002"/>
    <n v="0"/>
    <n v="0"/>
    <n v="0"/>
    <n v="22.082999999999998"/>
    <n v="8.5839999999999996"/>
    <n v="0"/>
    <n v="14.792"/>
    <n v="0"/>
    <n v="0"/>
    <n v="16.486999999999998"/>
    <n v="0"/>
    <n v="0"/>
    <n v="24.341999999999999"/>
    <n v="8.0649999999999995"/>
    <n v="0"/>
    <n v="0"/>
    <n v="3.29"/>
    <n v="7.952"/>
    <n v="5.9580000000000002"/>
    <n v="8.8699999999999992"/>
    <n v="7.5540000000000003"/>
    <n v="0"/>
    <n v="0"/>
    <n v="0"/>
    <n v="0"/>
    <n v="0"/>
    <n v="0"/>
    <n v="9.4960000000000004"/>
    <n v="5.2393870967741938"/>
    <n v="2.6196935483870969"/>
  </r>
  <r>
    <n v="145"/>
    <x v="34"/>
    <s v="EVCS-070059"/>
    <x v="116"/>
    <s v="BRPL MCD Parking"/>
    <s v="Public-Free"/>
    <s v="3.3 kW"/>
    <s v="OCPP"/>
    <n v="1"/>
    <x v="3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6.4516129032258067E-5"/>
    <n v="6.4516129032258067E-5"/>
  </r>
  <r>
    <n v="146"/>
    <x v="34"/>
    <s v="EVCS-070060"/>
    <x v="117"/>
    <s v="Sold"/>
    <s v="Public-Free"/>
    <s v="3.3 kW"/>
    <s v="OCPP"/>
    <n v="2"/>
    <x v="3"/>
    <n v="0"/>
    <n v="0"/>
    <n v="0"/>
    <n v="0"/>
    <n v="0"/>
    <n v="0"/>
    <n v="0"/>
    <n v="0"/>
    <n v="0"/>
    <n v="0"/>
    <n v="0"/>
    <n v="0"/>
    <n v="5.8140000000000001"/>
    <n v="2.8559999999999999"/>
    <n v="0"/>
    <n v="0"/>
    <n v="0"/>
    <n v="0"/>
    <n v="0"/>
    <n v="0"/>
    <n v="0"/>
    <n v="0"/>
    <n v="0"/>
    <n v="0.26800000000000002"/>
    <n v="0"/>
    <n v="0"/>
    <n v="0"/>
    <n v="0"/>
    <n v="0"/>
    <n v="0"/>
    <n v="0"/>
    <n v="0.28832258064516131"/>
    <n v="0.14416129032258065"/>
  </r>
  <r>
    <n v="147"/>
    <x v="34"/>
    <s v="EVCS-070061"/>
    <x v="118"/>
    <s v="BSES Parking"/>
    <s v="Public-Free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8"/>
    <x v="34"/>
    <s v="EVCS-070070"/>
    <x v="119"/>
    <s v="BSES Parking"/>
    <s v="Public-Free"/>
    <s v="3.3 kW"/>
    <s v="OCPP"/>
    <n v="2"/>
    <x v="3"/>
    <n v="6.73"/>
    <n v="4.4089999999999998"/>
    <n v="0"/>
    <n v="0"/>
    <n v="0"/>
    <n v="1E-3"/>
    <n v="5.641"/>
    <n v="0"/>
    <n v="6.0869999999999997"/>
    <n v="6.4660000000000002"/>
    <n v="0"/>
    <n v="0"/>
    <n v="7.3659999999999997"/>
    <n v="0"/>
    <n v="4.351"/>
    <n v="4.9669999999999996"/>
    <n v="5.8490000000000002"/>
    <n v="0"/>
    <n v="0"/>
    <n v="9.1610000000000014"/>
    <n v="0"/>
    <n v="12.442"/>
    <n v="4.984"/>
    <n v="7.56"/>
    <n v="0"/>
    <n v="0"/>
    <n v="10.984999999999999"/>
    <n v="0"/>
    <n v="0"/>
    <n v="9.3460000000000001"/>
    <n v="0"/>
    <n v="3.4304838709677421"/>
    <n v="1.715241935483871"/>
  </r>
  <r>
    <n v="149"/>
    <x v="34"/>
    <s v="EVCS-070062"/>
    <x v="120"/>
    <s v="Trinity"/>
    <s v="Public-Paid"/>
    <s v="3.3 kW"/>
    <s v="OCPP"/>
    <n v="15"/>
    <x v="2"/>
    <n v="33.341999999999999"/>
    <n v="53.248999999999995"/>
    <n v="46.501000000000005"/>
    <n v="32.741999999999997"/>
    <n v="44.446000000000005"/>
    <n v="40.311"/>
    <n v="29.601000000000006"/>
    <n v="42.527999999999999"/>
    <n v="54.753999999999998"/>
    <n v="46.674000000000007"/>
    <n v="24.323"/>
    <n v="24.145"/>
    <n v="38.575000000000003"/>
    <n v="34.816000000000003"/>
    <n v="28.43"/>
    <n v="31.317"/>
    <n v="43.506"/>
    <n v="70.238"/>
    <n v="56.029999999999994"/>
    <n v="44.595000000000006"/>
    <n v="76.52"/>
    <n v="45.352999999999994"/>
    <n v="46.982999999999997"/>
    <n v="74.121999999999986"/>
    <n v="71.441999999999993"/>
    <n v="57.826000000000008"/>
    <n v="85.76700000000001"/>
    <n v="42.718999999999994"/>
    <n v="77.304999999999993"/>
    <n v="105.11400000000002"/>
    <n v="98.61999999999999"/>
    <n v="51.673999999999992"/>
    <n v="3.4449333333333327"/>
  </r>
  <r>
    <n v="150"/>
    <x v="34"/>
    <s v="EVCS-070062"/>
    <x v="120"/>
    <s v="Trinity"/>
    <s v="Public-Paid"/>
    <s v="12 kW"/>
    <s v="DC Charger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1"/>
    <x v="34"/>
    <m/>
    <x v="121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2"/>
    <x v="34"/>
    <m/>
    <x v="122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3"/>
    <x v="34"/>
    <m/>
    <x v="123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4"/>
    <x v="34"/>
    <m/>
    <x v="124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5"/>
    <x v="34"/>
    <m/>
    <x v="125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6"/>
    <x v="34"/>
    <m/>
    <x v="126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7"/>
    <x v="35"/>
    <s v="EVCS-100002"/>
    <x v="127"/>
    <s v="Flipkart"/>
    <s v="Public-Paid"/>
    <s v="3.3 kW"/>
    <s v="OCPP"/>
    <n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8"/>
    <x v="35"/>
    <s v="EVCS-100003"/>
    <x v="128"/>
    <s v="Flipkart"/>
    <s v="Public-Paid"/>
    <s v="3.3 kW"/>
    <s v="OCPP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">
  <r>
    <s v="Hyderabad"/>
    <s v="EVCS-360028"/>
    <s v="EV Charge Hub, Dhuni Polymers, Kottur, Hyderabad"/>
    <s v="Trinity"/>
    <s v="Public-Free"/>
    <s v="3.3KW"/>
    <s v="OCPP"/>
    <n v="1"/>
    <s v="Sales"/>
    <n v="3.3570000000000002"/>
    <n v="0"/>
    <n v="0"/>
    <n v="0"/>
    <n v="0"/>
    <n v="0"/>
    <n v="1.677"/>
    <n v="0"/>
    <n v="0"/>
    <n v="0"/>
    <n v="0"/>
    <n v="0"/>
    <n v="3.3490000000000002"/>
    <n v="0"/>
    <n v="0"/>
    <n v="0"/>
    <n v="0"/>
    <n v="0"/>
    <n v="0"/>
    <n v="3.3719999999999999"/>
    <n v="0"/>
    <n v="0"/>
    <n v="0"/>
    <n v="0"/>
    <n v="0"/>
    <n v="0"/>
    <n v="0"/>
    <n v="0"/>
    <n v="0"/>
    <n v="0"/>
    <n v="0.39183333333333337"/>
    <n v="0.39183333333333337"/>
  </r>
  <r>
    <s v="Hyderabad"/>
    <s v="EVCS-360030"/>
    <s v="ThunderPlus EV Charge Hub, Umdanagar, Hyderabad"/>
    <s v="Trinity"/>
    <s v="Public-Paid"/>
    <s v="30 kw 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6"/>
    <n v="0"/>
    <n v="54.819999999999993"/>
    <n v="0"/>
    <n v="49.89"/>
    <n v="0"/>
    <n v="5.12"/>
    <n v="4.1263333333333332"/>
    <n v="4.1263333333333332"/>
  </r>
  <r>
    <s v="Hyderabad"/>
    <s v="EVCS-360066"/>
    <s v=" ThunderPlus EV Charge Hub, Moula Ali, Hyderabad"/>
    <s v="Trinity"/>
    <s v="Public-Paid"/>
    <s v="12KW"/>
    <s v="DC Charger"/>
    <n v="1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69"/>
    <s v=" ThunderPlus EV Charge Hub, Aramghar, Hyderabad"/>
    <s v="Trinity"/>
    <s v="Public-Paid"/>
    <s v="15KW"/>
    <s v="DC Charger"/>
    <n v="1"/>
    <s v="Parking and Charging"/>
    <n v="0"/>
    <n v="0"/>
    <n v="0"/>
    <n v="0"/>
    <n v="0"/>
    <n v="0"/>
    <n v="0"/>
    <n v="0"/>
    <n v="0"/>
    <n v="0"/>
    <n v="0"/>
    <n v="13.719999999999999"/>
    <n v="74.510000000000005"/>
    <n v="42.96"/>
    <n v="82.32"/>
    <n v="62.778999999999996"/>
    <n v="74.579000000000008"/>
    <n v="53.459999999999994"/>
    <n v="59.331000000000003"/>
    <n v="43.210000000000008"/>
    <n v="36.460000000000008"/>
    <n v="60.609999999999992"/>
    <n v="18.119999999999997"/>
    <n v="26.980000000000004"/>
    <n v="63.279999999999994"/>
    <n v="53.362000000000002"/>
    <n v="48.92"/>
    <n v="46.069000000000003"/>
    <n v="49.54"/>
    <n v="30.080000000000002"/>
    <n v="31.343"/>
    <n v="31.343"/>
  </r>
  <r>
    <s v="Hyderabad"/>
    <s v="EVCS-360035"/>
    <s v="ThunderPlus EV Charge Hub, Hi-tec city, Hyderabad"/>
    <s v="Trinity"/>
    <s v="Public-Paid"/>
    <s v="7.4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35"/>
    <s v=" ThunderPlus EV Charge Hub, Hi-tec city, Hyderabad"/>
    <s v="Trinity"/>
    <s v="Public-Paid"/>
    <s v="12KW"/>
    <s v="DC Charger"/>
    <n v="1"/>
    <s v="Public Charging"/>
    <n v="0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33333333333332E-4"/>
    <n v="3.3333333333333332E-4"/>
  </r>
  <r>
    <s v="Hyderabad"/>
    <s v="EVCS-360035"/>
    <s v=" ThunderPlus EV Charge Hub, Hi-tec city, Hyderabad"/>
    <s v="Trinity"/>
    <s v="Public-Paid"/>
    <s v="15KW"/>
    <s v="DC Charger"/>
    <n v="1"/>
    <s v="Public Charging"/>
    <n v="15.089"/>
    <n v="0"/>
    <n v="0"/>
    <n v="0"/>
    <n v="0"/>
    <n v="0"/>
    <n v="0"/>
    <n v="0"/>
    <n v="0"/>
    <n v="0"/>
    <n v="0"/>
    <n v="0"/>
    <n v="0"/>
    <n v="0"/>
    <n v="13.79"/>
    <n v="0"/>
    <n v="0"/>
    <n v="16.27"/>
    <n v="0"/>
    <n v="0"/>
    <n v="0"/>
    <n v="0"/>
    <n v="0"/>
    <n v="12.67"/>
    <n v="0"/>
    <n v="0"/>
    <n v="0"/>
    <n v="0"/>
    <n v="0"/>
    <n v="5.0599999999999996"/>
    <n v="2.095966666666667"/>
    <n v="2.095966666666667"/>
  </r>
  <r>
    <s v="Hyderabad"/>
    <s v="EVCS-360035"/>
    <s v=" ThunderPlus EV Charge Hub, Hi-tec city, Hyderabad"/>
    <s v="Trinity"/>
    <s v="Public-Paid"/>
    <s v="60 kw"/>
    <s v="DC Charger"/>
    <n v="1"/>
    <s v="Public Charging"/>
    <n v="354.85"/>
    <n v="499.36999999999989"/>
    <n v="399.17800000000005"/>
    <n v="436.90000000000009"/>
    <n v="189.22599999999997"/>
    <n v="122.572"/>
    <n v="433.05"/>
    <n v="245.55199999999999"/>
    <n v="475.22599999999994"/>
    <n v="319.14799999999991"/>
    <n v="406.25"/>
    <n v="83.85"/>
    <n v="145.22000000000003"/>
    <n v="334.12399999999997"/>
    <n v="415.04399999999993"/>
    <n v="435.85"/>
    <n v="467.77800000000002"/>
    <n v="321.84999999999997"/>
    <n v="117.32399999999998"/>
    <n v="107.19999999999997"/>
    <n v="357.47200000000009"/>
    <n v="469.36799999999999"/>
    <n v="456.17799999999994"/>
    <n v="396.59599999999995"/>
    <n v="310.60000000000002"/>
    <n v="128.696"/>
    <n v="197.04800000000006"/>
    <n v="388.02799999999996"/>
    <n v="563.05200000000025"/>
    <n v="546.19599999999969"/>
    <n v="337.42653333333334"/>
    <n v="337.42653333333334"/>
  </r>
  <r>
    <s v="Hyderabad"/>
    <s v="EVCS-360035"/>
    <s v="ThunderPlus EV Charge Hub, Hi-tec city, Hyderabad"/>
    <s v="Trinity"/>
    <s v="Public-Paid"/>
    <s v="120KW"/>
    <s v="DC Charger"/>
    <n v="1"/>
    <s v="Public Charging"/>
    <n v="371.85"/>
    <n v="478.80999999999995"/>
    <n v="506.87000000000012"/>
    <n v="400.04000000000008"/>
    <n v="244.98999999999995"/>
    <n v="214.43"/>
    <n v="450.69999999999993"/>
    <n v="270.63"/>
    <n v="378.18999999999988"/>
    <n v="445.31"/>
    <n v="434.72999999999985"/>
    <n v="133.11000000000001"/>
    <n v="212.5"/>
    <n v="367.02999999999986"/>
    <n v="505.41999999999996"/>
    <n v="532.48"/>
    <n v="521.30999999999983"/>
    <n v="347.11"/>
    <n v="200.38"/>
    <n v="193.14"/>
    <n v="430.95999999999992"/>
    <n v="460.24"/>
    <n v="504.29000000000019"/>
    <n v="392.79"/>
    <n v="488.66999999999996"/>
    <n v="251.39000000000004"/>
    <n v="180.01999999999995"/>
    <n v="445.83999999999992"/>
    <n v="535.69000000000017"/>
    <n v="638.66"/>
    <n v="384.58600000000007"/>
    <n v="384.58600000000007"/>
  </r>
  <r>
    <s v="Hyderabad"/>
    <s v="EVCS-360035"/>
    <s v="ThunderPlus EV Charge Hub, Hi-tec city, Hyderabad"/>
    <s v="Trinity"/>
    <s v="Public-Paid"/>
    <s v="240kw"/>
    <s v="DC Charger"/>
    <n v="1"/>
    <s v="Public Charging"/>
    <n v="0"/>
    <n v="0"/>
    <n v="0"/>
    <n v="0"/>
    <n v="62.15"/>
    <n v="11.2"/>
    <n v="155.375"/>
    <n v="62.024999999999999"/>
    <n v="42.1"/>
    <n v="0"/>
    <n v="280.92500000000001"/>
    <n v="0"/>
    <n v="0"/>
    <n v="0"/>
    <n v="95.724999999999994"/>
    <n v="84.35"/>
    <n v="289.89999999999998"/>
    <n v="397.125"/>
    <n v="75.95"/>
    <n v="484.17499999999995"/>
    <n v="779.9"/>
    <n v="274.25"/>
    <n v="490.92499999999995"/>
    <n v="307.87399999999997"/>
    <n v="419.79999999999995"/>
    <n v="478.65000000000003"/>
    <n v="419.92500000000001"/>
    <n v="353.32499999999999"/>
    <n v="733.99999999999977"/>
    <n v="336.05"/>
    <n v="221.18996666666666"/>
    <n v="221.18996666666666"/>
  </r>
  <r>
    <s v="Hyderabad"/>
    <s v="EVCS-360036"/>
    <s v="ThunderPlus EV Charge Hub, Mettuguda, Hyderabad"/>
    <s v="Trinity"/>
    <s v="Public-Paid"/>
    <s v="3.3KW"/>
    <s v="OCPP"/>
    <n v="1"/>
    <s v="Public Charging"/>
    <n v="6.4210000000000003"/>
    <n v="10.446"/>
    <n v="10.865"/>
    <n v="0.46800000000000003"/>
    <n v="1.9629999999999999"/>
    <n v="11.382"/>
    <n v="0"/>
    <n v="1.984"/>
    <n v="6.4080000000000004"/>
    <n v="0.84899999999999998"/>
    <n v="0"/>
    <n v="2.665"/>
    <n v="1.252"/>
    <n v="7.7210000000000001"/>
    <n v="6.4050000000000002"/>
    <n v="9.2479999999999993"/>
    <n v="9.3219999999999992"/>
    <n v="0"/>
    <n v="5.2859999999999996"/>
    <n v="3.4670000000000001"/>
    <n v="3.1320000000000001"/>
    <n v="0"/>
    <n v="0"/>
    <n v="0"/>
    <n v="0.32200000000000001"/>
    <n v="33.85"/>
    <n v="56.880000000000017"/>
    <n v="5.2010000000000005"/>
    <n v="12.221"/>
    <n v="5.6070000000000011"/>
    <n v="7.1121666666666679"/>
    <n v="7.1121666666666679"/>
  </r>
  <r>
    <s v="Hyderabad"/>
    <s v="EVCS-360036"/>
    <s v="ThunderPlus EV Charge Hub, Mettuguda, Hyderabad"/>
    <s v="Trinity"/>
    <s v="Public-Paid"/>
    <s v="7.4KW"/>
    <s v="OCPP"/>
    <n v="1"/>
    <s v="Public Charging"/>
    <n v="15.042000000000002"/>
    <n v="9.923"/>
    <n v="0"/>
    <n v="0"/>
    <n v="18.600000000000001"/>
    <n v="0"/>
    <n v="0"/>
    <n v="31.513000000000002"/>
    <n v="0"/>
    <n v="19.856999999999999"/>
    <n v="0"/>
    <n v="16.158000000000001"/>
    <n v="0"/>
    <n v="0"/>
    <n v="11.65"/>
    <n v="2.105"/>
    <n v="15.806000000000001"/>
    <n v="0"/>
    <n v="0"/>
    <n v="0"/>
    <n v="0"/>
    <n v="34.192999999999998"/>
    <n v="0"/>
    <n v="0"/>
    <n v="66.459000000000003"/>
    <n v="9.5330000000000013"/>
    <n v="8.2759999999999998"/>
    <n v="25.600999999999999"/>
    <n v="0"/>
    <n v="5.1749999999999998"/>
    <n v="9.6630333333333365"/>
    <n v="9.6630333333333365"/>
  </r>
  <r>
    <s v="Hyderabad"/>
    <s v="EVCS-360036"/>
    <s v=" ThunderPlus EV Charge Hub, Mettuguda, Hyderabad"/>
    <s v="Trinity"/>
    <s v="Public-Paid"/>
    <s v="2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36"/>
    <s v=" ThunderPlus EV Charge Hub, Mettuguda, Hyderabad"/>
    <s v="Trinity"/>
    <s v="Public-Paid"/>
    <s v="30  KW"/>
    <s v="DC Charger"/>
    <n v="1"/>
    <s v="Public Charging"/>
    <n v="30.560000000000002"/>
    <n v="15.68"/>
    <n v="40.86"/>
    <n v="83.52"/>
    <n v="17.34"/>
    <n v="49.75"/>
    <n v="41.89"/>
    <n v="124.28"/>
    <n v="87.83"/>
    <n v="40.78"/>
    <n v="18.98"/>
    <n v="44.370000000000005"/>
    <n v="38.449999999999996"/>
    <n v="27.009999999999998"/>
    <n v="58.79"/>
    <n v="50.33"/>
    <n v="51.32"/>
    <n v="56.849999999999994"/>
    <n v="13.969999999999999"/>
    <n v="31.279999999999998"/>
    <n v="10.780000000000001"/>
    <n v="35"/>
    <n v="32"/>
    <n v="0"/>
    <n v="114.77999999999999"/>
    <n v="41"/>
    <n v="29.9"/>
    <n v="65.44"/>
    <n v="48.21"/>
    <n v="82.13000000000001"/>
    <n v="46.102666666666678"/>
    <n v="46.102666666666678"/>
  </r>
  <r>
    <s v="Hyderabad"/>
    <s v="EVCS-360071"/>
    <s v="ThunderPlus EV Charge Hub, Yapral , Hyderabad"/>
    <s v="Trinity"/>
    <s v="Public-Paid"/>
    <s v="15KW"/>
    <s v="DC Charger"/>
    <n v="1"/>
    <s v="Parking and Charging"/>
    <n v="0"/>
    <n v="5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933333333333333"/>
    <n v="0.19933333333333333"/>
  </r>
  <r>
    <s v="Hyderabad"/>
    <s v="EVCS-360068"/>
    <s v="ThunderPlus EV Charge Hub, Nacharam, Hyderabad"/>
    <s v="Trinity"/>
    <s v="Public-Paid"/>
    <s v="12KW"/>
    <s v="DC Charger"/>
    <n v="1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44"/>
    <s v="EV Charge Hub, Niharika Landmark, Hyderabad"/>
    <s v="Trinity"/>
    <s v="Public-Paid"/>
    <s v="3.3KW"/>
    <s v="OCPP"/>
    <n v="1"/>
    <s v="Sales"/>
    <n v="0"/>
    <n v="0"/>
    <n v="0"/>
    <n v="0.79900000000000004"/>
    <n v="1.7150000000000001"/>
    <n v="0"/>
    <n v="0"/>
    <n v="0"/>
    <n v="0"/>
    <n v="1.8029999999999999"/>
    <n v="0"/>
    <n v="1.133"/>
    <n v="0"/>
    <n v="0"/>
    <n v="0"/>
    <n v="0"/>
    <n v="0"/>
    <n v="0"/>
    <n v="2.0310000000000001"/>
    <n v="0"/>
    <n v="0"/>
    <n v="1.0720000000000001"/>
    <n v="0"/>
    <n v="0"/>
    <n v="0"/>
    <n v="0"/>
    <n v="0"/>
    <n v="1.903"/>
    <n v="0"/>
    <n v="0"/>
    <n v="0.34853333333333336"/>
    <n v="0.34853333333333336"/>
  </r>
  <r>
    <s v="Hyderabad"/>
    <s v="EVCS-360047"/>
    <s v=" EV Charge Hub, Hallmark Tranquil Apartment, Manikonda, Hyderabad"/>
    <s v="Trinity"/>
    <s v="Public-Paid"/>
    <s v="22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49"/>
    <s v="ETO, Bachupally, Hyderabad"/>
    <s v="ETO"/>
    <s v="Public-Paid"/>
    <s v="3.3KW"/>
    <s v="OCPP"/>
    <n v="1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50"/>
    <s v="EV Charge Hub, Sri Dattatreya Hostel, Hyderabad"/>
    <s v="Trinity"/>
    <s v="Public-Paid"/>
    <s v="3.3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51"/>
    <s v="ETO, Mowo-Kukatpally , Hyderabad"/>
    <s v="ETO"/>
    <s v="Public-Paid"/>
    <s v="3.3KW"/>
    <s v="OCPP"/>
    <n v="1"/>
    <s v="Charging Service"/>
    <n v="0"/>
    <n v="0"/>
    <n v="0"/>
    <n v="3.2549999999999999"/>
    <n v="0"/>
    <n v="0"/>
    <n v="1.738"/>
    <n v="0"/>
    <n v="0"/>
    <n v="0"/>
    <n v="0"/>
    <n v="0"/>
    <n v="0"/>
    <n v="0"/>
    <n v="0"/>
    <n v="2.7109999999999999"/>
    <n v="0.58899999999999997"/>
    <n v="0"/>
    <n v="0"/>
    <n v="0"/>
    <n v="0"/>
    <n v="0"/>
    <n v="0"/>
    <n v="0"/>
    <n v="0"/>
    <n v="1.9259999999999999"/>
    <n v="0"/>
    <n v="1.968"/>
    <n v="0"/>
    <n v="0"/>
    <n v="0.40623333333333339"/>
    <n v="0.40623333333333339"/>
  </r>
  <r>
    <s v="Hyderabad"/>
    <s v="EVCS-360052"/>
    <s v="ETO, GMR Mahalakshmi Foundation,Shamshabad, Hyderabad"/>
    <s v="ETO"/>
    <s v="Public-Paid"/>
    <s v="3.3KW"/>
    <s v="OCPP"/>
    <n v="1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57"/>
    <s v="ThunderPlus EV Charge Hub, Post Offlice-Sainikpuri, Hyderabad"/>
    <s v="Trinity"/>
    <s v="Public-Paid"/>
    <s v="3.3KW"/>
    <s v="OCPP"/>
    <n v="1"/>
    <s v="Public Charging"/>
    <n v="0"/>
    <n v="0"/>
    <n v="5.4889999999999999"/>
    <n v="5.9669999999999996"/>
    <n v="3.8359999999999999"/>
    <n v="0"/>
    <n v="3.7850000000000001"/>
    <n v="20.032"/>
    <n v="5.9399999999999995"/>
    <n v="3.5379999999999998"/>
    <n v="3.948"/>
    <n v="3.694"/>
    <n v="0"/>
    <n v="4.5440000000000005"/>
    <n v="4.0960000000000001"/>
    <n v="4.2309999999999999"/>
    <n v="3.548"/>
    <n v="1.984"/>
    <n v="0"/>
    <n v="0"/>
    <n v="3.7210000000000001"/>
    <n v="2.9209999999999998"/>
    <n v="2.964"/>
    <n v="2.0550000000000002"/>
    <n v="6.5759999999999996"/>
    <n v="3.07"/>
    <n v="0"/>
    <n v="3.96"/>
    <n v="0"/>
    <n v="0"/>
    <n v="3.3299666666666661"/>
    <n v="3.3299666666666661"/>
  </r>
  <r>
    <s v="Hyderabad"/>
    <s v="EVCS-360057"/>
    <s v="ThunderPlus EV Charge Hub, Post Offlice-Sainikpuri, Hyderabad"/>
    <s v="Trinity"/>
    <s v="Public-Paid"/>
    <s v="7.4KW"/>
    <s v="OCPP"/>
    <n v="1"/>
    <s v="Public Charging"/>
    <n v="0"/>
    <n v="0"/>
    <n v="0"/>
    <n v="0"/>
    <n v="0"/>
    <n v="0"/>
    <n v="0"/>
    <n v="0"/>
    <n v="0"/>
    <n v="10.51"/>
    <n v="0"/>
    <n v="11.615"/>
    <n v="19.273"/>
    <n v="0"/>
    <n v="0"/>
    <n v="6.5750000000000002"/>
    <n v="0"/>
    <n v="0"/>
    <n v="2.2389999999999999"/>
    <n v="0"/>
    <n v="0"/>
    <n v="0"/>
    <n v="0"/>
    <n v="0"/>
    <n v="0"/>
    <n v="0"/>
    <n v="0"/>
    <n v="0"/>
    <n v="0"/>
    <n v="0"/>
    <n v="1.6737333333333333"/>
    <n v="1.6737333333333333"/>
  </r>
  <r>
    <s v="Hyderabad"/>
    <s v="EVCS-360057"/>
    <s v="ThunderPlus EV Charge Hub, Post Offlice-Sainikpuri, Hyderabad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657"/>
    <n v="0"/>
    <n v="0"/>
    <n v="0.48856666666666665"/>
    <n v="0.48856666666666665"/>
  </r>
  <r>
    <s v="Hyderabad"/>
    <s v="EVCS-360059"/>
    <s v="EV Charge Hub, Tejaswi Green Energy Pvt Ltd, Hyderabad"/>
    <s v="Trinity"/>
    <s v="Public-Paid"/>
    <s v="3.3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Warangal"/>
    <s v="EVCS-360060"/>
    <s v="ThunderPlus EV Charge Hub, Tata Geeta Auto Commercials,Warangal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61"/>
    <s v="ETO, Bluedart Balanagar, Hyderabad"/>
    <s v="Trinity"/>
    <s v="Public-Paid"/>
    <s v="3.3KW"/>
    <s v="OCPP"/>
    <n v="1"/>
    <s v="Charging Service"/>
    <n v="3.6619999999999999"/>
    <n v="7.9000000000000001E-2"/>
    <n v="0.57199999999999995"/>
    <n v="5.1880000000000006"/>
    <n v="2.78"/>
    <n v="0"/>
    <n v="6.7379999999999995"/>
    <n v="5.44"/>
    <n v="0"/>
    <n v="0.55200000000000005"/>
    <n v="5.8000000000000007"/>
    <n v="0.89100000000000001"/>
    <n v="6.0839999999999996"/>
    <n v="3.3959999999999999"/>
    <n v="3.629"/>
    <n v="3.2040000000000002"/>
    <n v="0"/>
    <n v="1.3320000000000001"/>
    <n v="6.6010000000000009"/>
    <n v="3.839"/>
    <n v="2.1960000000000002"/>
    <n v="0.66500000000000004"/>
    <n v="0"/>
    <n v="1.3579999999999999"/>
    <n v="1.675"/>
    <n v="4.4820000000000002"/>
    <n v="7.992"/>
    <n v="5.2750000000000004"/>
    <n v="2.7690000000000001"/>
    <n v="2.72"/>
    <n v="2.9639666666666669"/>
    <n v="2.9639666666666669"/>
  </r>
  <r>
    <s v="Hyderabad"/>
    <n v="0"/>
    <s v="ThunderPlus EV Park &amp; Charge Hub, Gundla Pochampally, Hyderabad"/>
    <s v="Trinity"/>
    <s v="Public-Paid"/>
    <s v="30 kw 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n v="0"/>
    <s v="Deccan College of Engg. - Nampally"/>
    <s v="Deccan College of Engg."/>
    <s v="Public-Free"/>
    <s v="3.3KW"/>
    <s v="LEVAC-BLE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72"/>
    <s v="EV Charge Hub, NMDC Office, Hyderabad"/>
    <s v="Trinity"/>
    <s v="Public-Paid"/>
    <s v="60 kw"/>
    <s v="DC Charger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76"/>
    <s v="EV Charge Hub, Alekya Earth Song, Hyderabad"/>
    <s v="Trinity"/>
    <s v="Public-Paid"/>
    <s v="3.3KW"/>
    <s v="OCPP"/>
    <n v="1"/>
    <s v="Sales"/>
    <n v="0"/>
    <n v="0"/>
    <n v="0"/>
    <n v="0.41299999999999998"/>
    <n v="0"/>
    <n v="2.109"/>
    <n v="0"/>
    <n v="0"/>
    <n v="3.0019999999999998"/>
    <n v="0"/>
    <n v="0"/>
    <n v="0"/>
    <n v="0"/>
    <n v="2.9990000000000001"/>
    <n v="0"/>
    <n v="0"/>
    <n v="0"/>
    <n v="0"/>
    <n v="0"/>
    <n v="0"/>
    <n v="2.0419999999999998"/>
    <n v="0"/>
    <n v="0"/>
    <n v="0"/>
    <n v="0"/>
    <n v="0"/>
    <n v="0"/>
    <n v="0"/>
    <n v="0"/>
    <n v="0"/>
    <n v="0.35216666666666663"/>
    <n v="0.35216666666666663"/>
  </r>
  <r>
    <s v="Suryapet"/>
    <n v="0"/>
    <s v="ThunderPlus EV Charge Hub, Suryapet"/>
    <s v="Trinity"/>
    <s v="Public-Paid"/>
    <s v="240 kw"/>
    <s v="DC Charger"/>
    <n v="1"/>
    <s v="Public Charging"/>
    <n v="36.549999999999997"/>
    <n v="0"/>
    <n v="0"/>
    <n v="0"/>
    <n v="53.4"/>
    <n v="5.5750000000000002"/>
    <n v="0"/>
    <n v="34.700000000000003"/>
    <n v="340.52500000000003"/>
    <n v="329.2"/>
    <n v="381.94999999999993"/>
    <n v="361.07499999999999"/>
    <n v="299.25"/>
    <n v="195.02500000000001"/>
    <n v="95.3"/>
    <n v="204.9"/>
    <n v="311.99999999999994"/>
    <n v="23.375"/>
    <n v="225.95"/>
    <n v="906.07400000000007"/>
    <n v="120.62499999999999"/>
    <n v="374.45000000000005"/>
    <n v="488.35000000000008"/>
    <n v="576.57500000000005"/>
    <n v="650.87400000000002"/>
    <n v="578.09999999999991"/>
    <n v="578.851"/>
    <n v="479.274"/>
    <n v="401.02499999999998"/>
    <n v="467.22500000000008"/>
    <n v="284.00659999999999"/>
    <n v="284.00659999999999"/>
  </r>
  <r>
    <s v="Hyderabad"/>
    <n v="0"/>
    <s v="ThunderPlus EV Charge Hub, Iskcon-Secunderabad, Hyderabad"/>
    <s v="Trinity"/>
    <s v="Public-Paid"/>
    <s v="3.3 kW"/>
    <s v="OCPP"/>
    <n v="1"/>
    <s v="Public Charging"/>
    <n v="0"/>
    <n v="0"/>
    <n v="0"/>
    <n v="0"/>
    <n v="0"/>
    <n v="0"/>
    <n v="0"/>
    <n v="0"/>
    <n v="0"/>
    <n v="2.593"/>
    <n v="7.3650000000000002"/>
    <n v="8.1739999999999995"/>
    <n v="11.952000000000002"/>
    <n v="5.0609999999999999"/>
    <n v="9.5359999999999996"/>
    <n v="21.633999999999997"/>
    <n v="15.539"/>
    <n v="28.477"/>
    <n v="26.007000000000001"/>
    <n v="12.722"/>
    <n v="21.41"/>
    <n v="14.266"/>
    <n v="7.84"/>
    <n v="26.253"/>
    <n v="18.189"/>
    <n v="30.222000000000001"/>
    <n v="12.82"/>
    <n v="14.308000000000002"/>
    <n v="16.251999999999999"/>
    <n v="9.956999999999999"/>
    <n v="10.6859"/>
    <n v="10.6859"/>
  </r>
  <r>
    <s v="Turkaplly"/>
    <n v="0"/>
    <s v="EV Charge Hub, Sai Life Sciences, Turkaplly"/>
    <s v="Trinity"/>
    <s v="Public-Paid"/>
    <s v="3.3 kW"/>
    <s v="OCPP"/>
    <n v="1"/>
    <s v="Sales"/>
    <n v="20.802"/>
    <n v="2.2629999999999999"/>
    <n v="0"/>
    <n v="0"/>
    <n v="0"/>
    <n v="0"/>
    <n v="0"/>
    <n v="1.53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050000000000004"/>
    <n v="0"/>
    <n v="0"/>
    <n v="1.0401666666666667"/>
    <n v="1.0401666666666667"/>
  </r>
  <r>
    <s v="Turkaplly"/>
    <n v="0"/>
    <s v="EV Charge Hub, Sai Life Sciences, Turkaplly"/>
    <s v="Trinity"/>
    <s v="Public-Paid"/>
    <s v="7.4 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33.504999999999995"/>
    <n v="0"/>
    <n v="0"/>
    <n v="0"/>
    <n v="1.728"/>
    <n v="0"/>
    <n v="0"/>
    <n v="0"/>
    <n v="13.259999999999998"/>
    <n v="0"/>
    <n v="0"/>
    <n v="13.925000000000001"/>
    <n v="0"/>
    <n v="0"/>
    <n v="2.0805999999999996"/>
    <n v="2.0805999999999996"/>
  </r>
  <r>
    <s v="Turkaplly"/>
    <n v="0"/>
    <s v="EV Charge Hub, Sai Life Sciences, Turkaplly"/>
    <s v="Trinity"/>
    <s v="Public-Paid"/>
    <s v="22 kW"/>
    <s v="OCPP"/>
    <n v="1"/>
    <s v="Sales"/>
    <n v="0"/>
    <n v="0"/>
    <n v="2.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757999999999999"/>
    <n v="0"/>
    <n v="0"/>
    <n v="0"/>
    <n v="0"/>
    <n v="0"/>
    <n v="0.71989999999999987"/>
    <n v="0.71989999999999987"/>
  </r>
  <r>
    <s v="Kerala"/>
    <s v="EVCS-320001"/>
    <s v="ThunderPlus EV Charge Hub, Tata Kaps Motors,Malappuram"/>
    <s v="Trinity"/>
    <s v="Public-Paid"/>
    <s v="15KW"/>
    <s v="DC Charger"/>
    <n v="1"/>
    <s v="Public Charging"/>
    <n v="0"/>
    <n v="0"/>
    <n v="0"/>
    <n v="0"/>
    <n v="0"/>
    <n v="0"/>
    <n v="0"/>
    <n v="16.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396666666666661"/>
    <n v="0.55396666666666661"/>
  </r>
  <r>
    <s v="Vijayawada"/>
    <n v="0"/>
    <s v="ThunderPlus EV Charge Hub, Vijayawada"/>
    <s v="Trinity"/>
    <s v="Public-Paid"/>
    <s v="240 kw"/>
    <s v="DC Charger"/>
    <n v="1"/>
    <s v="Public Charging"/>
    <n v="0"/>
    <n v="0"/>
    <n v="0"/>
    <n v="0"/>
    <n v="0"/>
    <n v="0"/>
    <n v="0"/>
    <n v="46.198999999999998"/>
    <n v="151"/>
    <n v="0"/>
    <n v="189.4"/>
    <n v="0"/>
    <n v="0"/>
    <n v="0"/>
    <n v="0"/>
    <n v="0"/>
    <n v="0"/>
    <n v="0"/>
    <n v="355.2"/>
    <n v="205.52500000000001"/>
    <n v="761.875"/>
    <n v="486.45"/>
    <n v="350.4"/>
    <n v="450.20000000000005"/>
    <n v="367.67500000000001"/>
    <n v="472.92499999999995"/>
    <n v="419.22500000000002"/>
    <n v="515.04999999999995"/>
    <n v="362.52499999999998"/>
    <n v="254.72499999999999"/>
    <n v="179.61246666666668"/>
    <n v="179.61246666666668"/>
  </r>
  <r>
    <s v="Vishakapatnam"/>
    <n v="0"/>
    <s v="EV Charge Hub, Inspiredge IT Solutions Pvt Ltd, Visakhapatnam"/>
    <s v="Trinity"/>
    <s v="Public-Paid"/>
    <s v="7.4 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n v="0"/>
    <s v="EV Charge Hub, Sai Life Sciences, Bidar"/>
    <s v="Trinity"/>
    <s v="Public-Paid"/>
    <s v="3.3 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n v="0"/>
    <s v="EV Charge Hub, Sai Life Sciences, Bidar"/>
    <s v="Trinity"/>
    <s v="Public-Paid"/>
    <s v="4.7 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n v="0"/>
    <s v="EV Charge Hub, Sai Life Sciences, Bidar"/>
    <s v="Trinity"/>
    <s v="Public-Paid"/>
    <s v="22 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s v="EVCS-290004"/>
    <s v="ThunderPlus EV Park &amp; Charge Hub, Peenya, Bangalore"/>
    <s v="EFL"/>
    <s v="Public-Free"/>
    <s v="6KW"/>
    <s v="DC Charger"/>
    <n v="1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n v="0"/>
    <s v="EV Charge Hub, Choudhary Garments, Bagepalli"/>
    <s v="Trinity"/>
    <s v="Public-Paid"/>
    <s v="15KW"/>
    <s v="DC Charger"/>
    <n v="1"/>
    <s v="Sales"/>
    <n v="0"/>
    <n v="0"/>
    <n v="0"/>
    <n v="0"/>
    <n v="0"/>
    <n v="0"/>
    <n v="0"/>
    <n v="0"/>
    <n v="0"/>
    <n v="0"/>
    <n v="0"/>
    <n v="1.91"/>
    <n v="0"/>
    <n v="0"/>
    <n v="0"/>
    <n v="0.32999999999999996"/>
    <n v="15"/>
    <n v="0"/>
    <n v="0"/>
    <n v="0"/>
    <n v="17.39"/>
    <n v="0"/>
    <n v="14.96"/>
    <n v="0"/>
    <n v="12.94"/>
    <n v="4.3600000000000003"/>
    <n v="0"/>
    <n v="0"/>
    <n v="11.54"/>
    <n v="0"/>
    <n v="2.6143333333333336"/>
    <n v="2.6143333333333336"/>
  </r>
  <r>
    <s v="Coimbatore"/>
    <s v="EVCS-330003"/>
    <s v="EV Charge Hub, Swiss Cafe, Coimbatore"/>
    <s v="Trinity"/>
    <s v="Public-Paid"/>
    <s v="3.3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Thiruvarur"/>
    <s v="EVCS-330004"/>
    <s v="ThunderPlus EV Charge Hub, Tata Vee Vee Motors, Thiruvaru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ttupakkum"/>
    <s v="EVCS-330005"/>
    <s v="ThunderPlus EV Charge Hub, Tata Popular Mega Motors, Kattupakkum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rnakulam"/>
    <s v="EVCS-320003"/>
    <s v="ThunderPlus EV Charge Hub, Tata Popular Mega Motors, Ernakulam"/>
    <s v="Trinity"/>
    <s v="Public-Paid"/>
    <s v="15KW"/>
    <s v="DC Charger"/>
    <n v="1"/>
    <s v="Public Charging"/>
    <n v="12.209999999999999"/>
    <n v="15.940000000000001"/>
    <n v="5.2299999999999995"/>
    <n v="0"/>
    <n v="0"/>
    <n v="0"/>
    <n v="11.739999999999998"/>
    <n v="3.64"/>
    <n v="0"/>
    <n v="5.46"/>
    <n v="9.64"/>
    <n v="0"/>
    <n v="0"/>
    <n v="0"/>
    <n v="4.2300000000000004"/>
    <n v="10.620000000000001"/>
    <n v="5.51"/>
    <n v="0"/>
    <n v="0"/>
    <n v="0"/>
    <n v="8.9390000000000001"/>
    <n v="11.45"/>
    <n v="10.170999999999999"/>
    <n v="0"/>
    <n v="7.5400000000000009"/>
    <n v="7.2589999999999995"/>
    <n v="0"/>
    <n v="5.43"/>
    <n v="0"/>
    <n v="5.45"/>
    <n v="4.6819666666666668"/>
    <n v="4.6819666666666668"/>
  </r>
  <r>
    <s v="Poonamallee"/>
    <n v="0"/>
    <s v="ThunderPlus EV Charge Hub, Tata VST Motors, Poonamallee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4"/>
    <n v="0"/>
    <n v="0.19133333333333333"/>
    <n v="0.19133333333333333"/>
  </r>
  <r>
    <s v="Pandharpur"/>
    <n v="0"/>
    <s v="_x000a_EV Charge Hub, Chavan Motors, Pandharpur"/>
    <s v="Trinity"/>
    <s v="Public-Paid"/>
    <s v="15 kw"/>
    <s v="DC Charger"/>
    <n v="1"/>
    <s v="Sales"/>
    <n v="20.8"/>
    <n v="0"/>
    <n v="0"/>
    <n v="24.67"/>
    <n v="0"/>
    <n v="0"/>
    <n v="0"/>
    <n v="19.52"/>
    <n v="0"/>
    <n v="0"/>
    <n v="0"/>
    <n v="23.41"/>
    <n v="0"/>
    <n v="0"/>
    <n v="0"/>
    <n v="0"/>
    <n v="11.14"/>
    <n v="13.21"/>
    <n v="0"/>
    <n v="0"/>
    <n v="0"/>
    <n v="0"/>
    <n v="12.42"/>
    <n v="0"/>
    <n v="0"/>
    <n v="26.689999999999998"/>
    <n v="14.73"/>
    <n v="0"/>
    <n v="0"/>
    <n v="21.53"/>
    <n v="6.2706666666666671"/>
    <n v="6.2706666666666671"/>
  </r>
  <r>
    <s v="Chakan Pune"/>
    <s v="EVCS-270011"/>
    <s v="ThunderPlus EV Charge Hub, Tata Excel Vehicle ,Chakan Pune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 Patna"/>
    <s v="EVCS-100003"/>
    <s v="ThunderPlus EV Charge Hub, Tata Mourya Motors, Patna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 Jodhpur"/>
    <s v="EVCS-080001"/>
    <s v="ThunderPlus EV Charge Hub, Tata Jodhpur Trucks, Jodhpur"/>
    <s v="Trinity"/>
    <s v="Public-Paid"/>
    <s v="15KW"/>
    <s v="DC Charger"/>
    <n v="1"/>
    <s v="Public Charging"/>
    <n v="0"/>
    <n v="0"/>
    <n v="0"/>
    <n v="0"/>
    <n v="6.6790000000000003"/>
    <n v="0"/>
    <n v="11.14"/>
    <n v="0"/>
    <n v="0"/>
    <n v="0"/>
    <n v="0"/>
    <n v="0"/>
    <n v="0"/>
    <n v="0"/>
    <n v="17.011000000000003"/>
    <n v="0"/>
    <n v="0"/>
    <n v="0"/>
    <n v="0"/>
    <n v="0"/>
    <n v="0"/>
    <n v="0"/>
    <n v="18.588999999999999"/>
    <n v="0"/>
    <n v="0"/>
    <n v="0"/>
    <n v="0"/>
    <n v="0"/>
    <n v="0"/>
    <n v="0"/>
    <n v="1.7806333333333335"/>
    <n v="1.7806333333333335"/>
  </r>
  <r>
    <s v="Kolhapur"/>
    <s v="EVCS-270008"/>
    <s v="ThunderPlus EV Charge Hub, Tata Chetan Motors,Kolhapu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gaon"/>
    <s v="EVCS-180001"/>
    <s v="ThunderPlus EV Charge Hub, Tata Bajrang Auto, Nogaon"/>
    <s v="Trinity"/>
    <s v="Public-Paid"/>
    <s v="15KW"/>
    <s v="DC Charger"/>
    <n v="1"/>
    <s v="Public Charging"/>
    <n v="0"/>
    <n v="0"/>
    <n v="0"/>
    <n v="0"/>
    <n v="0"/>
    <n v="0"/>
    <n v="0"/>
    <n v="2.6850000000000001"/>
    <n v="0"/>
    <n v="0"/>
    <n v="0"/>
    <n v="0"/>
    <n v="0"/>
    <n v="0"/>
    <n v="0"/>
    <n v="0"/>
    <n v="0"/>
    <n v="0"/>
    <n v="0"/>
    <n v="0"/>
    <n v="0"/>
    <n v="0"/>
    <n v="0"/>
    <n v="35.731999999999999"/>
    <n v="0"/>
    <n v="0"/>
    <n v="0"/>
    <n v="0"/>
    <n v="0"/>
    <n v="0"/>
    <n v="1.2805666666666666"/>
    <n v="1.2805666666666666"/>
  </r>
  <r>
    <s v="Gotanagar"/>
    <s v="EVCS-180002"/>
    <s v="ThunderPlus EV Charge Hub, Tata Veerprabhu Auto,Gotanaga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ngul"/>
    <n v="0"/>
    <s v="ThunderPlus EV Charge Hub, Tata Trupti Automobiles, Angul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olkata"/>
    <s v="EVCS-190001"/>
    <s v="ThunderPlus EV Charge Hub,Tata GNB Motors, Kolkata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ampur"/>
    <s v="EVCS-190002"/>
    <s v="ThunderPlus EV Charge Hub,Tata Bhandari Automobile Pvt Ltd, Alampu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asai"/>
    <s v="EVCS-270010"/>
    <s v="ThunderPlus EV Charge Hub, Tata Kamal Motors ,Vasai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13.38"/>
    <n v="0"/>
    <n v="0"/>
    <n v="0"/>
    <n v="0"/>
    <n v="0"/>
    <n v="0"/>
    <n v="0"/>
    <n v="0"/>
    <n v="0"/>
    <n v="0"/>
    <n v="0"/>
    <n v="0"/>
    <n v="6.29"/>
    <n v="0"/>
    <n v="0"/>
    <n v="0"/>
    <n v="0"/>
    <n v="0.65566666666666673"/>
    <n v="0.65566666666666673"/>
  </r>
  <r>
    <s v="Boisar"/>
    <s v="EVCS-270012"/>
    <s v="ThunderPlus EV Charge Hub, Tata PD industry, Boisa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api"/>
    <s v="EVCS-240004"/>
    <s v="ThunderPlus EV Charge Hub,Tata Tejpal Motors, Vapi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3.2"/>
    <n v="0"/>
    <n v="0"/>
    <n v="0"/>
    <n v="0"/>
    <n v="0"/>
    <n v="0"/>
    <n v="0"/>
    <n v="0"/>
    <n v="0"/>
    <n v="0"/>
    <n v="0"/>
    <n v="0"/>
    <n v="0"/>
    <n v="0"/>
    <n v="0"/>
    <n v="0.10666666666666667"/>
    <n v="0.10666666666666667"/>
  </r>
  <r>
    <s v=" Jabalpur"/>
    <s v="EVCS-230001"/>
    <s v="ThunderPlus EV Charge Hub,Tata Frontier Trucks, Jabalpu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sargod"/>
    <s v="EVCS-320002"/>
    <s v="ThunderPlus EV Charge Hub, Tata Kaps Motors,Kasargod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pur"/>
    <s v="EVCS-220001"/>
    <s v="ThunderPlus EV Charge Hub, Tata Jaika Automobiles, Raipur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hanbad"/>
    <n v="0"/>
    <s v=" EV Charge Hub, Ramiz Indane Gramin Vitrak, Dhanbad"/>
    <s v="Trinity"/>
    <s v="Public-Paid"/>
    <s v="30KW"/>
    <s v="DC Charger"/>
    <n v="1"/>
    <s v="Sales"/>
    <n v="0"/>
    <n v="12.709999999999999"/>
    <n v="47.04"/>
    <n v="0.86"/>
    <n v="51.29"/>
    <n v="0"/>
    <n v="14.88"/>
    <n v="18.570000000000004"/>
    <n v="33.950000000000003"/>
    <n v="1.7200000000000002"/>
    <n v="34.700000000000003"/>
    <n v="2.5"/>
    <n v="0"/>
    <n v="5.2099999999999991"/>
    <n v="0"/>
    <n v="46.309999999999995"/>
    <n v="45.49"/>
    <n v="33.29"/>
    <n v="37.9"/>
    <n v="27.79"/>
    <n v="32.200000000000003"/>
    <n v="22.2"/>
    <n v="64.149999999999991"/>
    <n v="8.5"/>
    <n v="0"/>
    <n v="1.23"/>
    <n v="18.07"/>
    <n v="0"/>
    <n v="32.300000000000004"/>
    <n v="30.490000000000002"/>
    <n v="20.778333333333332"/>
    <n v="20.778333333333332"/>
  </r>
  <r>
    <s v="Panikoli"/>
    <n v="0"/>
    <s v="ThunderPlus EV Charge Hub, Tata Trupti Automobiles, Panikoli"/>
    <s v="Trinity"/>
    <s v="Public-Paid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yodhya"/>
    <s v="EVCS-090006"/>
    <s v="ThunderPlus EV Charge Hub, BPCL Saket station, Ayodhya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yodhya"/>
    <s v="EVCS-090007"/>
    <s v="ThunderPlus EV Charge Hub, BPCL SD Yadav station, Ayodhya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yodhya"/>
    <s v="EVCS-090008"/>
    <s v="ThunderPlus EV Charge Hub, BPCL 24X7 station, Ayodhya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rayagraj"/>
    <s v="EVCS-090009"/>
    <s v="ThunderPlus EV Charge Hub, Prayagraj, UP"/>
    <s v="Trinity"/>
    <s v="Public-Paid"/>
    <s v="12KW"/>
    <s v="DC Charger"/>
    <n v="1"/>
    <s v="Parking and Charging"/>
    <n v="5.92"/>
    <n v="0.03"/>
    <n v="0"/>
    <n v="0"/>
    <n v="0"/>
    <n v="0"/>
    <n v="0"/>
    <n v="0"/>
    <n v="0"/>
    <n v="0"/>
    <n v="0"/>
    <n v="0"/>
    <n v="0"/>
    <n v="0"/>
    <n v="0.67"/>
    <n v="0"/>
    <n v="0"/>
    <n v="0"/>
    <n v="0"/>
    <n v="0"/>
    <n v="0"/>
    <n v="0.15"/>
    <n v="3.1999999999999997"/>
    <n v="0"/>
    <n v="0"/>
    <n v="0"/>
    <n v="0"/>
    <n v="0"/>
    <n v="0"/>
    <n v="0"/>
    <n v="0.33233333333333337"/>
    <n v="0.33233333333333337"/>
  </r>
  <r>
    <s v="Delhi"/>
    <s v="EVCS-070011"/>
    <s v="ThunderPlus EV Charge Hub, Hindustan Times Appartment, Mayur Vihar, Delhi"/>
    <s v="ETO"/>
    <s v="Public-Paid"/>
    <s v="3.3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12"/>
    <s v="ThunderPlus EV Charge Hub, UNA Co-operative residence society, Mayur vihar, Delhi"/>
    <s v="ETO"/>
    <s v="Public-Paid"/>
    <s v="3.3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68"/>
    <s v="ThunderPlus EV Charge Hub, Dwarka sector - 14, Delhi"/>
    <s v="Trinity"/>
    <s v="Public-Paid"/>
    <s v="7.4KW"/>
    <s v="OCPP"/>
    <n v="1"/>
    <s v="Public Charging"/>
    <n v="13.855999999999998"/>
    <n v="16.454000000000001"/>
    <n v="18.484999999999999"/>
    <n v="16.821000000000002"/>
    <n v="18.949000000000002"/>
    <n v="14.557"/>
    <n v="20.292999999999999"/>
    <n v="15.036"/>
    <n v="21.91"/>
    <n v="22.399000000000001"/>
    <n v="14.876999999999999"/>
    <n v="21.003999999999998"/>
    <n v="20.131999999999998"/>
    <n v="22.483000000000001"/>
    <n v="3.4"/>
    <n v="31.624000000000002"/>
    <n v="26.839999999999996"/>
    <n v="30.497999999999998"/>
    <n v="15.343999999999999"/>
    <n v="22.850999999999999"/>
    <n v="22.715999999999998"/>
    <n v="30.113"/>
    <n v="15.741999999999999"/>
    <n v="28.918999999999997"/>
    <n v="8.5640000000000001"/>
    <n v="24.493000000000002"/>
    <n v="18.616"/>
    <n v="23.884999999999998"/>
    <n v="15.323"/>
    <n v="20.413"/>
    <n v="19.886566666666667"/>
    <n v="19.886566666666667"/>
  </r>
  <r>
    <s v="Delhi"/>
    <s v="EVCS-070068"/>
    <s v="ThunderPlus EV Charge Hub, Dwarka sector - 14, Delhi"/>
    <s v="Trinity"/>
    <s v="Public-Paid"/>
    <s v="12KW"/>
    <s v="DC Charger"/>
    <n v="1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"/>
    <n v="0"/>
    <n v="0"/>
    <n v="0"/>
    <n v="0"/>
    <n v="0"/>
    <n v="0"/>
    <n v="0"/>
    <n v="0"/>
    <n v="0"/>
    <n v="2.4666666666666667E-2"/>
    <n v="2.4666666666666667E-2"/>
  </r>
  <r>
    <s v="Delhi"/>
    <s v="EVCS-070067"/>
    <s v="ThunderPlus EV Charge Hub, Jamia Millia Islamia Metro Station, Delhi"/>
    <s v="Trinity"/>
    <s v="Public-Paid"/>
    <s v="12KW"/>
    <s v="DC Charger"/>
    <n v="1"/>
    <s v="Parking and Charging"/>
    <n v="8.9700000000000006"/>
    <n v="8.75"/>
    <n v="0"/>
    <n v="0"/>
    <n v="0"/>
    <n v="15.02"/>
    <n v="5.22"/>
    <n v="5.66"/>
    <n v="0"/>
    <n v="0"/>
    <n v="1.26"/>
    <n v="3.06"/>
    <n v="8.61"/>
    <n v="0"/>
    <n v="0"/>
    <n v="0"/>
    <n v="0"/>
    <n v="0"/>
    <n v="0"/>
    <n v="0"/>
    <n v="0"/>
    <n v="0"/>
    <n v="0"/>
    <n v="0"/>
    <n v="0"/>
    <n v="0"/>
    <n v="0"/>
    <n v="0"/>
    <n v="0"/>
    <n v="0"/>
    <n v="1.8849999999999996"/>
    <n v="1.8849999999999996"/>
  </r>
  <r>
    <s v="Delhi"/>
    <s v="EVCS-070023"/>
    <s v="EV Charge Hub, BYPL MCD Parking, V3S Mall"/>
    <s v="BYPL MCD Parking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69"/>
    <s v="ThunderPlus EV Charge Hub, Uttam Nagar,Delhi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1"/>
    <n v="27.46"/>
    <n v="23.51"/>
    <n v="24.869999999999997"/>
    <n v="0"/>
    <n v="25.61"/>
    <n v="23.43"/>
    <n v="39.021000000000001"/>
    <n v="6.16"/>
    <n v="0"/>
    <n v="6.0956999999999999"/>
    <n v="6.0956999999999999"/>
  </r>
  <r>
    <s v="Delhi"/>
    <s v="EVCS-070059"/>
    <s v="EV Charge Hub, BRPL Office Okhla Phase 2,Delhi"/>
    <s v="BRPL MCD Parking"/>
    <s v="Public-Free"/>
    <s v="3.3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61"/>
    <s v="EV Charge Hub, BSES Yumana power LTD,Delhi"/>
    <s v="BSES Parking"/>
    <s v="Public-Free"/>
    <s v="3.3KW"/>
    <s v="OCPP"/>
    <n v="1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n v="0"/>
    <s v="ThunderPlus EV Charge Hub, Jhandewalan, Delhi"/>
    <s v="Trinity"/>
    <s v="Public-Paid"/>
    <s v="3.3 kW"/>
    <s v="OCPP"/>
    <n v="1"/>
    <s v="Public Charging"/>
    <n v="0"/>
    <n v="0"/>
    <n v="0"/>
    <n v="1.3939999999999999"/>
    <n v="0"/>
    <n v="0"/>
    <n v="0"/>
    <n v="0"/>
    <n v="2.2319999999999998"/>
    <n v="0"/>
    <n v="0"/>
    <n v="0"/>
    <n v="0"/>
    <n v="0"/>
    <n v="0"/>
    <n v="0"/>
    <n v="0"/>
    <n v="0"/>
    <n v="0"/>
    <n v="0"/>
    <n v="0"/>
    <n v="0"/>
    <n v="6.5510000000000002"/>
    <n v="2.6659999999999999"/>
    <n v="0"/>
    <n v="0"/>
    <n v="0"/>
    <n v="0"/>
    <n v="0"/>
    <n v="0"/>
    <n v="0.42809999999999998"/>
    <n v="0.42809999999999998"/>
  </r>
  <r>
    <s v="Delhi"/>
    <n v="0"/>
    <s v="ThunderPlus EV Charge Hub, Arjangarh Metro, Delhi"/>
    <s v="Trinity"/>
    <s v="Public-Paid"/>
    <s v="3.3 kW"/>
    <s v="OCPP"/>
    <n v="1"/>
    <s v="Public Charging"/>
    <n v="0"/>
    <n v="0"/>
    <n v="0"/>
    <n v="0"/>
    <n v="0"/>
    <n v="0"/>
    <n v="0"/>
    <n v="0.716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99999999999998E-2"/>
    <n v="2.3899999999999998E-2"/>
  </r>
  <r>
    <s v="Delhi"/>
    <n v="0"/>
    <s v="ThunderPlus EV Charge Hub, Kalra Hospital, Delhi"/>
    <s v="Trinity"/>
    <s v="Public-Paid"/>
    <s v="3.3 kW"/>
    <s v="OCPP"/>
    <n v="1"/>
    <s v="Public Charging"/>
    <n v="0"/>
    <n v="0"/>
    <n v="0"/>
    <n v="0"/>
    <n v="0"/>
    <n v="0"/>
    <n v="0"/>
    <n v="1.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3E-2"/>
    <n v="3.73E-2"/>
  </r>
  <r>
    <s v="Delhi"/>
    <n v="0"/>
    <s v="ThunderPlus EV Charge Hub, Mohan Dev building, Delhi"/>
    <s v="Trinity"/>
    <s v="Public-Paid"/>
    <s v="7.4 kw"/>
    <s v="OCPP"/>
    <n v="1"/>
    <s v="Public Charging"/>
    <n v="0"/>
    <n v="0"/>
    <n v="0"/>
    <n v="0"/>
    <n v="0"/>
    <n v="0"/>
    <n v="0"/>
    <n v="0"/>
    <n v="0"/>
    <n v="30.0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12000000000001"/>
    <n v="1.0012000000000001"/>
  </r>
  <r>
    <s v="Delhi"/>
    <n v="0"/>
    <s v="ThunderPlus EV Charge Hub, Vasant kunj, Delhi"/>
    <s v="Trinity"/>
    <s v="Public-Paid"/>
    <s v="3.3 kW"/>
    <s v="OCPP"/>
    <n v="1"/>
    <s v="Public Charging"/>
    <n v="0"/>
    <n v="0"/>
    <n v="0"/>
    <n v="0"/>
    <n v="0"/>
    <n v="0"/>
    <n v="0"/>
    <n v="2.7389999999999999"/>
    <n v="0"/>
    <n v="0"/>
    <n v="0"/>
    <n v="0"/>
    <n v="0"/>
    <n v="0.77300000000000002"/>
    <n v="0"/>
    <n v="0"/>
    <n v="0"/>
    <n v="0"/>
    <n v="0"/>
    <n v="0"/>
    <n v="0"/>
    <n v="5.585"/>
    <n v="0.71599999999999997"/>
    <n v="0"/>
    <n v="0"/>
    <n v="0"/>
    <n v="0"/>
    <n v="0"/>
    <n v="0"/>
    <n v="0"/>
    <n v="0.32709999999999995"/>
    <n v="0.32709999999999995"/>
  </r>
  <r>
    <s v="Delhi"/>
    <n v="0"/>
    <s v="ThunderPlus EV Charge Hub, Okhla NSIC Metro, Delhi"/>
    <s v="Trinity"/>
    <s v="Public-Paid"/>
    <s v="3.3 kW"/>
    <s v="OCPP"/>
    <n v="1"/>
    <s v="Public Charging"/>
    <n v="0"/>
    <n v="0"/>
    <n v="0"/>
    <n v="0"/>
    <n v="0"/>
    <n v="0"/>
    <n v="0"/>
    <n v="0"/>
    <n v="0"/>
    <n v="0"/>
    <n v="2.3610000000000002"/>
    <n v="0"/>
    <n v="0"/>
    <n v="0.84499999999999997"/>
    <n v="0"/>
    <n v="0"/>
    <n v="0"/>
    <n v="0"/>
    <n v="0"/>
    <n v="0"/>
    <n v="0"/>
    <n v="0"/>
    <n v="0"/>
    <n v="0"/>
    <n v="0"/>
    <n v="0"/>
    <n v="0"/>
    <n v="0"/>
    <n v="0"/>
    <n v="0"/>
    <n v="0.10686666666666668"/>
    <n v="0.10686666666666668"/>
  </r>
  <r>
    <s v="Delhi"/>
    <n v="0"/>
    <s v="ThunderPlus EV Charge Hub, Shyam Lal College, Delhi"/>
    <s v="Trinity"/>
    <s v="Public-Paid"/>
    <s v="3.3 kW"/>
    <s v="OCPP"/>
    <n v="1"/>
    <s v="Public Charging"/>
    <n v="0"/>
    <n v="0"/>
    <n v="0"/>
    <n v="0"/>
    <n v="0"/>
    <n v="0"/>
    <n v="0"/>
    <n v="0"/>
    <n v="0"/>
    <n v="0"/>
    <n v="0.659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66666666666669E-2"/>
    <n v="2.1966666666666669E-2"/>
  </r>
  <r>
    <s v="Delhi"/>
    <n v="0"/>
    <s v="ThunderPlus EV Charge Hub, Abdul Salam Masjid, Delhi"/>
    <s v="Trinity"/>
    <s v="Public-Paid"/>
    <s v="7.4 kw"/>
    <s v="OCPP"/>
    <n v="1"/>
    <s v="Public Charging"/>
    <n v="0"/>
    <n v="0"/>
    <n v="0"/>
    <n v="0"/>
    <n v="0"/>
    <n v="0"/>
    <n v="0"/>
    <n v="0"/>
    <n v="0"/>
    <n v="0"/>
    <n v="0"/>
    <n v="10.65"/>
    <n v="6.6950000000000003"/>
    <n v="0"/>
    <n v="1E-3"/>
    <n v="0"/>
    <n v="0"/>
    <n v="0"/>
    <n v="2E-3"/>
    <n v="0"/>
    <n v="0"/>
    <n v="0"/>
    <n v="0"/>
    <n v="0"/>
    <n v="0"/>
    <n v="0"/>
    <n v="0"/>
    <n v="0"/>
    <n v="0"/>
    <n v="0"/>
    <n v="0.5782666666666666"/>
    <n v="0.5782666666666666"/>
  </r>
  <r>
    <s v="Delhi"/>
    <n v="0"/>
    <s v="ThunderPlus EV Charge Hub, Jeevan bharti building, Delhi"/>
    <s v="Trinity"/>
    <s v="Public-Paid"/>
    <s v="7.4 kw"/>
    <s v="OCPP"/>
    <n v="1"/>
    <s v="Public Charging"/>
    <n v="0"/>
    <n v="0"/>
    <n v="0"/>
    <n v="0"/>
    <n v="0"/>
    <n v="0"/>
    <n v="0"/>
    <n v="0"/>
    <n v="0"/>
    <n v="0"/>
    <n v="0"/>
    <n v="4.0129999999999999"/>
    <n v="0"/>
    <n v="0"/>
    <n v="0"/>
    <n v="0"/>
    <n v="0"/>
    <n v="0"/>
    <n v="12.901999999999999"/>
    <n v="0"/>
    <n v="0"/>
    <n v="14.135999999999999"/>
    <n v="0"/>
    <n v="0"/>
    <n v="0"/>
    <n v="0"/>
    <n v="0"/>
    <n v="0"/>
    <n v="0"/>
    <n v="0"/>
    <n v="1.0350333333333332"/>
    <n v="1.0350333333333332"/>
  </r>
  <r>
    <s v="Delhi"/>
    <n v="0"/>
    <s v="ThunderPlus EV Charge Hub, Andheria Mod, Delhi"/>
    <s v="Trinity"/>
    <s v="Public-Paid"/>
    <s v="3.3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3.5270000000000001"/>
    <n v="5.1219999999999999"/>
    <n v="6.431"/>
    <n v="7.7290000000000001"/>
    <n v="1.548"/>
    <n v="4.3419999999999996"/>
    <n v="4.6589999999999998"/>
    <n v="9.9749999999999996"/>
    <n v="7.7309999999999999"/>
    <n v="2.609"/>
    <n v="0"/>
    <n v="0"/>
    <n v="0"/>
    <n v="0"/>
    <n v="0.76900000000000002"/>
    <n v="0"/>
    <n v="1.8147333333333333"/>
    <n v="1.8147333333333333"/>
  </r>
  <r>
    <s v="Delhi"/>
    <n v="0"/>
    <s v="ThunderPlus EV Charge Hub, Charjkaro, Panchsheel Park, Delhi"/>
    <s v="Trinity"/>
    <s v="Public-Paid"/>
    <s v="3.3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6.1679999999999993"/>
    <n v="0"/>
    <n v="0"/>
    <n v="0"/>
    <n v="0"/>
    <n v="0"/>
    <n v="0"/>
    <n v="0"/>
    <n v="0"/>
    <n v="0"/>
    <n v="0"/>
    <n v="0"/>
    <n v="0"/>
    <n v="0"/>
    <n v="0.20559999999999998"/>
    <n v="0.20559999999999998"/>
  </r>
  <r>
    <s v="Delhi"/>
    <n v="0"/>
    <s v="ThunderPlus EV Charge Hub, Charjkaro, Qutub Minar, Delhi"/>
    <s v="Trinity"/>
    <s v="Public-Paid"/>
    <s v="7.4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15.307"/>
    <n v="12.362"/>
    <n v="27.610999999999997"/>
    <n v="0"/>
    <n v="12.359"/>
    <n v="12.791"/>
    <n v="0"/>
    <n v="0"/>
    <n v="0"/>
    <n v="0"/>
    <n v="0"/>
    <n v="0"/>
    <n v="0"/>
    <n v="2.6809999999999996"/>
    <n v="2.6809999999999996"/>
  </r>
  <r>
    <s v="Delhi"/>
    <n v="0"/>
    <s v="ThunderPlus EV Charge Hub, Charjkaro, Seelampur, Delhi"/>
    <s v="Trinity"/>
    <s v="Public-Paid"/>
    <s v="3.3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049999999999998"/>
    <n v="2.41"/>
    <n v="0"/>
    <n v="0"/>
    <n v="0"/>
    <n v="0"/>
    <n v="0"/>
    <n v="0"/>
    <n v="0.16049999999999998"/>
    <n v="0.16049999999999998"/>
  </r>
  <r>
    <s v="Dehradun"/>
    <n v="0"/>
    <s v="ThunderPlus EV Charge Hub, Charjkaro, Near IT Park, Dehradun"/>
    <s v="Trinity"/>
    <s v="Public-Paid"/>
    <s v="60 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300000000000008"/>
    <n v="13.09"/>
    <n v="0"/>
    <n v="0"/>
    <n v="0"/>
    <n v="10.58"/>
    <n v="0"/>
    <n v="0"/>
    <n v="10.82"/>
    <n v="3.95"/>
    <n v="16.380000000000003"/>
    <n v="2.1483333333333334"/>
    <n v="2.1483333333333334"/>
  </r>
  <r>
    <s v="Chandigarh"/>
    <n v="0"/>
    <s v="ThunderPlus EV Charge Hub, Charjkaro, Sector-20-C, Chandigarh"/>
    <s v="Trinity"/>
    <s v="Public-Paid"/>
    <s v="60 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79"/>
    <n v="0.49299999999999999"/>
    <n v="0.49299999999999999"/>
  </r>
  <r>
    <s v="Chandigarh"/>
    <n v="0"/>
    <s v="ThunderPlus EV Charge Hub, Charjkaro, Piccadilly Maltiplex-2, Chandigarh"/>
    <s v="Trinity"/>
    <s v="Public-Paid"/>
    <s v="7.4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68"/>
    <n v="0.9489333333333333"/>
    <n v="0.9489333333333333"/>
  </r>
  <r>
    <s v="Delhi"/>
    <n v="0"/>
    <s v="Log9 - Near Max hospital Milan apartment"/>
    <s v="Log9"/>
    <s v="Public-Free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n v="0"/>
    <s v="Log9 - Covered Parking, Mother dairy"/>
    <s v="Log9"/>
    <s v="Public-Free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30"/>
    <s v=" ThunderPlus EV Charge Hub, Umdanagar, Hyderabad"/>
    <s v="Trinity"/>
    <s v="Public-Paid"/>
    <s v="7.4KW"/>
    <s v="OCPP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30"/>
    <s v="ThunderPlus EV Charge Hub, Umdanagar, Hyderabad"/>
    <s v="Trinity"/>
    <s v="Public-Paid"/>
    <s v="15KW"/>
    <s v="DC Charger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69"/>
    <s v=" ThunderPlus EV Charge Hub, Aramghar, Hyderabad"/>
    <s v="Trinity"/>
    <s v="Public-Paid"/>
    <s v="12KW"/>
    <s v="DC Charger"/>
    <n v="2"/>
    <s v="Parking and Charging"/>
    <n v="35.28"/>
    <n v="48.59"/>
    <n v="34.119999999999997"/>
    <n v="18.71"/>
    <n v="7.49"/>
    <n v="14.879999999999999"/>
    <n v="10.050000000000001"/>
    <n v="6.7899999999999991"/>
    <n v="161.59999999999997"/>
    <n v="0"/>
    <n v="11.719999999999999"/>
    <n v="45.13"/>
    <n v="18.049999999999997"/>
    <n v="47.06"/>
    <n v="29.81"/>
    <n v="32.79"/>
    <n v="53.97"/>
    <n v="20.189999999999998"/>
    <n v="27.15"/>
    <n v="42.31"/>
    <n v="23.4"/>
    <n v="12.96"/>
    <n v="25.85"/>
    <n v="29.38"/>
    <n v="3.7199999999999998"/>
    <n v="14.61"/>
    <n v="27.959999999999997"/>
    <n v="0"/>
    <n v="30.699999999999996"/>
    <n v="17.57"/>
    <n v="28.394666666666676"/>
    <n v="14.197333333333338"/>
  </r>
  <r>
    <s v="Hyderabad"/>
    <s v="EVCS-360040"/>
    <s v="ThunderPlus EV Park &amp; Charge Hub, Attapur , Hyderabad"/>
    <s v="Trinity"/>
    <s v="Public-Paid"/>
    <s v="7.4KW"/>
    <s v="OCPP"/>
    <n v="2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42"/>
    <s v="ETO, Bluedart Madhapur, Hyderabad"/>
    <s v="Trinity"/>
    <s v="Public-Paid"/>
    <s v="3.3KW"/>
    <s v="OCPP"/>
    <n v="2"/>
    <s v="Charging Service"/>
    <n v="8.7720000000000002"/>
    <n v="17.737000000000002"/>
    <n v="9.4710000000000001"/>
    <n v="18.718000000000004"/>
    <n v="6.120000000000001"/>
    <n v="13.089999999999998"/>
    <n v="22.355999999999998"/>
    <n v="19.871000000000002"/>
    <n v="22.469999999999995"/>
    <n v="23.919"/>
    <n v="27.974999999999994"/>
    <n v="26.875"/>
    <n v="14.974000000000002"/>
    <n v="24.042000000000002"/>
    <n v="24.619000000000003"/>
    <n v="27.609000000000002"/>
    <n v="11.009"/>
    <n v="22.736999999999998"/>
    <n v="25.072000000000003"/>
    <n v="20.512999999999998"/>
    <n v="19.186"/>
    <n v="20.651"/>
    <n v="15.911000000000001"/>
    <n v="29.372999999999998"/>
    <n v="18.113"/>
    <n v="20.164999999999999"/>
    <n v="28.436999999999998"/>
    <n v="9.3309999999999995"/>
    <n v="26.326999999999998"/>
    <n v="25.328999999999997"/>
    <n v="20.025733333333331"/>
    <n v="10.012866666666666"/>
  </r>
  <r>
    <s v="Hyderabad"/>
    <s v="EVCS-360053"/>
    <s v=" ThunderPlus EV Charge Hub, Lavish Electric Wheel Club, Shaikpet , Hyderabad"/>
    <s v="Trinity"/>
    <s v="Public-Paid"/>
    <s v="25KW"/>
    <s v="DC Charger"/>
    <n v="2"/>
    <s v="Public Charging"/>
    <n v="179.81299999999999"/>
    <n v="255.04399999999998"/>
    <n v="180.06800000000001"/>
    <n v="220.95900000000003"/>
    <n v="166.654"/>
    <n v="78.237999999999985"/>
    <n v="204.84899999999996"/>
    <n v="352.92100000000005"/>
    <n v="293.40499999999997"/>
    <n v="311.303"/>
    <n v="364.89299999999997"/>
    <n v="197.55999999999997"/>
    <n v="84.568999999999988"/>
    <n v="213.87400000000002"/>
    <n v="308.03499999999997"/>
    <n v="353.65600000000001"/>
    <n v="309.82899999999995"/>
    <n v="0"/>
    <n v="152.44299999999998"/>
    <n v="50.620999999999995"/>
    <n v="230.32100000000003"/>
    <n v="385.678"/>
    <n v="360.70599999999996"/>
    <n v="335.84300000000002"/>
    <n v="422.10499999999996"/>
    <n v="171.48699999999999"/>
    <n v="99.460000000000008"/>
    <n v="293.10399999999993"/>
    <n v="320.65299999999996"/>
    <n v="378.81400000000008"/>
    <n v="242.5635"/>
    <n v="121.28175"/>
  </r>
  <r>
    <s v="Hyderabad"/>
    <s v="EVCS-360055"/>
    <s v="EV Charge Hub, Niharika Sky Line, Hyderabad"/>
    <s v="Trinity"/>
    <s v="Public-Paid"/>
    <s v="3.3KW"/>
    <s v="OCPP"/>
    <n v="2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55"/>
    <s v="EV Charge Hub, Niharika Sky Line, Hyderabad"/>
    <s v="Trinity"/>
    <s v="Public-Paid"/>
    <s v="22KW"/>
    <s v="OCPP"/>
    <n v="2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63"/>
    <s v="ETO, Bluedart Tellapur, Hyderabad"/>
    <s v="Trinity"/>
    <s v="Public-Paid"/>
    <s v="3.3KW"/>
    <s v="OCPP"/>
    <n v="2"/>
    <s v="Charging Service"/>
    <n v="15.998000000000001"/>
    <n v="10.729000000000001"/>
    <n v="21.556000000000001"/>
    <n v="16.738"/>
    <n v="13.635999999999999"/>
    <n v="16.736000000000001"/>
    <n v="12.133000000000001"/>
    <n v="21.274999999999999"/>
    <n v="20.344999999999999"/>
    <n v="16.492999999999999"/>
    <n v="14.95"/>
    <n v="13.138"/>
    <n v="11.618"/>
    <n v="30.405000000000001"/>
    <n v="11.373000000000001"/>
    <n v="22.338999999999999"/>
    <n v="11.167000000000002"/>
    <n v="13.239000000000001"/>
    <n v="11.724"/>
    <n v="10.313000000000001"/>
    <n v="12.355999999999998"/>
    <n v="17.204000000000001"/>
    <n v="7.9820000000000011"/>
    <n v="6.1660000000000004"/>
    <n v="8.5630000000000006"/>
    <n v="14.999000000000001"/>
    <n v="11.333"/>
    <n v="8.3620000000000001"/>
    <n v="16.334"/>
    <n v="23.33"/>
    <n v="14.751133333333335"/>
    <n v="7.3755666666666677"/>
  </r>
  <r>
    <s v="Hyderabad"/>
    <n v="0"/>
    <s v="EV Charge Hub, Myscape Sanctuary, Hyderabad"/>
    <s v="Trinity"/>
    <s v="Public-Paid"/>
    <s v="3.3KW"/>
    <s v="OCPP"/>
    <n v="2"/>
    <s v="Sales"/>
    <n v="0"/>
    <n v="3.0209999999999999"/>
    <n v="0"/>
    <n v="2.8319999999999999"/>
    <n v="2.9050000000000002"/>
    <n v="0"/>
    <n v="2.157"/>
    <n v="0"/>
    <n v="1.256"/>
    <n v="2.3330000000000002"/>
    <n v="2.1040000000000001"/>
    <n v="5.1869999999999994"/>
    <n v="0.45400000000000001"/>
    <n v="0.629"/>
    <n v="1.234"/>
    <n v="3.698"/>
    <n v="2.4209999999999998"/>
    <n v="0"/>
    <n v="2.5609999999999999"/>
    <n v="0"/>
    <n v="5.32"/>
    <n v="0"/>
    <n v="1.9870000000000001"/>
    <n v="1.0780000000000001"/>
    <n v="2.7440000000000002"/>
    <n v="1.7999999999999998"/>
    <n v="1.7390000000000001"/>
    <n v="2.347"/>
    <n v="0"/>
    <n v="10.273000000000001"/>
    <n v="2.0026666666666668"/>
    <n v="1.0013333333333334"/>
  </r>
  <r>
    <s v="Hyderabad"/>
    <n v="0"/>
    <s v="EV Charge Hub, Myscape Sanctuary, Hyderabad"/>
    <s v="Trinity"/>
    <s v="Public-Paid"/>
    <s v="7.4KW"/>
    <s v="OCPP"/>
    <n v="2"/>
    <s v="Sales"/>
    <n v="36.097000000000001"/>
    <n v="0"/>
    <n v="0"/>
    <n v="0"/>
    <n v="0"/>
    <n v="0"/>
    <n v="28.975000000000001"/>
    <n v="3.367"/>
    <n v="6.2560000000000002"/>
    <n v="27.533999999999999"/>
    <n v="0"/>
    <n v="0"/>
    <n v="42.813000000000002"/>
    <n v="0"/>
    <n v="0"/>
    <n v="0"/>
    <n v="26.984999999999999"/>
    <n v="2.089"/>
    <n v="0.88600000000000001"/>
    <n v="7.2970000000000006"/>
    <n v="20.891000000000002"/>
    <n v="4.8860000000000001"/>
    <n v="0"/>
    <n v="0"/>
    <n v="0"/>
    <n v="42.578000000000003"/>
    <n v="0"/>
    <n v="0"/>
    <n v="0"/>
    <n v="0"/>
    <n v="8.3551333333333346"/>
    <n v="4.1775666666666673"/>
  </r>
  <r>
    <s v="Hyderabad"/>
    <n v="0"/>
    <s v="EV Charge Hub, Preston Prime Association, Hyderabad"/>
    <s v="Trinity"/>
    <s v="Public-Paid"/>
    <s v="3.3 kW"/>
    <s v="OCPP"/>
    <n v="2"/>
    <s v="Sales"/>
    <n v="0"/>
    <n v="0"/>
    <n v="0"/>
    <n v="0"/>
    <n v="0"/>
    <n v="2.3929999999999998"/>
    <n v="0"/>
    <n v="0"/>
    <n v="0"/>
    <n v="0"/>
    <n v="0"/>
    <n v="0"/>
    <n v="1.117"/>
    <n v="0"/>
    <n v="0"/>
    <n v="0"/>
    <n v="0"/>
    <n v="0"/>
    <n v="0"/>
    <n v="0"/>
    <n v="0"/>
    <n v="0"/>
    <n v="0"/>
    <n v="0"/>
    <n v="0"/>
    <n v="0"/>
    <n v="0"/>
    <n v="0"/>
    <n v="0"/>
    <n v="0.1"/>
    <n v="0.12033333333333333"/>
    <n v="6.0166666666666667E-2"/>
  </r>
  <r>
    <s v="Hyderabad"/>
    <n v="0"/>
    <s v="ThunderPlus EV Charge Hub, Iskcon-Secunderabad, Hyderabad"/>
    <s v="Trinity"/>
    <s v="Public-Paid"/>
    <s v="7.4 kw"/>
    <s v="OCPP"/>
    <n v="2"/>
    <s v="Public Charging"/>
    <n v="0"/>
    <n v="0"/>
    <n v="0"/>
    <n v="1.4929999999999999"/>
    <n v="0"/>
    <n v="0"/>
    <n v="3.8940000000000001"/>
    <n v="0"/>
    <n v="0"/>
    <n v="57.155999999999999"/>
    <n v="0.16500000000000001"/>
    <n v="23.34"/>
    <n v="0"/>
    <n v="0"/>
    <n v="19.545000000000002"/>
    <n v="51.31"/>
    <n v="3.3040000000000003"/>
    <n v="0"/>
    <n v="0"/>
    <n v="28.481999999999999"/>
    <n v="0"/>
    <n v="21.038"/>
    <n v="14.566999999999998"/>
    <n v="48.163000000000004"/>
    <n v="0"/>
    <n v="0"/>
    <n v="14.811999999999999"/>
    <n v="5.47"/>
    <n v="35.161000000000001"/>
    <n v="25.764000000000003"/>
    <n v="11.788800000000004"/>
    <n v="5.8944000000000019"/>
  </r>
  <r>
    <s v="Hyderabad"/>
    <n v="0"/>
    <s v="HMRL - Habsiguda"/>
    <s v="HMRL"/>
    <s v="Public-Free"/>
    <s v="3.3KW"/>
    <s v="LEVAC-BLE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s v="EVCS-290011"/>
    <s v="ThunderPlus EV Park &amp; Charge Hub, Bannerghatta Road,Bangalore"/>
    <s v="Trinity"/>
    <s v="Public-Paid"/>
    <s v="3.3KW"/>
    <s v="OCPP"/>
    <n v="2"/>
    <s v="Parking and Charging"/>
    <n v="35.199999999999996"/>
    <n v="34.591999999999999"/>
    <n v="27.438000000000002"/>
    <n v="29.944000000000003"/>
    <n v="22.433"/>
    <n v="27.617000000000001"/>
    <n v="35.994999999999997"/>
    <n v="20.268000000000001"/>
    <n v="12.155999999999999"/>
    <n v="31.297999999999998"/>
    <n v="38.527999999999999"/>
    <n v="31.166999999999994"/>
    <n v="0"/>
    <n v="3.5739999999999998"/>
    <n v="13.446999999999999"/>
    <n v="18.442999999999998"/>
    <n v="30.369"/>
    <n v="32.211000000000006"/>
    <n v="13.882999999999999"/>
    <n v="19.051000000000002"/>
    <n v="6.7600000000000007"/>
    <n v="15.885999999999999"/>
    <n v="35.548999999999999"/>
    <n v="38.271000000000001"/>
    <n v="29.391999999999999"/>
    <n v="16.974999999999998"/>
    <n v="11.357000000000001"/>
    <n v="22.038999999999998"/>
    <n v="24.935000000000002"/>
    <n v="7.8140000000000001"/>
    <n v="22.886399999999998"/>
    <n v="11.443199999999999"/>
  </r>
  <r>
    <s v="Bangalore"/>
    <n v="0"/>
    <s v="EV Charge Hub, TUV SUD Bangalore Campus, Singahalli"/>
    <s v="Trinity"/>
    <s v="Public-Paid"/>
    <s v="22KW"/>
    <s v="OCPP"/>
    <n v="2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Karaikudi"/>
    <n v="0"/>
    <s v="EV Charge Hub, Sree Karpagamoorthy Automobiles, Karaikudi"/>
    <s v="Trinity"/>
    <s v="Public-Paid"/>
    <s v="15 kw"/>
    <s v="DC Charger"/>
    <n v="2"/>
    <s v="Sales"/>
    <n v="0"/>
    <n v="0"/>
    <n v="0"/>
    <n v="0"/>
    <n v="5.26"/>
    <n v="0"/>
    <n v="0"/>
    <n v="0"/>
    <n v="0"/>
    <n v="11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900000000000006"/>
    <n v="0.28450000000000003"/>
  </r>
  <r>
    <s v="Allied"/>
    <n v="0"/>
    <s v="EV Charge Hub, Allied Engineering Developers, Dibrugarh"/>
    <s v="Trinity"/>
    <s v="Public-Paid"/>
    <s v="15KW"/>
    <s v="DC Charger"/>
    <n v="2"/>
    <s v="Sales"/>
    <n v="28.31"/>
    <n v="17.079999999999998"/>
    <n v="17.509999999999998"/>
    <n v="29.65"/>
    <n v="16.829999999999998"/>
    <n v="0"/>
    <n v="35.17"/>
    <n v="29.039999999999996"/>
    <n v="22.93"/>
    <n v="0.37"/>
    <n v="14.75"/>
    <n v="11.920000000000002"/>
    <n v="0"/>
    <n v="0"/>
    <n v="0"/>
    <n v="0"/>
    <n v="0"/>
    <n v="21.419999999999998"/>
    <n v="0"/>
    <n v="0"/>
    <n v="0"/>
    <n v="22.66"/>
    <n v="0"/>
    <n v="0"/>
    <n v="1.8"/>
    <n v="0"/>
    <n v="0"/>
    <n v="35.519999999999996"/>
    <n v="26.08"/>
    <n v="15.02"/>
    <n v="11.535333333333332"/>
    <n v="5.7676666666666661"/>
  </r>
  <r>
    <s v="Ghaziabad"/>
    <s v="EVCS-090003"/>
    <s v="ThunderPlus EV Charge Hub, Mahagun Sarovar Portico Suits, Ghaziabad"/>
    <s v="Mahagun Hotel"/>
    <s v="Public-Paid"/>
    <s v="7.4KW"/>
    <s v="OCPP"/>
    <n v="2"/>
    <s v="Public Charging"/>
    <n v="0"/>
    <n v="33.843000000000004"/>
    <n v="38.798000000000002"/>
    <n v="0"/>
    <n v="0"/>
    <n v="52.050000000000004"/>
    <n v="0"/>
    <n v="0.29699999999999999"/>
    <n v="0"/>
    <n v="40.255000000000003"/>
    <n v="0"/>
    <n v="0"/>
    <n v="39.936"/>
    <n v="27.193000000000001"/>
    <n v="0"/>
    <n v="50.941000000000003"/>
    <n v="0"/>
    <n v="12.304"/>
    <n v="0"/>
    <n v="0"/>
    <n v="6.3029999999999999"/>
    <n v="0"/>
    <n v="0"/>
    <n v="33.235999999999997"/>
    <n v="0"/>
    <n v="35.423999999999999"/>
    <n v="0"/>
    <n v="2.2949999999999999"/>
    <n v="0"/>
    <n v="0"/>
    <n v="12.429166666666665"/>
    <n v="6.2145833333333327"/>
  </r>
  <r>
    <s v="Delhi"/>
    <s v="EVCS-070066"/>
    <s v="ThunderPlus EV Charge Hub, Kalkaji metro station, Delhi"/>
    <s v="ETO"/>
    <s v="Public-Paid"/>
    <s v="12KW"/>
    <s v="DC Charger"/>
    <n v="2"/>
    <s v="Charging Service"/>
    <n v="0"/>
    <n v="0"/>
    <n v="0"/>
    <n v="20.47"/>
    <n v="42.77000000000001"/>
    <n v="0"/>
    <n v="0"/>
    <n v="0"/>
    <n v="0"/>
    <n v="0"/>
    <n v="0"/>
    <n v="0"/>
    <n v="8.6"/>
    <n v="0"/>
    <n v="0"/>
    <n v="0"/>
    <n v="0"/>
    <n v="0"/>
    <n v="15.07"/>
    <n v="70.86999999999999"/>
    <n v="14.599999999999998"/>
    <n v="18.82"/>
    <n v="23.720000000000006"/>
    <n v="27.59"/>
    <n v="41.06"/>
    <n v="38.309999999999995"/>
    <n v="50.46"/>
    <n v="49.360000000000007"/>
    <n v="77.11999999999999"/>
    <n v="10.209999999999997"/>
    <n v="16.967666666666663"/>
    <n v="8.4838333333333313"/>
  </r>
  <r>
    <s v="Delhi"/>
    <s v="EVCS-070013"/>
    <s v=" ThunderPlus EV Charge Hub, Press Enclave Society, New Delhi"/>
    <s v="Trinity"/>
    <s v="Public-Paid"/>
    <s v="7.4KW"/>
    <s v="OCPP"/>
    <n v="2"/>
    <s v="Public Charging"/>
    <n v="0"/>
    <n v="0"/>
    <n v="2.3860000000000001"/>
    <n v="0"/>
    <n v="9.0489999999999995"/>
    <n v="0"/>
    <n v="0"/>
    <n v="0"/>
    <n v="0"/>
    <n v="0"/>
    <n v="0"/>
    <n v="8.9550000000000001"/>
    <n v="29.387"/>
    <n v="43.082000000000001"/>
    <n v="28.58"/>
    <n v="25.288"/>
    <n v="0"/>
    <n v="0"/>
    <n v="29.36"/>
    <n v="9.5459999999999994"/>
    <n v="47.606999999999999"/>
    <n v="0"/>
    <n v="0"/>
    <n v="0"/>
    <n v="32.151000000000003"/>
    <n v="0"/>
    <n v="0"/>
    <n v="9.2349999999999994"/>
    <n v="35.616999999999997"/>
    <n v="0"/>
    <n v="10.341433333333333"/>
    <n v="5.1707166666666664"/>
  </r>
  <r>
    <s v="Delhi"/>
    <s v="EVCS-070014"/>
    <s v="EV Charge Hub, Trade and Tax Department, Delhi"/>
    <n v="0"/>
    <s v="Private-Paid"/>
    <s v="3.3KW"/>
    <s v="OCPP"/>
    <n v="2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20"/>
    <s v="ThunderPlus EV Charge Hub, Radhika Appartment,Delhi"/>
    <s v="Trinity"/>
    <s v="Public-Paid"/>
    <s v="7.4KW"/>
    <s v="OCPP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02"/>
    <s v="EV Charge Hub, BYPL MCD Parking,Gazipur Gaushala"/>
    <s v="BYPL MCD Parking"/>
    <s v="Public-Paid"/>
    <s v="3.3KW"/>
    <s v="OCPP"/>
    <n v="2"/>
    <s v="Public Charging"/>
    <n v="1.8280000000000001"/>
    <n v="0"/>
    <n v="1.431"/>
    <n v="0.16300000000000001"/>
    <n v="0"/>
    <n v="0"/>
    <n v="0"/>
    <n v="0.79900000000000004"/>
    <n v="0"/>
    <n v="0"/>
    <n v="8.1000000000000003E-2"/>
    <n v="0"/>
    <n v="7.8840000000000003"/>
    <n v="12.588000000000001"/>
    <n v="11.463999999999999"/>
    <n v="4.9830000000000032"/>
    <n v="12.672000000000001"/>
    <n v="16.809999999999999"/>
    <n v="5.2010000000000005"/>
    <n v="24.597000000000001"/>
    <n v="3.4989999999999997"/>
    <n v="0"/>
    <n v="10.031000000000001"/>
    <n v="12.193999999999999"/>
    <n v="22.977"/>
    <n v="5.5139999999999993"/>
    <n v="21.198"/>
    <n v="8.4059999999999988"/>
    <n v="15.158000000000001"/>
    <n v="9.4039999999999999"/>
    <n v="6.9627333333333334"/>
    <n v="3.4813666666666667"/>
  </r>
  <r>
    <s v="Delhi"/>
    <s v="EVCS-070057"/>
    <s v="EV Charge Hub, BRPL Office, Chittaranjan Park, Delhi"/>
    <s v="BRPL MCD Parking"/>
    <s v="Public-Free"/>
    <s v="3.3KW"/>
    <s v="OCPP"/>
    <n v="2"/>
    <s v="Sales"/>
    <n v="7.2430000000000003"/>
    <n v="13.303000000000001"/>
    <n v="9.9589999999999996"/>
    <n v="10.431999999999999"/>
    <n v="0"/>
    <n v="0"/>
    <n v="17.626999999999999"/>
    <n v="10.904"/>
    <n v="8.375"/>
    <n v="0"/>
    <n v="9.2249999999999996"/>
    <n v="0"/>
    <n v="0"/>
    <n v="0"/>
    <n v="8.0410000000000004"/>
    <n v="4.3250000000000002"/>
    <n v="10.718999999999999"/>
    <n v="0"/>
    <n v="0"/>
    <n v="0"/>
    <n v="0"/>
    <n v="8.5180000000000007"/>
    <n v="13.837"/>
    <n v="4.7649999999999997"/>
    <n v="13.863"/>
    <n v="0"/>
    <n v="0"/>
    <n v="5.7509999999999994"/>
    <n v="9.5839999999999996"/>
    <n v="5.5640000000000001"/>
    <n v="5.7344999999999988"/>
    <n v="2.8672499999999994"/>
  </r>
  <r>
    <s v="Delhi"/>
    <s v="EVCS-070058"/>
    <s v="EV Charge Hub, PGDAV College, Nehru Nagar, Delhi"/>
    <s v="Sold"/>
    <s v="Public-Free"/>
    <s v="3.3KW"/>
    <s v="OCPP"/>
    <n v="2"/>
    <s v="Sales"/>
    <n v="3.004"/>
    <n v="5.0670000000000002"/>
    <n v="0"/>
    <n v="0"/>
    <n v="0"/>
    <n v="0"/>
    <n v="7.5110000000000001"/>
    <n v="7.2249999999999996"/>
    <n v="4.9130000000000003"/>
    <n v="0"/>
    <n v="4.6449999999999996"/>
    <n v="0"/>
    <n v="0"/>
    <n v="0"/>
    <n v="2.0169999999999999"/>
    <n v="9.8209999999999997"/>
    <n v="0"/>
    <n v="0"/>
    <n v="0"/>
    <n v="0"/>
    <n v="11.974"/>
    <n v="0"/>
    <n v="0"/>
    <n v="0"/>
    <n v="0"/>
    <n v="0"/>
    <n v="0"/>
    <n v="0"/>
    <n v="0"/>
    <n v="0"/>
    <n v="1.8725666666666669"/>
    <n v="0.93628333333333347"/>
  </r>
  <r>
    <s v="Delhi"/>
    <s v="EVCS-070060"/>
    <s v="EV Charge Hub, Sachivalay,Delhi"/>
    <s v="Sold"/>
    <s v="Public-Free"/>
    <s v="3.3KW"/>
    <s v="OCPP"/>
    <n v="2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70"/>
    <s v="EV Charge Hub, BSES SCADA Control Center, Delhi"/>
    <s v="BSES Parking"/>
    <s v="Public-Free"/>
    <s v="3.3KW"/>
    <s v="OCPP"/>
    <n v="2"/>
    <s v="Sales"/>
    <n v="14.548999999999999"/>
    <n v="12.667999999999999"/>
    <n v="8.3740000000000006"/>
    <n v="7.5529999999999999"/>
    <n v="0"/>
    <n v="0"/>
    <n v="11.291"/>
    <n v="8.6110000000000007"/>
    <n v="11.319000000000001"/>
    <n v="0"/>
    <n v="0"/>
    <n v="0"/>
    <n v="0"/>
    <n v="0"/>
    <n v="0"/>
    <n v="0"/>
    <n v="0"/>
    <n v="0"/>
    <n v="0"/>
    <n v="0"/>
    <n v="0"/>
    <n v="9.56"/>
    <n v="6.32"/>
    <n v="11.297000000000001"/>
    <n v="7.7750000000000004"/>
    <n v="0"/>
    <n v="0"/>
    <n v="10.757999999999999"/>
    <n v="11.305"/>
    <n v="4.5430000000000001"/>
    <n v="4.5307666666666666"/>
    <n v="2.2653833333333333"/>
  </r>
  <r>
    <s v="Delhi"/>
    <s v="EVCS-070064"/>
    <s v="ThunderPlus EV Charge Hub, Palam, Delhi"/>
    <s v="Trinity"/>
    <s v="Public-Paid"/>
    <s v="12KW"/>
    <s v="DC Charger"/>
    <n v="2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100000000000003"/>
    <n v="0"/>
    <n v="0"/>
    <n v="0"/>
    <n v="12.92"/>
    <n v="8.65"/>
    <n v="7.34"/>
    <n v="0"/>
    <n v="0"/>
    <n v="0"/>
    <n v="0"/>
    <n v="0"/>
    <n v="0.97503333333333342"/>
    <n v="0.48751666666666671"/>
  </r>
  <r>
    <s v="Delhi"/>
    <n v="0"/>
    <s v="ETO, Rohini, Delhi"/>
    <s v="Trinity"/>
    <s v="Public-Paid"/>
    <s v="3.3 kW"/>
    <s v="OCPP"/>
    <n v="2"/>
    <s v="Parking and Charging"/>
    <n v="0"/>
    <n v="0"/>
    <n v="0"/>
    <n v="0"/>
    <n v="0"/>
    <n v="10.423999999999999"/>
    <n v="16.088999999999999"/>
    <n v="6.891"/>
    <n v="10.102"/>
    <n v="12.951000000000001"/>
    <n v="7.27"/>
    <n v="20.239999999999998"/>
    <n v="10.768000000000001"/>
    <n v="22.518999999999998"/>
    <n v="14.529"/>
    <n v="11.367000000000001"/>
    <n v="6.13"/>
    <n v="0"/>
    <n v="1E-3"/>
    <n v="0"/>
    <n v="14.675999999999998"/>
    <n v="1E-3"/>
    <n v="1.839"/>
    <n v="0"/>
    <n v="0"/>
    <n v="7.5150000000000006"/>
    <n v="5.6109999999999998"/>
    <n v="5.1269999999999998"/>
    <n v="0"/>
    <n v="0"/>
    <n v="6.1349999999999989"/>
    <n v="3.0674999999999994"/>
  </r>
  <r>
    <s v="Delhi"/>
    <n v="0"/>
    <s v="ETO - DHL, Noida"/>
    <s v="ETO"/>
    <s v="Public-Free"/>
    <s v="3.3KW"/>
    <s v="LEVAC-BLE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05"/>
    <s v="ThunderPlus EV Charge Hub, Amazon - Moula Ali, Hyderabad"/>
    <s v="Amazon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20"/>
    <s v="ETO, GHMC - Moghalpura, Hyderabad"/>
    <s v="ETO"/>
    <s v="Public-Paid"/>
    <s v="3.3KW"/>
    <s v="OCPP"/>
    <n v="3"/>
    <s v="Charging Service"/>
    <n v="67.426000000000002"/>
    <n v="85.736000000000004"/>
    <n v="85.144000000000005"/>
    <n v="75.652000000000015"/>
    <n v="80.740000000000009"/>
    <n v="117.854"/>
    <n v="55.146000000000001"/>
    <n v="101.601"/>
    <n v="110.18"/>
    <n v="114.825"/>
    <n v="108.54700000000001"/>
    <n v="105.38500000000001"/>
    <n v="42.794000000000004"/>
    <n v="82.355999999999995"/>
    <n v="102.221"/>
    <n v="97.345000000000013"/>
    <n v="72.734999999999999"/>
    <n v="82.474000000000018"/>
    <n v="87.460000000000008"/>
    <n v="115.33499999999999"/>
    <n v="97.818000000000012"/>
    <n v="97.899000000000001"/>
    <n v="60.726000000000006"/>
    <n v="61.154000000000003"/>
    <n v="91.472999999999999"/>
    <n v="95.99799999999999"/>
    <n v="83.965000000000003"/>
    <n v="81"/>
    <n v="118.04400000000001"/>
    <n v="131.37400000000002"/>
    <n v="90.346900000000005"/>
    <n v="30.115633333333335"/>
  </r>
  <r>
    <s v="Hyderabad"/>
    <s v="EVCS-360036"/>
    <s v=" ThunderPlus EV Charge Hub, Mettuguda, Hyderabad"/>
    <s v="Trinity"/>
    <s v="Public-Paid"/>
    <s v="12KW"/>
    <s v="DC Charger"/>
    <n v="3"/>
    <s v="Public Charging"/>
    <n v="46.669999999999995"/>
    <n v="0"/>
    <n v="0"/>
    <n v="0.41000000000000003"/>
    <n v="0"/>
    <n v="0"/>
    <n v="0"/>
    <n v="0"/>
    <n v="0"/>
    <n v="0"/>
    <n v="8.32"/>
    <n v="46.74"/>
    <n v="33.869999999999997"/>
    <n v="57.751000000000005"/>
    <n v="69.86"/>
    <n v="55.379999999999995"/>
    <n v="33.729999999999997"/>
    <n v="0"/>
    <n v="26.229999999999997"/>
    <n v="43.26"/>
    <n v="53.970000000000006"/>
    <n v="25.92"/>
    <n v="65.699000000000012"/>
    <n v="45.581000000000003"/>
    <n v="0.18000000000000005"/>
    <n v="0"/>
    <n v="0"/>
    <n v="73.63000000000001"/>
    <n v="65.39"/>
    <n v="103.64"/>
    <n v="28.541033333333335"/>
    <n v="9.5136777777777777"/>
  </r>
  <r>
    <s v="Vishakapatnam"/>
    <s v="EVCS-370004"/>
    <s v="ETO, Gati - Visakhapatnam"/>
    <s v="Trinity"/>
    <s v="Public-Paid"/>
    <s v="3.3KW"/>
    <s v="OCPP"/>
    <n v="3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Vishakapatnam"/>
    <n v="0"/>
    <s v="EV Charge Hub, Inspiredge IT Solutions Pvt Ltd, Visakhapatnam"/>
    <s v="Trinity"/>
    <s v="Public-Paid"/>
    <s v="3.3KW"/>
    <s v="OCPP"/>
    <n v="3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agpur"/>
    <s v="EVCS-270007"/>
    <s v="ETO, Flipkart - Wadi, Nagpur"/>
    <s v="ETO"/>
    <s v="Public-Paid"/>
    <s v="3.3KW"/>
    <s v="OCPP"/>
    <n v="3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22"/>
    <s v="EV Charge Hub, BYPL MCD Parking, Near Supreme Enclave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23"/>
    <s v="EV Charge Hub, BYPL MCD Parking, V3S Mall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25"/>
    <s v="EV Charge Hub, BYPL MCD Parking, Milan Vihar Appartment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42"/>
    <s v="EV Charge Hub, BYPL MCD Parking, Mandoli extn"/>
    <s v="BYPL MCD Parking"/>
    <s v="Public-Paid"/>
    <s v="3.3KW"/>
    <s v="OCPP"/>
    <n v="3"/>
    <s v="Public Charging"/>
    <n v="7.5890000000000004"/>
    <n v="14.161000000000001"/>
    <n v="15.680999999999999"/>
    <n v="20.341999999999999"/>
    <n v="6.22"/>
    <n v="21.122"/>
    <n v="9.7639999999999993"/>
    <n v="17.279"/>
    <n v="13.499000000000001"/>
    <n v="11.587999999999999"/>
    <n v="8.6280000000000001"/>
    <n v="13.201000000000001"/>
    <n v="7.8410000000000002"/>
    <n v="2.8090000000000002"/>
    <n v="8.4920000000000009"/>
    <n v="16.074999999999999"/>
    <n v="6.2590000000000003"/>
    <n v="15.382"/>
    <n v="17.173999999999999"/>
    <n v="18.609000000000002"/>
    <n v="6.8079999999999998"/>
    <n v="12.015000000000001"/>
    <n v="4.8730000000000002"/>
    <n v="13.013999999999999"/>
    <n v="0"/>
    <n v="25.297000000000001"/>
    <n v="19.374000000000002"/>
    <n v="7.7130000000000001"/>
    <n v="12.718"/>
    <n v="16.094999999999999"/>
    <n v="12.320733333333335"/>
    <n v="4.1069111111111116"/>
  </r>
  <r>
    <s v="Delhi"/>
    <s v="EVCS-070049"/>
    <s v="EV Charge Hub, BYPL MCD Parking, Kalkaji Mandir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s v="EVCS-070054"/>
    <s v="EV Charge Hub, BYPL MCD Parking, Mangolpuri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n v="0"/>
    <s v="Mayur vihar cargo parking"/>
    <s v="ETO"/>
    <s v="Public-Free"/>
    <s v="3.3KW"/>
    <s v="LEVAC-BLE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70"/>
    <s v="ThunderPlus EV Hub Sitaphalmandi, Hyderabad"/>
    <s v="Trinity"/>
    <s v="Public-Paid"/>
    <s v="3.3KW"/>
    <s v="OCPP"/>
    <n v="4"/>
    <s v="Public Charging"/>
    <n v="38.954999999999998"/>
    <n v="31.943999999999996"/>
    <n v="33.378"/>
    <n v="36.385000000000005"/>
    <n v="39.768000000000008"/>
    <n v="33.594000000000001"/>
    <n v="35.006999999999998"/>
    <n v="27.725000000000001"/>
    <n v="43.137999999999998"/>
    <n v="31.587"/>
    <n v="48.410000000000004"/>
    <n v="35.531999999999996"/>
    <n v="3.8"/>
    <n v="45.478999999999999"/>
    <n v="28.432000000000002"/>
    <n v="39.958999999999996"/>
    <n v="28.398000000000003"/>
    <n v="37.222000000000001"/>
    <n v="59.254999999999995"/>
    <n v="14.157"/>
    <n v="40.101999999999997"/>
    <n v="35.461999999999996"/>
    <n v="33.726000000000006"/>
    <n v="19.789000000000001"/>
    <n v="31.869"/>
    <n v="23.853999999999999"/>
    <n v="37.167999999999999"/>
    <n v="32.723000000000006"/>
    <n v="31.056999999999999"/>
    <n v="34.718999999999994"/>
    <n v="33.753133333333338"/>
    <n v="8.4382833333333345"/>
  </r>
  <r>
    <s v="Hyderabad"/>
    <n v="0"/>
    <s v="ThunderPlus EV Charge Hub, Iskcon-Secunderabad, Hyderabad"/>
    <s v="Trinity"/>
    <s v="Public-Paid"/>
    <s v="240 kw"/>
    <s v="DC Charger"/>
    <n v="4"/>
    <s v="Public Charging"/>
    <n v="245.41"/>
    <n v="224.16"/>
    <n v="331.20000000000005"/>
    <n v="354.93999999999988"/>
    <n v="251.39000000000001"/>
    <n v="165.34"/>
    <n v="371.73"/>
    <n v="439.48000000000008"/>
    <n v="539.61"/>
    <n v="372.59"/>
    <n v="388.62000000000006"/>
    <n v="318.75"/>
    <n v="194.57999999999998"/>
    <n v="457.00999999999993"/>
    <n v="648.27"/>
    <n v="606.66999999999985"/>
    <n v="416.3900000000001"/>
    <n v="298.42"/>
    <n v="369.31999999999994"/>
    <n v="247.36000000000004"/>
    <n v="655.83"/>
    <n v="446.36999999999995"/>
    <n v="561.84999999999991"/>
    <n v="463.10000000000008"/>
    <n v="472.42000000000019"/>
    <n v="684.40000000000009"/>
    <n v="295.00000000000006"/>
    <n v="385.06999999999994"/>
    <n v="633.76999999999975"/>
    <n v="618.66000000000008"/>
    <n v="415.25700000000001"/>
    <n v="103.81425"/>
  </r>
  <r>
    <s v="Hyderabad"/>
    <n v="0"/>
    <s v="ETO Drivers home"/>
    <s v="ETO Driver"/>
    <s v="Public-Free"/>
    <s v="3.3KW"/>
    <s v="LEVAC-BLE"/>
    <n v="4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s v="EVCS-290002"/>
    <s v="ETO, Flipkart - Halasuru, Banglore"/>
    <s v="Flipkart"/>
    <s v="Public-Paid"/>
    <s v="3.3KW"/>
    <s v="OCPP"/>
    <n v="4"/>
    <s v="Charging Service"/>
    <n v="7.7040000000000006"/>
    <n v="11.86"/>
    <n v="12.452999999999999"/>
    <n v="10.72"/>
    <n v="10.074999999999999"/>
    <n v="11.228999999999999"/>
    <n v="13.294"/>
    <n v="11.898"/>
    <n v="17.128"/>
    <n v="22.638000000000002"/>
    <n v="11.648"/>
    <n v="12.283999999999999"/>
    <n v="13.170999999999999"/>
    <n v="19.143999999999998"/>
    <n v="9.722999999999999"/>
    <n v="10.039000000000001"/>
    <n v="8.3170000000000002"/>
    <n v="11.321000000000002"/>
    <n v="4.2830000000000004"/>
    <n v="0"/>
    <n v="14.536"/>
    <n v="4.569"/>
    <n v="13.666"/>
    <n v="10.269"/>
    <n v="11.436"/>
    <n v="13.858999999999998"/>
    <n v="16.57"/>
    <n v="12.670000000000002"/>
    <n v="5.7240000000000002"/>
    <n v="7.6280000000000001"/>
    <n v="11.328533333333331"/>
    <n v="2.8321333333333327"/>
  </r>
  <r>
    <s v="Delhi"/>
    <s v="EVCS-070020"/>
    <s v="ThunderPlus EV Charge Hub, Radhika Appartment,Delhi"/>
    <s v="Trinity"/>
    <s v="Public-Paid"/>
    <s v="3.3KW"/>
    <s v="OCPP"/>
    <n v="4"/>
    <s v="Public Charging"/>
    <n v="0"/>
    <n v="0"/>
    <n v="0.87"/>
    <n v="0"/>
    <n v="0"/>
    <n v="0"/>
    <n v="0"/>
    <n v="0"/>
    <n v="0"/>
    <n v="1.31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1.9E-2"/>
    <n v="0"/>
    <n v="0"/>
    <n v="7.3333333333333334E-2"/>
    <n v="1.8333333333333333E-2"/>
  </r>
  <r>
    <s v="Delhi"/>
    <s v="EVCS-070055"/>
    <s v="EV Charge Hub, IIITD, Delhi"/>
    <s v="ETO"/>
    <s v="Public-Paid"/>
    <s v="3.3KW"/>
    <s v="OCPP"/>
    <n v="4"/>
    <s v="Sales"/>
    <n v="0"/>
    <n v="0"/>
    <n v="0"/>
    <n v="0"/>
    <n v="0"/>
    <n v="0"/>
    <n v="1.6850000000000001"/>
    <n v="10.789"/>
    <n v="0"/>
    <n v="0"/>
    <n v="0"/>
    <n v="0"/>
    <n v="0"/>
    <n v="0"/>
    <n v="0"/>
    <n v="0"/>
    <n v="0"/>
    <n v="0"/>
    <n v="0"/>
    <n v="0"/>
    <n v="0"/>
    <n v="0"/>
    <n v="0"/>
    <n v="7.5330000000000004"/>
    <n v="10.81"/>
    <n v="0"/>
    <n v="0"/>
    <n v="0"/>
    <n v="0"/>
    <n v="0"/>
    <n v="1.0272333333333334"/>
    <n v="0.25680833333333336"/>
  </r>
  <r>
    <s v="Hyderabad"/>
    <s v="EVCS-360048"/>
    <s v="ThunderPlus EV Park &amp; Charge Hub, Gajularamaram, Hyderabad"/>
    <s v="Trinity"/>
    <s v="Public-Paid"/>
    <s v="3.3KW"/>
    <s v="OCPP"/>
    <n v="5"/>
    <s v="Parking and Charging"/>
    <n v="12.459"/>
    <n v="10.709"/>
    <n v="7.7789999999999999"/>
    <n v="10.292000000000002"/>
    <n v="8.2789999999999999"/>
    <n v="12.206"/>
    <n v="9.8000000000000007"/>
    <n v="5.58"/>
    <n v="11.704000000000001"/>
    <n v="10.815000000000001"/>
    <n v="8.7620000000000005"/>
    <n v="9.0679999999999996"/>
    <n v="9.4480000000000004"/>
    <n v="14.530000000000001"/>
    <n v="4.3879999999999999"/>
    <n v="16.802"/>
    <n v="2.0529999999999999"/>
    <n v="8.738999999999999"/>
    <n v="9.0289999999999999"/>
    <n v="8.8000000000000007"/>
    <n v="11.396000000000001"/>
    <n v="8.0129999999999999"/>
    <n v="8.1270000000000007"/>
    <n v="11.515000000000001"/>
    <n v="7.7319999999999993"/>
    <n v="3.6"/>
    <n v="3.7360000000000002"/>
    <n v="9.1280000000000001"/>
    <n v="4.8789999999999996"/>
    <n v="4.3620000000000001"/>
    <n v="8.7910000000000004"/>
    <n v="1.7582"/>
  </r>
  <r>
    <s v="Hyderabad"/>
    <s v="EVCS-360054"/>
    <s v="EV Charge Hub, My Home Mangala, Hyderabad"/>
    <s v="Trinity"/>
    <s v="Public-Paid"/>
    <s v="3.3KW"/>
    <s v="OCPP"/>
    <n v="5"/>
    <s v="Sales"/>
    <n v="8.3000000000000007"/>
    <n v="14.366000000000001"/>
    <n v="3.3019999999999996"/>
    <n v="12.771000000000001"/>
    <n v="8.94"/>
    <n v="1.96"/>
    <n v="6.5449999999999999"/>
    <n v="11.159999999999998"/>
    <n v="21.954999999999998"/>
    <n v="4.8920000000000003"/>
    <n v="24.293000000000003"/>
    <n v="7.6280000000000001"/>
    <n v="9.9789999999999992"/>
    <n v="11.57"/>
    <n v="2.456"/>
    <n v="5.4590000000000005"/>
    <n v="18.904"/>
    <n v="6.68"/>
    <n v="6.7919999999999998"/>
    <n v="7.2350000000000003"/>
    <n v="9.8480000000000008"/>
    <n v="22.663"/>
    <n v="9.1630000000000003"/>
    <n v="6.5839999999999996"/>
    <n v="20.825999999999997"/>
    <n v="8.5850000000000009"/>
    <n v="4.46"/>
    <n v="11.522"/>
    <n v="6.8289999999999997"/>
    <n v="3.5960000000000001"/>
    <n v="9.9754333333333349"/>
    <n v="1.9950866666666669"/>
  </r>
  <r>
    <s v="Hyderabad"/>
    <n v="0"/>
    <s v="EV Charge Hub, Preston Prime Association, Hyderabad"/>
    <s v="Trinity"/>
    <s v="Public-Paid"/>
    <s v="7.4 kw"/>
    <s v="OCPP"/>
    <n v="5"/>
    <s v="Sales"/>
    <n v="5.3739999999999997"/>
    <n v="4.867"/>
    <n v="0"/>
    <n v="0"/>
    <n v="9.0050000000000008"/>
    <n v="0"/>
    <n v="0"/>
    <n v="0"/>
    <n v="0"/>
    <n v="0"/>
    <n v="0"/>
    <n v="0"/>
    <n v="8.0549999999999997"/>
    <n v="0"/>
    <n v="0"/>
    <n v="7.7769999999999992"/>
    <n v="0"/>
    <n v="0"/>
    <n v="0"/>
    <n v="0"/>
    <n v="0"/>
    <n v="0"/>
    <n v="0"/>
    <n v="7.7850000000000001"/>
    <n v="0"/>
    <n v="0"/>
    <n v="12"/>
    <n v="0"/>
    <n v="0"/>
    <n v="2.6259999999999999"/>
    <n v="1.9162999999999999"/>
    <n v="0.38325999999999999"/>
  </r>
  <r>
    <s v="Vijayawada"/>
    <s v="EVCS-370001"/>
    <s v="ETO, Autonagar - Vijayawada"/>
    <s v="Trinity"/>
    <s v="Public-Paid"/>
    <s v="3.3KW"/>
    <s v="OCPP"/>
    <n v="5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jahmundry"/>
    <s v="EVCS-370007"/>
    <s v="ThunderPlus EV Park &amp; Charge Hub, Rajahmundry"/>
    <s v="Trinity"/>
    <s v="Public-Paid"/>
    <s v="3.3KW"/>
    <s v="OCPP"/>
    <n v="5"/>
    <s v="Parking and Charging"/>
    <n v="18.637999999999998"/>
    <n v="21.225999999999999"/>
    <n v="35.638999999999996"/>
    <n v="5.3800000000000008"/>
    <n v="53.031000000000006"/>
    <n v="24.628"/>
    <n v="19.224"/>
    <n v="19.738999999999997"/>
    <n v="18.765000000000001"/>
    <n v="41.887999999999998"/>
    <n v="23.12"/>
    <n v="13.725"/>
    <n v="21.520000000000003"/>
    <n v="47.936999999999998"/>
    <n v="28.282000000000004"/>
    <n v="20.712"/>
    <n v="28.696000000000002"/>
    <n v="22.875999999999998"/>
    <n v="35.242000000000004"/>
    <n v="8.8470000000000013"/>
    <n v="31.994"/>
    <n v="17.032"/>
    <n v="26.137"/>
    <n v="20.779"/>
    <n v="28.713000000000001"/>
    <n v="26.898000000000003"/>
    <n v="17.349"/>
    <n v="39.757999999999996"/>
    <n v="10.683"/>
    <n v="23.844999999999999"/>
    <n v="25.076766666666671"/>
    <n v="5.0153533333333344"/>
  </r>
  <r>
    <s v="Delhi"/>
    <s v="EVCS-070004"/>
    <s v="ETO, Shahdara, Delhi"/>
    <s v="ETO"/>
    <s v="Public-Paid"/>
    <s v="3.3KW"/>
    <s v="OCPP"/>
    <n v="5"/>
    <s v="Charging Service"/>
    <n v="0"/>
    <n v="0"/>
    <n v="0"/>
    <n v="0"/>
    <n v="0.36199999999999999"/>
    <n v="1.0999999999999999E-2"/>
    <n v="0.69099999999999995"/>
    <n v="0"/>
    <n v="0"/>
    <n v="0"/>
    <n v="0"/>
    <n v="0"/>
    <n v="3.1960000000000002"/>
    <n v="0"/>
    <n v="0"/>
    <n v="2.7289999999999996"/>
    <n v="1.0900000000000001"/>
    <n v="0"/>
    <n v="0"/>
    <n v="0"/>
    <n v="0"/>
    <n v="0"/>
    <n v="0.90900000000000003"/>
    <n v="0"/>
    <n v="0"/>
    <n v="0"/>
    <n v="0"/>
    <n v="0"/>
    <n v="0.20699999999999999"/>
    <n v="0"/>
    <n v="0.30649999999999999"/>
    <n v="6.13E-2"/>
  </r>
  <r>
    <s v="Delhi"/>
    <s v="EVCS-070063"/>
    <s v="ETO, Qutub Vihar, Delhi"/>
    <s v="Trinity"/>
    <s v="Public-Paid"/>
    <s v="3.3KW"/>
    <s v="OCPP"/>
    <n v="5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03"/>
    <s v="ThunderPlus EV Charge Hub, Amazon - Aramghar, Hyderabad"/>
    <s v="Amazon"/>
    <s v="Public-Paid"/>
    <s v="3.3KW"/>
    <s v="OCPP"/>
    <n v="6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19"/>
    <s v="ThunderPlus EV Park &amp; Charge Hub, Bollaram, Hyderabad"/>
    <s v="Trinity"/>
    <s v="Public-Paid"/>
    <s v="3.3KW"/>
    <s v="OCPP"/>
    <n v="6"/>
    <s v="Parking and Charging"/>
    <n v="36.277000000000001"/>
    <n v="29.665000000000003"/>
    <n v="41.283000000000001"/>
    <n v="26.960999999999995"/>
    <n v="35.912999999999997"/>
    <n v="44.231999999999999"/>
    <n v="23.312999999999999"/>
    <n v="39.429000000000002"/>
    <n v="33.844999999999999"/>
    <n v="39.152999999999999"/>
    <n v="45.875"/>
    <n v="30.721"/>
    <n v="38.363"/>
    <n v="39.785000000000004"/>
    <n v="35.070000000000007"/>
    <n v="38.073999999999998"/>
    <n v="31.655000000000001"/>
    <n v="29.602"/>
    <n v="35.900999999999996"/>
    <n v="30.862000000000002"/>
    <n v="32.36"/>
    <n v="28.347999999999999"/>
    <n v="25.579000000000001"/>
    <n v="34.886000000000003"/>
    <n v="30.308999999999997"/>
    <n v="28.259999999999998"/>
    <n v="29.393999999999998"/>
    <n v="30.594000000000001"/>
    <n v="28.971999999999998"/>
    <n v="32.082000000000001"/>
    <n v="33.558766666666664"/>
    <n v="5.5931277777777773"/>
  </r>
  <r>
    <s v="Hyderabad"/>
    <s v="EVCS-360045"/>
    <s v="ThunderPlus EV Park &amp; Charge Hub, Uppal, Hyderabad"/>
    <s v="Trinity"/>
    <s v="Public-Paid"/>
    <s v="3.3KW"/>
    <s v="OCPP"/>
    <n v="6"/>
    <s v="Parking and Charging"/>
    <n v="53.573000000000008"/>
    <n v="73.298000000000002"/>
    <n v="55.528999999999989"/>
    <n v="68.119000000000014"/>
    <n v="100.69799999999998"/>
    <n v="75.176999999999992"/>
    <n v="64.853000000000009"/>
    <n v="75.734000000000023"/>
    <n v="86.142000000000024"/>
    <n v="50.113999999999997"/>
    <n v="129.10399999999998"/>
    <n v="120.509"/>
    <n v="93.447000000000003"/>
    <n v="79.080000000000013"/>
    <n v="110.965"/>
    <n v="118.232"/>
    <n v="107.74000000000002"/>
    <n v="101.73399999999998"/>
    <n v="108.392"/>
    <n v="65.274999999999977"/>
    <n v="26.403999999999993"/>
    <n v="20.737000000000002"/>
    <n v="9.6039999999999992"/>
    <n v="5.9189999999999996"/>
    <n v="10.673999999999999"/>
    <n v="9.4759999999999991"/>
    <n v="11.928000000000001"/>
    <n v="9.0779999999999994"/>
    <n v="16.908999999999999"/>
    <n v="12.896000000000001"/>
    <n v="62.378000000000007"/>
    <n v="10.396333333333335"/>
  </r>
  <r>
    <s v="Hyderabad"/>
    <s v="EVCS-360065"/>
    <s v="ThunderPlus EV Park &amp; Charge Hub, Saroornagar, Hyderabad"/>
    <s v="Trinity"/>
    <s v="Public-Paid"/>
    <s v="3.3KW"/>
    <s v="OCPP"/>
    <n v="6"/>
    <s v="Parking and Charging"/>
    <n v="62.338000000000001"/>
    <n v="82.742000000000019"/>
    <n v="77.747"/>
    <n v="63.896999999999991"/>
    <n v="71.108999999999995"/>
    <n v="79.149000000000015"/>
    <n v="54.949999999999996"/>
    <n v="76.222999999999985"/>
    <n v="71.871000000000009"/>
    <n v="68.77000000000001"/>
    <n v="54.67"/>
    <n v="68.649000000000001"/>
    <n v="48.543999999999997"/>
    <n v="73.539000000000001"/>
    <n v="64.410000000000011"/>
    <n v="71.487000000000009"/>
    <n v="57.391999999999996"/>
    <n v="48.245000000000012"/>
    <n v="89.346999999999994"/>
    <n v="73.535000000000011"/>
    <n v="79.551999999999992"/>
    <n v="69.460000000000008"/>
    <n v="66.461999999999989"/>
    <n v="85.186999999999983"/>
    <n v="59.161999999999985"/>
    <n v="64.215000000000003"/>
    <n v="61.640999999999991"/>
    <n v="77.428000000000011"/>
    <n v="75.833999999999989"/>
    <n v="47.027999999999999"/>
    <n v="68.152766666666665"/>
    <n v="11.358794444444444"/>
  </r>
  <r>
    <s v="Bangalore"/>
    <s v="EVCS-290010"/>
    <s v="ThunderPlus EV Park &amp; Charge Hub, Andrahalli ,Bangalore"/>
    <s v="Trinity"/>
    <s v="Public-Paid"/>
    <s v="3.3KW"/>
    <s v="OCPP"/>
    <n v="6"/>
    <s v="Parking and Charging"/>
    <n v="14.766"/>
    <n v="17.902999999999999"/>
    <n v="15.722000000000001"/>
    <n v="17.631"/>
    <n v="21.107999999999997"/>
    <n v="30.613999999999997"/>
    <n v="11.004"/>
    <n v="21.422000000000001"/>
    <n v="28.113"/>
    <n v="17.396000000000001"/>
    <n v="9.8710000000000022"/>
    <n v="26.986000000000001"/>
    <n v="13.883999999999999"/>
    <n v="13.416"/>
    <n v="26.467000000000006"/>
    <n v="6.9740000000000002"/>
    <n v="21.558"/>
    <n v="7.7410000000000005"/>
    <n v="9.3919999999999995"/>
    <n v="10.968000000000002"/>
    <n v="25.862000000000002"/>
    <n v="9.2470000000000017"/>
    <n v="21.669999999999998"/>
    <n v="11.367000000000001"/>
    <n v="4.4349999999999996"/>
    <n v="0"/>
    <n v="13.85"/>
    <n v="9.5120000000000005"/>
    <n v="6.2190000000000003"/>
    <n v="17.498000000000001"/>
    <n v="15.419866666666667"/>
    <n v="2.5699777777777779"/>
  </r>
  <r>
    <s v="Ayodhya"/>
    <s v="EVCS-090005"/>
    <s v="ETO, Ayodhya, UP"/>
    <s v="Trinity"/>
    <s v="Public-Paid"/>
    <s v="3.3KW"/>
    <s v="OCPP"/>
    <n v="6"/>
    <s v="Charging Service"/>
    <n v="9.3979999999999997"/>
    <n v="1.3199999999999998"/>
    <n v="2.6389999999999998"/>
    <n v="11.346"/>
    <n v="21.590999999999998"/>
    <n v="0"/>
    <n v="0"/>
    <n v="0"/>
    <n v="17.725000000000001"/>
    <n v="6.935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651333333333335"/>
    <n v="0.39418888888888892"/>
  </r>
  <r>
    <s v="Delhi"/>
    <s v="EVCS-070015"/>
    <s v="EV Charge Hub, Transport Department, Delhi"/>
    <s v="Trinity"/>
    <s v="Public-Free"/>
    <s v="3.3KW"/>
    <s v="OCPP"/>
    <n v="6"/>
    <s v="Sales"/>
    <n v="9.0690000000000008"/>
    <n v="18.512"/>
    <n v="5.8420000000000005"/>
    <n v="20.588999999999999"/>
    <n v="0"/>
    <n v="0"/>
    <n v="11.225000000000001"/>
    <n v="9.7539999999999996"/>
    <n v="16.234000000000002"/>
    <n v="4.3999999999999995"/>
    <n v="33.603999999999999"/>
    <n v="0"/>
    <n v="0"/>
    <n v="0"/>
    <n v="17.202000000000002"/>
    <n v="11.273"/>
    <n v="17.783000000000001"/>
    <n v="1.9E-2"/>
    <n v="0"/>
    <n v="0"/>
    <n v="11.594999999999999"/>
    <n v="15.035"/>
    <n v="14.728"/>
    <n v="17.832000000000001"/>
    <n v="24.239999999999995"/>
    <n v="0"/>
    <n v="0"/>
    <n v="12.374000000000001"/>
    <n v="22.734999999999999"/>
    <n v="32.944000000000003"/>
    <n v="10.899633333333334"/>
    <n v="1.8166055555555556"/>
  </r>
  <r>
    <s v="Hyderabad"/>
    <s v="EVCS-360031"/>
    <s v="ThunderPlus EV Park &amp; Charge Hub Moula Ali, Hyderabad"/>
    <s v="Trinity"/>
    <s v="Public-Paid"/>
    <s v="3.3KW"/>
    <s v="OCPP"/>
    <n v="7"/>
    <s v="Parking and Charging"/>
    <n v="61.942999999999991"/>
    <n v="73.826000000000008"/>
    <n v="73.966999999999999"/>
    <n v="85.478000000000009"/>
    <n v="57.399000000000001"/>
    <n v="75.454999999999998"/>
    <n v="71.916000000000011"/>
    <n v="52.654999999999994"/>
    <n v="85.274000000000001"/>
    <n v="73.721999999999994"/>
    <n v="69.576999999999998"/>
    <n v="47.757999999999996"/>
    <n v="82.739000000000004"/>
    <n v="61.548999999999992"/>
    <n v="77.947000000000003"/>
    <n v="70.915999999999997"/>
    <n v="63.878999999999998"/>
    <n v="58.533000000000001"/>
    <n v="87.503"/>
    <n v="72.554000000000002"/>
    <n v="65.363"/>
    <n v="89.185000000000016"/>
    <n v="67.406000000000006"/>
    <n v="70.167999999999992"/>
    <n v="74.596999999999994"/>
    <n v="94.801000000000016"/>
    <n v="106.97499999999999"/>
    <n v="59.825000000000003"/>
    <n v="99.74199999999999"/>
    <n v="75.346999999999994"/>
    <n v="73.59996666666666"/>
    <n v="10.514280952380952"/>
  </r>
  <r>
    <s v="Hyderabad"/>
    <s v="EVCS-360041"/>
    <s v="ThunderPlus EV Park &amp; Charge Hub, Mettuguda, Hyderabad"/>
    <s v="Trinity"/>
    <s v="Public-Paid"/>
    <s v="3.3KW"/>
    <s v="OCPP"/>
    <n v="7"/>
    <s v="Parking and Charging"/>
    <n v="189.61599999999999"/>
    <n v="226.19200000000004"/>
    <n v="227.24299999999999"/>
    <n v="237.43800000000005"/>
    <n v="208.37800000000004"/>
    <n v="163.45599999999999"/>
    <n v="225.31"/>
    <n v="242.22800000000007"/>
    <n v="234.25799999999998"/>
    <n v="197.19900000000001"/>
    <n v="303.37499999999994"/>
    <n v="186.75899999999999"/>
    <n v="174.99800000000002"/>
    <n v="185.42999999999998"/>
    <n v="249.09900000000016"/>
    <n v="223.75500000000008"/>
    <n v="203.25399999999996"/>
    <n v="198.91499999999999"/>
    <n v="186.53699999999998"/>
    <n v="187.44200000000001"/>
    <n v="214.25700000000006"/>
    <n v="179.90699999999998"/>
    <n v="182.91000000000003"/>
    <n v="209.928"/>
    <n v="272.06900000000002"/>
    <n v="150.50899999999999"/>
    <n v="198.91700000000003"/>
    <n v="219.82300000000001"/>
    <n v="192.93300000000005"/>
    <n v="87.779999999999973"/>
    <n v="205.3305"/>
    <n v="29.332928571428571"/>
  </r>
  <r>
    <s v="Vishakapatnam"/>
    <s v="EVCS-370005"/>
    <s v="ThunderPlus EV Park &amp; Charge Hub, Auto Nagar - Visakhapatnam"/>
    <s v="Trinity"/>
    <s v="Public-Paid"/>
    <s v="3.3KW"/>
    <s v="OCPP"/>
    <n v="7"/>
    <s v="Parking and Charging"/>
    <n v="4.8019999999999987"/>
    <n v="38.405000000000008"/>
    <n v="8.4400000000000013"/>
    <n v="27.838999999999999"/>
    <n v="14.214"/>
    <n v="14.909000000000001"/>
    <n v="23.709"/>
    <n v="19.315999999999999"/>
    <n v="15.827"/>
    <n v="24.352"/>
    <n v="22.810000000000006"/>
    <n v="22.535"/>
    <n v="17.603999999999999"/>
    <n v="14.312999999999999"/>
    <n v="26.423999999999999"/>
    <n v="22.400999999999996"/>
    <n v="25.200000000000003"/>
    <n v="17.712"/>
    <n v="24.402999999999999"/>
    <n v="48.378"/>
    <n v="90.052999999999969"/>
    <n v="53.277000000000015"/>
    <n v="75.896000000000001"/>
    <n v="71.725999999999985"/>
    <n v="67.443999999999988"/>
    <n v="80.047000000000011"/>
    <n v="56.856000000000009"/>
    <n v="66.600999999999999"/>
    <n v="91.586999999999989"/>
    <n v="80.25800000000001"/>
    <n v="38.911266666666663"/>
    <n v="5.55875238095238"/>
  </r>
  <r>
    <s v="Guntur"/>
    <s v="EVCS-370006"/>
    <s v="ThunderPlus EV Park &amp; Charge Hub, Guntur"/>
    <s v="Trinity"/>
    <s v="Public-Paid"/>
    <s v="3.3KW"/>
    <s v="OCPP"/>
    <n v="7"/>
    <s v="Parking and Charging"/>
    <n v="29.097000000000001"/>
    <n v="61.619000000000007"/>
    <n v="54.099999999999994"/>
    <n v="30.980000000000004"/>
    <n v="31.792000000000002"/>
    <n v="56.954999999999998"/>
    <n v="43.356999999999992"/>
    <n v="43.947999999999993"/>
    <n v="33.384999999999998"/>
    <n v="52.268000000000001"/>
    <n v="43.29"/>
    <n v="31.498000000000001"/>
    <n v="51.766999999999996"/>
    <n v="37.809000000000005"/>
    <n v="19.830000000000002"/>
    <n v="53.128000000000007"/>
    <n v="56.017999999999994"/>
    <n v="48.86999999999999"/>
    <n v="37.043999999999997"/>
    <n v="47.812999999999995"/>
    <n v="39.804000000000002"/>
    <n v="51.006"/>
    <n v="31.625"/>
    <n v="41.832999999999998"/>
    <n v="32.141000000000005"/>
    <n v="41.772999999999996"/>
    <n v="46.682999999999993"/>
    <n v="39.629000000000005"/>
    <n v="45.692999999999998"/>
    <n v="39.573999999999998"/>
    <n v="42.47763333333333"/>
    <n v="6.0682333333333327"/>
  </r>
  <r>
    <s v="Bangalore"/>
    <s v="EVCS-290005"/>
    <s v="ThunderPlus EV Park &amp; Charge Hub, RR Nagar,Bangalore"/>
    <s v="Trinity"/>
    <s v="Public-Paid"/>
    <s v="3.3KW"/>
    <s v="OCPP"/>
    <n v="7"/>
    <s v="Parking and Charging"/>
    <n v="100.012"/>
    <n v="54.214999999999996"/>
    <n v="120.01199999999996"/>
    <n v="90.113"/>
    <n v="63.14"/>
    <n v="175.08999999999997"/>
    <n v="90.552999999999997"/>
    <n v="159.62899999999999"/>
    <n v="120.34000000000003"/>
    <n v="133.434"/>
    <n v="139.18500000000003"/>
    <n v="102.24500000000003"/>
    <n v="116.95699999999998"/>
    <n v="125.25699999999998"/>
    <n v="107.03699999999999"/>
    <n v="66.037000000000006"/>
    <n v="129.27799999999999"/>
    <n v="92.834999999999994"/>
    <n v="108.94800000000001"/>
    <n v="109.67700000000001"/>
    <n v="111.529"/>
    <n v="90.57"/>
    <n v="111.51600000000001"/>
    <n v="85.390999999999991"/>
    <n v="87.716000000000008"/>
    <n v="91.99"/>
    <n v="102.26299999999999"/>
    <n v="97.131"/>
    <n v="86.305999999999997"/>
    <n v="104.985"/>
    <n v="105.77970000000001"/>
    <n v="15.111385714285715"/>
  </r>
  <r>
    <s v="Patna"/>
    <n v="0"/>
    <s v="ThunderPlus EV Charge Hub, Flipkart - Danapur, Patna"/>
    <s v="Flipkart"/>
    <s v="Public-Paid"/>
    <s v="3.3KW"/>
    <s v="OCPP"/>
    <n v="7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67"/>
    <s v=" ThunderPlus EV Charge Hub, Miyapur, Hyderabad"/>
    <s v="Trinity"/>
    <s v="Public-Paid"/>
    <s v="12KW"/>
    <s v="DC Charger"/>
    <n v="8"/>
    <s v="Parking and Charging"/>
    <n v="209.07999999999998"/>
    <n v="205.16"/>
    <n v="132.27000000000001"/>
    <n v="168.22"/>
    <n v="123.97999999999999"/>
    <n v="147.21999999999997"/>
    <n v="148.73000000000005"/>
    <n v="172.80700000000002"/>
    <n v="0"/>
    <n v="190.83"/>
    <n v="175.66000000000005"/>
    <n v="240.38099999999997"/>
    <n v="280.99"/>
    <n v="209.82999999999998"/>
    <n v="215.89000000000004"/>
    <n v="172.1"/>
    <n v="179.88000000000002"/>
    <n v="214.91000000000005"/>
    <n v="253.34"/>
    <n v="218.05999999999992"/>
    <n v="239.27"/>
    <n v="201.91000000000003"/>
    <n v="202.76"/>
    <n v="160.72999999999999"/>
    <n v="128.50000000000003"/>
    <n v="160.05999999999997"/>
    <n v="135.58999999999997"/>
    <n v="217.29"/>
    <n v="221.95000000000002"/>
    <n v="256.03999999999996"/>
    <n v="186.1146"/>
    <n v="23.264324999999999"/>
  </r>
  <r>
    <s v="Hyderabad"/>
    <s v="EVCS-360058"/>
    <s v="ThunderPlus EV Park &amp; Charge Hub, Hi-tec city, Hyderabad"/>
    <s v="Trinity"/>
    <s v="Public-Paid"/>
    <s v="3.3KW"/>
    <s v="OCPP"/>
    <n v="8"/>
    <s v="Parking and Charging"/>
    <n v="73.313999999999993"/>
    <n v="88.98599999999999"/>
    <n v="93.214999999999989"/>
    <n v="108.41999999999999"/>
    <n v="92.193000000000012"/>
    <n v="72.640999999999991"/>
    <n v="110.149"/>
    <n v="70.932000000000002"/>
    <n v="78.595000000000013"/>
    <n v="71.322999999999993"/>
    <n v="76.402999999999992"/>
    <n v="55.070999999999998"/>
    <n v="47.388999999999996"/>
    <n v="72.325999999999993"/>
    <n v="70.916000000000011"/>
    <n v="82.070000000000007"/>
    <n v="71.031999999999996"/>
    <n v="87.557000000000002"/>
    <n v="70.64500000000001"/>
    <n v="50.567999999999998"/>
    <n v="49.570999999999991"/>
    <n v="69.206000000000003"/>
    <n v="59.607999999999997"/>
    <n v="77.539999999999992"/>
    <n v="104.17399999999999"/>
    <n v="71.11999999999999"/>
    <n v="108.52999999999999"/>
    <n v="57.247"/>
    <n v="63.505000000000003"/>
    <n v="76.452999999999989"/>
    <n v="76.023299999999978"/>
    <n v="9.5029124999999972"/>
  </r>
  <r>
    <s v="Hyderabad"/>
    <s v="EVCS-360040"/>
    <s v="ThunderPlus EV Park &amp; Charge Hub, Attapur , Hyderabad"/>
    <s v="Trinity"/>
    <s v="Public-Paid"/>
    <s v="3.3KW"/>
    <s v="OCPP"/>
    <n v="8"/>
    <s v="Parking and Charging"/>
    <n v="63.131"/>
    <n v="40.367000000000004"/>
    <n v="67.59"/>
    <n v="103.37599999999999"/>
    <n v="63.619000000000007"/>
    <n v="49.634000000000007"/>
    <n v="57.867000000000004"/>
    <n v="81.816999999999979"/>
    <n v="70.894999999999982"/>
    <n v="84.478000000000009"/>
    <n v="79.338000000000008"/>
    <n v="62.38900000000001"/>
    <n v="65.22699999999999"/>
    <n v="76.823000000000008"/>
    <n v="84.911000000000001"/>
    <n v="51.121000000000002"/>
    <n v="78.295999999999978"/>
    <n v="63.146999999999998"/>
    <n v="81.085000000000008"/>
    <n v="88.328000000000003"/>
    <n v="87.812999999999974"/>
    <n v="53.357000000000006"/>
    <n v="33.916000000000004"/>
    <n v="122.807"/>
    <n v="73.152999999999992"/>
    <n v="77.87"/>
    <n v="86.926999999999992"/>
    <n v="58.507000000000005"/>
    <n v="127.52400000000002"/>
    <n v="58.269999999999996"/>
    <n v="73.119433333333333"/>
    <n v="9.1399291666666667"/>
  </r>
  <r>
    <s v="Hyderabad"/>
    <s v="EVCS-360064"/>
    <s v="ThunderPlus EV Park &amp; Charge Hub, Kukatpally, Hyderabad"/>
    <s v="Trinity"/>
    <s v="Public-Paid"/>
    <s v="3.3KW"/>
    <s v="OCPP"/>
    <n v="8"/>
    <s v="Parking and Charging"/>
    <n v="75.393000000000029"/>
    <n v="112.47800000000001"/>
    <n v="96.778000000000006"/>
    <n v="86.084999999999994"/>
    <n v="93.637999999999991"/>
    <n v="76.472999999999999"/>
    <n v="74.163999999999987"/>
    <n v="120.51099999999997"/>
    <n v="83.935999999999993"/>
    <n v="90.451000000000008"/>
    <n v="104.39699999999999"/>
    <n v="61.499999999999993"/>
    <n v="80.180000000000007"/>
    <n v="49.447000000000003"/>
    <n v="95.295000000000002"/>
    <n v="26.894000000000002"/>
    <n v="66.679000000000002"/>
    <n v="21.545999999999999"/>
    <n v="30.265000000000004"/>
    <n v="32.143999999999998"/>
    <n v="61.344999999999999"/>
    <n v="48.142000000000017"/>
    <n v="18.5"/>
    <n v="41.176000000000002"/>
    <n v="9.7129999999999992"/>
    <n v="52.91"/>
    <n v="19.301000000000002"/>
    <n v="37.605999999999995"/>
    <n v="55.028999999999996"/>
    <n v="84.259999999999991"/>
    <n v="63.541200000000011"/>
    <n v="7.9426500000000013"/>
  </r>
  <r>
    <s v="Bangalore"/>
    <s v="EVCS-290004"/>
    <s v="ThunderPlus EV Park &amp; Charge Hub, Peenya, Bangalore"/>
    <s v="EFL"/>
    <s v="Public-Free"/>
    <s v="3.3KW"/>
    <s v="OCPP"/>
    <n v="8"/>
    <s v="Parking and Charging"/>
    <n v="76.483000000000018"/>
    <n v="111.28599999999999"/>
    <n v="128.53899999999999"/>
    <n v="109.91000000000001"/>
    <n v="74.986000000000004"/>
    <n v="106.49400000000003"/>
    <n v="80.936999999999983"/>
    <n v="97.051999999999978"/>
    <n v="105.39499999999998"/>
    <n v="108.94000000000001"/>
    <n v="98.47"/>
    <n v="82.027000000000001"/>
    <n v="105.67"/>
    <n v="78.343000000000004"/>
    <n v="97.325000000000003"/>
    <n v="91.859000000000009"/>
    <n v="81.911000000000016"/>
    <n v="74.421000000000006"/>
    <n v="75.611999999999995"/>
    <n v="43.303000000000004"/>
    <n v="88.92"/>
    <n v="84.040999999999997"/>
    <n v="103.98500000000001"/>
    <n v="111.52799999999999"/>
    <n v="80.858999999999995"/>
    <n v="103.45400000000002"/>
    <n v="85.725999999999985"/>
    <n v="79.369000000000014"/>
    <n v="107.15399999999998"/>
    <n v="106.84899999999999"/>
    <n v="92.694933333333367"/>
    <n v="11.586866666666671"/>
  </r>
  <r>
    <s v="Bangalore"/>
    <s v="EVCS-290009"/>
    <s v="ThunderPlus EV Park &amp; Charge Hub, ITPL ,Bangalore"/>
    <s v="Trinity"/>
    <s v="Public-Paid"/>
    <s v="3.3KW"/>
    <s v="OCPP"/>
    <n v="8"/>
    <s v="Parking and Charging"/>
    <n v="35.606000000000002"/>
    <n v="33.299999999999997"/>
    <n v="26.725000000000012"/>
    <n v="41.063000000000002"/>
    <n v="41.172999999999995"/>
    <n v="19.789000000000001"/>
    <n v="50.867999999999995"/>
    <n v="37.660999999999994"/>
    <n v="27.631000000000004"/>
    <n v="62.372999999999998"/>
    <n v="31.622"/>
    <n v="25.463999999999999"/>
    <n v="51.387"/>
    <n v="26.437000000000001"/>
    <n v="25.800999999999998"/>
    <n v="18.516999999999999"/>
    <n v="37.570999999999998"/>
    <n v="37.183"/>
    <n v="14.229000000000003"/>
    <n v="18.106000000000002"/>
    <n v="27.457999999999998"/>
    <n v="24.402000000000001"/>
    <n v="17.972999999999999"/>
    <n v="29.774999999999995"/>
    <n v="24.117000000000001"/>
    <n v="11.738"/>
    <n v="30.558"/>
    <n v="7.109"/>
    <n v="36.548999999999992"/>
    <n v="13.1"/>
    <n v="29.509500000000003"/>
    <n v="3.6886875000000003"/>
  </r>
  <r>
    <s v="Hyderabad"/>
    <s v="EVCS-360004"/>
    <s v="ThunderPlus EV Charge Hub, Amazon - Gachibouli, Hyderabad"/>
    <s v="Amazon"/>
    <s v="Public-Paid"/>
    <s v="3.3KW"/>
    <s v="OCPP"/>
    <n v="9"/>
    <s v="Public Charging"/>
    <n v="134.57100000000003"/>
    <n v="137.62099999999998"/>
    <n v="150.48400000000004"/>
    <n v="174.55600000000004"/>
    <n v="153.61800000000002"/>
    <n v="146.42600000000002"/>
    <n v="124.15900000000002"/>
    <n v="101.50800000000001"/>
    <n v="189.24100000000013"/>
    <n v="168.11299999999997"/>
    <n v="198.87200000000007"/>
    <n v="189.64699999999996"/>
    <n v="151.68100000000001"/>
    <n v="178.13200000000001"/>
    <n v="147.46599999999998"/>
    <n v="147.45500000000004"/>
    <n v="150.03299999999996"/>
    <n v="145.03300000000002"/>
    <n v="177.75699999999995"/>
    <n v="187.42699999999999"/>
    <n v="196.45099999999999"/>
    <n v="163.65600000000003"/>
    <n v="167.43499999999997"/>
    <n v="169.66599999999997"/>
    <n v="174.57899999999998"/>
    <n v="185.28099999999998"/>
    <n v="168.00800000000001"/>
    <n v="152.96199999999999"/>
    <n v="180.65"/>
    <n v="170.26700000000002"/>
    <n v="162.75849999999997"/>
    <n v="18.084277777777775"/>
  </r>
  <r>
    <s v="Hyderabad"/>
    <s v="EVCS-360039"/>
    <s v="ThunderPlus EV Park &amp; Charge Hub, Yapral , Hyderabad"/>
    <s v="Trinity"/>
    <s v="Public-Paid"/>
    <s v="3.3KW"/>
    <s v="OCPP"/>
    <n v="9"/>
    <s v="Parking and Charging"/>
    <n v="30.41"/>
    <n v="63.247000000000007"/>
    <n v="131.23399999999998"/>
    <n v="146.17099999999999"/>
    <n v="155.40799999999999"/>
    <n v="143.47000000000003"/>
    <n v="183.61"/>
    <n v="142.58400000000006"/>
    <n v="125.19800000000001"/>
    <n v="128.833"/>
    <n v="136.53799999999998"/>
    <n v="177.571"/>
    <n v="144.464"/>
    <n v="177.61199999999999"/>
    <n v="131.65600000000003"/>
    <n v="97.990000000000009"/>
    <n v="155.81700000000001"/>
    <n v="129.86000000000001"/>
    <n v="121.16000000000003"/>
    <n v="87.782000000000025"/>
    <n v="126.21"/>
    <n v="110.80199999999998"/>
    <n v="84.46899999999998"/>
    <n v="126.99400000000001"/>
    <n v="81.655000000000001"/>
    <n v="95.313000000000002"/>
    <n v="210.96400000000006"/>
    <n v="106.83900000000001"/>
    <n v="155.94499999999999"/>
    <n v="95.268000000000015"/>
    <n v="126.83580000000003"/>
    <n v="14.092866666666671"/>
  </r>
  <r>
    <s v="Hyderabad"/>
    <s v="EVCS-360056"/>
    <s v="EV Charge Hub, Zevo-Chinthal , Hyderabad"/>
    <s v="Trinity"/>
    <s v="Public-Paid"/>
    <s v="3.3KW"/>
    <s v="OCPP"/>
    <n v="9"/>
    <s v="S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Bangalore"/>
    <s v="EVCS-290003"/>
    <s v="ETO, Flipkart - Yeshwanthpur, Banglore"/>
    <s v="Flipkart"/>
    <s v="Public-Paid"/>
    <s v="3.3KW"/>
    <s v="OCPP"/>
    <n v="9"/>
    <s v="Charging Service"/>
    <n v="13.707000000000001"/>
    <n v="35.619"/>
    <n v="47.527999999999992"/>
    <n v="72.136999999999986"/>
    <n v="38.225000000000001"/>
    <n v="53.649000000000001"/>
    <n v="52.496000000000002"/>
    <n v="46.296999999999997"/>
    <n v="37.225000000000001"/>
    <n v="41.542999999999992"/>
    <n v="42.939000000000007"/>
    <n v="33.891999999999996"/>
    <n v="8.7620000000000005"/>
    <n v="38.436"/>
    <n v="14.853"/>
    <n v="29.93"/>
    <n v="48.057999999999993"/>
    <n v="26.385000000000009"/>
    <n v="32.305"/>
    <n v="33.011000000000003"/>
    <n v="37.618999999999993"/>
    <n v="21.289000000000001"/>
    <n v="32.049999999999997"/>
    <n v="32.641000000000005"/>
    <n v="16.540999999999997"/>
    <n v="25.031000000000002"/>
    <n v="6.9879999999999995"/>
    <n v="25.635000000000002"/>
    <n v="19.064"/>
    <n v="44.169000000000011"/>
    <n v="33.600799999999985"/>
    <n v="3.7334222222222206"/>
  </r>
  <r>
    <s v="Hyderabad"/>
    <s v="EVCS-360062"/>
    <s v="ThunderPlus EV Park &amp; Charge Hub, Gundla Pochampally, Hyderabad"/>
    <s v="Trinity"/>
    <s v="Public-Paid"/>
    <s v="3.3KW"/>
    <s v="OCPP"/>
    <n v="10"/>
    <s v="Parking and Charging"/>
    <n v="14.923"/>
    <n v="24.762999999999998"/>
    <n v="54.936000000000007"/>
    <n v="4.9650000000000016"/>
    <n v="30.710999999999999"/>
    <n v="29.585999999999999"/>
    <n v="24.079000000000001"/>
    <n v="34.192"/>
    <n v="24.081"/>
    <n v="43.225000000000001"/>
    <n v="2.2960000000000003"/>
    <n v="39.218000000000004"/>
    <n v="10.207000000000001"/>
    <n v="16.948"/>
    <n v="15.373999999999999"/>
    <n v="25.719000000000001"/>
    <n v="26.582000000000001"/>
    <n v="13.495999999999999"/>
    <n v="1E-3"/>
    <n v="31.89"/>
    <n v="19.370999999999999"/>
    <n v="37.862000000000009"/>
    <n v="23.558"/>
    <n v="53.019999999999996"/>
    <n v="27.173999999999996"/>
    <n v="15.091000000000001"/>
    <n v="16.567"/>
    <n v="28.755000000000003"/>
    <n v="24.274000000000001"/>
    <n v="35.552999999999997"/>
    <n v="24.94723333333333"/>
    <n v="2.494723333333333"/>
  </r>
  <r>
    <s v="Hyderabad"/>
    <n v="0"/>
    <s v="ThunderPlus EV Park &amp; Charge Hub, LB Nagar, Hyderabad"/>
    <s v="Trinity"/>
    <s v="Public-Paid"/>
    <s v="3.3KW"/>
    <s v="OCPP"/>
    <n v="10"/>
    <s v="Parking and Charging"/>
    <n v="0"/>
    <n v="0"/>
    <n v="0"/>
    <n v="0"/>
    <n v="0"/>
    <n v="0"/>
    <n v="0"/>
    <n v="0"/>
    <n v="0"/>
    <n v="0"/>
    <n v="5.444"/>
    <n v="19.125"/>
    <n v="0"/>
    <n v="43.570000000000007"/>
    <n v="67.989000000000004"/>
    <n v="34.762"/>
    <n v="39.594999999999999"/>
    <n v="42.195999999999998"/>
    <n v="29.790000000000003"/>
    <n v="20.375"/>
    <n v="18.214000000000002"/>
    <n v="35.478999999999999"/>
    <n v="51.954000000000001"/>
    <n v="40.947000000000003"/>
    <n v="32.701999999999998"/>
    <n v="46.503"/>
    <n v="6.4180000000000001"/>
    <n v="31.060999999999993"/>
    <n v="39.405999999999999"/>
    <n v="46.048999999999992"/>
    <n v="21.719299999999997"/>
    <n v="2.1719299999999997"/>
  </r>
  <r>
    <s v="Vijayawada"/>
    <s v="EVCS-370003"/>
    <s v="ETO, Flipkart - Vijayawada"/>
    <s v="Trinity"/>
    <s v="Public-Paid"/>
    <s v="3.3KW"/>
    <s v="OCPP"/>
    <n v="10"/>
    <s v="Charging Service"/>
    <n v="26.632000000000005"/>
    <n v="5.0949999999999998"/>
    <n v="22.042999999999999"/>
    <n v="31.266000000000002"/>
    <n v="51.784000000000006"/>
    <n v="17.083000000000002"/>
    <n v="31.957999999999998"/>
    <n v="51.180999999999997"/>
    <n v="41.345999999999997"/>
    <n v="28.409000000000002"/>
    <n v="35.663000000000004"/>
    <n v="40.197000000000003"/>
    <n v="23.492000000000001"/>
    <n v="25.244"/>
    <n v="49.391000000000005"/>
    <n v="31.224999999999998"/>
    <n v="23.485000000000003"/>
    <n v="31.782000000000004"/>
    <n v="52.405999999999999"/>
    <n v="32.197000000000003"/>
    <n v="39.902999999999999"/>
    <n v="29.328999999999997"/>
    <n v="26.009999999999998"/>
    <n v="46.795999999999999"/>
    <n v="41.669999999999995"/>
    <n v="43.277000000000001"/>
    <n v="28.684999999999999"/>
    <n v="43.192999999999998"/>
    <n v="36.348999999999997"/>
    <n v="22.805"/>
    <n v="33.663199999999996"/>
    <n v="3.3663199999999995"/>
  </r>
  <r>
    <s v="Bangalore"/>
    <s v="EVCS-290007"/>
    <s v="ThunderPlus EV Park &amp; Charge Hub, Kannur , Bangalore"/>
    <s v="Trinity"/>
    <s v="Public-Paid"/>
    <s v="3.3KW"/>
    <s v="OCPP"/>
    <n v="10"/>
    <s v="Parking and Charging"/>
    <n v="75.994999999999976"/>
    <n v="107.61100000000003"/>
    <n v="120.77699999999999"/>
    <n v="154.756"/>
    <n v="136.25700000000003"/>
    <n v="119.84399999999999"/>
    <n v="136.63199999999998"/>
    <n v="97.981999999999999"/>
    <n v="121.068"/>
    <n v="115.14299999999999"/>
    <n v="91.075000000000003"/>
    <n v="123.29900000000005"/>
    <n v="97.129000000000005"/>
    <n v="84.746000000000009"/>
    <n v="123.97600000000001"/>
    <n v="77.769000000000005"/>
    <n v="126.85600000000002"/>
    <n v="82.251000000000005"/>
    <n v="82.869"/>
    <n v="82.761999999999972"/>
    <n v="76.709000000000003"/>
    <n v="97.850000000000009"/>
    <n v="81.978999999999999"/>
    <n v="112.06500000000003"/>
    <n v="81.076000000000008"/>
    <n v="94.004999999999995"/>
    <n v="70.85499999999999"/>
    <n v="101.777"/>
    <n v="90.905999999999992"/>
    <n v="84.512000000000015"/>
    <n v="101.68436666666668"/>
    <n v="10.168436666666668"/>
  </r>
  <r>
    <s v="Delhi"/>
    <s v="EVCS-070008"/>
    <s v="ETO, Usmanpur, Delhi"/>
    <s v="ETO"/>
    <s v="Public-Paid"/>
    <s v="3.3KW"/>
    <s v="OCPP"/>
    <n v="10"/>
    <s v="Charging Servi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43"/>
    <s v="ThunderPlus EV Park &amp; Charge Hub, Nacharam, Hyderabad"/>
    <s v="Trinity"/>
    <s v="Public-Paid"/>
    <s v="3.3KW"/>
    <s v="OCPP"/>
    <n v="11"/>
    <s v="Parking and Charging"/>
    <n v="198.13800000000001"/>
    <n v="111.96"/>
    <n v="173.01900000000003"/>
    <n v="238.67399999999998"/>
    <n v="222.29"/>
    <n v="182.84699999999998"/>
    <n v="75.265999999999991"/>
    <n v="125.53000000000002"/>
    <n v="201.43499999999995"/>
    <n v="165.333"/>
    <n v="177.41899999999998"/>
    <n v="183.14200000000002"/>
    <n v="120.81500000000001"/>
    <n v="63.942"/>
    <n v="115.44799999999998"/>
    <n v="124.88600000000001"/>
    <n v="91.234000000000009"/>
    <n v="91.241"/>
    <n v="69.745000000000005"/>
    <n v="49.690000000000005"/>
    <n v="52.825999999999993"/>
    <n v="41.279000000000003"/>
    <n v="69.903999999999996"/>
    <n v="183.71300000000002"/>
    <n v="145.01899999999998"/>
    <n v="173.98599999999999"/>
    <n v="71.327999999999989"/>
    <n v="72.088999999999999"/>
    <n v="77.039000000000001"/>
    <n v="95.243000000000009"/>
    <n v="125.48266666666665"/>
    <n v="11.407515151515149"/>
  </r>
  <r>
    <s v="Patna"/>
    <s v="EVCS-100002"/>
    <s v="ThunderPlus EV Charge Hub, Flipkart - Kumrar, Patna"/>
    <s v="Flipkart"/>
    <s v="Public-Paid"/>
    <s v="3.3KW"/>
    <s v="OCPP"/>
    <n v="1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yderabad"/>
    <s v="EVCS-360046"/>
    <s v="ThunderPlus EV Park &amp; Charge Hub, Rasoolpura, Hyderabad"/>
    <s v="Trinity"/>
    <s v="Public-Paid"/>
    <s v="3.3KW"/>
    <s v="OCPP"/>
    <n v="13"/>
    <s v="Parking and Charging"/>
    <n v="51.688000000000002"/>
    <n v="40.028000000000006"/>
    <n v="54.95000000000001"/>
    <n v="63.901999999999994"/>
    <n v="47.635000000000005"/>
    <n v="53.333000000000006"/>
    <n v="61.490000000000009"/>
    <n v="85.596999999999994"/>
    <n v="42.091000000000001"/>
    <n v="46.840999999999994"/>
    <n v="63.459999999999994"/>
    <n v="45.731999999999999"/>
    <n v="37.974000000000004"/>
    <n v="55.852999999999994"/>
    <n v="74.762"/>
    <n v="65.143000000000001"/>
    <n v="96.343000000000004"/>
    <n v="47.945"/>
    <n v="49.414000000000001"/>
    <n v="69.915999999999997"/>
    <n v="43.399000000000001"/>
    <n v="93.168000000000006"/>
    <n v="75.432999999999993"/>
    <n v="64.62299999999999"/>
    <n v="85.73399999999998"/>
    <n v="78.331000000000017"/>
    <n v="79.100000000000009"/>
    <n v="57.883999999999986"/>
    <n v="96.279999999999987"/>
    <n v="86.967999999999989"/>
    <n v="63.833900000000007"/>
    <n v="4.9103000000000003"/>
  </r>
  <r>
    <s v="Delhi"/>
    <s v="EVCS-070009"/>
    <s v="ETO, Azadpur Metro Station, Delhi"/>
    <s v="ETO"/>
    <s v="Public-Paid"/>
    <s v="3.3KW"/>
    <s v="OCPP"/>
    <n v="13"/>
    <s v="Charging Service"/>
    <n v="172.637"/>
    <n v="149.06899999999999"/>
    <n v="116.43199999999999"/>
    <n v="125.26600000000001"/>
    <n v="106.64099999999998"/>
    <n v="111.76300000000001"/>
    <n v="114.22699999999999"/>
    <n v="92.557000000000002"/>
    <n v="118.94"/>
    <n v="113.48099999999998"/>
    <n v="98.018000000000001"/>
    <n v="64.435999999999993"/>
    <n v="74.833000000000013"/>
    <n v="62.617999999999995"/>
    <n v="111.282"/>
    <n v="93.085999999999984"/>
    <n v="92.123000000000005"/>
    <n v="87.421999999999983"/>
    <n v="102.38900000000001"/>
    <n v="6.3410000000000002"/>
    <n v="0"/>
    <n v="0"/>
    <n v="0"/>
    <n v="0"/>
    <n v="0"/>
    <n v="0"/>
    <n v="0"/>
    <n v="0"/>
    <n v="0"/>
    <n v="0"/>
    <n v="67.11869999999999"/>
    <n v="5.162976923076922"/>
  </r>
  <r>
    <s v="Chennai"/>
    <s v="EVCS-330002"/>
    <s v="ThunderPlus EV Charge Hub, Flipkart - Patalam, Chennai"/>
    <s v="Flipkart"/>
    <s v="Public-Paid"/>
    <s v="3.3KW"/>
    <s v="OCPP"/>
    <n v="14"/>
    <s v="Public Charging"/>
    <n v="0"/>
    <n v="0"/>
    <n v="0"/>
    <n v="0"/>
    <n v="0"/>
    <n v="0"/>
    <n v="0"/>
    <n v="0"/>
    <n v="2.56"/>
    <n v="0"/>
    <n v="2.5409999999999999"/>
    <n v="2.8769999999999998"/>
    <n v="0"/>
    <n v="0"/>
    <n v="0"/>
    <n v="0"/>
    <n v="2.129"/>
    <n v="2.7080000000000002"/>
    <n v="2.4510000000000001"/>
    <n v="0"/>
    <n v="2.4829999999999997"/>
    <n v="2.78"/>
    <n v="2.8119999999999998"/>
    <n v="0"/>
    <n v="2.8580000000000001"/>
    <n v="0"/>
    <n v="0"/>
    <n v="2.782"/>
    <n v="2.5270000000000001"/>
    <n v="2.3479999999999999"/>
    <n v="1.1285333333333334"/>
    <n v="8.0609523809523811E-2"/>
  </r>
  <r>
    <s v="Prayagraj"/>
    <s v="EVCS-090009"/>
    <s v="ThunderPlus EV Park &amp; Charge Hub, Prayagraj, UP"/>
    <s v="Trinity"/>
    <s v="Public-Paid"/>
    <s v="3.3KW"/>
    <s v="OCPP"/>
    <n v="15"/>
    <s v="Parking and Charging"/>
    <n v="228.79099999999994"/>
    <n v="284.23099999999999"/>
    <n v="274.14200000000005"/>
    <n v="217.61700000000005"/>
    <n v="309.19599999999991"/>
    <n v="246.34700000000004"/>
    <n v="329.66999999999996"/>
    <n v="227.6279999999999"/>
    <n v="222.35799999999992"/>
    <n v="242.93599999999992"/>
    <n v="197.70400000000004"/>
    <n v="264.90799999999996"/>
    <n v="266.4310000000001"/>
    <n v="269.59399999999999"/>
    <n v="317.26100000000002"/>
    <n v="283.11999999999995"/>
    <n v="345.66899999999993"/>
    <n v="322.77000000000004"/>
    <n v="316.726"/>
    <n v="322.16600000000011"/>
    <n v="279.08900000000017"/>
    <n v="317.45300000000009"/>
    <n v="328.25500000000005"/>
    <n v="291.62800000000004"/>
    <n v="355.46600000000012"/>
    <n v="322.46299999999991"/>
    <n v="312.82000000000011"/>
    <n v="336.87099999999998"/>
    <n v="364.1520000000001"/>
    <n v="308.53099999999995"/>
    <n v="290.19976666666662"/>
    <n v="19.346651111111107"/>
  </r>
  <r>
    <s v="Delhi"/>
    <s v="EVCS-070065"/>
    <s v="ThunderPlus EV Park &amp; Charge Hub, Kalkaji metro station, Delhi"/>
    <s v="Trinity"/>
    <s v="Public-Paid"/>
    <s v="3.3KW"/>
    <s v="OCPP"/>
    <n v="15"/>
    <s v="Parking and Charging"/>
    <n v="394.48400000000004"/>
    <n v="379.51999999999992"/>
    <n v="357.47899999999998"/>
    <n v="395.11400000000003"/>
    <n v="334.02299999999997"/>
    <n v="342.99599999999998"/>
    <n v="227.85400000000004"/>
    <n v="424.02100000000002"/>
    <n v="381.92300000000006"/>
    <n v="362.0870000000001"/>
    <n v="384.28199999999993"/>
    <n v="499.12300000000016"/>
    <n v="367.83800000000002"/>
    <n v="416.505"/>
    <n v="381.18500000000012"/>
    <n v="361.98300000000006"/>
    <n v="380.37"/>
    <n v="428.23199999999974"/>
    <n v="354.08800000000002"/>
    <n v="317.01400000000007"/>
    <n v="321.51700000000011"/>
    <n v="318.53200000000004"/>
    <n v="395.23700000000002"/>
    <n v="332.74400000000014"/>
    <n v="307.02199999999999"/>
    <n v="269.26700000000011"/>
    <n v="293.01299999999998"/>
    <n v="298.61999999999995"/>
    <n v="319.21100000000001"/>
    <n v="418.59200000000016"/>
    <n v="358.79586666666677"/>
    <n v="23.919724444444451"/>
  </r>
  <r>
    <s v="Delhi"/>
    <s v="EVCS-070017"/>
    <s v="ThunderPlus EV Park &amp; Charge Hub, Jamia Millia Islamia Metro Station, Delhi"/>
    <s v="Trinity"/>
    <s v="Public-Paid"/>
    <s v="3.3KW"/>
    <s v="OCPP"/>
    <n v="15"/>
    <s v="Parking and Charging"/>
    <n v="176.90200000000002"/>
    <n v="196.88200000000001"/>
    <n v="237.86900000000003"/>
    <n v="199.04599999999996"/>
    <n v="200.78"/>
    <n v="196.81299999999999"/>
    <n v="191.751"/>
    <n v="181.04500000000002"/>
    <n v="181.5"/>
    <n v="216.33300000000003"/>
    <n v="240.48800000000003"/>
    <n v="281.21799999999996"/>
    <n v="256.88100000000009"/>
    <n v="234.57200000000009"/>
    <n v="261.27799999999991"/>
    <n v="227.66700000000003"/>
    <n v="252.999"/>
    <n v="217.67499999999995"/>
    <n v="255.97800000000007"/>
    <n v="298.25099999999998"/>
    <n v="277.85099999999994"/>
    <n v="253.85300000000001"/>
    <n v="252.46199999999999"/>
    <n v="238.50300000000004"/>
    <n v="226.32300000000001"/>
    <n v="229.59900000000007"/>
    <n v="275.24300000000005"/>
    <n v="255.96899999999999"/>
    <n v="250.08999999999997"/>
    <n v="245.79900000000006"/>
    <n v="233.72066666666666"/>
    <n v="15.581377777777778"/>
  </r>
  <r>
    <s v="Delhi"/>
    <s v="EVCS-070056"/>
    <s v="ThunderPlus EV Park &amp; Charge Hub, Uttam Nagar,Delhi"/>
    <s v="Trinity"/>
    <s v="Public-Paid"/>
    <s v="3.3KW"/>
    <s v="OCPP"/>
    <n v="15"/>
    <s v="Parking and Charging"/>
    <n v="114.03500000000001"/>
    <n v="110.99499999999999"/>
    <n v="96.491000000000028"/>
    <n v="109.28499999999998"/>
    <n v="102.51500000000001"/>
    <n v="100.54299999999998"/>
    <n v="126.00499999999998"/>
    <n v="94.406999999999996"/>
    <n v="99.879000000000005"/>
    <n v="109.23100000000001"/>
    <n v="114.51800000000001"/>
    <n v="104.26600000000001"/>
    <n v="98.683999999999997"/>
    <n v="104.95700000000001"/>
    <n v="110.32199999999999"/>
    <n v="59.489999999999995"/>
    <n v="110.89300000000001"/>
    <n v="92.971000000000004"/>
    <n v="110.25899999999999"/>
    <n v="89.823000000000008"/>
    <n v="71.994"/>
    <n v="93.571999999999989"/>
    <n v="82.802000000000007"/>
    <n v="101.95800000000001"/>
    <n v="95.444000000000003"/>
    <n v="100.76900000000001"/>
    <n v="78.077999999999989"/>
    <n v="80.414000000000001"/>
    <n v="60.113"/>
    <n v="57.802999999999997"/>
    <n v="96.083866666666694"/>
    <n v="6.4055911111111126"/>
  </r>
  <r>
    <s v="Delhi"/>
    <s v="EVCS-070062"/>
    <s v="ThunderPlus EV Park &amp; Charge Hub, Palam,Delhi"/>
    <s v="Trinity"/>
    <s v="Public-Paid"/>
    <s v="3.3KW"/>
    <s v="OCPP"/>
    <n v="15"/>
    <s v="Parking and Charging"/>
    <n v="165.23099999999999"/>
    <n v="151.96799999999999"/>
    <n v="196.09700000000001"/>
    <n v="196.08799999999999"/>
    <n v="174.239"/>
    <n v="162.44499999999999"/>
    <n v="159.59900000000002"/>
    <n v="191.065"/>
    <n v="186.14300000000003"/>
    <n v="218.57000000000005"/>
    <n v="208.345"/>
    <n v="179.27799999999999"/>
    <n v="182.459"/>
    <n v="156.608"/>
    <n v="161.679"/>
    <n v="65.411999999999992"/>
    <n v="83.463000000000008"/>
    <n v="88.679000000000002"/>
    <n v="95.580999999999989"/>
    <n v="118.866"/>
    <n v="100.56399999999999"/>
    <n v="110.577"/>
    <n v="132.90400000000002"/>
    <n v="106.80500000000002"/>
    <n v="98.146000000000015"/>
    <n v="105.84"/>
    <n v="66.230999999999995"/>
    <n v="54.22"/>
    <n v="56.042000000000002"/>
    <n v="66.611000000000004"/>
    <n v="134.6585"/>
    <n v="8.9772333333333343"/>
  </r>
  <r>
    <s v="Delhi"/>
    <s v="EVCS-070007"/>
    <s v="ETO, Cargo - Dwarka, Delhi"/>
    <s v="ETO"/>
    <s v="Public-Paid"/>
    <s v="3.3KW"/>
    <s v="OCPP"/>
    <n v="16"/>
    <s v="Charging Service"/>
    <n v="121.51899999999999"/>
    <n v="154.39699999999999"/>
    <n v="100.68299999999998"/>
    <n v="116.806"/>
    <n v="118.56300000000002"/>
    <n v="116.68700000000001"/>
    <n v="89.564000000000007"/>
    <n v="125.11499999999998"/>
    <n v="49.148000000000003"/>
    <n v="76.048000000000002"/>
    <n v="74.073999999999998"/>
    <n v="38.878"/>
    <n v="47.150999999999996"/>
    <n v="64.430000000000007"/>
    <n v="70.998000000000005"/>
    <n v="49.981999999999999"/>
    <n v="8.0869999999999997"/>
    <n v="6.976"/>
    <n v="13.328000000000001"/>
    <n v="32.82"/>
    <n v="29.742000000000001"/>
    <n v="42.3"/>
    <n v="41.987000000000002"/>
    <n v="21.179000000000002"/>
    <n v="31.100999999999999"/>
    <n v="20.544"/>
    <n v="21.561"/>
    <n v="54.972999999999999"/>
    <n v="38.513000000000005"/>
    <n v="97.986999999999995"/>
    <n v="62.5047"/>
    <n v="3.90654375"/>
  </r>
  <r>
    <s v="Hyderabad"/>
    <s v="EVCS-360034"/>
    <s v="ThunderPlus EV Park &amp; Charge Hub, Aramghar, Hyderabad"/>
    <s v="Trinity"/>
    <s v="Public-Paid"/>
    <s v="3.3KW"/>
    <s v="OCPP"/>
    <n v="19"/>
    <s v="Parking and Charging"/>
    <n v="138.54600000000002"/>
    <n v="126.61600000000001"/>
    <n v="203.46300000000008"/>
    <n v="283.89800000000002"/>
    <n v="267.20100000000002"/>
    <n v="283.18099999999993"/>
    <n v="232.41000000000005"/>
    <n v="225.249"/>
    <n v="237.77700000000002"/>
    <n v="314.44400000000002"/>
    <n v="273.37299999999999"/>
    <n v="201.06699999999998"/>
    <n v="198.45599999999996"/>
    <n v="193.74200000000002"/>
    <n v="160.35099999999997"/>
    <n v="158.39400000000001"/>
    <n v="165.27799999999999"/>
    <n v="173.65899999999991"/>
    <n v="199.56099999999998"/>
    <n v="199.75200000000007"/>
    <n v="204.79"/>
    <n v="171.51199999999997"/>
    <n v="175.39800000000002"/>
    <n v="225.14300000000003"/>
    <n v="163.12700000000001"/>
    <n v="148.25900000000004"/>
    <n v="183.417"/>
    <n v="215.26400000000004"/>
    <n v="205.02100000000002"/>
    <n v="150.52500000000001"/>
    <n v="202.62913333333336"/>
    <n v="10.664691228070177"/>
  </r>
  <r>
    <s v="Noida"/>
    <s v="EVCS-090001"/>
    <s v="ETO, Electronic City, Noida"/>
    <s v="ETO"/>
    <s v="Public-Paid"/>
    <s v="3.3KW"/>
    <s v="OCPP"/>
    <n v="19"/>
    <s v="Charging Service"/>
    <n v="0.35499999999999998"/>
    <n v="1.121"/>
    <n v="1.222"/>
    <n v="1.419"/>
    <n v="1.304"/>
    <n v="2.069"/>
    <n v="1.1870000000000001"/>
    <n v="2.2709999999999999"/>
    <n v="3.593"/>
    <n v="2.4910000000000001"/>
    <n v="1.8740000000000001"/>
    <n v="0.48299999999999998"/>
    <n v="2.4950000000000001"/>
    <n v="3.6229999999999998"/>
    <n v="3.5650000000000004"/>
    <n v="3.9609999999999999"/>
    <n v="3.52"/>
    <n v="4.0540000000000003"/>
    <n v="3.2279999999999998"/>
    <n v="3.5430000000000001"/>
    <n v="4.2590000000000003"/>
    <n v="3.0819999999999999"/>
    <n v="3.5679999999999996"/>
    <n v="4.0350000000000001"/>
    <n v="3.8499999999999996"/>
    <n v="4.7590000000000003"/>
    <n v="3.589"/>
    <n v="2.8"/>
    <n v="2.6920000000000002"/>
    <n v="6.7110000000000003"/>
    <n v="2.8907666666666665"/>
    <n v="0.15214561403508772"/>
  </r>
  <r>
    <s v="Nagpur"/>
    <s v="EVCS-270005"/>
    <s v="ETO, Airport south metro station, Nagpur"/>
    <s v="ETO"/>
    <s v="Public-Paid"/>
    <s v="3.3KW"/>
    <s v="OCPP"/>
    <n v="20"/>
    <s v="Charging Service"/>
    <n v="22.611000000000001"/>
    <n v="10.054"/>
    <n v="9.9239999999999995"/>
    <n v="10.103"/>
    <n v="72.596000000000004"/>
    <n v="26.667000000000002"/>
    <n v="0"/>
    <n v="12.425000000000001"/>
    <n v="9.9779999999999998"/>
    <n v="27.860999999999997"/>
    <n v="19.035"/>
    <n v="11.132999999999999"/>
    <n v="13.315"/>
    <n v="1E-3"/>
    <n v="25.984000000000002"/>
    <n v="0.90700000000000003"/>
    <n v="0"/>
    <n v="0"/>
    <n v="119.74"/>
    <n v="13.337999999999999"/>
    <n v="0"/>
    <n v="1.2040000000000002"/>
    <n v="231.35300000000001"/>
    <n v="0"/>
    <n v="6.4450000000000003"/>
    <n v="0"/>
    <n v="0"/>
    <n v="0.38800000000000001"/>
    <n v="0"/>
    <n v="0"/>
    <n v="21.502066666666671"/>
    <n v="1.0751033333333335"/>
  </r>
  <r>
    <s v="Delhi"/>
    <s v="EVCS-070010"/>
    <s v="ETO, Kalkaji Metro Station, Delhi "/>
    <s v="ETO"/>
    <s v="Public-Paid"/>
    <s v="3.3KW"/>
    <s v="OCPP"/>
    <n v="20"/>
    <s v="Charging Service"/>
    <n v="269.38600000000002"/>
    <n v="394.97499999999997"/>
    <n v="268.99899999999991"/>
    <n v="230.83699999999999"/>
    <n v="259.76900000000001"/>
    <n v="218.85"/>
    <n v="250.98500000000004"/>
    <n v="261.90400000000011"/>
    <n v="255.04700000000003"/>
    <n v="291.11700000000008"/>
    <n v="267.20899999999995"/>
    <n v="379.952"/>
    <n v="257.40800000000002"/>
    <n v="306.26100000000002"/>
    <n v="239.80899999999997"/>
    <n v="292.584"/>
    <n v="313.12199999999996"/>
    <n v="322.62100000000009"/>
    <n v="304.78400000000005"/>
    <n v="255.99800000000002"/>
    <n v="326.38899999999995"/>
    <n v="319.44599999999991"/>
    <n v="325.39199999999994"/>
    <n v="318.45500000000004"/>
    <n v="248.48499999999996"/>
    <n v="300.30799999999999"/>
    <n v="275.95"/>
    <n v="292.92"/>
    <n v="315.67500000000001"/>
    <n v="293.90999999999991"/>
    <n v="288.61823333333331"/>
    <n v="14.430911666666665"/>
  </r>
  <r>
    <s v="Delhi"/>
    <s v="EVCS-070016"/>
    <s v="ThunderPlus EV Park &amp; Charge Hub, Dwaraka sector - 14, Delhi"/>
    <s v="Trinity"/>
    <s v="Public-Paid"/>
    <s v="3.3KW"/>
    <s v="OCPP"/>
    <n v="20"/>
    <s v="Parking and Charging"/>
    <n v="204.916"/>
    <n v="195.91099999999997"/>
    <n v="185.24199999999999"/>
    <n v="181.31900000000005"/>
    <n v="217.59699999999995"/>
    <n v="172.61600000000004"/>
    <n v="206.01499999999996"/>
    <n v="189.81299999999999"/>
    <n v="180.95299999999995"/>
    <n v="219.51"/>
    <n v="192.108"/>
    <n v="165.99799999999996"/>
    <n v="232.52499999999995"/>
    <n v="221.51500000000001"/>
    <n v="39.695"/>
    <n v="110.75399999999999"/>
    <n v="161.48700000000002"/>
    <n v="175.48699999999999"/>
    <n v="209.18600000000004"/>
    <n v="155.64699999999999"/>
    <n v="193.62499999999997"/>
    <n v="197.37299999999999"/>
    <n v="161.351"/>
    <n v="180.37599999999998"/>
    <n v="169.13800000000001"/>
    <n v="115.66700000000003"/>
    <n v="156.87299999999996"/>
    <n v="133.67799999999997"/>
    <n v="161.38800000000001"/>
    <n v="93.832999999999984"/>
    <n v="172.71986666666666"/>
    <n v="8.6359933333333334"/>
  </r>
  <r>
    <s v="Hyderabad"/>
    <s v="EVCS-360017"/>
    <s v="ThunderPlus EV Park &amp; Charge Hub, Miyapur, Hyderabad"/>
    <s v="Trinity"/>
    <s v="Public-Paid"/>
    <s v="3.3KW"/>
    <s v="OCPP"/>
    <n v="29"/>
    <s v="Parking and Charging"/>
    <n v="588.21100000000013"/>
    <n v="536.23199999999986"/>
    <n v="462.42000000000007"/>
    <n v="546.18799999999999"/>
    <n v="527.5680000000001"/>
    <n v="514.01200000000006"/>
    <n v="626.87499999999989"/>
    <n v="596.87800000000016"/>
    <n v="578.58199999999977"/>
    <n v="664.21699999999987"/>
    <n v="606.70299999999997"/>
    <n v="556.18500000000006"/>
    <n v="583.971"/>
    <n v="532.08600000000001"/>
    <n v="517.12800000000004"/>
    <n v="535.56000000000006"/>
    <n v="566.59"/>
    <n v="441.54399999999987"/>
    <n v="524.74299999999994"/>
    <n v="499.42800000000005"/>
    <n v="463.67699999999985"/>
    <n v="617.95699999999988"/>
    <n v="454.73299999999995"/>
    <n v="605.97299999999996"/>
    <n v="499.63299999999981"/>
    <n v="597.10099999999989"/>
    <n v="532.8610000000001"/>
    <n v="439.86199999999985"/>
    <n v="553.37199999999996"/>
    <n v="446.03100000000012"/>
    <n v="540.54403333333335"/>
    <n v="18.639449425287356"/>
  </r>
  <r>
    <s v="Kevadiya"/>
    <s v="EVCS-240003"/>
    <s v="ETO, Kevadia"/>
    <s v="SOU"/>
    <s v="Public-Paid"/>
    <s v="3.3KW"/>
    <s v="OCPP"/>
    <n v="40"/>
    <s v="Charging Service"/>
    <n v="100.134"/>
    <n v="378.54199999999992"/>
    <n v="343.09200000000004"/>
    <n v="252.97400000000005"/>
    <n v="259.21699999999993"/>
    <n v="298.38799999999998"/>
    <n v="274.27399999999994"/>
    <n v="85.541999999999973"/>
    <n v="249.876"/>
    <n v="314.57999999999993"/>
    <n v="332.45"/>
    <n v="418.33200000000005"/>
    <n v="522.94100000000003"/>
    <n v="485.52200000000005"/>
    <n v="194.71599999999995"/>
    <n v="86.335999999999999"/>
    <n v="289.24900000000008"/>
    <n v="275.24299999999994"/>
    <n v="387.38499999999999"/>
    <n v="334.26900000000006"/>
    <n v="122.53000000000003"/>
    <n v="367.57899999999995"/>
    <n v="237.62299999999999"/>
    <n v="251.68799999999999"/>
    <n v="237.02800000000013"/>
    <n v="332.29"/>
    <n v="423.93900000000002"/>
    <n v="369.94700000000006"/>
    <n v="168.98300000000003"/>
    <n v="232.51499999999999"/>
    <n v="287.57279999999997"/>
    <n v="7.1893199999999995"/>
  </r>
  <r>
    <s v="Delhi"/>
    <n v="0"/>
    <s v="BSES Rajdhani Customer"/>
    <n v="0"/>
    <s v="Public-Paid"/>
    <s v="3.3KW"/>
    <s v="LEVAC-BLE"/>
    <n v="8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Delhi"/>
    <n v="0"/>
    <s v="ETO - BYPL MCD"/>
    <s v="MCD"/>
    <s v="Public-Paid"/>
    <s v="3.3KW"/>
    <s v="LEVAC-BLE"/>
    <n v="87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n v="1"/>
    <x v="0"/>
    <s v="EVCS-360003"/>
    <x v="0"/>
    <s v="17.317562, 78.45881"/>
    <s v="Amazon"/>
    <s v="Public-Paid"/>
    <s v="3.3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"/>
    <x v="0"/>
    <s v="EVCS-360004"/>
    <x v="1"/>
    <s v="17.423457, 78.327282"/>
    <s v="Amazon"/>
    <s v="Public-Paid"/>
    <s v="3.3KW"/>
    <s v="OCPP"/>
    <n v="9"/>
    <x v="0"/>
    <n v="133.92000000000004"/>
    <n v="178.86799999999997"/>
    <n v="209.69400000000005"/>
    <n v="123.57900000000001"/>
    <n v="203.26199999999997"/>
    <n v="181.24100000000007"/>
    <n v="183.39600000000002"/>
    <n v="199.73500000000001"/>
    <n v="148.768"/>
    <n v="159.077"/>
    <n v="138.22199999999998"/>
    <n v="136.76400000000001"/>
    <n v="157.767"/>
    <n v="141.465"/>
    <n v="139.14600000000002"/>
    <n v="138.89600000000004"/>
    <n v="168.435"/>
    <n v="142.66"/>
    <n v="111.50699999999999"/>
    <n v="137.60100000000003"/>
    <n v="126.154"/>
    <n v="125.074"/>
    <n v="132.33599999999998"/>
    <n v="352.34299999999973"/>
    <m/>
    <m/>
    <m/>
    <m/>
    <m/>
    <m/>
    <m/>
    <n v="161.24625"/>
    <n v="17.916250000000002"/>
  </r>
  <r>
    <n v="3"/>
    <x v="0"/>
    <s v="EVCS-360005"/>
    <x v="2"/>
    <s v="17.450754, 78.554548"/>
    <s v="Amazon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4"/>
    <x v="0"/>
    <s v="EVCS-360017"/>
    <x v="3"/>
    <s v="17.497468, 78.375312"/>
    <s v="Trinity"/>
    <s v="Public-Paid"/>
    <s v="3.3KW"/>
    <s v="OCPP"/>
    <n v="54"/>
    <x v="1"/>
    <n v="666.67599999999982"/>
    <n v="557.73899999999969"/>
    <n v="505.11199999999991"/>
    <n v="609.19600000000003"/>
    <n v="445.81400000000002"/>
    <n v="458.53500000000003"/>
    <n v="678.88199999999983"/>
    <n v="494.77600000000001"/>
    <n v="625.41899999999998"/>
    <n v="694.54799999999977"/>
    <n v="609.87800000000004"/>
    <n v="581.803"/>
    <n v="587.3549999999999"/>
    <n v="665.76900000000012"/>
    <n v="721.76199999999972"/>
    <n v="645.59199999999998"/>
    <n v="603.18299999999999"/>
    <n v="562.15000000000009"/>
    <n v="658.46099999999979"/>
    <n v="676.67999999999984"/>
    <n v="662.7850000000002"/>
    <n v="661.0469999999998"/>
    <n v="727.10700000000008"/>
    <n v="1384.085"/>
    <m/>
    <m/>
    <m/>
    <m/>
    <m/>
    <m/>
    <m/>
    <n v="645.18141666666645"/>
    <n v="11.947804012345674"/>
  </r>
  <r>
    <n v="5"/>
    <x v="0"/>
    <s v="EVCS-360067"/>
    <x v="4"/>
    <s v="17.497468, 78.375312"/>
    <s v="Trinity"/>
    <s v="Public-Paid"/>
    <s v="12KW"/>
    <s v="DC Charger"/>
    <n v="11"/>
    <x v="1"/>
    <n v="233.71999999999994"/>
    <n v="204.51999999999992"/>
    <n v="250.64999999999992"/>
    <n v="217.79999999999998"/>
    <n v="235.02"/>
    <n v="239.23000000000002"/>
    <n v="287.95000000000005"/>
    <n v="203.47100000000003"/>
    <n v="160.88999999999996"/>
    <n v="247.54"/>
    <n v="177.23"/>
    <n v="167.12900000000002"/>
    <n v="250.49899999999997"/>
    <n v="231.62999999999997"/>
    <n v="263.68999999999994"/>
    <n v="261.93"/>
    <n v="319.12099999999987"/>
    <n v="350.09"/>
    <n v="338.28999999999996"/>
    <n v="258.87000000000006"/>
    <n v="294.57000000000005"/>
    <n v="315.64999999999998"/>
    <n v="206.00000000000006"/>
    <n v="443.56099999999986"/>
    <m/>
    <m/>
    <m/>
    <m/>
    <m/>
    <m/>
    <m/>
    <n v="256.62712499999992"/>
    <n v="23.329738636363629"/>
  </r>
  <r>
    <n v="6"/>
    <x v="0"/>
    <s v="EVCS-360019"/>
    <x v="5"/>
    <s v="17.52039, 78.51249"/>
    <s v="Trinity"/>
    <s v="Public-Paid"/>
    <s v="3.3KW"/>
    <s v="OCPP"/>
    <n v="6"/>
    <x v="1"/>
    <n v="36.537000000000006"/>
    <n v="31.145"/>
    <n v="32.650999999999996"/>
    <n v="27.338999999999999"/>
    <n v="35.117000000000004"/>
    <n v="27.140999999999998"/>
    <n v="30.372"/>
    <n v="33.912999999999997"/>
    <n v="26.673999999999999"/>
    <n v="29.98"/>
    <n v="28.959000000000003"/>
    <n v="30.998000000000001"/>
    <n v="29.001999999999999"/>
    <n v="27.457000000000001"/>
    <n v="26.443999999999999"/>
    <n v="37.806999999999995"/>
    <n v="26.516999999999999"/>
    <n v="27.053000000000001"/>
    <n v="26.85"/>
    <n v="27.709"/>
    <n v="27.128"/>
    <n v="23.393999999999998"/>
    <n v="23.900000000000002"/>
    <n v="41.351999999999997"/>
    <m/>
    <m/>
    <m/>
    <m/>
    <m/>
    <m/>
    <m/>
    <n v="29.809958333333331"/>
    <n v="4.9683263888888884"/>
  </r>
  <r>
    <n v="7"/>
    <x v="0"/>
    <s v="EVCS-360020"/>
    <x v="6"/>
    <s v="17.358244, 78.477117"/>
    <s v="ETO"/>
    <s v="Public-Paid"/>
    <s v="3.3KW"/>
    <s v="OCPP"/>
    <n v="3"/>
    <x v="2"/>
    <n v="102.813"/>
    <n v="92.927999999999997"/>
    <n v="101.19799999999999"/>
    <n v="87.283000000000001"/>
    <n v="97.306999999999988"/>
    <n v="73.877999999999986"/>
    <n v="108.88400000000001"/>
    <n v="101.25800000000002"/>
    <n v="102.70899999999999"/>
    <n v="83.364000000000004"/>
    <n v="104.78699999999999"/>
    <n v="85.287999999999997"/>
    <n v="84.036000000000001"/>
    <n v="97.614000000000004"/>
    <n v="91.867999999999995"/>
    <n v="107.90600000000001"/>
    <n v="107.06700000000001"/>
    <n v="92.7"/>
    <n v="96.405999999999992"/>
    <n v="119.02099999999999"/>
    <n v="99.840999999999994"/>
    <n v="93.913999999999987"/>
    <n v="92.799000000000007"/>
    <n v="213.10699999999997"/>
    <m/>
    <m/>
    <m/>
    <m/>
    <m/>
    <m/>
    <m/>
    <n v="101.58233333333332"/>
    <n v="33.860777777777777"/>
  </r>
  <r>
    <n v="8"/>
    <x v="0"/>
    <s v="EVCS-360028"/>
    <x v="7"/>
    <s v="17.159675739608108, 78.29271449564584"/>
    <s v="Trinity"/>
    <s v="Public-Free"/>
    <s v="3.3KW"/>
    <s v="OCPP"/>
    <n v="1"/>
    <x v="3"/>
    <n v="0"/>
    <n v="0"/>
    <n v="8.9529999999999994"/>
    <n v="0"/>
    <n v="0"/>
    <n v="0"/>
    <n v="0"/>
    <n v="0"/>
    <n v="0"/>
    <n v="0"/>
    <n v="0"/>
    <n v="0"/>
    <n v="2.8279999999999998"/>
    <n v="0"/>
    <n v="0"/>
    <n v="0"/>
    <n v="0"/>
    <n v="0"/>
    <n v="0"/>
    <n v="0"/>
    <n v="3.367"/>
    <n v="0"/>
    <n v="0"/>
    <n v="0"/>
    <m/>
    <m/>
    <m/>
    <m/>
    <m/>
    <m/>
    <m/>
    <n v="0.63116666666666665"/>
    <n v="0.63116666666666665"/>
  </r>
  <r>
    <n v="9"/>
    <x v="0"/>
    <s v="EVCS-360030"/>
    <x v="8"/>
    <s v="17.262372, 78.393635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0"/>
    <x v="0"/>
    <s v="EVCS-360030"/>
    <x v="9"/>
    <s v="17.262372, 78.393635"/>
    <s v="Trinity"/>
    <s v="Public-Paid"/>
    <s v="15KW"/>
    <s v="DC Charger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"/>
    <x v="0"/>
    <s v="EVCS-360030"/>
    <x v="9"/>
    <s v="17.262372, 78.393635"/>
    <s v="Trinity"/>
    <s v="Public-Paid"/>
    <s v="30 kw "/>
    <s v="DC Charger"/>
    <n v="1"/>
    <x v="0"/>
    <n v="27.92"/>
    <n v="50.85"/>
    <n v="38.650000000000006"/>
    <n v="0"/>
    <n v="0"/>
    <n v="4.13"/>
    <n v="0"/>
    <n v="28.909999999999997"/>
    <n v="0"/>
    <n v="56.25"/>
    <n v="17.04"/>
    <n v="18.21"/>
    <n v="52.550000000000004"/>
    <n v="28.48"/>
    <n v="0"/>
    <n v="31.8"/>
    <n v="30.060000000000002"/>
    <n v="0"/>
    <n v="7.89"/>
    <n v="0"/>
    <n v="19.98"/>
    <n v="24.37"/>
    <n v="9.16"/>
    <n v="0"/>
    <m/>
    <m/>
    <m/>
    <m/>
    <m/>
    <m/>
    <m/>
    <n v="18.593750000000004"/>
    <n v="18.593750000000004"/>
  </r>
  <r>
    <n v="12"/>
    <x v="0"/>
    <s v="EVCS-360031"/>
    <x v="10"/>
    <s v="17.46889, 78.56083"/>
    <s v="Trinity"/>
    <s v="Public-Paid"/>
    <s v="3.3KW"/>
    <s v="OCPP"/>
    <n v="10"/>
    <x v="1"/>
    <n v="70.794999999999987"/>
    <n v="71.934999999999988"/>
    <n v="109.248"/>
    <n v="42.365000000000002"/>
    <n v="93.997"/>
    <n v="90.942000000000007"/>
    <n v="91.218000000000004"/>
    <n v="80.132999999999996"/>
    <n v="87.073999999999998"/>
    <n v="85.397000000000006"/>
    <n v="33.931000000000004"/>
    <n v="30.551000000000002"/>
    <n v="54.533000000000008"/>
    <n v="44.853000000000009"/>
    <n v="77.743999999999986"/>
    <n v="50.341000000000001"/>
    <n v="69.710999999999999"/>
    <n v="30.297999999999998"/>
    <n v="63.50200000000001"/>
    <n v="90.77600000000001"/>
    <n v="54.966999999999999"/>
    <n v="51.454000000000008"/>
    <n v="72.596000000000004"/>
    <n v="105.84500000000001"/>
    <m/>
    <m/>
    <m/>
    <m/>
    <m/>
    <m/>
    <m/>
    <n v="68.925250000000005"/>
    <n v="6.8925250000000009"/>
  </r>
  <r>
    <n v="13"/>
    <x v="0"/>
    <s v="EVCS-360066"/>
    <x v="11"/>
    <s v="17.46889, 78.56083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4"/>
    <x v="0"/>
    <s v="EVCS-360070"/>
    <x v="12"/>
    <s v="17.4269, 78.52092"/>
    <s v="Trinity"/>
    <s v="Public-Paid"/>
    <s v="3.3KW"/>
    <s v="OCPP"/>
    <n v="4"/>
    <x v="0"/>
    <n v="24.115000000000002"/>
    <n v="38.244999999999997"/>
    <n v="40.633999999999993"/>
    <n v="14.577999999999999"/>
    <n v="27.003999999999998"/>
    <n v="32.616999999999997"/>
    <n v="27.678999999999998"/>
    <n v="24.962"/>
    <n v="34.71"/>
    <n v="46.043000000000006"/>
    <n v="30.095999999999997"/>
    <n v="26.033999999999999"/>
    <n v="34.338000000000001"/>
    <n v="32.480000000000004"/>
    <n v="32.512"/>
    <n v="27.947000000000003"/>
    <n v="62.057000000000009"/>
    <n v="26.627000000000002"/>
    <n v="28.594000000000001"/>
    <n v="26.539000000000001"/>
    <n v="16.480999999999998"/>
    <n v="37.692"/>
    <n v="24.962000000000003"/>
    <n v="82.925000000000011"/>
    <m/>
    <m/>
    <m/>
    <m/>
    <m/>
    <m/>
    <m/>
    <n v="33.327958333333335"/>
    <n v="8.3319895833333337"/>
  </r>
  <r>
    <n v="15"/>
    <x v="0"/>
    <s v="EVCS-360034"/>
    <x v="13"/>
    <s v="17.31597, 78.45896"/>
    <s v="Trinity"/>
    <s v="Public-Paid"/>
    <s v="3.3KW"/>
    <s v="OCPP"/>
    <n v="19"/>
    <x v="1"/>
    <n v="200.30799999999999"/>
    <n v="172.63499999999996"/>
    <n v="186.126"/>
    <n v="177.059"/>
    <n v="252.25300000000001"/>
    <n v="217.32600000000002"/>
    <n v="275.71899999999994"/>
    <n v="240.98400000000001"/>
    <n v="222.30200000000002"/>
    <n v="276.07699999999994"/>
    <n v="218.86000000000007"/>
    <n v="234.69800000000001"/>
    <n v="223.37600000000009"/>
    <n v="212.24700000000004"/>
    <n v="242.59700000000004"/>
    <n v="268.40000000000003"/>
    <n v="207.39300000000003"/>
    <n v="216.45800000000006"/>
    <n v="235.01100000000005"/>
    <n v="212.15700000000001"/>
    <n v="198.88899999999998"/>
    <n v="207.37500000000009"/>
    <n v="175.81700000000001"/>
    <n v="382.36800000000017"/>
    <m/>
    <m/>
    <m/>
    <m/>
    <m/>
    <m/>
    <m/>
    <n v="227.3514583333334"/>
    <n v="11.965866228070178"/>
  </r>
  <r>
    <n v="16"/>
    <x v="0"/>
    <s v="EVCS-360069"/>
    <x v="14"/>
    <s v="17.31597, 78.45896"/>
    <s v="Trinity"/>
    <s v="Public-Paid"/>
    <s v="15KW"/>
    <s v="DC Charger"/>
    <n v="1"/>
    <x v="1"/>
    <n v="44.730000000000004"/>
    <n v="24.649000000000001"/>
    <n v="0.25100000000000006"/>
    <n v="8.9999999999999993E-3"/>
    <n v="0.01"/>
    <n v="0"/>
    <n v="0"/>
    <n v="0"/>
    <n v="0"/>
    <n v="0"/>
    <n v="0"/>
    <n v="0"/>
    <n v="0"/>
    <n v="0"/>
    <n v="0"/>
    <n v="0"/>
    <n v="2.8009999999999997"/>
    <n v="0"/>
    <n v="0"/>
    <n v="9.0400000000000009"/>
    <n v="6.4290000000000003"/>
    <n v="2.2010000000000001"/>
    <n v="0"/>
    <n v="0"/>
    <m/>
    <m/>
    <m/>
    <m/>
    <m/>
    <m/>
    <m/>
    <n v="3.7550000000000008"/>
    <n v="3.7550000000000008"/>
  </r>
  <r>
    <n v="17"/>
    <x v="0"/>
    <s v="EVCS-360069"/>
    <x v="14"/>
    <s v="17.31597, 78.45896"/>
    <s v="Trinity"/>
    <s v="Public-Paid"/>
    <s v="12KW"/>
    <s v="DC Charger"/>
    <n v="2"/>
    <x v="1"/>
    <n v="20.780000000000005"/>
    <n v="12.34"/>
    <n v="0"/>
    <n v="0"/>
    <n v="0"/>
    <n v="5.59"/>
    <n v="14.7"/>
    <n v="8.18"/>
    <n v="15.04"/>
    <n v="8.43"/>
    <n v="0.01"/>
    <n v="0"/>
    <n v="6.96"/>
    <n v="0"/>
    <n v="13.54"/>
    <n v="18.009999999999998"/>
    <n v="28.11"/>
    <n v="22.28"/>
    <n v="41.430000000000007"/>
    <n v="32.760000000000005"/>
    <n v="16.649999999999999"/>
    <n v="27.66"/>
    <n v="50.7"/>
    <n v="44.22"/>
    <m/>
    <m/>
    <m/>
    <m/>
    <m/>
    <m/>
    <m/>
    <n v="16.141249999999999"/>
    <n v="8.0706249999999997"/>
  </r>
  <r>
    <n v="18"/>
    <x v="0"/>
    <s v="EVCS-360058"/>
    <x v="15"/>
    <s v="17.47081, 78.38444"/>
    <s v="Trinity"/>
    <s v="Public-Paid"/>
    <s v="3.3KW"/>
    <s v="OCPP"/>
    <n v="8"/>
    <x v="1"/>
    <n v="47.475000000000001"/>
    <n v="49.087000000000003"/>
    <n v="48.367999999999995"/>
    <n v="55.778999999999996"/>
    <n v="57.827999999999996"/>
    <n v="93.838999999999999"/>
    <n v="35.798999999999999"/>
    <n v="18.811000000000003"/>
    <n v="3.9670000000000001"/>
    <n v="3.8620000000000001"/>
    <n v="0"/>
    <n v="6.4939999999999998"/>
    <n v="9.23"/>
    <n v="6.57"/>
    <n v="25.507000000000001"/>
    <n v="8.1690000000000005"/>
    <n v="7.5209999999999999"/>
    <n v="12.667000000000002"/>
    <n v="16.931000000000001"/>
    <n v="4.5149999999999997"/>
    <n v="18.425999999999998"/>
    <n v="3.5840000000000001"/>
    <n v="5.452"/>
    <n v="7.9039999999999999"/>
    <m/>
    <m/>
    <m/>
    <m/>
    <m/>
    <m/>
    <m/>
    <n v="22.824375"/>
    <n v="2.853046875"/>
  </r>
  <r>
    <n v="19"/>
    <x v="0"/>
    <s v="EVCS-360035"/>
    <x v="16"/>
    <s v="17.47081, 78.38444"/>
    <s v="Trinity"/>
    <s v="Public-Paid"/>
    <s v="7.4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"/>
    <x v="0"/>
    <s v="EVCS-360035"/>
    <x v="17"/>
    <s v="17.47081, 78.38444"/>
    <s v="Trinity"/>
    <s v="Public-Paid"/>
    <s v="12KW"/>
    <s v="DC Charger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1"/>
    <x v="0"/>
    <s v="EVCS-360035"/>
    <x v="17"/>
    <s v="17.47081, 78.38444"/>
    <s v="Trinity"/>
    <s v="Public-Paid"/>
    <s v="15KW"/>
    <s v="DC Charger"/>
    <n v="1"/>
    <x v="0"/>
    <n v="0"/>
    <n v="0"/>
    <n v="0"/>
    <n v="2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11666666666666665"/>
    <n v="0.11666666666666665"/>
  </r>
  <r>
    <n v="22"/>
    <x v="0"/>
    <s v="EVCS-360035"/>
    <x v="17"/>
    <s v="17.47081, 78.38444"/>
    <s v="Trinity"/>
    <s v="Public-Paid"/>
    <s v="60 kw"/>
    <s v="DC Charger"/>
    <n v="1"/>
    <x v="0"/>
    <n v="201.626"/>
    <n v="410.12599999999998"/>
    <n v="228.72199999999998"/>
    <n v="217.80799999999999"/>
    <n v="367.75000000000011"/>
    <n v="463.98200000000008"/>
    <n v="565.49199999999985"/>
    <n v="397.59399999999982"/>
    <n v="390.5019999999999"/>
    <n v="228.62000000000006"/>
    <n v="94.256"/>
    <n v="408.69200000000001"/>
    <n v="404.77199999999999"/>
    <n v="515.80400000000009"/>
    <n v="276.77999999999997"/>
    <n v="419.596"/>
    <n v="410.80400000000003"/>
    <n v="165.94400000000002"/>
    <n v="503.87599999999981"/>
    <n v="512.95600000000002"/>
    <n v="535.4799999999999"/>
    <n v="390.22"/>
    <n v="463.40400000000005"/>
    <n v="503.43200000000007"/>
    <m/>
    <m/>
    <m/>
    <m/>
    <m/>
    <m/>
    <m/>
    <n v="378.2599166666667"/>
    <n v="378.2599166666667"/>
  </r>
  <r>
    <n v="23"/>
    <x v="0"/>
    <s v="EVCS-360035"/>
    <x v="16"/>
    <s v="17.47081, 78.38444"/>
    <s v="Trinity"/>
    <s v="Public-Paid"/>
    <s v="120KW"/>
    <s v="DC Charger"/>
    <n v="1"/>
    <x v="0"/>
    <n v="489.58"/>
    <n v="406.14"/>
    <n v="244.88000000000005"/>
    <n v="193.56999999999996"/>
    <n v="472.33"/>
    <n v="569.80000000000018"/>
    <n v="640.80999999999995"/>
    <n v="426.86"/>
    <n v="516.77999999999986"/>
    <n v="212.18000000000004"/>
    <n v="88.050000000000011"/>
    <n v="471.27000000000004"/>
    <n v="471.01999999999987"/>
    <n v="549.33999999999992"/>
    <n v="559.85"/>
    <n v="550.41"/>
    <n v="362.16000000000008"/>
    <n v="309.44"/>
    <n v="549.85"/>
    <n v="543.83999999999992"/>
    <n v="508.33000000000004"/>
    <n v="408.99999999999994"/>
    <n v="555.78"/>
    <n v="563.70999999999992"/>
    <m/>
    <m/>
    <m/>
    <m/>
    <m/>
    <m/>
    <m/>
    <n v="444.37416666666667"/>
    <n v="444.37416666666667"/>
  </r>
  <r>
    <n v="24"/>
    <x v="0"/>
    <s v="EVCS-360035"/>
    <x v="16"/>
    <s v="17.47081, 78.38444"/>
    <s v="Trinity"/>
    <s v="Public-Paid"/>
    <s v="240kw"/>
    <s v="DC Charger"/>
    <n v="1"/>
    <x v="0"/>
    <n v="461.84999999999997"/>
    <n v="429.22499999999997"/>
    <n v="714.72500000000002"/>
    <n v="731.875"/>
    <n v="448.35"/>
    <n v="500.87300000000005"/>
    <n v="432.00099999999998"/>
    <n v="625.57500000000005"/>
    <n v="664.25"/>
    <n v="227.05"/>
    <n v="664.72399999999993"/>
    <n v="649.17499999999995"/>
    <n v="423.32500000000005"/>
    <n v="697.39899999999989"/>
    <n v="698.12499999999989"/>
    <n v="920.72499999999991"/>
    <n v="937.55000000000007"/>
    <n v="928.6"/>
    <n v="951.30000000000007"/>
    <n v="711.22500000000002"/>
    <n v="630.57499999999993"/>
    <n v="964.07500000000005"/>
    <n v="894.87499999999989"/>
    <n v="1623.4730000000002"/>
    <m/>
    <m/>
    <m/>
    <m/>
    <m/>
    <m/>
    <m/>
    <n v="705.45500000000004"/>
    <n v="705.45500000000004"/>
  </r>
  <r>
    <n v="25"/>
    <x v="0"/>
    <s v="EVCS-360041"/>
    <x v="18"/>
    <s v="17.43472, 78.520414"/>
    <s v="Trinity"/>
    <s v="Public-Paid"/>
    <s v="3.3KW"/>
    <s v="OCPP"/>
    <n v="7"/>
    <x v="1"/>
    <n v="213.779"/>
    <n v="232.35399999999996"/>
    <n v="214.06899999999996"/>
    <n v="4.5140000000000002"/>
    <n v="0.44500000000000001"/>
    <n v="0.59099999999999997"/>
    <n v="2.722"/>
    <n v="141.77700000000002"/>
    <n v="136.72399999999999"/>
    <n v="139.964"/>
    <n v="92.41"/>
    <n v="144.81"/>
    <n v="122.33299999999998"/>
    <n v="160.52000000000001"/>
    <n v="78.061000000000007"/>
    <n v="134.49600000000004"/>
    <n v="114.80800000000001"/>
    <n v="129.15"/>
    <n v="169.71600000000001"/>
    <n v="167.92999999999998"/>
    <n v="164.67600000000004"/>
    <n v="88.143999999999991"/>
    <n v="112.88100000000001"/>
    <n v="322.56100000000004"/>
    <m/>
    <m/>
    <m/>
    <m/>
    <m/>
    <m/>
    <m/>
    <n v="128.72645833333331"/>
    <n v="18.389494047619046"/>
  </r>
  <r>
    <n v="26"/>
    <x v="0"/>
    <s v="EVCS-360036"/>
    <x v="19"/>
    <s v="17.43453, 78.52049"/>
    <s v="Trinity"/>
    <s v="Public-Paid"/>
    <s v="3.3KW"/>
    <s v="OCPP"/>
    <n v="1"/>
    <x v="0"/>
    <n v="7.101"/>
    <n v="2.742"/>
    <n v="0.41599999999999998"/>
    <n v="199.62800000000004"/>
    <n v="131.93399999999997"/>
    <n v="130.89899999999997"/>
    <n v="190.494"/>
    <n v="8.0240000000000009"/>
    <n v="10.638"/>
    <n v="0.94800000000000006"/>
    <n v="2E-3"/>
    <n v="0"/>
    <n v="3.6319999999999997"/>
    <n v="7.3019999999999996"/>
    <n v="1E-3"/>
    <n v="4.83"/>
    <n v="0"/>
    <n v="9.652000000000001"/>
    <n v="5.7759999999999998"/>
    <n v="5.6479999999999997"/>
    <n v="7.5949999999999998"/>
    <n v="0.93600000000000005"/>
    <n v="2.722"/>
    <n v="14.273"/>
    <m/>
    <m/>
    <m/>
    <m/>
    <m/>
    <m/>
    <m/>
    <n v="31.049708333333339"/>
    <n v="31.049708333333339"/>
  </r>
  <r>
    <n v="27"/>
    <x v="0"/>
    <s v="EVCS-360036"/>
    <x v="19"/>
    <s v="17.43453, 78.52049"/>
    <s v="Trinity"/>
    <s v="Public-Paid"/>
    <s v="7.4KW"/>
    <s v="OCPP"/>
    <n v="1"/>
    <x v="0"/>
    <n v="0"/>
    <n v="10.061999999999999"/>
    <n v="2.3620000000000001"/>
    <n v="0"/>
    <n v="2.3610000000000002"/>
    <n v="0"/>
    <n v="17.419"/>
    <n v="0"/>
    <n v="0"/>
    <n v="0"/>
    <n v="0"/>
    <n v="0"/>
    <n v="0"/>
    <n v="2E-3"/>
    <n v="0"/>
    <n v="0"/>
    <n v="0"/>
    <n v="12.647"/>
    <n v="0"/>
    <n v="0"/>
    <n v="0"/>
    <n v="0"/>
    <n v="0"/>
    <n v="33.457999999999998"/>
    <m/>
    <m/>
    <m/>
    <m/>
    <m/>
    <m/>
    <m/>
    <n v="3.2629583333333336"/>
    <n v="3.2629583333333336"/>
  </r>
  <r>
    <n v="28"/>
    <x v="0"/>
    <s v="EVCS-360036"/>
    <x v="20"/>
    <s v="17.43453, 78.52049"/>
    <s v="Trinity"/>
    <s v="Public-Paid"/>
    <s v="12KW"/>
    <s v="DC Charger"/>
    <n v="3"/>
    <x v="0"/>
    <n v="65.320000000000007"/>
    <n v="61.139999999999993"/>
    <n v="50.32"/>
    <n v="130.82"/>
    <n v="79.58"/>
    <n v="106.78999999999999"/>
    <n v="104.00000000000001"/>
    <n v="85.18"/>
    <n v="66.87"/>
    <n v="71.91"/>
    <n v="105.72"/>
    <n v="140.74"/>
    <n v="117.30000000000001"/>
    <n v="108.31000000000003"/>
    <n v="119.69999999999999"/>
    <n v="98.49"/>
    <n v="93.77"/>
    <n v="103.82000000000001"/>
    <n v="59.56"/>
    <n v="99.16"/>
    <n v="65.16"/>
    <n v="113.94000000000003"/>
    <n v="93.65"/>
    <n v="243.86"/>
    <m/>
    <m/>
    <m/>
    <m/>
    <m/>
    <m/>
    <m/>
    <n v="99.379583333333343"/>
    <n v="33.126527777777781"/>
  </r>
  <r>
    <n v="29"/>
    <x v="0"/>
    <s v="EVCS-360036"/>
    <x v="20"/>
    <s v="17.43453, 78.52049"/>
    <s v="Trinity"/>
    <s v="Public-Paid"/>
    <s v="25KW"/>
    <s v="DC Charger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30"/>
    <x v="0"/>
    <s v="EVCS-360036"/>
    <x v="20"/>
    <s v="17.43453, 78.52049"/>
    <s v="Trinity"/>
    <s v="Public-Paid"/>
    <s v="30  KW"/>
    <s v="DC Charger"/>
    <n v="1"/>
    <x v="0"/>
    <n v="16.649999999999999"/>
    <n v="102.68"/>
    <n v="132.58000000000001"/>
    <n v="75.69"/>
    <n v="81.400000000000006"/>
    <n v="69.94"/>
    <n v="47.46"/>
    <n v="41.25"/>
    <n v="143.63999999999999"/>
    <n v="71.48"/>
    <n v="37.93"/>
    <n v="27.71"/>
    <n v="36.200000000000003"/>
    <n v="83.27000000000001"/>
    <n v="25.94"/>
    <n v="68.160000000000011"/>
    <n v="52.72"/>
    <n v="43.019999999999996"/>
    <n v="29.259999999999998"/>
    <n v="111.41000000000001"/>
    <n v="25.1"/>
    <n v="52.959999999999994"/>
    <n v="62.29"/>
    <n v="71.829999999999984"/>
    <m/>
    <m/>
    <m/>
    <m/>
    <m/>
    <m/>
    <m/>
    <n v="62.940416666666664"/>
    <n v="62.940416666666664"/>
  </r>
  <r>
    <n v="31"/>
    <x v="0"/>
    <s v="EVCS-360039"/>
    <x v="21"/>
    <s v="17.50091, 78.53945"/>
    <s v="Trinity"/>
    <s v="Public-Paid"/>
    <s v="3.3KW"/>
    <s v="OCPP"/>
    <n v="12"/>
    <x v="1"/>
    <n v="112.87699999999997"/>
    <n v="127.31399999999998"/>
    <n v="121.80599999999998"/>
    <n v="124.693"/>
    <n v="136.25200000000001"/>
    <n v="139.02799999999999"/>
    <n v="170.10900000000001"/>
    <n v="67.352999999999994"/>
    <n v="152.39299999999997"/>
    <n v="91.15"/>
    <n v="140.57100000000003"/>
    <n v="115.78099999999998"/>
    <n v="116.58500000000002"/>
    <n v="25.911000000000005"/>
    <n v="108.17900000000002"/>
    <n v="55.173999999999992"/>
    <n v="114.99300000000001"/>
    <n v="107.35899999999999"/>
    <n v="76.664000000000001"/>
    <n v="116.97799999999999"/>
    <n v="126.47000000000001"/>
    <n v="76.563000000000002"/>
    <n v="117.78200000000001"/>
    <n v="195.84900000000005"/>
    <m/>
    <m/>
    <m/>
    <m/>
    <m/>
    <m/>
    <m/>
    <n v="114.0764166666667"/>
    <n v="9.5063680555555585"/>
  </r>
  <r>
    <n v="32"/>
    <x v="0"/>
    <s v="EVCS-360071"/>
    <x v="22"/>
    <s v="17.50091, 78.53945"/>
    <s v="Trinity"/>
    <s v="Public-Paid"/>
    <s v="15KW"/>
    <s v="DC Charger"/>
    <n v="1"/>
    <x v="1"/>
    <n v="0"/>
    <n v="0"/>
    <n v="0"/>
    <n v="0"/>
    <n v="0"/>
    <n v="0"/>
    <n v="0"/>
    <n v="0"/>
    <n v="0"/>
    <n v="4.9800000000000004"/>
    <n v="0"/>
    <n v="0"/>
    <n v="3.02"/>
    <n v="0"/>
    <n v="0"/>
    <n v="20.419999999999998"/>
    <n v="8.98"/>
    <n v="7.63"/>
    <n v="9.7200000000000006"/>
    <n v="3.91"/>
    <n v="4.46"/>
    <n v="5.22"/>
    <n v="3.85"/>
    <n v="0"/>
    <m/>
    <m/>
    <m/>
    <m/>
    <m/>
    <m/>
    <m/>
    <n v="3.0079166666666666"/>
    <n v="3.0079166666666666"/>
  </r>
  <r>
    <n v="33"/>
    <x v="0"/>
    <s v="EVCS-360040"/>
    <x v="23"/>
    <s v="17.370641, 78.41948"/>
    <s v="Trinity"/>
    <s v="Public-Paid"/>
    <s v="3.3KW"/>
    <s v="OCPP"/>
    <n v="11"/>
    <x v="1"/>
    <n v="99.191999999999979"/>
    <n v="81.620000000000019"/>
    <n v="86.506000000000014"/>
    <n v="114.94299999999998"/>
    <n v="102.80399999999997"/>
    <n v="118.34299999999999"/>
    <n v="110.53900000000002"/>
    <n v="101.17199999999998"/>
    <n v="108.58199999999999"/>
    <n v="52.123999999999995"/>
    <n v="42.683999999999997"/>
    <n v="83.331000000000017"/>
    <n v="71.201999999999998"/>
    <n v="39.968000000000004"/>
    <n v="45.350000000000016"/>
    <n v="74.704999999999998"/>
    <n v="31.045000000000002"/>
    <n v="60.594000000000001"/>
    <n v="47.811"/>
    <n v="36.74"/>
    <n v="64.397999999999996"/>
    <n v="61.326000000000008"/>
    <n v="61.592000000000013"/>
    <n v="107.75100000000002"/>
    <m/>
    <m/>
    <m/>
    <m/>
    <m/>
    <m/>
    <m/>
    <n v="75.180083333333343"/>
    <n v="6.8345530303030309"/>
  </r>
  <r>
    <n v="34"/>
    <x v="0"/>
    <s v="EVCS-360040"/>
    <x v="23"/>
    <s v="17.370641, 78.41948"/>
    <s v="Trinity"/>
    <s v="Public-Paid"/>
    <s v="7.4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35"/>
    <x v="0"/>
    <s v="EVCS-360042"/>
    <x v="24"/>
    <s v="17.448705, 78.387865"/>
    <s v="Trinity"/>
    <s v="Public-Paid"/>
    <s v="3.3KW"/>
    <s v="OCPP"/>
    <n v="2"/>
    <x v="2"/>
    <n v="15.823"/>
    <n v="18.181999999999999"/>
    <n v="21.396000000000001"/>
    <n v="15.186999999999999"/>
    <n v="18.813000000000002"/>
    <n v="18.48"/>
    <n v="26.350999999999999"/>
    <n v="31.092999999999996"/>
    <n v="25.127000000000002"/>
    <n v="20.369"/>
    <n v="22.472999999999999"/>
    <n v="17.749000000000002"/>
    <n v="17.674999999999997"/>
    <n v="15.745000000000001"/>
    <n v="21.763999999999999"/>
    <n v="14.608999999999998"/>
    <n v="33.152000000000001"/>
    <n v="10.481"/>
    <n v="18.841000000000001"/>
    <n v="23.429000000000002"/>
    <n v="29.195"/>
    <n v="16.771000000000001"/>
    <n v="28.873999999999999"/>
    <n v="29.884"/>
    <m/>
    <m/>
    <m/>
    <m/>
    <m/>
    <m/>
    <m/>
    <n v="21.310958333333332"/>
    <n v="10.655479166666666"/>
  </r>
  <r>
    <n v="36"/>
    <x v="0"/>
    <s v="EVCS-360043"/>
    <x v="25"/>
    <s v="17.446508, 78.572428"/>
    <s v="Trinity"/>
    <s v="Public-Paid"/>
    <s v="3.3KW"/>
    <s v="OCPP"/>
    <n v="11"/>
    <x v="1"/>
    <n v="99.702000000000012"/>
    <n v="97.438000000000017"/>
    <n v="122.30200000000001"/>
    <n v="77.980999999999995"/>
    <n v="69.028999999999996"/>
    <n v="70.573999999999984"/>
    <n v="89.161000000000001"/>
    <n v="48.652000000000001"/>
    <n v="85.153000000000006"/>
    <n v="60.273000000000003"/>
    <n v="69.176000000000002"/>
    <n v="53.609000000000002"/>
    <n v="69.052999999999997"/>
    <n v="72.584999999999994"/>
    <n v="45.982999999999997"/>
    <n v="34.93"/>
    <n v="60.285999999999994"/>
    <n v="77.85799999999999"/>
    <n v="12.736000000000001"/>
    <n v="72.085999999999999"/>
    <n v="27.694000000000003"/>
    <n v="43.308000000000007"/>
    <n v="53.051999999999992"/>
    <n v="63.003000000000007"/>
    <m/>
    <m/>
    <m/>
    <m/>
    <m/>
    <m/>
    <m/>
    <n v="65.65100000000001"/>
    <n v="5.9682727272727281"/>
  </r>
  <r>
    <n v="37"/>
    <x v="0"/>
    <s v="EVCS-360068"/>
    <x v="26"/>
    <s v="17.446508, 78.572428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38"/>
    <x v="0"/>
    <s v="EVCS-360044"/>
    <x v="27"/>
    <s v="17.4866025, 78.3148136"/>
    <s v="Trinity"/>
    <s v="Public-Paid"/>
    <s v="3.3KW"/>
    <s v="OCPP"/>
    <n v="1"/>
    <x v="3"/>
    <n v="0"/>
    <n v="0.88700000000000001"/>
    <n v="0"/>
    <n v="0"/>
    <n v="0"/>
    <n v="0"/>
    <n v="2.673"/>
    <n v="0"/>
    <n v="0"/>
    <n v="0"/>
    <n v="0"/>
    <n v="0"/>
    <n v="0"/>
    <n v="0"/>
    <n v="0"/>
    <n v="2.6190000000000002"/>
    <n v="0"/>
    <n v="0"/>
    <n v="0"/>
    <n v="0"/>
    <n v="0"/>
    <n v="2.4140000000000001"/>
    <n v="0"/>
    <n v="0"/>
    <m/>
    <m/>
    <m/>
    <m/>
    <m/>
    <m/>
    <m/>
    <n v="0.35804166666666665"/>
    <n v="0.35804166666666665"/>
  </r>
  <r>
    <n v="39"/>
    <x v="0"/>
    <s v="EVCS-360045"/>
    <x v="28"/>
    <s v="17.399751891957763, 78.54097646688686"/>
    <s v="Trinity"/>
    <s v="Public-Paid"/>
    <s v="3.3KW"/>
    <s v="OCPP"/>
    <n v="6"/>
    <x v="1"/>
    <n v="16.439999999999998"/>
    <n v="30.064000000000007"/>
    <n v="6.7539999999999996"/>
    <n v="18.254999999999999"/>
    <n v="8.859"/>
    <n v="11.224"/>
    <n v="11.098000000000001"/>
    <n v="16.506"/>
    <n v="9.19"/>
    <n v="18.488999999999997"/>
    <n v="15.185"/>
    <n v="9.8640000000000008"/>
    <n v="23.981000000000002"/>
    <n v="27.586000000000006"/>
    <n v="18.646000000000001"/>
    <n v="12.052"/>
    <n v="15.217000000000002"/>
    <n v="48.84"/>
    <n v="8.2669999999999995"/>
    <n v="31.337"/>
    <n v="11.723000000000001"/>
    <n v="23.509"/>
    <n v="12.902999999999999"/>
    <n v="39.984999999999999"/>
    <m/>
    <m/>
    <m/>
    <m/>
    <m/>
    <m/>
    <m/>
    <n v="18.582250000000002"/>
    <n v="3.0970416666666671"/>
  </r>
  <r>
    <n v="40"/>
    <x v="0"/>
    <s v="EVCS-360046"/>
    <x v="29"/>
    <s v="17.44889, 78.47956"/>
    <s v="Trinity"/>
    <s v="Public-Paid"/>
    <s v="3.3KW"/>
    <s v="OCPP"/>
    <n v="13"/>
    <x v="1"/>
    <n v="70.802000000000007"/>
    <n v="73.715000000000003"/>
    <n v="135.49100000000001"/>
    <n v="85.779999999999987"/>
    <n v="62.386999999999993"/>
    <n v="95.728000000000009"/>
    <n v="106.95799999999998"/>
    <n v="74.582000000000008"/>
    <n v="116.94300000000001"/>
    <n v="53.292999999999999"/>
    <n v="108.41499999999999"/>
    <n v="40.298000000000009"/>
    <n v="74.60499999999999"/>
    <n v="73.525999999999996"/>
    <n v="87.89"/>
    <n v="86.417000000000016"/>
    <n v="63.134000000000007"/>
    <n v="87.32"/>
    <n v="67.794000000000011"/>
    <n v="106.06500000000001"/>
    <n v="52.756999999999998"/>
    <n v="101.89799999999998"/>
    <n v="78.653000000000006"/>
    <n v="155.84"/>
    <m/>
    <m/>
    <m/>
    <m/>
    <m/>
    <m/>
    <m/>
    <n v="85.84545833333334"/>
    <n v="6.6034967948717957"/>
  </r>
  <r>
    <n v="41"/>
    <x v="0"/>
    <s v="EVCS-360047"/>
    <x v="30"/>
    <s v="17.398522, 78.363589"/>
    <s v="Trinity"/>
    <s v="Public-Paid"/>
    <s v="22KW"/>
    <s v="OCPP"/>
    <n v="1"/>
    <x v="3"/>
    <n v="0"/>
    <n v="0"/>
    <n v="2.5940000000000003"/>
    <n v="0"/>
    <n v="0"/>
    <n v="0"/>
    <n v="14.42399999999999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7090833333333334"/>
    <n v="0.7090833333333334"/>
  </r>
  <r>
    <n v="42"/>
    <x v="0"/>
    <s v="EVCS-360048"/>
    <x v="31"/>
    <s v="17.51995, 78.41477"/>
    <s v="Trinity"/>
    <s v="Public-Paid"/>
    <s v="3.3KW"/>
    <s v="OCPP"/>
    <n v="5"/>
    <x v="1"/>
    <n v="7.7130000000000001"/>
    <n v="13.914999999999999"/>
    <n v="3.63"/>
    <n v="7.9209999999999994"/>
    <n v="8.7420000000000009"/>
    <n v="10.565999999999999"/>
    <n v="9.14"/>
    <n v="5.1449999999999996"/>
    <n v="4.34"/>
    <n v="0"/>
    <n v="2.335"/>
    <n v="9.9809999999999999"/>
    <n v="5.2409999999999997"/>
    <n v="1.794"/>
    <n v="5.1790000000000003"/>
    <n v="3.9870000000000001"/>
    <n v="0"/>
    <n v="5.5679999999999996"/>
    <n v="0"/>
    <n v="4.4130000000000003"/>
    <n v="3.8460000000000001"/>
    <n v="5.14"/>
    <n v="3.9089999999999998"/>
    <n v="7.99"/>
    <m/>
    <m/>
    <m/>
    <m/>
    <m/>
    <m/>
    <m/>
    <n v="5.4372916666666669"/>
    <n v="1.0874583333333334"/>
  </r>
  <r>
    <n v="43"/>
    <x v="0"/>
    <s v="EVCS-360049"/>
    <x v="32"/>
    <s v="17.534823, 78.365643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44"/>
    <x v="0"/>
    <s v="EVCS-360050"/>
    <x v="33"/>
    <s v="17.491546, 78.39842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45"/>
    <x v="0"/>
    <s v="EVCS-360051"/>
    <x v="34"/>
    <s v="17.500087, 78.412841"/>
    <s v="ETO"/>
    <s v="Public-Paid"/>
    <s v="3.3KW"/>
    <s v="OCPP"/>
    <n v="1"/>
    <x v="2"/>
    <n v="0"/>
    <n v="0"/>
    <n v="0"/>
    <n v="0"/>
    <n v="0"/>
    <n v="5.392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22466666666666668"/>
    <n v="0.22466666666666668"/>
  </r>
  <r>
    <n v="46"/>
    <x v="0"/>
    <s v="EVCS-360052"/>
    <x v="35"/>
    <s v="17.256184, 78.429848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47"/>
    <x v="0"/>
    <s v="EVCS-360053"/>
    <x v="36"/>
    <s v="17.408171, 78.39342"/>
    <s v="Trinity"/>
    <s v="Public-Paid"/>
    <s v="25KW"/>
    <s v="DC Charger"/>
    <n v="2"/>
    <x v="0"/>
    <n v="246.86600000000004"/>
    <n v="206.87200000000001"/>
    <n v="183.74099999999999"/>
    <n v="125.30499999999999"/>
    <n v="254.91900000000004"/>
    <n v="312.28599999999989"/>
    <n v="329.358"/>
    <n v="294.28900000000004"/>
    <n v="291.63000000000005"/>
    <n v="152.25300000000001"/>
    <n v="112.83900000000003"/>
    <n v="179.02099999999999"/>
    <n v="217.95000000000002"/>
    <n v="361.11799999999999"/>
    <n v="314.44700000000006"/>
    <n v="303.58799999999997"/>
    <n v="191.57300000000001"/>
    <n v="52.358999999999995"/>
    <n v="187.68200000000002"/>
    <n v="341.67100000000011"/>
    <n v="325.15500000000003"/>
    <n v="239.79499999999996"/>
    <n v="298.40099999999995"/>
    <n v="240.773"/>
    <m/>
    <m/>
    <m/>
    <m/>
    <m/>
    <m/>
    <m/>
    <n v="240.16212499999997"/>
    <n v="120.08106249999999"/>
  </r>
  <r>
    <n v="48"/>
    <x v="0"/>
    <s v="EVCS-360054"/>
    <x v="37"/>
    <s v="17.476041, 78.346123"/>
    <s v="Trinity"/>
    <s v="Public-Paid"/>
    <s v="3.3KW"/>
    <s v="OCPP"/>
    <n v="5"/>
    <x v="3"/>
    <n v="5.5750000000000002"/>
    <n v="9.8760000000000012"/>
    <n v="11.091999999999999"/>
    <n v="2.8849999999999998"/>
    <n v="14.342000000000001"/>
    <n v="7.2829999999999995"/>
    <n v="20.771999999999998"/>
    <n v="3.601"/>
    <n v="7.7940000000000005"/>
    <n v="8.3669999999999991"/>
    <n v="21.282000000000004"/>
    <n v="0"/>
    <n v="21.052"/>
    <n v="9.577"/>
    <n v="3.5990000000000002"/>
    <n v="6.0329999999999995"/>
    <n v="10.651"/>
    <n v="21.378999999999998"/>
    <n v="10.494"/>
    <n v="3.794"/>
    <n v="3.5950000000000002"/>
    <n v="6.2439999999999998"/>
    <n v="15.163"/>
    <n v="38.507000000000005"/>
    <m/>
    <m/>
    <m/>
    <m/>
    <m/>
    <m/>
    <m/>
    <n v="10.956541666666666"/>
    <n v="2.1913083333333332"/>
  </r>
  <r>
    <n v="49"/>
    <x v="0"/>
    <s v="EVCS-360055"/>
    <x v="38"/>
    <s v="17.418549, 78.374563"/>
    <s v="Trinity"/>
    <s v="Public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0"/>
    <x v="0"/>
    <s v="EVCS-360055"/>
    <x v="38"/>
    <s v="17.418549, 78.374563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1"/>
    <x v="0"/>
    <s v="EVCS-360057"/>
    <x v="39"/>
    <s v="17.489964, 78.541402"/>
    <s v="Trinity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2"/>
    <x v="0"/>
    <s v="EVCS-360057"/>
    <x v="39"/>
    <s v="17.489964, 78.541402"/>
    <s v="Trinity"/>
    <s v="Public-Paid"/>
    <s v="7.4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3"/>
    <x v="0"/>
    <s v="EVCS-360057"/>
    <x v="39"/>
    <s v="17.489964, 78.541402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4"/>
    <x v="0"/>
    <s v="EVCS-360056"/>
    <x v="40"/>
    <s v="17.516999, 78.455004"/>
    <s v="Trinity"/>
    <s v="Public-Paid"/>
    <s v="3.3KW"/>
    <s v="OCPP"/>
    <n v="2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5"/>
    <x v="0"/>
    <s v="EVCS-360059"/>
    <x v="41"/>
    <s v="17.471069, 78.591679"/>
    <s v="Trinity"/>
    <s v="Public-Paid"/>
    <s v="3.3KW"/>
    <s v="OCPP"/>
    <n v="1"/>
    <x v="3"/>
    <n v="0"/>
    <n v="0"/>
    <n v="0"/>
    <n v="0"/>
    <n v="0"/>
    <n v="0"/>
    <n v="0"/>
    <n v="0"/>
    <n v="2.359"/>
    <n v="0"/>
    <n v="0"/>
    <n v="0"/>
    <n v="0"/>
    <n v="0"/>
    <n v="0"/>
    <n v="0"/>
    <n v="2.9750000000000001"/>
    <n v="0"/>
    <n v="0"/>
    <n v="0"/>
    <n v="0"/>
    <n v="0"/>
    <n v="0"/>
    <n v="0"/>
    <m/>
    <m/>
    <m/>
    <m/>
    <m/>
    <m/>
    <m/>
    <n v="0.22224999999999998"/>
    <n v="0.22224999999999998"/>
  </r>
  <r>
    <n v="56"/>
    <x v="1"/>
    <s v="EVCS-360060"/>
    <x v="42"/>
    <s v="17.924647, 79.44960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57"/>
    <x v="0"/>
    <s v="EVCS-360061"/>
    <x v="43"/>
    <s v="17.469678, 78.437476"/>
    <s v="Trinity"/>
    <s v="Public-Paid"/>
    <s v="3.3KW"/>
    <s v="OCPP"/>
    <n v="1"/>
    <x v="2"/>
    <n v="11.690000000000001"/>
    <n v="4.6980000000000004"/>
    <n v="7.0000000000000001E-3"/>
    <n v="0"/>
    <n v="10.132000000000001"/>
    <n v="5.8719999999999999"/>
    <n v="6.8000000000000005E-2"/>
    <n v="5.4179999999999993"/>
    <n v="1.3479999999999999"/>
    <n v="1.629"/>
    <n v="6.6890000000000001"/>
    <n v="1.6379999999999999"/>
    <n v="4.5350000000000001"/>
    <n v="7.1909999999999998"/>
    <n v="2.488"/>
    <n v="4.7720000000000002"/>
    <n v="2.7920000000000003"/>
    <n v="0"/>
    <n v="2.6970000000000001"/>
    <n v="6.7130000000000001"/>
    <n v="0"/>
    <n v="0"/>
    <n v="3.798"/>
    <n v="6.5629999999999997"/>
    <m/>
    <m/>
    <m/>
    <m/>
    <m/>
    <m/>
    <m/>
    <n v="3.7807499999999998"/>
    <n v="3.7807499999999998"/>
  </r>
  <r>
    <n v="58"/>
    <x v="0"/>
    <s v="EVCS-360062"/>
    <x v="44"/>
    <s v="17.569269, 78.485945"/>
    <s v="Trinity"/>
    <s v="Public-Paid"/>
    <s v="3.3KW"/>
    <s v="OCPP"/>
    <n v="10"/>
    <x v="1"/>
    <n v="12.971"/>
    <n v="2.694"/>
    <n v="19.030999999999999"/>
    <n v="22.6"/>
    <n v="40.478999999999999"/>
    <n v="38.647999999999996"/>
    <n v="55.929000000000002"/>
    <n v="9.9369999999999994"/>
    <n v="30.768999999999998"/>
    <n v="22.887"/>
    <n v="23.870999999999999"/>
    <n v="17.343"/>
    <n v="9.5319999999999983"/>
    <n v="35.042000000000002"/>
    <n v="19.850000000000001"/>
    <n v="44.395999999999994"/>
    <n v="1.236"/>
    <n v="0"/>
    <n v="30.180999999999997"/>
    <n v="30.265000000000001"/>
    <n v="32.385999999999996"/>
    <n v="11.427999999999999"/>
    <n v="41.209000000000003"/>
    <n v="45.001999999999995"/>
    <m/>
    <m/>
    <m/>
    <m/>
    <m/>
    <m/>
    <m/>
    <n v="24.90358333333333"/>
    <n v="2.490358333333333"/>
  </r>
  <r>
    <n v="59"/>
    <x v="0"/>
    <s v="EVCS-360062"/>
    <x v="44"/>
    <s v="17.569269, 78.485945"/>
    <s v="Trinity"/>
    <s v="Public-Paid"/>
    <s v="30 kw "/>
    <s v="DC Charger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e v="#DIV/0!"/>
  </r>
  <r>
    <n v="60"/>
    <x v="0"/>
    <s v="EVCS-360063"/>
    <x v="45"/>
    <s v="17.455865, 78.298716"/>
    <s v="Trinity"/>
    <s v="Public-Paid"/>
    <s v="3.3KW"/>
    <s v="OCPP"/>
    <n v="2"/>
    <x v="2"/>
    <n v="15.155000000000001"/>
    <n v="14.427000000000001"/>
    <n v="11.126000000000001"/>
    <n v="13.708"/>
    <n v="7.831999999999999"/>
    <n v="12.976000000000001"/>
    <n v="12.315000000000001"/>
    <n v="18.710999999999999"/>
    <n v="21.201000000000001"/>
    <n v="9.4520000000000017"/>
    <n v="15.863000000000003"/>
    <n v="4.05"/>
    <n v="16.21"/>
    <n v="7.9319999999999995"/>
    <n v="16.227"/>
    <n v="8.8780000000000001"/>
    <n v="13.848000000000001"/>
    <n v="7.0839999999999996"/>
    <n v="8.84"/>
    <n v="13.189"/>
    <n v="16.616"/>
    <n v="16.288"/>
    <n v="14.255000000000001"/>
    <n v="27.966999999999999"/>
    <m/>
    <m/>
    <m/>
    <m/>
    <m/>
    <m/>
    <m/>
    <n v="13.50625"/>
    <n v="6.7531249999999998"/>
  </r>
  <r>
    <n v="61"/>
    <x v="0"/>
    <m/>
    <x v="46"/>
    <m/>
    <s v="Deccan College of Engg."/>
    <s v="Public-Free"/>
    <s v="3.3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62"/>
    <x v="0"/>
    <s v="EVCS-360064"/>
    <x v="47"/>
    <s v="17.489475, 78.420011"/>
    <s v="Trinity"/>
    <s v="Public-Paid"/>
    <s v="3.3KW"/>
    <s v="OCPP"/>
    <n v="8"/>
    <x v="1"/>
    <n v="40.506999999999998"/>
    <n v="69.771000000000001"/>
    <n v="40.498999999999995"/>
    <n v="30.170999999999999"/>
    <n v="48.713000000000001"/>
    <n v="20.969000000000001"/>
    <n v="71.407999999999987"/>
    <n v="55.733000000000004"/>
    <n v="39.366999999999997"/>
    <n v="62.593999999999994"/>
    <n v="34.432000000000002"/>
    <n v="22.925000000000004"/>
    <n v="49.91"/>
    <n v="33.936"/>
    <n v="52.944000000000003"/>
    <n v="20.491"/>
    <n v="45.626000000000005"/>
    <n v="33.772999999999996"/>
    <n v="35.618999999999993"/>
    <n v="58.603999999999992"/>
    <n v="30.372"/>
    <n v="25.57"/>
    <n v="47.969000000000001"/>
    <n v="73.087999999999994"/>
    <m/>
    <m/>
    <m/>
    <m/>
    <m/>
    <m/>
    <m/>
    <n v="43.541291666666666"/>
    <n v="5.4426614583333333"/>
  </r>
  <r>
    <n v="63"/>
    <x v="0"/>
    <s v="EVCS-360075"/>
    <x v="48"/>
    <s v="17.35708, 78.52301"/>
    <s v="Trinity"/>
    <s v="Public-Paid"/>
    <s v="3.3KW"/>
    <s v="OCPP"/>
    <n v="10"/>
    <x v="1"/>
    <n v="0"/>
    <n v="35.927"/>
    <n v="35.307000000000002"/>
    <n v="48.718000000000004"/>
    <n v="36.765000000000001"/>
    <n v="16.096999999999998"/>
    <n v="36.192"/>
    <n v="37.629000000000005"/>
    <n v="43.149000000000001"/>
    <n v="13.600999999999999"/>
    <n v="13.687999999999999"/>
    <n v="15.000000000000002"/>
    <n v="29.780999999999999"/>
    <n v="36.007000000000005"/>
    <n v="41.405000000000001"/>
    <n v="16.177"/>
    <n v="34.869"/>
    <n v="0"/>
    <n v="19.07"/>
    <n v="50.77"/>
    <n v="30.683"/>
    <n v="28.806000000000001"/>
    <n v="32.58"/>
    <n v="49.772000000000013"/>
    <m/>
    <m/>
    <m/>
    <m/>
    <m/>
    <m/>
    <m/>
    <n v="29.249708333333345"/>
    <n v="2.9249708333333344"/>
  </r>
  <r>
    <n v="64"/>
    <x v="0"/>
    <s v="EVCS-360065"/>
    <x v="49"/>
    <s v="17.353618, 78.535244"/>
    <s v="Trinity"/>
    <s v="Public-Paid"/>
    <s v="3.3KW"/>
    <s v="OCPP"/>
    <n v="6"/>
    <x v="1"/>
    <n v="72.861000000000004"/>
    <n v="51.984999999999999"/>
    <n v="93.88300000000001"/>
    <n v="79.205999999999989"/>
    <n v="116.61000000000003"/>
    <n v="94.547999999999988"/>
    <n v="80.454000000000022"/>
    <n v="80.118999999999986"/>
    <n v="77.01700000000001"/>
    <n v="77.725000000000009"/>
    <n v="55.187000000000005"/>
    <n v="82.417999999999992"/>
    <n v="65.994"/>
    <n v="83.907000000000025"/>
    <n v="73.296000000000021"/>
    <n v="71.285000000000011"/>
    <n v="89.37700000000001"/>
    <n v="81.523999999999987"/>
    <n v="59.881"/>
    <n v="60.021000000000001"/>
    <n v="67.564000000000021"/>
    <n v="76.22"/>
    <n v="62.783000000000008"/>
    <n v="147.35500000000002"/>
    <m/>
    <m/>
    <m/>
    <m/>
    <m/>
    <m/>
    <m/>
    <n v="79.217500000000001"/>
    <n v="13.202916666666667"/>
  </r>
  <r>
    <n v="65"/>
    <x v="0"/>
    <s v="EVCS-360072"/>
    <x v="50"/>
    <m/>
    <s v="Trinity"/>
    <s v="Public-Paid"/>
    <s v="60 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66"/>
    <x v="0"/>
    <s v="EVCS-360076"/>
    <x v="51"/>
    <s v="17.434295, 78.312427"/>
    <s v="Trinity"/>
    <s v="Public-Paid"/>
    <s v="3.3KW"/>
    <s v="OCPP"/>
    <n v="1"/>
    <x v="3"/>
    <n v="0"/>
    <n v="0"/>
    <n v="0"/>
    <n v="0"/>
    <n v="0"/>
    <n v="0"/>
    <n v="0"/>
    <n v="0"/>
    <n v="0"/>
    <n v="0"/>
    <n v="19.673999999999999"/>
    <n v="0"/>
    <n v="0"/>
    <n v="0"/>
    <n v="0"/>
    <n v="0"/>
    <n v="0"/>
    <n v="0"/>
    <n v="0"/>
    <n v="0"/>
    <n v="0"/>
    <n v="0"/>
    <n v="0"/>
    <n v="0"/>
    <m/>
    <m/>
    <m/>
    <m/>
    <m/>
    <m/>
    <m/>
    <n v="0.81974999999999998"/>
    <n v="0.81974999999999998"/>
  </r>
  <r>
    <n v="67"/>
    <x v="0"/>
    <s v="EVCS-360078"/>
    <x v="52"/>
    <s v="17.475718, 78.376204"/>
    <s v="Trinity"/>
    <s v="Public-Paid"/>
    <s v="3.3KW"/>
    <s v="OCPP"/>
    <n v="2"/>
    <x v="3"/>
    <n v="0"/>
    <n v="1.766"/>
    <n v="0"/>
    <n v="0"/>
    <n v="0"/>
    <n v="0"/>
    <n v="2.2719999999999998"/>
    <n v="3.1"/>
    <n v="1.9870000000000001"/>
    <n v="0"/>
    <n v="0"/>
    <n v="1.577"/>
    <n v="5.2829999999999995"/>
    <n v="3.1739999999999999"/>
    <n v="3.375"/>
    <n v="2.536"/>
    <n v="7.41"/>
    <n v="3.8879999999999999"/>
    <n v="4.9210000000000003"/>
    <n v="7.3819999999999997"/>
    <n v="0"/>
    <n v="2.274"/>
    <n v="3.1850000000000001"/>
    <n v="6.8159999999999989"/>
    <m/>
    <m/>
    <m/>
    <m/>
    <m/>
    <m/>
    <m/>
    <n v="2.5394166666666664"/>
    <n v="1.2697083333333332"/>
  </r>
  <r>
    <n v="68"/>
    <x v="0"/>
    <s v="EVCS-360078"/>
    <x v="52"/>
    <s v="17.475718, 78.376204"/>
    <s v="Trinity"/>
    <s v="Public-Paid"/>
    <s v="7.4KW"/>
    <s v="OCPP"/>
    <n v="2"/>
    <x v="3"/>
    <n v="0"/>
    <n v="0"/>
    <n v="0"/>
    <n v="36.822000000000003"/>
    <n v="27.204000000000001"/>
    <n v="0"/>
    <n v="0"/>
    <n v="27.091999999999999"/>
    <n v="3.4990000000000001"/>
    <n v="12.234999999999999"/>
    <n v="8.0259999999999998"/>
    <n v="47.92"/>
    <n v="63.694000000000003"/>
    <n v="54.268000000000001"/>
    <n v="7.49"/>
    <n v="26.744999999999997"/>
    <n v="30.616"/>
    <n v="28.378"/>
    <n v="0"/>
    <n v="37.093000000000004"/>
    <n v="0"/>
    <n v="7.1689999999999996"/>
    <n v="7.16"/>
    <n v="23.465999999999998"/>
    <m/>
    <m/>
    <m/>
    <m/>
    <m/>
    <m/>
    <m/>
    <n v="18.703208333333333"/>
    <n v="9.3516041666666663"/>
  </r>
  <r>
    <n v="69"/>
    <x v="0"/>
    <s v="EVCS-360077"/>
    <x v="53"/>
    <s v="17.430887, 78.373594"/>
    <s v="Trinity"/>
    <s v="Public-Paid"/>
    <s v="3.3 kW"/>
    <s v="OCPP"/>
    <n v="2"/>
    <x v="3"/>
    <n v="0"/>
    <n v="2.2839999999999998"/>
    <n v="0"/>
    <n v="0"/>
    <n v="0"/>
    <n v="0"/>
    <n v="0"/>
    <n v="0"/>
    <n v="0"/>
    <n v="0"/>
    <n v="0"/>
    <n v="0"/>
    <n v="3.63"/>
    <n v="0"/>
    <n v="1.8160000000000001"/>
    <n v="3.3090000000000002"/>
    <n v="0"/>
    <n v="6.1199999999999992"/>
    <n v="0"/>
    <n v="5.8360000000000003"/>
    <n v="0"/>
    <n v="0"/>
    <n v="0"/>
    <n v="1.19"/>
    <m/>
    <m/>
    <m/>
    <m/>
    <m/>
    <m/>
    <m/>
    <n v="1.0077083333333332"/>
    <n v="0.5038541666666666"/>
  </r>
  <r>
    <n v="70"/>
    <x v="0"/>
    <s v="EVCS-360077"/>
    <x v="53"/>
    <s v="17.430887, 78.373594"/>
    <s v="Trinity"/>
    <s v="Public-Paid"/>
    <s v="7.4 kW"/>
    <s v="OCPP"/>
    <n v="5"/>
    <x v="3"/>
    <n v="0"/>
    <n v="0"/>
    <n v="5.4770000000000003"/>
    <n v="0"/>
    <n v="0"/>
    <n v="0"/>
    <n v="0"/>
    <n v="0"/>
    <n v="0"/>
    <n v="0"/>
    <n v="5.2839999999999998"/>
    <n v="0"/>
    <n v="0"/>
    <n v="0"/>
    <n v="0"/>
    <n v="4.383"/>
    <n v="0"/>
    <n v="0"/>
    <n v="13.552"/>
    <n v="0"/>
    <n v="4.3319999999999999"/>
    <n v="0"/>
    <n v="21.71"/>
    <n v="0"/>
    <m/>
    <m/>
    <m/>
    <m/>
    <m/>
    <m/>
    <m/>
    <n v="2.2807499999999998"/>
    <n v="0.45614999999999994"/>
  </r>
  <r>
    <n v="71"/>
    <x v="2"/>
    <s v="EVCS-360079"/>
    <x v="54"/>
    <s v="17.150245, 79.57585"/>
    <s v="Trinity"/>
    <s v="Public-Paid"/>
    <s v="240 kw"/>
    <s v="DC Charger"/>
    <n v="1"/>
    <x v="0"/>
    <n v="785.17499999999995"/>
    <n v="597.77499999999998"/>
    <n v="671.92499999999995"/>
    <n v="762.77500000000009"/>
    <n v="727.64899999999989"/>
    <n v="433.702"/>
    <n v="458.82600000000002"/>
    <n v="661.3"/>
    <n v="830.50099999999986"/>
    <n v="581.375"/>
    <n v="1064.7760000000001"/>
    <n v="801.1"/>
    <n v="544.52499999999998"/>
    <n v="619.02499999999998"/>
    <n v="907.00000000000023"/>
    <n v="662.94999999999993"/>
    <n v="1013.075"/>
    <n v="1132.3999999999996"/>
    <n v="1103.3"/>
    <n v="661.52499999999998"/>
    <n v="777.7"/>
    <n v="428.22499999999997"/>
    <n v="1014.6469999999999"/>
    <n v="1717.2009999999993"/>
    <m/>
    <m/>
    <m/>
    <m/>
    <m/>
    <m/>
    <m/>
    <n v="789.93550000000005"/>
    <n v="789.93550000000005"/>
  </r>
  <r>
    <n v="72"/>
    <x v="0"/>
    <s v="EVCS-360074"/>
    <x v="55"/>
    <s v="17.442271, 78.505052"/>
    <s v="Trinity"/>
    <s v="Public-Paid"/>
    <s v="240 kw"/>
    <s v="DC Charger"/>
    <n v="4"/>
    <x v="0"/>
    <n v="374.76000000000005"/>
    <n v="383.41"/>
    <n v="645.74999999999989"/>
    <n v="293.55000000000007"/>
    <n v="489.45"/>
    <n v="601.14"/>
    <n v="577.38000000000011"/>
    <n v="450.09999999999997"/>
    <n v="578.44999999999993"/>
    <n v="1084.1499999999999"/>
    <n v="340.21000000000004"/>
    <n v="600.49"/>
    <n v="893.89999999999986"/>
    <n v="987.71"/>
    <n v="714.35999999999979"/>
    <n v="781.75000000000011"/>
    <n v="674.87"/>
    <n v="189.67999999999998"/>
    <n v="573.48999999999978"/>
    <n v="765.02000000000021"/>
    <n v="600.59999999999991"/>
    <n v="660.2299999999999"/>
    <n v="560.92000000000019"/>
    <n v="974.58999999999992"/>
    <m/>
    <m/>
    <m/>
    <m/>
    <m/>
    <m/>
    <m/>
    <n v="616.49833333333333"/>
    <n v="154.12458333333333"/>
  </r>
  <r>
    <n v="73"/>
    <x v="0"/>
    <s v="EVCS-360074"/>
    <x v="55"/>
    <s v="17.442271, 78.505052"/>
    <s v="Trinity"/>
    <s v="Public-Paid"/>
    <s v="7.4 kW"/>
    <s v="OCPP"/>
    <n v="2"/>
    <x v="0"/>
    <n v="2.7170000000000001"/>
    <n v="0"/>
    <n v="64.887"/>
    <n v="30.643999999999998"/>
    <n v="0"/>
    <n v="21.503"/>
    <n v="24.056000000000001"/>
    <n v="9.6440000000000001"/>
    <n v="18.348000000000003"/>
    <n v="6.0000000000000001E-3"/>
    <n v="5.1029999999999998"/>
    <n v="2E-3"/>
    <n v="1.0000000000000002E-2"/>
    <n v="2.7509999999999999"/>
    <n v="0"/>
    <n v="0"/>
    <n v="0.14299999999999999"/>
    <n v="0.04"/>
    <n v="0"/>
    <n v="17.994"/>
    <n v="14.417999999999999"/>
    <n v="21.702999999999999"/>
    <n v="10.845000000000001"/>
    <n v="21.428000000000004"/>
    <m/>
    <m/>
    <m/>
    <m/>
    <m/>
    <m/>
    <m/>
    <n v="11.093416666666668"/>
    <n v="5.546708333333334"/>
  </r>
  <r>
    <n v="74"/>
    <x v="0"/>
    <s v="EVCS-360074"/>
    <x v="55"/>
    <s v="17.442271, 78.505052"/>
    <s v="Trinity"/>
    <s v="Public-Paid"/>
    <s v="3.3 kW"/>
    <s v="OCPP"/>
    <n v="2"/>
    <x v="0"/>
    <n v="15.263999999999999"/>
    <n v="14.100999999999999"/>
    <n v="22.950000000000003"/>
    <n v="19.125"/>
    <n v="15.647"/>
    <n v="4.8449999999999998"/>
    <n v="18.631999999999998"/>
    <n v="19.866999999999997"/>
    <n v="26.547000000000001"/>
    <n v="17.304000000000002"/>
    <n v="9.6630000000000003"/>
    <n v="30.214000000000002"/>
    <n v="13.818999999999999"/>
    <n v="27.617000000000001"/>
    <n v="29.185000000000002"/>
    <n v="31.554000000000002"/>
    <n v="33.404999999999994"/>
    <n v="38.281999999999996"/>
    <n v="27.71"/>
    <n v="36.956999999999994"/>
    <n v="46.808999999999997"/>
    <n v="41.100999999999999"/>
    <n v="34.667999999999999"/>
    <n v="36.878999999999991"/>
    <m/>
    <m/>
    <m/>
    <m/>
    <m/>
    <m/>
    <m/>
    <n v="25.506041666666661"/>
    <n v="12.753020833333331"/>
  </r>
  <r>
    <n v="75"/>
    <x v="3"/>
    <s v="EVCS-360080"/>
    <x v="56"/>
    <s v="17.664679, 78.614404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76"/>
    <x v="3"/>
    <s v="EVCS-360080"/>
    <x v="56"/>
    <s v="17.664679, 78.614404"/>
    <s v="Trinity"/>
    <s v="Public-Paid"/>
    <s v="7.4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375999999999999"/>
    <n v="14.744"/>
    <n v="13.573"/>
    <n v="18.465"/>
    <n v="16.940999999999999"/>
    <n v="0"/>
    <m/>
    <m/>
    <m/>
    <m/>
    <m/>
    <m/>
    <m/>
    <n v="3.1291250000000002"/>
    <n v="3.1291250000000002"/>
  </r>
  <r>
    <n v="77"/>
    <x v="3"/>
    <s v="EVCS-360080"/>
    <x v="56"/>
    <s v="17.664679, 78.614404"/>
    <s v="Trinity"/>
    <s v="Public-Paid"/>
    <s v="22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183999999999997"/>
    <n v="15.765000000000001"/>
    <n v="0"/>
    <n v="0"/>
    <n v="18.951000000000001"/>
    <n v="0"/>
    <m/>
    <m/>
    <m/>
    <m/>
    <m/>
    <m/>
    <m/>
    <n v="3.1208333333333336"/>
    <n v="3.1208333333333336"/>
  </r>
  <r>
    <n v="78"/>
    <x v="4"/>
    <s v="EVCS-320001"/>
    <x v="57"/>
    <s v="11.12153, 76.0990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559000000000001"/>
    <m/>
    <m/>
    <m/>
    <m/>
    <m/>
    <m/>
    <m/>
    <n v="0.68995833333333334"/>
    <n v="0.68995833333333334"/>
  </r>
  <r>
    <n v="79"/>
    <x v="0"/>
    <m/>
    <x v="58"/>
    <m/>
    <s v="ETO Driver"/>
    <s v="Public-Free"/>
    <s v="3.3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80"/>
    <x v="0"/>
    <m/>
    <x v="59"/>
    <m/>
    <s v="HMRL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81"/>
    <x v="5"/>
    <s v="EVCS-370008"/>
    <x v="60"/>
    <s v="16.56108, 80.56154"/>
    <s v="Trinity"/>
    <s v="Public-Paid"/>
    <s v="240 kw"/>
    <s v="DC Charger"/>
    <n v="1"/>
    <x v="0"/>
    <n v="554.15"/>
    <n v="461.9"/>
    <n v="427.65000000000003"/>
    <n v="397.875"/>
    <n v="451.85"/>
    <n v="358.55"/>
    <n v="309.09999999999997"/>
    <n v="525.42500000000007"/>
    <n v="426.07500000000005"/>
    <n v="453.8"/>
    <n v="422.54999999999995"/>
    <n v="430.125"/>
    <n v="236.05"/>
    <n v="608.625"/>
    <n v="684.94999999999993"/>
    <n v="812.64899999999989"/>
    <n v="837.09999999999991"/>
    <n v="828.173"/>
    <n v="774.1"/>
    <n v="449.07400000000001"/>
    <n v="654.70199999999988"/>
    <n v="755.09999999999991"/>
    <n v="876.37500000000011"/>
    <n v="1549.95"/>
    <m/>
    <m/>
    <m/>
    <m/>
    <m/>
    <m/>
    <m/>
    <n v="595.24575000000016"/>
    <n v="595.24575000000016"/>
  </r>
  <r>
    <n v="82"/>
    <x v="5"/>
    <s v="EVCS-370001"/>
    <x v="61"/>
    <s v="16.499481, 80.682319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83"/>
    <x v="5"/>
    <s v="EVCS-370003"/>
    <x v="62"/>
    <s v="16.549768, 80.691818"/>
    <s v="Trinity"/>
    <s v="Public-Paid"/>
    <s v="3.3KW"/>
    <s v="OCPP"/>
    <n v="10"/>
    <x v="2"/>
    <n v="46.422999999999995"/>
    <n v="32.833999999999996"/>
    <n v="117.49999999999997"/>
    <n v="49.515999999999998"/>
    <n v="51.004000000000005"/>
    <n v="86.572999999999993"/>
    <n v="67.697000000000003"/>
    <n v="82.97"/>
    <n v="60.427"/>
    <n v="76.762"/>
    <n v="46.81600000000001"/>
    <n v="61.890999999999998"/>
    <n v="45.745000000000005"/>
    <n v="41.182000000000009"/>
    <n v="44.097999999999999"/>
    <n v="70.87"/>
    <n v="49.802000000000014"/>
    <n v="40.807000000000002"/>
    <n v="60.812000000000012"/>
    <n v="46.697000000000003"/>
    <n v="43.885999999999996"/>
    <n v="19.596"/>
    <n v="48.856999999999999"/>
    <n v="112.01299999999998"/>
    <m/>
    <m/>
    <m/>
    <m/>
    <m/>
    <m/>
    <m/>
    <n v="58.532416666666656"/>
    <n v="5.8532416666666656"/>
  </r>
  <r>
    <n v="84"/>
    <x v="6"/>
    <s v="EVCS-370004"/>
    <x v="63"/>
    <s v="17.702158, 83.214019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85"/>
    <x v="6"/>
    <s v="EVCS-370005"/>
    <x v="64"/>
    <s v="17.68901, 83.187646"/>
    <s v="Trinity"/>
    <s v="Public-Paid"/>
    <s v="3.3KW"/>
    <s v="OCPP"/>
    <n v="7"/>
    <x v="1"/>
    <n v="1.39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5.7999999999999996E-2"/>
    <n v="8.2857142857142851E-3"/>
  </r>
  <r>
    <n v="86"/>
    <x v="6"/>
    <s v="EVCS-370009"/>
    <x v="65"/>
    <s v="17.80562, 83.39144"/>
    <s v="Trinity"/>
    <s v="Public-Paid"/>
    <s v="3.3KW"/>
    <s v="OCPP"/>
    <n v="3"/>
    <x v="3"/>
    <n v="1.67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6.9833333333333331E-2"/>
    <n v="2.3277777777777776E-2"/>
  </r>
  <r>
    <n v="87"/>
    <x v="6"/>
    <s v="EVCS-370009"/>
    <x v="65"/>
    <s v="17.80562, 83.39144"/>
    <s v="Trinity"/>
    <s v="Public-Paid"/>
    <s v="7.4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88"/>
    <x v="7"/>
    <s v="EVCS-370006"/>
    <x v="66"/>
    <s v="16.313397, 80.361697"/>
    <s v="Trinity"/>
    <s v="Public-Paid"/>
    <s v="3.3KW"/>
    <s v="OCPP"/>
    <n v="7"/>
    <x v="1"/>
    <n v="26.778000000000002"/>
    <n v="43.997999999999998"/>
    <n v="25.472999999999999"/>
    <n v="58.86"/>
    <n v="47.088000000000001"/>
    <n v="32.853999999999999"/>
    <n v="33.282000000000004"/>
    <n v="39.67"/>
    <n v="17.692999999999998"/>
    <n v="69.397000000000006"/>
    <n v="48.360999999999997"/>
    <n v="33.713999999999999"/>
    <n v="25.17"/>
    <n v="62.939000000000007"/>
    <n v="23.157"/>
    <n v="0"/>
    <n v="47.265999999999998"/>
    <n v="28.631"/>
    <n v="35.363999999999997"/>
    <n v="36"/>
    <n v="41.406999999999996"/>
    <n v="45.182000000000002"/>
    <n v="56.646999999999998"/>
    <n v="84.114999999999995"/>
    <m/>
    <m/>
    <m/>
    <m/>
    <m/>
    <m/>
    <m/>
    <n v="40.126916666666666"/>
    <n v="5.7324166666666665"/>
  </r>
  <r>
    <n v="89"/>
    <x v="8"/>
    <s v="EVCS-290017"/>
    <x v="67"/>
    <s v="17.90884, 77.46216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90"/>
    <x v="8"/>
    <s v="EVCS-290017"/>
    <x v="67"/>
    <s v="17.90884, 77.46216"/>
    <s v="Trinity"/>
    <s v="Public-Paid"/>
    <s v="7.4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91"/>
    <x v="8"/>
    <s v="EVCS-290017"/>
    <x v="67"/>
    <s v="17.90884, 77.46216"/>
    <s v="Trinity"/>
    <s v="Public-Paid"/>
    <s v="22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92"/>
    <x v="9"/>
    <s v="EVCS-370007"/>
    <x v="68"/>
    <s v="16.994049, 81.801815"/>
    <s v="Trinity"/>
    <s v="Public-Paid"/>
    <s v="3.3KW"/>
    <s v="OCPP"/>
    <n v="5"/>
    <x v="1"/>
    <n v="28.323"/>
    <n v="4.573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1.3707083333333332"/>
    <n v="0.27414166666666662"/>
  </r>
  <r>
    <n v="93"/>
    <x v="8"/>
    <s v="EVCS-290002"/>
    <x v="69"/>
    <s v="12.976824, 77.626633"/>
    <s v="Flipkart"/>
    <s v="Public-Paid"/>
    <s v="3.3KW"/>
    <s v="OCPP"/>
    <n v="4"/>
    <x v="2"/>
    <n v="20.678999999999998"/>
    <n v="7.3199999999999994"/>
    <n v="12.481999999999999"/>
    <n v="3.9"/>
    <n v="15.417999999999999"/>
    <n v="3.9060000000000001"/>
    <n v="11.289"/>
    <n v="30.318999999999999"/>
    <n v="76.795999999999992"/>
    <n v="45.026000000000003"/>
    <n v="31.538999999999998"/>
    <n v="53.699999999999989"/>
    <n v="51.59"/>
    <n v="49.432000000000002"/>
    <n v="44.763999999999989"/>
    <n v="45.693000000000005"/>
    <n v="46.506000000000007"/>
    <n v="48.570999999999991"/>
    <n v="46.103999999999992"/>
    <n v="50.025999999999996"/>
    <n v="45.015999999999991"/>
    <n v="46.905000000000001"/>
    <n v="50.404999999999994"/>
    <n v="94.14200000000001"/>
    <m/>
    <m/>
    <m/>
    <m/>
    <m/>
    <m/>
    <m/>
    <n v="38.813666666666663"/>
    <n v="9.7034166666666657"/>
  </r>
  <r>
    <n v="94"/>
    <x v="8"/>
    <s v="EVCS-290003"/>
    <x v="70"/>
    <s v="13.028607, 77.545752"/>
    <s v="Flipkart"/>
    <s v="Public-Paid"/>
    <s v="3.3KW"/>
    <s v="OCPP"/>
    <n v="9"/>
    <x v="2"/>
    <n v="36.022000000000006"/>
    <n v="26.727"/>
    <n v="48.33"/>
    <n v="41.588000000000001"/>
    <n v="23.310999999999996"/>
    <n v="25.597999999999999"/>
    <n v="59.944999999999993"/>
    <n v="48.712000000000003"/>
    <n v="39.314"/>
    <n v="34.762"/>
    <n v="34.126999999999995"/>
    <n v="33.573"/>
    <n v="37.332999999999998"/>
    <n v="28.621999999999996"/>
    <n v="23.549999999999997"/>
    <n v="25.279"/>
    <n v="9.484"/>
    <n v="36.746000000000002"/>
    <n v="29.32"/>
    <n v="34.965999999999994"/>
    <n v="13.518000000000001"/>
    <n v="26.596"/>
    <n v="30.978999999999999"/>
    <n v="62.531999999999989"/>
    <m/>
    <m/>
    <m/>
    <m/>
    <m/>
    <m/>
    <m/>
    <n v="33.788916666666672"/>
    <n v="3.7543240740740749"/>
  </r>
  <r>
    <n v="95"/>
    <x v="8"/>
    <s v="EVCS-290004"/>
    <x v="71"/>
    <s v="13.033909, 77.526089"/>
    <s v="EFL"/>
    <s v="Public-Free"/>
    <s v="3.3KW"/>
    <s v="OCPP"/>
    <n v="8"/>
    <x v="1"/>
    <n v="68.968000000000004"/>
    <n v="84.57"/>
    <n v="3.95"/>
    <n v="10.071"/>
    <n v="27.319000000000003"/>
    <n v="23.792000000000002"/>
    <n v="31.090000000000003"/>
    <n v="25.26"/>
    <n v="29.834000000000003"/>
    <n v="36.692999999999998"/>
    <n v="23.754000000000001"/>
    <n v="15.111000000000001"/>
    <n v="13.695"/>
    <n v="31.760999999999999"/>
    <n v="24.65"/>
    <n v="17.600999999999999"/>
    <n v="17.680999999999997"/>
    <n v="13.954000000000001"/>
    <n v="31.755000000000003"/>
    <n v="28.19"/>
    <n v="19.09"/>
    <n v="29.986999999999998"/>
    <n v="24.603000000000002"/>
    <n v="71.165000000000006"/>
    <m/>
    <m/>
    <m/>
    <m/>
    <m/>
    <m/>
    <m/>
    <n v="29.355999999999998"/>
    <n v="3.6694999999999998"/>
  </r>
  <r>
    <n v="96"/>
    <x v="8"/>
    <s v="EVCS-290004"/>
    <x v="71"/>
    <s v="13.033909, 77.526089"/>
    <s v="EFL"/>
    <s v="Public-Free"/>
    <s v="6KW"/>
    <s v="DC Charger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e v="#DIV/0!"/>
  </r>
  <r>
    <n v="97"/>
    <x v="8"/>
    <s v="EVCS-290005"/>
    <x v="72"/>
    <s v="12.92585, 77.52046"/>
    <s v="Trinity"/>
    <s v="Public-Paid"/>
    <s v="3.3KW"/>
    <s v="OCPP"/>
    <n v="7"/>
    <x v="1"/>
    <n v="107.44999999999999"/>
    <n v="56.50500000000001"/>
    <n v="119.73"/>
    <n v="98.301000000000002"/>
    <n v="90.227999999999994"/>
    <n v="134.47800000000001"/>
    <n v="94.736999999999995"/>
    <n v="97.822000000000017"/>
    <n v="140.54999999999998"/>
    <n v="111.66800000000001"/>
    <n v="130.65200000000002"/>
    <n v="103.619"/>
    <n v="110.744"/>
    <n v="114.08400000000002"/>
    <n v="106.845"/>
    <n v="17.060000000000002"/>
    <n v="0"/>
    <n v="6.8890000000000002"/>
    <n v="3.823"/>
    <n v="0"/>
    <n v="0"/>
    <n v="0"/>
    <n v="0"/>
    <n v="2.7250000000000001"/>
    <m/>
    <m/>
    <m/>
    <m/>
    <m/>
    <m/>
    <m/>
    <n v="68.662916666666661"/>
    <n v="9.8089880952380941"/>
  </r>
  <r>
    <n v="98"/>
    <x v="8"/>
    <s v="EVCS-290007"/>
    <x v="73"/>
    <s v="13.089848, 77.626858"/>
    <s v="Trinity"/>
    <s v="Public-Paid"/>
    <s v="3.3KW"/>
    <s v="OCPP"/>
    <n v="10"/>
    <x v="1"/>
    <n v="109.33399999999997"/>
    <n v="68.436999999999998"/>
    <n v="94.612999999999985"/>
    <n v="129.91000000000003"/>
    <n v="102.24400000000001"/>
    <n v="118.27100000000002"/>
    <n v="115.08399999999999"/>
    <n v="165.17000000000004"/>
    <n v="109.34900000000002"/>
    <n v="145.30499999999998"/>
    <n v="133.91300000000001"/>
    <n v="121.24099999999999"/>
    <n v="96.313999999999993"/>
    <n v="95.64700000000002"/>
    <n v="95.991"/>
    <n v="125.57100000000001"/>
    <n v="117.96400000000001"/>
    <n v="109.06700000000002"/>
    <n v="115.88799999999999"/>
    <n v="111.78099999999999"/>
    <n v="118.00600000000003"/>
    <n v="93.248000000000033"/>
    <n v="86.35499999999999"/>
    <n v="208.928"/>
    <m/>
    <m/>
    <m/>
    <m/>
    <m/>
    <m/>
    <m/>
    <n v="116.15129166666667"/>
    <n v="11.615129166666666"/>
  </r>
  <r>
    <n v="99"/>
    <x v="8"/>
    <s v="EVCS-290009"/>
    <x v="74"/>
    <s v="12.992299, 77.709469"/>
    <s v="Trinity"/>
    <s v="Public-Paid"/>
    <s v="3.3KW"/>
    <s v="OCPP"/>
    <n v="8"/>
    <x v="1"/>
    <n v="27.557000000000002"/>
    <n v="1.5529999999999999"/>
    <n v="25.062000000000001"/>
    <n v="16.484000000000002"/>
    <n v="19.740000000000002"/>
    <n v="17.135999999999999"/>
    <n v="24.236000000000001"/>
    <n v="31.785000000000004"/>
    <n v="28.273"/>
    <n v="27.247"/>
    <n v="7.6280000000000001"/>
    <n v="16.521999999999998"/>
    <n v="29.225999999999999"/>
    <n v="0"/>
    <n v="15.704000000000001"/>
    <n v="4.5369999999999999"/>
    <n v="2.0390000000000001"/>
    <n v="0"/>
    <n v="0"/>
    <n v="0"/>
    <n v="0"/>
    <n v="0"/>
    <n v="0"/>
    <n v="0"/>
    <m/>
    <m/>
    <m/>
    <m/>
    <m/>
    <m/>
    <m/>
    <n v="12.280374999999998"/>
    <n v="1.5350468749999997"/>
  </r>
  <r>
    <n v="100"/>
    <x v="8"/>
    <s v="EVCS-290010"/>
    <x v="75"/>
    <s v="12.989433787784137, 77.48579015063079"/>
    <s v="Trinity"/>
    <s v="Public-Paid"/>
    <s v="3.3KW"/>
    <s v="OCPP"/>
    <n v="6"/>
    <x v="1"/>
    <n v="7.6049999999999995"/>
    <n v="13.784000000000001"/>
    <n v="12.944000000000001"/>
    <n v="16.881"/>
    <n v="19.856999999999999"/>
    <n v="23.169999999999998"/>
    <n v="20.499000000000002"/>
    <n v="20.189999999999998"/>
    <n v="31.067999999999998"/>
    <n v="14.373999999999999"/>
    <n v="21.8"/>
    <n v="16.257000000000001"/>
    <n v="14.709"/>
    <n v="23.262"/>
    <n v="3.7080000000000002"/>
    <n v="18.329999999999998"/>
    <n v="7.1840000000000002"/>
    <n v="15.696000000000002"/>
    <n v="14.268999999999998"/>
    <n v="14.318"/>
    <n v="6.883"/>
    <n v="7.3730000000000002"/>
    <n v="0.80800000000000005"/>
    <n v="14.251000000000001"/>
    <m/>
    <m/>
    <m/>
    <m/>
    <m/>
    <m/>
    <m/>
    <n v="14.967499999999999"/>
    <n v="2.4945833333333334"/>
  </r>
  <r>
    <n v="101"/>
    <x v="8"/>
    <s v="EVCS-290011"/>
    <x v="76"/>
    <s v="12.833298, 77.589716"/>
    <s v="Trinity"/>
    <s v="Public-Paid"/>
    <s v="3.3KW"/>
    <s v="OCPP"/>
    <n v="6"/>
    <x v="1"/>
    <n v="9.5810000000000013"/>
    <n v="8.61"/>
    <n v="9.266"/>
    <n v="6.3689999999999998"/>
    <n v="24.548999999999999"/>
    <n v="18.234999999999999"/>
    <n v="13.655000000000001"/>
    <n v="20.114999999999998"/>
    <n v="29.355"/>
    <n v="16.908000000000001"/>
    <n v="12.56"/>
    <n v="38.371000000000002"/>
    <n v="22.817"/>
    <n v="10.119"/>
    <n v="0"/>
    <n v="0"/>
    <n v="0"/>
    <n v="0"/>
    <n v="8.0330000000000013"/>
    <n v="16.231999999999999"/>
    <n v="7.5180000000000007"/>
    <n v="8.9600000000000009"/>
    <n v="15.559000000000001"/>
    <n v="38.399000000000015"/>
    <m/>
    <m/>
    <m/>
    <m/>
    <m/>
    <m/>
    <m/>
    <n v="13.967125000000001"/>
    <n v="2.327854166666667"/>
  </r>
  <r>
    <n v="102"/>
    <x v="8"/>
    <s v="EVCS-290015"/>
    <x v="77"/>
    <s v="13.792105, 77.764447"/>
    <s v="Trinity"/>
    <s v="Public-Paid"/>
    <s v="15KW"/>
    <s v="DC Charger"/>
    <n v="1"/>
    <x v="3"/>
    <n v="0"/>
    <n v="2.11"/>
    <n v="3.9499999999999997"/>
    <n v="0"/>
    <n v="16.45"/>
    <n v="14.01"/>
    <n v="0.26"/>
    <n v="20.059999999999999"/>
    <n v="0"/>
    <n v="14.34"/>
    <n v="0"/>
    <n v="0"/>
    <n v="0"/>
    <n v="0"/>
    <n v="0"/>
    <n v="0"/>
    <n v="0"/>
    <n v="17.899999999999999"/>
    <n v="0"/>
    <n v="0"/>
    <n v="0"/>
    <n v="15.459999999999999"/>
    <n v="15.92"/>
    <n v="0.15"/>
    <m/>
    <m/>
    <m/>
    <m/>
    <m/>
    <m/>
    <m/>
    <n v="5.0254166666666658"/>
    <n v="5.0254166666666658"/>
  </r>
  <r>
    <n v="103"/>
    <x v="8"/>
    <s v="EVCS-290016"/>
    <x v="78"/>
    <s v="13.173141, 77.715616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04"/>
    <x v="10"/>
    <s v="EVCS-330003"/>
    <x v="79"/>
    <s v="10.658505, 77.058538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05"/>
    <x v="11"/>
    <s v="EVCS-330002"/>
    <x v="80"/>
    <s v="13.13914682, 80.22536596"/>
    <s v="Flipkart"/>
    <s v="Public-Paid"/>
    <s v="3.3KW"/>
    <s v="OCPP"/>
    <n v="14"/>
    <x v="0"/>
    <n v="0"/>
    <n v="0"/>
    <n v="0"/>
    <n v="0"/>
    <n v="2.6480000000000001"/>
    <n v="2.3289999999999997"/>
    <n v="0"/>
    <n v="1.141"/>
    <n v="2.3109999999999999"/>
    <n v="1.286"/>
    <n v="2.8940000000000001"/>
    <n v="0"/>
    <n v="0"/>
    <n v="0"/>
    <n v="0"/>
    <n v="0"/>
    <n v="0"/>
    <n v="0"/>
    <n v="0"/>
    <n v="0"/>
    <n v="0"/>
    <n v="0"/>
    <n v="0"/>
    <n v="0"/>
    <m/>
    <m/>
    <m/>
    <m/>
    <m/>
    <m/>
    <m/>
    <n v="0.52537500000000004"/>
    <n v="3.7526785714285714E-2"/>
  </r>
  <r>
    <n v="106"/>
    <x v="12"/>
    <s v="EVCS-330004"/>
    <x v="81"/>
    <s v="10.760392, 79.64353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07"/>
    <x v="13"/>
    <s v="EVCS-330005"/>
    <x v="82"/>
    <s v="13.042164, 80.125485"/>
    <s v="Trinity"/>
    <s v="Public-Paid"/>
    <s v="15KW"/>
    <s v="DC Charger"/>
    <n v="1"/>
    <x v="0"/>
    <n v="0"/>
    <n v="2.5"/>
    <n v="5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33041666666666664"/>
    <n v="0.33041666666666664"/>
  </r>
  <r>
    <n v="108"/>
    <x v="14"/>
    <s v="EVCS-320003"/>
    <x v="83"/>
    <s v="10.04978, 76.31889"/>
    <s v="Trinity"/>
    <s v="Public-Paid"/>
    <s v="15KW"/>
    <s v="DC Charger"/>
    <n v="1"/>
    <x v="0"/>
    <n v="10.210000000000001"/>
    <n v="6.41"/>
    <n v="0"/>
    <n v="0"/>
    <n v="0"/>
    <n v="0"/>
    <n v="0"/>
    <n v="0"/>
    <n v="0"/>
    <n v="0"/>
    <n v="0"/>
    <n v="0"/>
    <n v="0"/>
    <n v="0"/>
    <n v="0"/>
    <n v="0"/>
    <n v="0"/>
    <n v="0"/>
    <n v="5.43"/>
    <n v="1.94"/>
    <n v="5.01"/>
    <n v="14.84"/>
    <n v="0"/>
    <n v="0"/>
    <m/>
    <m/>
    <m/>
    <m/>
    <m/>
    <m/>
    <m/>
    <n v="1.8266666666666669"/>
    <n v="1.8266666666666669"/>
  </r>
  <r>
    <n v="109"/>
    <x v="15"/>
    <s v="EVCS-330006"/>
    <x v="84"/>
    <s v="13.057071, 80.09536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0"/>
    <x v="16"/>
    <s v="EVCS-330007"/>
    <x v="85"/>
    <s v="10.070467, 78.727317"/>
    <s v="Trinity"/>
    <s v="Public-Paid"/>
    <s v="15 kw"/>
    <s v="DC Charger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1"/>
    <x v="17"/>
    <s v="EVCS-270013"/>
    <x v="86"/>
    <s v="17.683744, 75.297586"/>
    <s v="Trinity"/>
    <s v="Public-Paid"/>
    <s v="15 kw"/>
    <s v="DC Charger"/>
    <n v="1"/>
    <x v="3"/>
    <n v="0"/>
    <n v="25.82"/>
    <n v="0"/>
    <n v="0"/>
    <n v="0"/>
    <n v="0"/>
    <n v="21.26"/>
    <n v="10.69"/>
    <n v="0"/>
    <n v="0"/>
    <n v="0"/>
    <n v="0"/>
    <n v="19.13"/>
    <n v="0"/>
    <n v="16.190000000000001"/>
    <n v="0"/>
    <n v="0"/>
    <n v="0"/>
    <n v="0"/>
    <n v="20.25"/>
    <n v="0"/>
    <n v="0"/>
    <n v="0"/>
    <n v="9.7899999999999991"/>
    <m/>
    <m/>
    <m/>
    <m/>
    <m/>
    <m/>
    <m/>
    <n v="5.1304166666666662"/>
    <n v="5.1304166666666662"/>
  </r>
  <r>
    <n v="112"/>
    <x v="18"/>
    <s v="EVCS-270011"/>
    <x v="87"/>
    <s v="18.730387, 73.85675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3"/>
    <x v="19"/>
    <s v="EVCS-270005"/>
    <x v="88"/>
    <s v="21.080062876774992, 79.06111041033097"/>
    <s v="ETO"/>
    <s v="Public-Paid"/>
    <s v="3.3KW"/>
    <s v="OCPP"/>
    <n v="20"/>
    <x v="2"/>
    <n v="0"/>
    <n v="0"/>
    <n v="54.965000000000003"/>
    <n v="114.94200000000002"/>
    <n v="106.97500000000001"/>
    <n v="155.28800000000001"/>
    <n v="199.95300000000003"/>
    <n v="200.79599999999996"/>
    <n v="170.54799999999997"/>
    <n v="150.58900000000003"/>
    <n v="157.434"/>
    <n v="115.09200000000001"/>
    <n v="158.173"/>
    <n v="147.714"/>
    <n v="285.39099999999996"/>
    <n v="173.12"/>
    <n v="125.20200000000001"/>
    <n v="146.90099999999998"/>
    <n v="104.87700000000001"/>
    <n v="139.13000000000002"/>
    <n v="128.06799999999998"/>
    <n v="180.98499999999996"/>
    <n v="152.79899999999998"/>
    <n v="374.7170000000001"/>
    <m/>
    <m/>
    <m/>
    <m/>
    <m/>
    <m/>
    <m/>
    <n v="147.65245833333336"/>
    <n v="7.3826229166666675"/>
  </r>
  <r>
    <n v="114"/>
    <x v="19"/>
    <s v="EVCS-270007"/>
    <x v="89"/>
    <s v="21.147167, 79.005972"/>
    <s v="ETO"/>
    <s v="Public-Paid"/>
    <s v="3.3KW"/>
    <s v="OCPP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5"/>
    <x v="20"/>
    <s v="EVCS-100003"/>
    <x v="90"/>
    <s v="25.571936, 85.24286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6"/>
    <x v="21"/>
    <s v="EVCS-080001"/>
    <x v="91"/>
    <s v="26.179696, 73.050353"/>
    <s v="Trinity"/>
    <s v="Public-Paid"/>
    <s v="15KW"/>
    <s v="DC Charger"/>
    <n v="1"/>
    <x v="0"/>
    <n v="0"/>
    <n v="0"/>
    <n v="0"/>
    <n v="0"/>
    <n v="0"/>
    <n v="0"/>
    <n v="1.81"/>
    <n v="0"/>
    <n v="0"/>
    <n v="0"/>
    <n v="0"/>
    <n v="0"/>
    <n v="0"/>
    <n v="11.479999999999999"/>
    <n v="0"/>
    <n v="0"/>
    <n v="0"/>
    <n v="0"/>
    <n v="0"/>
    <n v="0"/>
    <n v="0"/>
    <n v="0"/>
    <n v="0.92999999999999994"/>
    <n v="0"/>
    <m/>
    <m/>
    <m/>
    <m/>
    <m/>
    <m/>
    <m/>
    <n v="0.59249999999999992"/>
    <n v="0.59249999999999992"/>
  </r>
  <r>
    <n v="117"/>
    <x v="22"/>
    <s v="EVCS-270008"/>
    <x v="92"/>
    <s v="16.688173, 74.29003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800000000000008"/>
    <n v="0"/>
    <n v="0"/>
    <n v="0"/>
    <m/>
    <m/>
    <m/>
    <m/>
    <m/>
    <m/>
    <m/>
    <n v="0.39083333333333337"/>
    <n v="0.39083333333333337"/>
  </r>
  <r>
    <n v="118"/>
    <x v="23"/>
    <s v="EVCS-180001"/>
    <x v="93"/>
    <s v="26.289095, 92.62510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19"/>
    <x v="24"/>
    <s v="EVCS-180002"/>
    <x v="94"/>
    <s v="26.121542, 92.20938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0"/>
    <x v="25"/>
    <s v="EVCS-210002"/>
    <x v="95"/>
    <s v="20.83207, 85.24185"/>
    <s v="Trinity"/>
    <s v="Public-Paid"/>
    <s v="15KW"/>
    <s v="DC Charger"/>
    <n v="1"/>
    <x v="0"/>
    <n v="0"/>
    <n v="0"/>
    <n v="0"/>
    <n v="0"/>
    <n v="0"/>
    <n v="6.42"/>
    <n v="0"/>
    <n v="0"/>
    <n v="0"/>
    <n v="0"/>
    <n v="0"/>
    <n v="0"/>
    <n v="0"/>
    <n v="0"/>
    <n v="0"/>
    <n v="0"/>
    <n v="0"/>
    <n v="0"/>
    <n v="0"/>
    <n v="0.84"/>
    <n v="0"/>
    <n v="0"/>
    <n v="0"/>
    <n v="0"/>
    <m/>
    <m/>
    <m/>
    <m/>
    <m/>
    <m/>
    <m/>
    <n v="0.30249999999999999"/>
    <n v="0.30249999999999999"/>
  </r>
  <r>
    <n v="121"/>
    <x v="26"/>
    <s v="EVCS-180003"/>
    <x v="96"/>
    <s v="27.489341, 94.912978"/>
    <s v="Trinity"/>
    <s v="Public-Paid"/>
    <s v="15KW"/>
    <s v="DC Charger"/>
    <n v="2"/>
    <x v="3"/>
    <n v="0"/>
    <n v="0"/>
    <n v="0"/>
    <n v="0"/>
    <n v="14.18"/>
    <n v="19.02"/>
    <n v="0.67"/>
    <n v="32.83"/>
    <n v="19.13"/>
    <n v="0"/>
    <n v="0"/>
    <n v="0"/>
    <n v="0"/>
    <n v="0"/>
    <n v="0"/>
    <n v="0"/>
    <n v="19.63"/>
    <n v="0"/>
    <n v="0.52"/>
    <n v="8.27"/>
    <n v="27.46"/>
    <n v="28.830000000000002"/>
    <n v="1.52"/>
    <n v="26.97"/>
    <m/>
    <m/>
    <m/>
    <m/>
    <m/>
    <m/>
    <m/>
    <n v="8.2929166666666667"/>
    <n v="4.1464583333333334"/>
  </r>
  <r>
    <n v="122"/>
    <x v="27"/>
    <s v="EVCS-190001"/>
    <x v="97"/>
    <s v="22.68857, 88.41886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3"/>
    <x v="28"/>
    <s v="EVCS-190002"/>
    <x v="98"/>
    <s v="22.591142, 88.21978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4"/>
    <x v="29"/>
    <s v="EVCS-270010"/>
    <x v="99"/>
    <s v="19.443433, 72.87999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5"/>
    <x v="30"/>
    <s v="EVCS-270012"/>
    <x v="100"/>
    <s v="19.795349, 72.75343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12.558999999999999"/>
    <n v="0"/>
    <n v="0"/>
    <n v="0"/>
    <n v="0"/>
    <n v="0"/>
    <n v="0"/>
    <n v="0"/>
    <n v="0"/>
    <n v="0"/>
    <n v="0"/>
    <n v="0"/>
    <n v="0"/>
    <m/>
    <m/>
    <m/>
    <m/>
    <m/>
    <m/>
    <m/>
    <n v="0.5232916666666666"/>
    <n v="0.5232916666666666"/>
  </r>
  <r>
    <n v="126"/>
    <x v="31"/>
    <s v="EVCS-240004"/>
    <x v="101"/>
    <s v="20.390414, 72.911743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7"/>
    <x v="32"/>
    <s v="EVCS-230001"/>
    <x v="102"/>
    <s v="23.209145, 79.90267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8"/>
    <x v="33"/>
    <s v="EVCS-320002"/>
    <x v="103"/>
    <s v="12.411591, 75.0921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29"/>
    <x v="34"/>
    <s v="EVCS-220001"/>
    <x v="104"/>
    <s v="21.238124, 81.584628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30"/>
    <x v="35"/>
    <s v="EVCS-240003"/>
    <x v="105"/>
    <s v="21.883077, 73.689955"/>
    <s v="SOU"/>
    <s v="Public-Paid"/>
    <s v="3.3KW"/>
    <s v="OCPP"/>
    <n v="42"/>
    <x v="2"/>
    <n v="99.204999999999998"/>
    <n v="308.28800000000012"/>
    <n v="341.62699999999995"/>
    <n v="397.43799999999987"/>
    <n v="338.09999999999991"/>
    <n v="136.00200000000004"/>
    <n v="280.72300000000007"/>
    <n v="219.42100000000002"/>
    <n v="306.27299999999991"/>
    <n v="284.50400000000002"/>
    <n v="440.23899999999992"/>
    <n v="371.45800000000008"/>
    <n v="88.626000000000005"/>
    <n v="266.91099999999994"/>
    <n v="89.506000000000014"/>
    <n v="343.87199999999996"/>
    <n v="326.30099999999999"/>
    <n v="563.02399999999977"/>
    <n v="470.29"/>
    <n v="66.8"/>
    <n v="423.68599999999992"/>
    <n v="249.05600000000001"/>
    <n v="153.24799999999996"/>
    <n v="1028.1249999999998"/>
    <m/>
    <m/>
    <m/>
    <m/>
    <m/>
    <m/>
    <m/>
    <n v="316.36345833333326"/>
    <n v="7.5324632936507916"/>
  </r>
  <r>
    <n v="131"/>
    <x v="36"/>
    <s v="EVCS-200001"/>
    <x v="106"/>
    <s v="23.728769, 86.706831"/>
    <s v="Trinity"/>
    <s v="Public-Paid"/>
    <s v="30KW"/>
    <s v="DC Charger"/>
    <n v="1"/>
    <x v="3"/>
    <n v="3.33"/>
    <n v="16.100000000000001"/>
    <n v="21.07"/>
    <n v="23.14"/>
    <n v="54.3"/>
    <n v="42.68"/>
    <n v="54.519999999999996"/>
    <n v="31.870000000000005"/>
    <n v="1.44"/>
    <n v="50.92"/>
    <n v="41.6"/>
    <n v="21.720000000000002"/>
    <n v="51.09"/>
    <n v="46.46"/>
    <n v="43.16"/>
    <n v="0"/>
    <n v="28.669999999999998"/>
    <n v="28.540000000000003"/>
    <n v="43.510000000000005"/>
    <n v="28.28"/>
    <n v="24.32"/>
    <n v="27.92"/>
    <n v="6.3500000000000005"/>
    <n v="63.519999999999996"/>
    <m/>
    <m/>
    <m/>
    <m/>
    <m/>
    <m/>
    <m/>
    <n v="31.437916666666666"/>
    <n v="31.437916666666666"/>
  </r>
  <r>
    <n v="132"/>
    <x v="37"/>
    <s v="EVCS-210001"/>
    <x v="107"/>
    <s v="20.919006, 86.21671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3.26"/>
    <n v="0"/>
    <n v="0"/>
    <n v="0"/>
    <n v="0"/>
    <n v="0"/>
    <n v="0"/>
    <n v="14.51"/>
    <n v="9.64"/>
    <m/>
    <m/>
    <m/>
    <m/>
    <m/>
    <m/>
    <m/>
    <n v="1.1420833333333333"/>
    <n v="1.1420833333333333"/>
  </r>
  <r>
    <n v="133"/>
    <x v="38"/>
    <s v="EVCS-090001"/>
    <x v="108"/>
    <s v="28.627362, 77.374662"/>
    <s v="ETO"/>
    <s v="Public-Paid"/>
    <s v="3.3KW"/>
    <s v="OCPP"/>
    <n v="19"/>
    <x v="2"/>
    <n v="5.6690000000000005"/>
    <n v="2.3409999999999997"/>
    <n v="2.9039999999999999"/>
    <n v="3.3449999999999998"/>
    <n v="1.643"/>
    <n v="2.9969999999999999"/>
    <n v="2.0869999999999997"/>
    <n v="3.2279999999999998"/>
    <n v="4.8829999999999991"/>
    <n v="3.391"/>
    <n v="2.657"/>
    <n v="1.8979999999999999"/>
    <n v="2.6269999999999998"/>
    <n v="2.6070000000000002"/>
    <n v="2.476"/>
    <n v="5.4409999999999998"/>
    <n v="3.6219999999999999"/>
    <n v="3.71"/>
    <n v="3.4790000000000001"/>
    <n v="4.5920000000000005"/>
    <n v="4.1159999999999997"/>
    <n v="2.9989999999999997"/>
    <n v="3.665"/>
    <n v="5.9189999999999996"/>
    <m/>
    <m/>
    <m/>
    <m/>
    <m/>
    <m/>
    <m/>
    <n v="3.4290000000000003"/>
    <n v="0.18047368421052634"/>
  </r>
  <r>
    <n v="134"/>
    <x v="39"/>
    <s v="EVCS-090003"/>
    <x v="109"/>
    <s v="28.6445144, 77.33536"/>
    <s v="Mahagun Hotel"/>
    <s v="Public-Paid"/>
    <s v="7.4KW"/>
    <s v="OCPP"/>
    <n v="2"/>
    <x v="0"/>
    <n v="0"/>
    <n v="0"/>
    <n v="26.183"/>
    <n v="0"/>
    <n v="0"/>
    <n v="0"/>
    <n v="6.8879999999999999"/>
    <n v="0"/>
    <n v="0"/>
    <n v="0"/>
    <n v="0"/>
    <n v="17.199000000000002"/>
    <n v="0"/>
    <n v="0"/>
    <n v="0"/>
    <n v="0"/>
    <n v="0"/>
    <n v="0"/>
    <n v="0"/>
    <n v="0"/>
    <n v="0"/>
    <n v="31.931999999999999"/>
    <n v="0"/>
    <n v="19.55"/>
    <m/>
    <m/>
    <m/>
    <m/>
    <m/>
    <m/>
    <m/>
    <n v="4.2396666666666665"/>
    <n v="2.1198333333333332"/>
  </r>
  <r>
    <n v="135"/>
    <x v="40"/>
    <s v="EVCS-090005"/>
    <x v="110"/>
    <s v="26.7893081, 82.2293649"/>
    <s v="Trinity"/>
    <s v="Public-Paid"/>
    <s v="3.3KW"/>
    <s v="OCPP"/>
    <n v="1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36"/>
    <x v="40"/>
    <s v="EVCS-090006"/>
    <x v="111"/>
    <s v="26.8000044, 82.22068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37"/>
    <x v="40"/>
    <s v="EVCS-090007"/>
    <x v="112"/>
    <s v="26.758337, 82.126506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38"/>
    <x v="40"/>
    <s v="EVCS-090008"/>
    <x v="113"/>
    <s v="26.763723, 82.090308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39"/>
    <x v="41"/>
    <s v="EVCS-090009"/>
    <x v="114"/>
    <s v="25.450571, 81.828261"/>
    <s v="Trinity"/>
    <s v="Public-Paid"/>
    <s v="3.3KW"/>
    <s v="OCPP"/>
    <n v="15"/>
    <x v="1"/>
    <n v="300.81299999999999"/>
    <n v="339.23299999999983"/>
    <n v="329.38699999999994"/>
    <n v="320.37500000000017"/>
    <n v="311.08300000000008"/>
    <n v="313.80799999999999"/>
    <n v="295.36700000000013"/>
    <n v="291.94700000000006"/>
    <n v="248.79099999999994"/>
    <n v="240.34900000000005"/>
    <n v="235.11300000000003"/>
    <n v="274.87700000000007"/>
    <n v="294.71000000000026"/>
    <n v="290.87200000000007"/>
    <n v="304.92799999999994"/>
    <n v="270.32199999999995"/>
    <n v="350.98400000000004"/>
    <n v="309.70300000000015"/>
    <n v="300.16999999999996"/>
    <n v="291.73899999999992"/>
    <n v="320.62499999999994"/>
    <n v="265.13799999999998"/>
    <n v="333.35600000000005"/>
    <n v="578.16299999999978"/>
    <m/>
    <m/>
    <m/>
    <m/>
    <m/>
    <m/>
    <m/>
    <n v="308.82720833333332"/>
    <n v="20.588480555555556"/>
  </r>
  <r>
    <n v="140"/>
    <x v="41"/>
    <s v="EVCS-090009"/>
    <x v="115"/>
    <s v="25.450571, 81.828261"/>
    <s v="Trinity"/>
    <s v="Public-Paid"/>
    <s v="12KW"/>
    <s v="DC Charger"/>
    <n v="0"/>
    <x v="1"/>
    <n v="0"/>
    <n v="0"/>
    <n v="0"/>
    <n v="0"/>
    <n v="0"/>
    <n v="0"/>
    <n v="0"/>
    <n v="0"/>
    <n v="0"/>
    <n v="0"/>
    <n v="0"/>
    <n v="0"/>
    <n v="0"/>
    <n v="0"/>
    <n v="1.87"/>
    <n v="0"/>
    <n v="0"/>
    <n v="0"/>
    <n v="4.37"/>
    <n v="3.06"/>
    <n v="7.3999999999999995"/>
    <n v="0"/>
    <n v="0"/>
    <n v="0"/>
    <m/>
    <m/>
    <m/>
    <m/>
    <m/>
    <m/>
    <m/>
    <n v="0.6958333333333333"/>
    <e v="#DIV/0!"/>
  </r>
  <r>
    <n v="141"/>
    <x v="42"/>
    <s v="EVCS-070004"/>
    <x v="116"/>
    <s v="28.677423, 77.293197"/>
    <s v="ETO"/>
    <s v="Public-Paid"/>
    <s v="3.3KW"/>
    <s v="OCPP"/>
    <n v="5"/>
    <x v="2"/>
    <n v="0"/>
    <n v="0"/>
    <n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12125000000000001"/>
    <n v="2.4250000000000001E-2"/>
  </r>
  <r>
    <n v="142"/>
    <x v="42"/>
    <s v="EVCS-070007"/>
    <x v="117"/>
    <s v="28.543388, 77.046913"/>
    <s v="ETO"/>
    <s v="Public-Paid"/>
    <s v="3.3KW"/>
    <s v="OCPP"/>
    <n v="16"/>
    <x v="2"/>
    <n v="61.612000000000002"/>
    <n v="22.332000000000001"/>
    <n v="34.400999999999996"/>
    <n v="56.187999999999995"/>
    <n v="17.2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7.992333333333332"/>
    <n v="0.49952083333333325"/>
  </r>
  <r>
    <n v="143"/>
    <x v="42"/>
    <s v="EVCS-070008"/>
    <x v="118"/>
    <s v="28.705257, 77.311553"/>
    <s v="ETO"/>
    <s v="Public-Paid"/>
    <s v="3.3KW"/>
    <s v="OCPP"/>
    <n v="1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44"/>
    <x v="42"/>
    <s v="EVCS-070009"/>
    <x v="119"/>
    <s v="28.70468208439481, 77.18052038930671"/>
    <s v="ETO"/>
    <s v="Public-Paid"/>
    <s v="3.3KW"/>
    <s v="OCPP"/>
    <n v="1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45"/>
    <x v="42"/>
    <s v="EVCS-070065"/>
    <x v="120"/>
    <s v="28.55058, 77.258121"/>
    <s v="Trinity"/>
    <s v="Public-Paid"/>
    <s v="3.3KW"/>
    <s v="OCPP"/>
    <n v="15"/>
    <x v="1"/>
    <n v="438.58699999999999"/>
    <n v="368.32100000000003"/>
    <n v="305.63600000000008"/>
    <n v="360.58800000000008"/>
    <n v="276.83399999999995"/>
    <n v="298.37200000000001"/>
    <n v="425.16000000000014"/>
    <n v="358.01400000000007"/>
    <n v="411.11199999999991"/>
    <n v="339.762"/>
    <n v="341.51500000000004"/>
    <n v="338.92700000000008"/>
    <n v="320.12600000000003"/>
    <n v="323.06399999999996"/>
    <n v="332.44400000000002"/>
    <n v="260.56899999999996"/>
    <n v="0"/>
    <n v="0"/>
    <n v="203.42899999999997"/>
    <n v="282.03400000000005"/>
    <n v="292.10200000000003"/>
    <n v="369.04900000000004"/>
    <n v="270.798"/>
    <n v="637.01699999999971"/>
    <m/>
    <m/>
    <m/>
    <m/>
    <m/>
    <m/>
    <m/>
    <n v="314.72750000000002"/>
    <n v="20.981833333333334"/>
  </r>
  <r>
    <n v="146"/>
    <x v="42"/>
    <s v="EVCS-070010"/>
    <x v="121"/>
    <s v="28.55058, 77.258121"/>
    <s v="ETO"/>
    <s v="Public-Paid"/>
    <s v="3.3KW"/>
    <s v="OCPP"/>
    <n v="23"/>
    <x v="2"/>
    <n v="282.64800000000002"/>
    <n v="178.09800000000001"/>
    <n v="235.63200000000003"/>
    <n v="264.64099999999991"/>
    <n v="239.58600000000004"/>
    <n v="261.86"/>
    <n v="265.31700000000006"/>
    <n v="248.83600000000001"/>
    <n v="198.221"/>
    <n v="186.15299999999999"/>
    <n v="202.035"/>
    <n v="311.58299999999997"/>
    <n v="285.27"/>
    <n v="283.39400000000006"/>
    <n v="302.94900000000001"/>
    <n v="331.46100000000007"/>
    <n v="369.08500000000015"/>
    <n v="291.22899999999998"/>
    <n v="327.65300000000008"/>
    <n v="321.01"/>
    <n v="340.17099999999999"/>
    <n v="239.34700000000009"/>
    <n v="298.8540000000001"/>
    <n v="621.22299999999984"/>
    <m/>
    <m/>
    <m/>
    <m/>
    <m/>
    <m/>
    <m/>
    <n v="286.92733333333337"/>
    <n v="12.475101449275364"/>
  </r>
  <r>
    <n v="147"/>
    <x v="42"/>
    <s v="EVCS-070066"/>
    <x v="122"/>
    <s v="28.55058, 77.258121"/>
    <s v="ETO"/>
    <s v="Public-Paid"/>
    <s v="12KW"/>
    <s v="DC Charger"/>
    <n v="3"/>
    <x v="2"/>
    <n v="25.999999999999996"/>
    <n v="32.910000000000004"/>
    <n v="33.24"/>
    <n v="15.02"/>
    <n v="0.23"/>
    <n v="23.57"/>
    <n v="11.37"/>
    <n v="26.04"/>
    <n v="35.9"/>
    <n v="37.129999999999995"/>
    <n v="20.12"/>
    <n v="8.1999999999999993"/>
    <n v="18.350000000000001"/>
    <n v="0"/>
    <n v="9.1199999999999992"/>
    <n v="3.2099999999999995"/>
    <n v="225.73500000000001"/>
    <n v="274.71600000000001"/>
    <n v="0"/>
    <n v="0"/>
    <n v="0"/>
    <n v="0"/>
    <n v="0"/>
    <n v="6.89"/>
    <m/>
    <m/>
    <m/>
    <m/>
    <m/>
    <m/>
    <m/>
    <n v="33.656291666666668"/>
    <n v="11.218763888888889"/>
  </r>
  <r>
    <n v="148"/>
    <x v="42"/>
    <s v="EVCS-070011"/>
    <x v="123"/>
    <s v="28.606683, 77.289685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49"/>
    <x v="42"/>
    <s v="EVCS-070012"/>
    <x v="124"/>
    <s v="28.611614, 77.288642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50"/>
    <x v="42"/>
    <s v="EVCS-070013"/>
    <x v="125"/>
    <s v="28.526358, 77.207706"/>
    <s v="Trinity"/>
    <s v="Public-Paid"/>
    <s v="7.4KW"/>
    <s v="OCPP"/>
    <n v="3"/>
    <x v="0"/>
    <n v="0"/>
    <n v="0"/>
    <n v="0"/>
    <n v="23.433"/>
    <n v="0"/>
    <n v="0"/>
    <n v="27.010999999999999"/>
    <n v="40.580999999999996"/>
    <n v="0"/>
    <n v="0"/>
    <n v="0"/>
    <n v="0"/>
    <n v="0"/>
    <n v="0"/>
    <n v="0"/>
    <n v="0"/>
    <n v="29.139000000000003"/>
    <n v="0"/>
    <n v="0"/>
    <n v="0"/>
    <n v="0"/>
    <n v="0"/>
    <n v="0"/>
    <n v="60.103999999999999"/>
    <m/>
    <m/>
    <m/>
    <m/>
    <m/>
    <m/>
    <m/>
    <n v="7.5111666666666679"/>
    <n v="2.5037222222222226"/>
  </r>
  <r>
    <n v="151"/>
    <x v="42"/>
    <s v="EVCS-070014"/>
    <x v="126"/>
    <s v="28.629398, 77.243827"/>
    <m/>
    <s v="Private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52"/>
    <x v="42"/>
    <s v="EVCS-070015"/>
    <x v="127"/>
    <s v="28.679462, 77.219232"/>
    <s v="Trinity"/>
    <s v="Public-Free"/>
    <s v="3.3KW"/>
    <s v="OCPP"/>
    <n v="6"/>
    <x v="3"/>
    <n v="14.356000000000002"/>
    <n v="19.671000000000003"/>
    <n v="0"/>
    <n v="0"/>
    <n v="16.201000000000001"/>
    <n v="12.122"/>
    <n v="19.182999999999996"/>
    <n v="15.911999999999999"/>
    <n v="25.684999999999999"/>
    <n v="0.02"/>
    <n v="0"/>
    <n v="0"/>
    <n v="26.119999999999997"/>
    <n v="1.4159999999999999"/>
    <n v="6.1660000000000004"/>
    <n v="11.032"/>
    <n v="0"/>
    <n v="0"/>
    <n v="3.8849999999999998"/>
    <n v="15.521999999999998"/>
    <n v="34.828000000000003"/>
    <n v="4.125"/>
    <n v="15.279"/>
    <n v="0"/>
    <m/>
    <m/>
    <m/>
    <m/>
    <m/>
    <m/>
    <m/>
    <n v="10.063458333333331"/>
    <n v="1.6772430555555553"/>
  </r>
  <r>
    <n v="153"/>
    <x v="42"/>
    <s v="EVCS-070016"/>
    <x v="128"/>
    <s v="28.61038, 77.022041"/>
    <s v="Trinity"/>
    <s v="Public-Paid"/>
    <s v="3.3KW"/>
    <s v="OCPP"/>
    <n v="20"/>
    <x v="1"/>
    <n v="100.21599999999999"/>
    <n v="91.122000000000014"/>
    <n v="86.360000000000014"/>
    <n v="110.98299999999999"/>
    <n v="134.63500000000002"/>
    <n v="143.25200000000001"/>
    <n v="168.71399999999997"/>
    <n v="138.56300000000002"/>
    <n v="134.78800000000001"/>
    <n v="113.84500000000001"/>
    <n v="95.422000000000011"/>
    <n v="137.38599999999997"/>
    <n v="107.151"/>
    <n v="74.764000000000024"/>
    <n v="105.56499999999998"/>
    <n v="108.88799999999999"/>
    <n v="111.38899999999998"/>
    <n v="74.423000000000002"/>
    <n v="41.403999999999996"/>
    <n v="51.328999999999994"/>
    <n v="60.152000000000008"/>
    <n v="67.548999999999992"/>
    <n v="84.022999999999996"/>
    <n v="148.32400000000001"/>
    <m/>
    <m/>
    <m/>
    <m/>
    <m/>
    <m/>
    <m/>
    <n v="103.76029166666667"/>
    <n v="5.1880145833333335"/>
  </r>
  <r>
    <n v="154"/>
    <x v="42"/>
    <s v="EVCS-070068"/>
    <x v="129"/>
    <s v="28.61038, 77.022041"/>
    <s v="Trinity"/>
    <s v="Public-Paid"/>
    <s v="7.4KW"/>
    <s v="OCPP"/>
    <n v="1"/>
    <x v="0"/>
    <n v="29.380000000000003"/>
    <n v="18.003"/>
    <n v="22.5"/>
    <n v="18.047000000000001"/>
    <n v="15.484000000000002"/>
    <n v="21.963000000000001"/>
    <n v="21.437999999999999"/>
    <n v="14.328000000000001"/>
    <n v="22.972999999999999"/>
    <n v="7.9980000000000002"/>
    <n v="39.129000000000005"/>
    <n v="19.146999999999998"/>
    <n v="36.042999999999999"/>
    <n v="32.071999999999996"/>
    <n v="14.173"/>
    <n v="0"/>
    <n v="38.369"/>
    <n v="18.972999999999999"/>
    <n v="28.716999999999999"/>
    <n v="16.721"/>
    <n v="7.843"/>
    <n v="17.707999999999998"/>
    <n v="29.712000000000003"/>
    <n v="32.118000000000002"/>
    <m/>
    <m/>
    <m/>
    <m/>
    <m/>
    <m/>
    <m/>
    <n v="21.784958333333336"/>
    <n v="21.784958333333336"/>
  </r>
  <r>
    <n v="155"/>
    <x v="42"/>
    <s v="EVCS-070068"/>
    <x v="129"/>
    <s v="28.61038, 77.022041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56"/>
    <x v="42"/>
    <s v="EVCS-070063"/>
    <x v="130"/>
    <s v="28.569861, 77.028925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57"/>
    <x v="42"/>
    <s v="EVCS-070017"/>
    <x v="131"/>
    <s v="28.562467114558274, 77.28736745305525"/>
    <s v="Trinity"/>
    <s v="Public-Paid"/>
    <s v="3.3KW"/>
    <s v="OCPP"/>
    <n v="15"/>
    <x v="1"/>
    <n v="249.88200000000001"/>
    <n v="202.63600000000002"/>
    <n v="247.26799999999997"/>
    <n v="227.36999999999998"/>
    <n v="199.49800000000005"/>
    <n v="240.67700000000005"/>
    <n v="238.97600000000006"/>
    <n v="257.74400000000009"/>
    <n v="266.65100000000007"/>
    <n v="260.85599999999994"/>
    <n v="237.92199999999997"/>
    <n v="281.28400000000005"/>
    <n v="198.83299999999994"/>
    <n v="198.18200000000004"/>
    <n v="165.06799999999998"/>
    <n v="182.60799999999995"/>
    <n v="207.53"/>
    <n v="185.30699999999996"/>
    <n v="183.976"/>
    <n v="224.405"/>
    <n v="162.416"/>
    <n v="184.17499999999998"/>
    <n v="201.874"/>
    <n v="412.9989999999998"/>
    <m/>
    <m/>
    <m/>
    <m/>
    <m/>
    <m/>
    <m/>
    <n v="225.75570833333336"/>
    <n v="15.050380555555558"/>
  </r>
  <r>
    <n v="158"/>
    <x v="42"/>
    <s v="EVCS-070067"/>
    <x v="132"/>
    <s v="28.56246, 77.28736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59"/>
    <x v="42"/>
    <s v="EVCS-070020"/>
    <x v="133"/>
    <s v="28.604009, 77.029785"/>
    <s v="Trinity"/>
    <s v="Public-Paid"/>
    <s v="3.3KW"/>
    <s v="OCPP"/>
    <n v="4"/>
    <x v="0"/>
    <n v="0"/>
    <n v="0"/>
    <n v="0.219"/>
    <n v="0"/>
    <n v="0"/>
    <n v="0"/>
    <n v="0"/>
    <n v="0"/>
    <n v="0"/>
    <n v="0"/>
    <n v="0"/>
    <n v="0.39100000000000001"/>
    <n v="0"/>
    <n v="0"/>
    <n v="0"/>
    <n v="0"/>
    <n v="0"/>
    <n v="0"/>
    <n v="0"/>
    <n v="0"/>
    <n v="2.2370000000000001"/>
    <n v="0"/>
    <n v="0"/>
    <n v="0"/>
    <m/>
    <m/>
    <m/>
    <m/>
    <m/>
    <m/>
    <m/>
    <n v="0.11862499999999999"/>
    <n v="2.9656249999999999E-2"/>
  </r>
  <r>
    <n v="160"/>
    <x v="42"/>
    <s v="EVCS-070020"/>
    <x v="133"/>
    <s v="28.604009, 77.029785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1"/>
    <x v="42"/>
    <s v="EVCS-070002"/>
    <x v="134"/>
    <s v="28.619914752558, 77.28006943"/>
    <s v="BYPL MCD Parking"/>
    <s v="Public-Paid"/>
    <s v="3.3KW"/>
    <s v="OCPP"/>
    <n v="3"/>
    <x v="0"/>
    <n v="8.6170000000000009"/>
    <n v="16.578999999999997"/>
    <n v="9.2099999999999991"/>
    <n v="4.2759999999999998"/>
    <n v="0"/>
    <n v="7.25"/>
    <n v="7.2190000000000003"/>
    <n v="6.8890000000000002"/>
    <n v="0"/>
    <n v="8.6790000000000003"/>
    <n v="1.762"/>
    <n v="1.095"/>
    <n v="7.59"/>
    <n v="10.353"/>
    <n v="0"/>
    <n v="5.375"/>
    <n v="9.9480000000000004"/>
    <n v="18.094000000000001"/>
    <n v="13.718000000000002"/>
    <n v="3.5049999999999999"/>
    <n v="8.8840000000000003"/>
    <n v="15.300000000000002"/>
    <n v="11.243"/>
    <n v="29.156999999999996"/>
    <m/>
    <m/>
    <m/>
    <m/>
    <m/>
    <m/>
    <m/>
    <n v="8.5309583333333325"/>
    <n v="2.8436527777777774"/>
  </r>
  <r>
    <n v="162"/>
    <x v="42"/>
    <s v="EVCS-070022"/>
    <x v="135"/>
    <s v="28.606078166085577, 77.29316709612652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3"/>
    <x v="42"/>
    <s v="EVCS-070023"/>
    <x v="136"/>
    <s v="28.6373328067253, 77.2862109512611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4"/>
    <x v="42"/>
    <s v="EVCS-070023"/>
    <x v="136"/>
    <s v="28.6373328067253, 77.2862109512611"/>
    <s v="BYPL MCD Parking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5"/>
    <x v="42"/>
    <s v="EVCS-070025"/>
    <x v="137"/>
    <s v="28.6327572662026, 77.305869229045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6"/>
    <x v="42"/>
    <s v="EVCS-070042"/>
    <x v="138"/>
    <s v="28.702179590136, 77.3099812890489"/>
    <s v="BYPL MCD Parking"/>
    <s v="Public-Paid"/>
    <s v="3.3KW"/>
    <s v="OCPP"/>
    <n v="3"/>
    <x v="0"/>
    <n v="20.669"/>
    <n v="4.2190000000000003"/>
    <n v="13.279"/>
    <n v="22.811"/>
    <n v="6.6529999999999996"/>
    <n v="18.937000000000001"/>
    <n v="25.786999999999999"/>
    <n v="5.0190000000000001"/>
    <n v="11.16"/>
    <n v="15.416"/>
    <n v="10.832000000000001"/>
    <n v="0.16300000000000001"/>
    <n v="13.494"/>
    <n v="19.715"/>
    <n v="4.8689999999999998"/>
    <n v="18.231000000000002"/>
    <n v="10.89"/>
    <n v="21.749000000000002"/>
    <n v="3.681"/>
    <n v="7.7510000000000003"/>
    <n v="15.457000000000001"/>
    <n v="11.811999999999999"/>
    <n v="24.514000000000003"/>
    <n v="22.335000000000001"/>
    <m/>
    <m/>
    <m/>
    <m/>
    <m/>
    <m/>
    <m/>
    <n v="13.726791666666669"/>
    <n v="4.575597222222223"/>
  </r>
  <r>
    <n v="167"/>
    <x v="42"/>
    <s v="EVCS-070049"/>
    <x v="139"/>
    <s v="28.5403927938251, 77.2612979990781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8"/>
    <x v="42"/>
    <s v="EVCS-070054"/>
    <x v="140"/>
    <s v="28.6967111415284, 77.085286927494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69"/>
    <x v="42"/>
    <s v="EVCS-070055"/>
    <x v="141"/>
    <s v="28.5155977, 77.2593052"/>
    <s v="ETO"/>
    <s v="Public-Paid"/>
    <s v="3.3KW"/>
    <s v="OCPP"/>
    <n v="4"/>
    <x v="3"/>
    <n v="5.9980000000000002"/>
    <n v="0"/>
    <n v="1.45"/>
    <n v="0"/>
    <n v="0"/>
    <n v="0"/>
    <n v="2.4849999999999999"/>
    <n v="1.2270000000000001"/>
    <n v="0"/>
    <n v="0"/>
    <n v="0"/>
    <n v="0"/>
    <n v="0"/>
    <n v="0"/>
    <n v="0"/>
    <n v="0"/>
    <n v="1.2729999999999999"/>
    <n v="0"/>
    <n v="0"/>
    <n v="0"/>
    <n v="6.2759999999999998"/>
    <n v="0"/>
    <n v="7.2030000000000003"/>
    <n v="0"/>
    <m/>
    <m/>
    <m/>
    <m/>
    <m/>
    <m/>
    <m/>
    <n v="1.0796666666666666"/>
    <n v="0.26991666666666664"/>
  </r>
  <r>
    <n v="170"/>
    <x v="42"/>
    <s v="EVCS-070056"/>
    <x v="142"/>
    <s v="28.62365, 77.04815"/>
    <s v="Trinity"/>
    <s v="Public-Paid"/>
    <s v="3.3KW"/>
    <s v="OCPP"/>
    <n v="15"/>
    <x v="1"/>
    <n v="77.646000000000001"/>
    <n v="30.634"/>
    <n v="45.829000000000001"/>
    <n v="53.902000000000001"/>
    <n v="60.956000000000003"/>
    <n v="64.7"/>
    <n v="48.86399999999999"/>
    <n v="53.431999999999995"/>
    <n v="60.891000000000005"/>
    <n v="70.682999999999993"/>
    <n v="72.765000000000015"/>
    <n v="73.320999999999998"/>
    <n v="60.958999999999989"/>
    <n v="64.063000000000002"/>
    <n v="85.310999999999993"/>
    <n v="89.266000000000005"/>
    <n v="63.530999999999992"/>
    <n v="63.844999999999999"/>
    <n v="77.866"/>
    <n v="92.539999999999992"/>
    <n v="84.59"/>
    <n v="84.710000000000008"/>
    <n v="101.71199999999999"/>
    <n v="169.41700000000003"/>
    <m/>
    <m/>
    <m/>
    <m/>
    <m/>
    <m/>
    <m/>
    <n v="72.976375000000004"/>
    <n v="4.8650916666666673"/>
  </r>
  <r>
    <n v="171"/>
    <x v="42"/>
    <s v="EVCS-070069"/>
    <x v="143"/>
    <s v="28.62365, 77.0481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400000000000013"/>
    <m/>
    <m/>
    <m/>
    <m/>
    <m/>
    <m/>
    <m/>
    <n v="0.39333333333333337"/>
    <n v="0.39333333333333337"/>
  </r>
  <r>
    <n v="172"/>
    <x v="42"/>
    <s v="EVCS-070057"/>
    <x v="144"/>
    <s v="28.537501, 77.248083"/>
    <s v="BRPL MCD Parking"/>
    <s v="Public-Free"/>
    <s v="3.3KW"/>
    <s v="OCPP"/>
    <n v="2"/>
    <x v="3"/>
    <n v="9.7099999999999991"/>
    <n v="0"/>
    <n v="0"/>
    <n v="0"/>
    <n v="0"/>
    <n v="8.6940000000000008"/>
    <n v="8.0470000000000006"/>
    <n v="0"/>
    <n v="7.7320000000000002"/>
    <n v="0"/>
    <n v="0"/>
    <n v="0"/>
    <n v="5.9450000000000003"/>
    <n v="4.7379999999999995"/>
    <n v="0"/>
    <n v="10.606999999999999"/>
    <n v="0"/>
    <n v="0"/>
    <n v="0"/>
    <n v="5.28"/>
    <n v="3.2810000000000001"/>
    <n v="7.6669999999999998"/>
    <n v="0"/>
    <n v="0"/>
    <m/>
    <m/>
    <m/>
    <m/>
    <m/>
    <m/>
    <m/>
    <n v="2.987541666666667"/>
    <n v="1.4937708333333335"/>
  </r>
  <r>
    <n v="173"/>
    <x v="42"/>
    <s v="EVCS-070058"/>
    <x v="145"/>
    <s v="28.567191, 77.2521"/>
    <s v="Sold"/>
    <s v="Public-Free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74"/>
    <x v="42"/>
    <s v="EVCS-070059"/>
    <x v="146"/>
    <s v="28.532594, 77.276989"/>
    <s v="BRPL MCD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75"/>
    <x v="42"/>
    <s v="EVCS-070060"/>
    <x v="147"/>
    <s v="28.629863, 77.251184"/>
    <s v="Sold"/>
    <s v="Public-Free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76"/>
    <x v="42"/>
    <s v="EVCS-070061"/>
    <x v="148"/>
    <s v="28.662296, 77.29759"/>
    <s v="BSES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77"/>
    <x v="42"/>
    <s v="EVCS-070070"/>
    <x v="149"/>
    <s v="28.542145, 77.260545"/>
    <s v="BSES Parking"/>
    <s v="Public-Free"/>
    <s v="3.3KW"/>
    <s v="OCPP"/>
    <n v="2"/>
    <x v="3"/>
    <n v="11.935"/>
    <n v="6.577"/>
    <n v="0"/>
    <n v="0"/>
    <n v="11.24"/>
    <n v="11.189"/>
    <n v="10.561"/>
    <n v="8.1940000000000008"/>
    <n v="7.6470000000000002"/>
    <n v="0"/>
    <n v="0"/>
    <n v="0"/>
    <n v="10.748000000000001"/>
    <n v="6.9909999999999997"/>
    <n v="8.7919999999999998"/>
    <n v="8.0730000000000004"/>
    <n v="0"/>
    <n v="0"/>
    <n v="11.449000000000002"/>
    <n v="8.3859999999999992"/>
    <n v="0"/>
    <n v="15.753"/>
    <n v="8.9570000000000007"/>
    <n v="0"/>
    <m/>
    <m/>
    <m/>
    <m/>
    <m/>
    <m/>
    <m/>
    <n v="6.1038333333333332"/>
    <n v="3.0519166666666666"/>
  </r>
  <r>
    <n v="178"/>
    <x v="42"/>
    <s v="EVCS-070062"/>
    <x v="150"/>
    <s v="28.59138, 77.079303"/>
    <s v="Trinity"/>
    <s v="Public-Paid"/>
    <s v="3.3KW"/>
    <s v="OCPP"/>
    <n v="15"/>
    <x v="1"/>
    <n v="49.798000000000002"/>
    <n v="61.611999999999995"/>
    <n v="58.166000000000004"/>
    <n v="49.556000000000004"/>
    <n v="62.429000000000002"/>
    <n v="71.061000000000007"/>
    <n v="65.94"/>
    <n v="75.402000000000001"/>
    <n v="81.266000000000005"/>
    <n v="48.336999999999996"/>
    <n v="72.956000000000003"/>
    <n v="52.155000000000001"/>
    <n v="77.144999999999996"/>
    <n v="59.696999999999989"/>
    <n v="61.48"/>
    <n v="50.981999999999999"/>
    <n v="69.683999999999997"/>
    <n v="47.75800000000001"/>
    <n v="73.435000000000002"/>
    <n v="64.527999999999992"/>
    <n v="66.646000000000001"/>
    <n v="73.161999999999978"/>
    <n v="84.50200000000001"/>
    <n v="182.92899999999995"/>
    <m/>
    <m/>
    <m/>
    <m/>
    <m/>
    <m/>
    <m/>
    <n v="69.19274999999999"/>
    <n v="4.612849999999999"/>
  </r>
  <r>
    <n v="179"/>
    <x v="42"/>
    <s v="EVCS-070064"/>
    <x v="151"/>
    <s v="28.59138, 77.079303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80"/>
    <x v="42"/>
    <s v="EVCS-070104"/>
    <x v="152"/>
    <s v="28.745579, 77.11549"/>
    <s v="Trinity"/>
    <s v="Public-Paid"/>
    <s v="3.3 kW"/>
    <s v="OCPP"/>
    <n v="2"/>
    <x v="1"/>
    <n v="6.6080000000000005"/>
    <n v="0"/>
    <n v="3.48"/>
    <n v="0"/>
    <n v="0"/>
    <n v="0"/>
    <n v="2.1989999999999998"/>
    <n v="4.5110000000000001"/>
    <n v="0"/>
    <n v="0"/>
    <n v="0"/>
    <n v="4.3579999999999997"/>
    <n v="0"/>
    <n v="0"/>
    <n v="11.027999999999999"/>
    <n v="0"/>
    <n v="24.581000000000003"/>
    <n v="0"/>
    <n v="16.501999999999999"/>
    <n v="9.4469999999999992"/>
    <n v="0"/>
    <n v="7.52"/>
    <n v="0"/>
    <n v="12.155000000000001"/>
    <m/>
    <m/>
    <m/>
    <m/>
    <m/>
    <m/>
    <m/>
    <n v="4.2662083333333332"/>
    <n v="2.1331041666666666"/>
  </r>
  <r>
    <n v="181"/>
    <x v="42"/>
    <s v="EVCS-070091"/>
    <x v="153"/>
    <s v="28.644742, 77.203854"/>
    <s v="Trinity"/>
    <s v="Public-Paid"/>
    <s v="3.3 kW"/>
    <s v="OCPP"/>
    <n v="1"/>
    <x v="0"/>
    <n v="6.529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27208333333333329"/>
    <n v="0.27208333333333329"/>
  </r>
  <r>
    <n v="182"/>
    <x v="42"/>
    <s v="EVCS-070093"/>
    <x v="154"/>
    <s v="28.482408, 77.128233"/>
    <s v="Trinity"/>
    <s v="Public-Paid"/>
    <s v="3.3 kW"/>
    <s v="OCPP"/>
    <n v="1"/>
    <x v="0"/>
    <n v="0"/>
    <n v="0"/>
    <n v="0"/>
    <n v="0"/>
    <n v="0"/>
    <n v="2.9779999999999998"/>
    <n v="0"/>
    <n v="0"/>
    <n v="0.156"/>
    <n v="0"/>
    <n v="0"/>
    <n v="0"/>
    <n v="0"/>
    <n v="8.7999999999999995E-2"/>
    <n v="0"/>
    <n v="0"/>
    <n v="0"/>
    <n v="0"/>
    <n v="0"/>
    <n v="0"/>
    <n v="0"/>
    <n v="0"/>
    <n v="0"/>
    <n v="0"/>
    <m/>
    <m/>
    <m/>
    <m/>
    <m/>
    <m/>
    <m/>
    <n v="0.13425000000000001"/>
    <n v="0.13425000000000001"/>
  </r>
  <r>
    <n v="183"/>
    <x v="42"/>
    <s v="EVCS-070095"/>
    <x v="155"/>
    <s v="28.655182, 77.138092"/>
    <s v="Trinity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84"/>
    <x v="42"/>
    <s v="EVCS-070100"/>
    <x v="156"/>
    <s v="28.627149, 77.221226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85"/>
    <x v="42"/>
    <s v="EVCS-070096"/>
    <x v="157"/>
    <s v="28.531499, 77.15018"/>
    <s v="Trinity"/>
    <s v="Public-Paid"/>
    <s v="3.3 kW"/>
    <s v="OCPP"/>
    <n v="1"/>
    <x v="0"/>
    <n v="0"/>
    <n v="3"/>
    <n v="0"/>
    <n v="0.48799999999999999"/>
    <n v="0"/>
    <n v="0"/>
    <n v="0"/>
    <n v="2.036"/>
    <n v="0"/>
    <n v="0"/>
    <n v="0"/>
    <n v="0"/>
    <n v="0"/>
    <n v="3.234"/>
    <n v="0"/>
    <n v="0"/>
    <n v="0"/>
    <n v="0"/>
    <n v="0.59099999999999997"/>
    <n v="0"/>
    <n v="0"/>
    <n v="0"/>
    <n v="0"/>
    <n v="0"/>
    <m/>
    <m/>
    <m/>
    <m/>
    <m/>
    <m/>
    <m/>
    <n v="0.38954166666666662"/>
    <n v="0.38954166666666662"/>
  </r>
  <r>
    <n v="186"/>
    <x v="42"/>
    <s v="EVCS-070079"/>
    <x v="158"/>
    <s v="28.554709, 77.265326"/>
    <s v="Trinity"/>
    <s v="Public-Paid"/>
    <s v="3.3 kW"/>
    <s v="OCPP"/>
    <n v="1"/>
    <x v="0"/>
    <n v="0"/>
    <n v="0.997"/>
    <n v="0"/>
    <n v="0"/>
    <n v="0"/>
    <n v="0"/>
    <n v="0"/>
    <n v="0"/>
    <n v="0"/>
    <n v="0"/>
    <n v="2.7330000000000001"/>
    <n v="0"/>
    <n v="0"/>
    <n v="0"/>
    <n v="0"/>
    <n v="1.2610000000000001"/>
    <n v="0"/>
    <n v="0"/>
    <n v="0"/>
    <n v="0"/>
    <n v="0"/>
    <n v="0"/>
    <n v="0"/>
    <n v="0"/>
    <m/>
    <m/>
    <m/>
    <m/>
    <m/>
    <m/>
    <m/>
    <n v="0.20795833333333333"/>
    <n v="0.20795833333333333"/>
  </r>
  <r>
    <n v="187"/>
    <x v="42"/>
    <s v="EVCS-070085"/>
    <x v="159"/>
    <s v="28.673634, 77.283798"/>
    <s v="Trinity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188"/>
    <x v="42"/>
    <s v="EVCS-070102"/>
    <x v="160"/>
    <s v="28.633591, 77.216527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"/>
    <n v="0"/>
    <n v="0"/>
    <n v="5.2690000000000001"/>
    <n v="0"/>
    <n v="4.63"/>
    <m/>
    <m/>
    <m/>
    <m/>
    <m/>
    <m/>
    <m/>
    <n v="0.46412499999999995"/>
    <n v="0.46412499999999995"/>
  </r>
  <r>
    <n v="189"/>
    <x v="42"/>
    <s v="EVCS-070101"/>
    <x v="161"/>
    <s v="28.629122, 77.21832"/>
    <s v="Trinity"/>
    <s v="Public-Paid"/>
    <s v="7.4 kW"/>
    <s v="OCPP"/>
    <n v="1"/>
    <x v="0"/>
    <n v="0"/>
    <n v="0"/>
    <n v="37.675000000000004"/>
    <n v="15.183999999999999"/>
    <n v="0"/>
    <n v="0"/>
    <n v="0"/>
    <n v="0"/>
    <n v="0"/>
    <n v="0"/>
    <n v="0"/>
    <n v="0"/>
    <n v="0"/>
    <n v="0"/>
    <n v="0"/>
    <n v="0"/>
    <n v="3.0510000000000002"/>
    <n v="9.2360000000000007"/>
    <n v="0"/>
    <n v="0"/>
    <n v="0"/>
    <n v="0"/>
    <n v="0"/>
    <n v="0"/>
    <m/>
    <m/>
    <m/>
    <m/>
    <m/>
    <m/>
    <m/>
    <n v="2.7144166666666667"/>
    <n v="2.7144166666666667"/>
  </r>
  <r>
    <n v="190"/>
    <x v="42"/>
    <s v="EVCS-070071"/>
    <x v="162"/>
    <s v="28.508982, 77.17743"/>
    <s v="Trinity"/>
    <s v="Public-Paid"/>
    <s v="3.3 kW"/>
    <s v="OCPP"/>
    <n v="1"/>
    <x v="0"/>
    <n v="0"/>
    <n v="0.11899999999999999"/>
    <n v="0"/>
    <n v="0.996"/>
    <n v="5.6550000000000002"/>
    <n v="0"/>
    <n v="0"/>
    <n v="1.3029999999999999"/>
    <n v="0"/>
    <n v="0"/>
    <n v="0"/>
    <n v="4.9359999999999999"/>
    <n v="1.226"/>
    <n v="2.6909999999999998"/>
    <n v="0"/>
    <n v="4.194"/>
    <n v="14.737"/>
    <n v="0"/>
    <n v="2.0070000000000001"/>
    <n v="3.7750000000000004"/>
    <n v="0"/>
    <n v="0"/>
    <n v="0"/>
    <n v="8.0670000000000002"/>
    <m/>
    <m/>
    <m/>
    <m/>
    <m/>
    <m/>
    <m/>
    <n v="2.0710833333333332"/>
    <n v="2.0710833333333332"/>
  </r>
  <r>
    <n v="191"/>
    <x v="42"/>
    <s v="EVCS-070073"/>
    <x v="163"/>
    <s v="28.542312, 77.222073"/>
    <s v="Trinity"/>
    <s v="Public-Paid"/>
    <s v="3.3 kW"/>
    <s v="OCPP"/>
    <n v="1"/>
    <x v="0"/>
    <n v="0"/>
    <n v="0"/>
    <n v="0"/>
    <n v="0"/>
    <n v="0"/>
    <n v="0"/>
    <n v="0"/>
    <n v="8.7620000000000005"/>
    <n v="2.04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45025000000000004"/>
    <n v="0.45025000000000004"/>
  </r>
  <r>
    <n v="192"/>
    <x v="42"/>
    <s v="EVCS-070072"/>
    <x v="164"/>
    <s v="28.526684, 77.186278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093"/>
    <n v="0"/>
    <n v="0"/>
    <n v="0"/>
    <m/>
    <m/>
    <m/>
    <m/>
    <m/>
    <m/>
    <m/>
    <n v="0.6705416666666667"/>
    <n v="0.6705416666666667"/>
  </r>
  <r>
    <n v="193"/>
    <x v="42"/>
    <s v="EVCS-070086"/>
    <x v="165"/>
    <s v="28.672012, 77.273094"/>
    <s v="Trinity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E-3"/>
    <n v="0"/>
    <n v="0"/>
    <n v="0"/>
    <n v="0"/>
    <n v="0"/>
    <m/>
    <m/>
    <m/>
    <m/>
    <m/>
    <m/>
    <m/>
    <n v="8.3333333333333331E-5"/>
    <n v="8.3333333333333331E-5"/>
  </r>
  <r>
    <n v="194"/>
    <x v="42"/>
    <s v="EVCS-070080"/>
    <x v="166"/>
    <s v="28.568895, 77.221629"/>
    <s v="Trinity"/>
    <s v="Public-Paid"/>
    <s v="7.4 kW"/>
    <s v="OCPP"/>
    <n v="1"/>
    <x v="0"/>
    <m/>
    <m/>
    <m/>
    <m/>
    <m/>
    <m/>
    <m/>
    <n v="0"/>
    <n v="0"/>
    <n v="0"/>
    <n v="4.7809999999999997"/>
    <n v="0"/>
    <n v="0"/>
    <n v="1E-3"/>
    <n v="0"/>
    <n v="0"/>
    <n v="0"/>
    <n v="0"/>
    <n v="0"/>
    <n v="0"/>
    <n v="0"/>
    <n v="0"/>
    <n v="0"/>
    <n v="0"/>
    <m/>
    <m/>
    <m/>
    <m/>
    <m/>
    <m/>
    <m/>
    <m/>
    <m/>
  </r>
  <r>
    <n v="195"/>
    <x v="43"/>
    <s v="EVCS-050002"/>
    <x v="167"/>
    <s v="30.355852, 78.0851"/>
    <s v="Trinity"/>
    <s v="Public-Paid"/>
    <s v="60 kw"/>
    <s v="DC Charger"/>
    <n v="1"/>
    <x v="0"/>
    <n v="0"/>
    <n v="5.52"/>
    <n v="0"/>
    <n v="0"/>
    <n v="16.169999999999998"/>
    <n v="0"/>
    <n v="0"/>
    <n v="2.2200000000000002"/>
    <n v="12.76"/>
    <n v="0"/>
    <n v="0"/>
    <n v="3.77"/>
    <n v="25.5"/>
    <n v="3.94"/>
    <n v="0"/>
    <n v="0"/>
    <n v="0"/>
    <n v="3.8"/>
    <n v="5.48"/>
    <n v="0"/>
    <n v="0"/>
    <n v="0"/>
    <n v="12.55"/>
    <n v="11.12"/>
    <m/>
    <m/>
    <m/>
    <m/>
    <m/>
    <m/>
    <m/>
    <n v="4.284583333333333"/>
    <n v="4.284583333333333"/>
  </r>
  <r>
    <n v="196"/>
    <x v="44"/>
    <s v="EVCS-040002"/>
    <x v="168"/>
    <s v="30.719113, 76.782929"/>
    <s v="Trinity"/>
    <s v="Public-Paid"/>
    <s v="60 kw"/>
    <s v="DC Charger"/>
    <n v="1"/>
    <x v="0"/>
    <n v="0"/>
    <n v="7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.29375000000000001"/>
    <n v="0.29375000000000001"/>
  </r>
  <r>
    <n v="197"/>
    <x v="42"/>
    <s v="EVCS-070097"/>
    <x v="169"/>
    <s v="28.489981, 77.139559"/>
    <s v="Trinity"/>
    <s v="Public-Paid"/>
    <s v="3.3 kW"/>
    <s v="OCPP"/>
    <n v="1"/>
    <x v="0"/>
    <n v="0"/>
    <n v="0"/>
    <n v="2.2429999999999999"/>
    <n v="0"/>
    <n v="0"/>
    <n v="0"/>
    <n v="0"/>
    <n v="0.42099999999999999"/>
    <n v="0"/>
    <n v="0"/>
    <n v="0"/>
    <n v="1.5129999999999999"/>
    <n v="0"/>
    <n v="2.1509999999999998"/>
    <n v="0"/>
    <n v="0"/>
    <n v="8.9689999999999994"/>
    <n v="9.9960000000000004"/>
    <n v="0"/>
    <n v="2.6960000000000002"/>
    <n v="0"/>
    <n v="0"/>
    <n v="4.9380000000000006"/>
    <n v="0"/>
    <m/>
    <m/>
    <m/>
    <m/>
    <m/>
    <m/>
    <m/>
    <n v="1.3719583333333334"/>
    <n v="1.3719583333333334"/>
  </r>
  <r>
    <n v="198"/>
    <x v="44"/>
    <s v="EVCS-040005"/>
    <x v="170"/>
    <s v="30.72389, 76.76767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18.018000000000001"/>
    <n v="0"/>
    <n v="0"/>
    <n v="0"/>
    <n v="0"/>
    <n v="0"/>
    <n v="0"/>
    <n v="0"/>
    <n v="30.242999999999999"/>
    <n v="0.66200000000000003"/>
    <n v="0"/>
    <n v="0"/>
    <m/>
    <m/>
    <m/>
    <m/>
    <m/>
    <m/>
    <m/>
    <n v="2.0384583333333333"/>
    <n v="2.0384583333333333"/>
  </r>
  <r>
    <n v="199"/>
    <x v="42"/>
    <m/>
    <x v="171"/>
    <m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0"/>
    <x v="42"/>
    <m/>
    <x v="172"/>
    <m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1"/>
    <x v="42"/>
    <m/>
    <x v="173"/>
    <m/>
    <s v="MCD"/>
    <s v="Public-Paid"/>
    <s v="3.3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2"/>
    <x v="42"/>
    <m/>
    <x v="174"/>
    <m/>
    <m/>
    <s v="Public-Paid"/>
    <s v="3.3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3"/>
    <x v="42"/>
    <m/>
    <x v="175"/>
    <m/>
    <s v="ETO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4"/>
    <x v="42"/>
    <m/>
    <x v="176"/>
    <m/>
    <s v="ETO"/>
    <s v="Public-Free"/>
    <s v="3.3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5"/>
    <x v="45"/>
    <s v="EVCS-100002"/>
    <x v="177"/>
    <s v="25.620626, 85.031555"/>
    <s v="Flipkart"/>
    <s v="Public-Paid"/>
    <s v="3.3KW"/>
    <s v="OCPP"/>
    <n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6"/>
    <x v="45"/>
    <s v="EVCS-100001"/>
    <x v="178"/>
    <s v="25.5633800330351, 85.1862382675498"/>
    <s v="Flipkart"/>
    <s v="Public-Paid"/>
    <s v="3.3KW"/>
    <s v="OCPP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n v="0"/>
    <n v="0"/>
  </r>
  <r>
    <n v="207"/>
    <x v="42"/>
    <s v="EVCS-070094"/>
    <x v="179"/>
    <s v="28.605577, 77.146056"/>
    <s v="Trinity"/>
    <s v="Public-Paid"/>
    <s v="3.3 kW"/>
    <s v="OCPP"/>
    <n v="1"/>
    <x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n v="208"/>
    <x v="42"/>
    <s v="EVCS-070092"/>
    <x v="180"/>
    <s v="28.60506, 77.150078"/>
    <s v="Trinity"/>
    <s v="Public-Paid"/>
    <s v="3.3 kW"/>
    <s v="OCPP"/>
    <n v="1"/>
    <x v="0"/>
    <m/>
    <m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1.375"/>
    <n v="0"/>
    <n v="0"/>
    <n v="0"/>
    <n v="0"/>
    <m/>
    <m/>
    <m/>
    <m/>
    <m/>
    <m/>
    <m/>
    <m/>
    <m/>
  </r>
  <r>
    <n v="209"/>
    <x v="42"/>
    <s v="EVCS-070090"/>
    <x v="181"/>
    <s v="28.659244, 77.128699"/>
    <s v="Trinity"/>
    <s v="Public-Paid"/>
    <s v="3.3 kW"/>
    <s v="OCPP"/>
    <n v="1"/>
    <x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999999999999999E-2"/>
    <n v="0"/>
    <n v="0"/>
    <n v="7.0140000000000002"/>
    <m/>
    <m/>
    <m/>
    <m/>
    <m/>
    <m/>
    <m/>
    <m/>
    <m/>
  </r>
  <r>
    <n v="210"/>
    <x v="42"/>
    <s v="EVCS-070081"/>
    <x v="182"/>
    <s v="28.548025, 77.190643"/>
    <s v="Trinity"/>
    <s v="Public-Paid"/>
    <s v="3.3 kW"/>
    <s v="OCPP"/>
    <n v="1"/>
    <x v="0"/>
    <m/>
    <m/>
    <n v="0"/>
    <n v="0"/>
    <n v="0"/>
    <n v="0.273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n v="211"/>
    <x v="42"/>
    <s v="EVCS-070098"/>
    <x v="183"/>
    <s v="28.569782, 77.238144"/>
    <s v="Trinity"/>
    <s v="Public-Paid"/>
    <s v="3.3 kW"/>
    <s v="OCPP"/>
    <n v="1"/>
    <x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n v="212"/>
    <x v="42"/>
    <s v="EVCS-070088"/>
    <x v="184"/>
    <s v="28.569618, 77.164032"/>
    <s v="Trinity"/>
    <s v="Public-Paid"/>
    <s v="3.3 kW"/>
    <s v="OCPP"/>
    <n v="1"/>
    <x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n v="213"/>
    <x v="42"/>
    <s v="EVCS-070075"/>
    <x v="185"/>
    <s v="28.55888, 77.206978"/>
    <s v="Trinity"/>
    <s v="Public-Paid"/>
    <s v="3.3 kW"/>
    <s v="OCPP"/>
    <n v="1"/>
    <x v="0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">
  <r>
    <n v="1"/>
    <x v="0"/>
    <s v="EVCS-360003"/>
    <x v="0"/>
    <s v="Amazon"/>
    <s v="Public-Paid"/>
    <s v="3.3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s v="EVCS-360004"/>
    <x v="1"/>
    <s v="Amazon"/>
    <s v="Public-Paid"/>
    <s v="3.3KW"/>
    <s v="OCPP"/>
    <n v="9"/>
    <x v="0"/>
    <n v="134.57100000000003"/>
    <n v="137.62099999999998"/>
    <n v="150.48400000000004"/>
    <n v="174.55600000000004"/>
    <n v="153.61800000000002"/>
    <n v="146.42600000000002"/>
    <n v="124.15900000000002"/>
    <n v="101.50800000000001"/>
    <n v="189.24100000000013"/>
    <n v="168.11299999999997"/>
    <n v="198.87200000000007"/>
    <n v="189.64699999999996"/>
    <n v="151.68100000000001"/>
    <n v="178.13200000000001"/>
    <n v="147.46599999999998"/>
    <n v="147.45500000000004"/>
    <n v="150.03299999999996"/>
    <n v="145.03300000000002"/>
    <n v="177.75699999999995"/>
    <n v="187.42699999999999"/>
    <n v="196.45099999999999"/>
    <n v="163.65600000000003"/>
    <n v="167.43499999999997"/>
    <n v="169.66599999999997"/>
    <n v="174.57899999999998"/>
    <n v="185.28099999999998"/>
    <n v="168.00800000000001"/>
    <n v="152.96199999999999"/>
    <n v="180.65"/>
    <n v="170.26700000000002"/>
    <n v="162.75849999999997"/>
    <n v="18.084277777777775"/>
  </r>
  <r>
    <n v="3"/>
    <x v="0"/>
    <s v="EVCS-360005"/>
    <x v="2"/>
    <s v="Amazon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s v="EVCS-360017"/>
    <x v="3"/>
    <s v="Trinity"/>
    <s v="Public-Paid"/>
    <s v="3.3KW"/>
    <s v="OCPP"/>
    <n v="29"/>
    <x v="1"/>
    <n v="588.21100000000013"/>
    <n v="536.23199999999986"/>
    <n v="462.42000000000007"/>
    <n v="546.18799999999999"/>
    <n v="527.5680000000001"/>
    <n v="514.01200000000006"/>
    <n v="626.87499999999989"/>
    <n v="596.87800000000016"/>
    <n v="578.58199999999977"/>
    <n v="664.21699999999987"/>
    <n v="606.70299999999997"/>
    <n v="556.18500000000006"/>
    <n v="583.971"/>
    <n v="532.08600000000001"/>
    <n v="517.12800000000004"/>
    <n v="535.56000000000006"/>
    <n v="566.59"/>
    <n v="441.54399999999987"/>
    <n v="524.74299999999994"/>
    <n v="499.42800000000005"/>
    <n v="463.67699999999985"/>
    <n v="617.95699999999988"/>
    <n v="454.73299999999995"/>
    <n v="605.97299999999996"/>
    <n v="499.63299999999981"/>
    <n v="597.10099999999989"/>
    <n v="532.8610000000001"/>
    <n v="439.86199999999985"/>
    <n v="553.37199999999996"/>
    <n v="446.03100000000012"/>
    <n v="540.54403333333335"/>
    <n v="18.639449425287356"/>
  </r>
  <r>
    <n v="5"/>
    <x v="0"/>
    <s v="EVCS-360067"/>
    <x v="4"/>
    <s v="Trinity"/>
    <s v="Public-Paid"/>
    <s v="12KW"/>
    <s v="DC Charger"/>
    <n v="8"/>
    <x v="1"/>
    <n v="209.07999999999998"/>
    <n v="205.16"/>
    <n v="132.27000000000001"/>
    <n v="168.22"/>
    <n v="123.97999999999999"/>
    <n v="147.21999999999997"/>
    <n v="148.73000000000005"/>
    <n v="172.80700000000002"/>
    <n v="0"/>
    <n v="190.83"/>
    <n v="175.66000000000005"/>
    <n v="240.38099999999997"/>
    <n v="280.99"/>
    <n v="209.82999999999998"/>
    <n v="215.89000000000004"/>
    <n v="172.1"/>
    <n v="179.88000000000002"/>
    <n v="214.91000000000005"/>
    <n v="253.34"/>
    <n v="218.05999999999992"/>
    <n v="239.27"/>
    <n v="201.91000000000003"/>
    <n v="202.76"/>
    <n v="160.72999999999999"/>
    <n v="128.50000000000003"/>
    <n v="160.05999999999997"/>
    <n v="135.58999999999997"/>
    <n v="217.29"/>
    <n v="221.95000000000002"/>
    <n v="256.03999999999996"/>
    <n v="186.1146"/>
    <n v="23.264324999999999"/>
  </r>
  <r>
    <n v="6"/>
    <x v="0"/>
    <s v="EVCS-360019"/>
    <x v="5"/>
    <s v="Trinity"/>
    <s v="Public-Paid"/>
    <s v="3.3KW"/>
    <s v="OCPP"/>
    <n v="6"/>
    <x v="1"/>
    <n v="36.277000000000001"/>
    <n v="29.665000000000003"/>
    <n v="41.283000000000001"/>
    <n v="26.960999999999995"/>
    <n v="35.912999999999997"/>
    <n v="44.231999999999999"/>
    <n v="23.312999999999999"/>
    <n v="39.429000000000002"/>
    <n v="33.844999999999999"/>
    <n v="39.152999999999999"/>
    <n v="45.875"/>
    <n v="30.721"/>
    <n v="38.363"/>
    <n v="39.785000000000004"/>
    <n v="35.070000000000007"/>
    <n v="38.073999999999998"/>
    <n v="31.655000000000001"/>
    <n v="29.602"/>
    <n v="35.900999999999996"/>
    <n v="30.862000000000002"/>
    <n v="32.36"/>
    <n v="28.347999999999999"/>
    <n v="25.579000000000001"/>
    <n v="34.886000000000003"/>
    <n v="30.308999999999997"/>
    <n v="28.259999999999998"/>
    <n v="29.393999999999998"/>
    <n v="30.594000000000001"/>
    <n v="28.971999999999998"/>
    <n v="32.082000000000001"/>
    <n v="33.558766666666664"/>
    <n v="5.5931277777777773"/>
  </r>
  <r>
    <n v="7"/>
    <x v="0"/>
    <s v="EVCS-360020"/>
    <x v="6"/>
    <s v="ETO"/>
    <s v="Public-Paid"/>
    <s v="3.3KW"/>
    <s v="OCPP"/>
    <n v="3"/>
    <x v="2"/>
    <n v="67.426000000000002"/>
    <n v="85.736000000000004"/>
    <n v="85.144000000000005"/>
    <n v="75.652000000000015"/>
    <n v="80.740000000000009"/>
    <n v="117.854"/>
    <n v="55.146000000000001"/>
    <n v="101.601"/>
    <n v="110.18"/>
    <n v="114.825"/>
    <n v="108.54700000000001"/>
    <n v="105.38500000000001"/>
    <n v="42.794000000000004"/>
    <n v="82.355999999999995"/>
    <n v="102.221"/>
    <n v="97.345000000000013"/>
    <n v="72.734999999999999"/>
    <n v="82.474000000000018"/>
    <n v="87.460000000000008"/>
    <n v="115.33499999999999"/>
    <n v="97.818000000000012"/>
    <n v="97.899000000000001"/>
    <n v="60.726000000000006"/>
    <n v="61.154000000000003"/>
    <n v="91.472999999999999"/>
    <n v="95.99799999999999"/>
    <n v="83.965000000000003"/>
    <n v="81"/>
    <n v="118.04400000000001"/>
    <n v="131.37400000000002"/>
    <n v="90.346900000000005"/>
    <n v="30.115633333333335"/>
  </r>
  <r>
    <n v="8"/>
    <x v="0"/>
    <s v="EVCS-360028"/>
    <x v="7"/>
    <s v="Trinity"/>
    <s v="Public-Free"/>
    <s v="3.3KW"/>
    <s v="OCPP"/>
    <n v="1"/>
    <x v="3"/>
    <n v="3.3570000000000002"/>
    <n v="0"/>
    <n v="0"/>
    <n v="0"/>
    <n v="0"/>
    <n v="0"/>
    <n v="1.677"/>
    <n v="0"/>
    <n v="0"/>
    <n v="0"/>
    <n v="0"/>
    <n v="0"/>
    <n v="3.3490000000000002"/>
    <n v="0"/>
    <n v="0"/>
    <n v="0"/>
    <n v="0"/>
    <n v="0"/>
    <n v="0"/>
    <n v="3.3719999999999999"/>
    <n v="0"/>
    <n v="0"/>
    <n v="0"/>
    <n v="0"/>
    <n v="0"/>
    <n v="0"/>
    <n v="0"/>
    <n v="0"/>
    <n v="0"/>
    <n v="0"/>
    <n v="0.39183333333333337"/>
    <n v="0.39183333333333337"/>
  </r>
  <r>
    <n v="9"/>
    <x v="0"/>
    <s v="EVCS-360030"/>
    <x v="8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0"/>
    <s v="EVCS-360030"/>
    <x v="9"/>
    <s v="Trinity"/>
    <s v="Public-Paid"/>
    <s v="15KW"/>
    <s v="DC Charger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x v="0"/>
    <s v="EVCS-360030"/>
    <x v="9"/>
    <s v="Trinity"/>
    <s v="Public-Paid"/>
    <s v="30 kw 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96"/>
    <n v="0"/>
    <n v="54.819999999999993"/>
    <n v="0"/>
    <n v="49.89"/>
    <n v="0"/>
    <n v="5.12"/>
    <n v="4.1263333333333332"/>
    <n v="4.1263333333333332"/>
  </r>
  <r>
    <n v="12"/>
    <x v="0"/>
    <s v="EVCS-360031"/>
    <x v="10"/>
    <s v="Trinity"/>
    <s v="Public-Paid"/>
    <s v="3.3KW"/>
    <s v="OCPP"/>
    <n v="7"/>
    <x v="1"/>
    <n v="61.942999999999991"/>
    <n v="73.826000000000008"/>
    <n v="73.966999999999999"/>
    <n v="85.478000000000009"/>
    <n v="57.399000000000001"/>
    <n v="75.454999999999998"/>
    <n v="71.916000000000011"/>
    <n v="52.654999999999994"/>
    <n v="85.274000000000001"/>
    <n v="73.721999999999994"/>
    <n v="69.576999999999998"/>
    <n v="47.757999999999996"/>
    <n v="82.739000000000004"/>
    <n v="61.548999999999992"/>
    <n v="77.947000000000003"/>
    <n v="70.915999999999997"/>
    <n v="63.878999999999998"/>
    <n v="58.533000000000001"/>
    <n v="87.503"/>
    <n v="72.554000000000002"/>
    <n v="65.363"/>
    <n v="89.185000000000016"/>
    <n v="67.406000000000006"/>
    <n v="70.167999999999992"/>
    <n v="74.596999999999994"/>
    <n v="94.801000000000016"/>
    <n v="106.97499999999999"/>
    <n v="59.825000000000003"/>
    <n v="99.74199999999999"/>
    <n v="75.346999999999994"/>
    <n v="73.59996666666666"/>
    <n v="10.514280952380952"/>
  </r>
  <r>
    <n v="13"/>
    <x v="0"/>
    <s v="EVCS-360066"/>
    <x v="11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0"/>
    <s v="EVCS-360070"/>
    <x v="12"/>
    <s v="Trinity"/>
    <s v="Public-Paid"/>
    <s v="3.3KW"/>
    <s v="OCPP"/>
    <n v="4"/>
    <x v="0"/>
    <n v="38.954999999999998"/>
    <n v="31.943999999999996"/>
    <n v="33.378"/>
    <n v="36.385000000000005"/>
    <n v="39.768000000000008"/>
    <n v="33.594000000000001"/>
    <n v="35.006999999999998"/>
    <n v="27.725000000000001"/>
    <n v="43.137999999999998"/>
    <n v="31.587"/>
    <n v="48.410000000000004"/>
    <n v="35.531999999999996"/>
    <n v="3.8"/>
    <n v="45.478999999999999"/>
    <n v="28.432000000000002"/>
    <n v="39.958999999999996"/>
    <n v="28.398000000000003"/>
    <n v="37.222000000000001"/>
    <n v="59.254999999999995"/>
    <n v="14.157"/>
    <n v="40.101999999999997"/>
    <n v="35.461999999999996"/>
    <n v="33.726000000000006"/>
    <n v="19.789000000000001"/>
    <n v="31.869"/>
    <n v="23.853999999999999"/>
    <n v="37.167999999999999"/>
    <n v="32.723000000000006"/>
    <n v="31.056999999999999"/>
    <n v="34.718999999999994"/>
    <n v="33.753133333333338"/>
    <n v="8.4382833333333345"/>
  </r>
  <r>
    <n v="15"/>
    <x v="0"/>
    <s v="EVCS-360034"/>
    <x v="13"/>
    <s v="Trinity"/>
    <s v="Public-Paid"/>
    <s v="3.3KW"/>
    <s v="OCPP"/>
    <n v="19"/>
    <x v="1"/>
    <n v="138.54600000000002"/>
    <n v="126.61600000000001"/>
    <n v="203.46300000000008"/>
    <n v="283.89800000000002"/>
    <n v="267.20100000000002"/>
    <n v="283.18099999999993"/>
    <n v="232.41000000000005"/>
    <n v="225.249"/>
    <n v="237.77700000000002"/>
    <n v="314.44400000000002"/>
    <n v="273.37299999999999"/>
    <n v="201.06699999999998"/>
    <n v="198.45599999999996"/>
    <n v="193.74200000000002"/>
    <n v="160.35099999999997"/>
    <n v="158.39400000000001"/>
    <n v="165.27799999999999"/>
    <n v="173.65899999999991"/>
    <n v="199.56099999999998"/>
    <n v="199.75200000000007"/>
    <n v="204.79"/>
    <n v="171.51199999999997"/>
    <n v="175.39800000000002"/>
    <n v="225.14300000000003"/>
    <n v="163.12700000000001"/>
    <n v="148.25900000000004"/>
    <n v="183.417"/>
    <n v="215.26400000000004"/>
    <n v="205.02100000000002"/>
    <n v="150.52500000000001"/>
    <n v="202.62913333333336"/>
    <n v="10.664691228070177"/>
  </r>
  <r>
    <n v="16"/>
    <x v="0"/>
    <s v="EVCS-360069"/>
    <x v="14"/>
    <s v="Trinity"/>
    <s v="Public-Paid"/>
    <s v="15KW"/>
    <s v="DC Charger"/>
    <n v="1"/>
    <x v="1"/>
    <n v="0"/>
    <n v="0"/>
    <n v="0"/>
    <n v="0"/>
    <n v="0"/>
    <n v="0"/>
    <n v="0"/>
    <n v="0"/>
    <n v="0"/>
    <n v="0"/>
    <n v="0"/>
    <n v="13.719999999999999"/>
    <n v="74.510000000000005"/>
    <n v="42.96"/>
    <n v="82.32"/>
    <n v="62.778999999999996"/>
    <n v="74.579000000000008"/>
    <n v="53.459999999999994"/>
    <n v="59.331000000000003"/>
    <n v="43.210000000000008"/>
    <n v="36.460000000000008"/>
    <n v="60.609999999999992"/>
    <n v="18.119999999999997"/>
    <n v="26.980000000000004"/>
    <n v="63.279999999999994"/>
    <n v="53.362000000000002"/>
    <n v="48.92"/>
    <n v="46.069000000000003"/>
    <n v="49.54"/>
    <n v="30.080000000000002"/>
    <n v="31.343"/>
    <n v="31.343"/>
  </r>
  <r>
    <n v="17"/>
    <x v="0"/>
    <s v="EVCS-360069"/>
    <x v="14"/>
    <s v="Trinity"/>
    <s v="Public-Paid"/>
    <s v="12KW"/>
    <s v="DC Charger"/>
    <n v="2"/>
    <x v="1"/>
    <n v="35.28"/>
    <n v="48.59"/>
    <n v="34.119999999999997"/>
    <n v="18.71"/>
    <n v="7.49"/>
    <n v="14.879999999999999"/>
    <n v="10.050000000000001"/>
    <n v="6.7899999999999991"/>
    <n v="161.59999999999997"/>
    <n v="0"/>
    <n v="11.719999999999999"/>
    <n v="45.13"/>
    <n v="18.049999999999997"/>
    <n v="47.06"/>
    <n v="29.81"/>
    <n v="32.79"/>
    <n v="53.97"/>
    <n v="20.189999999999998"/>
    <n v="27.15"/>
    <n v="42.31"/>
    <n v="23.4"/>
    <n v="12.96"/>
    <n v="25.85"/>
    <n v="29.38"/>
    <n v="3.7199999999999998"/>
    <n v="14.61"/>
    <n v="27.959999999999997"/>
    <n v="0"/>
    <n v="30.699999999999996"/>
    <n v="17.57"/>
    <n v="28.394666666666676"/>
    <n v="14.197333333333338"/>
  </r>
  <r>
    <n v="18"/>
    <x v="0"/>
    <s v="EVCS-360058"/>
    <x v="15"/>
    <s v="Trinity"/>
    <s v="Public-Paid"/>
    <s v="3.3KW"/>
    <s v="OCPP"/>
    <n v="8"/>
    <x v="1"/>
    <n v="73.313999999999993"/>
    <n v="88.98599999999999"/>
    <n v="93.214999999999989"/>
    <n v="108.41999999999999"/>
    <n v="92.193000000000012"/>
    <n v="72.640999999999991"/>
    <n v="110.149"/>
    <n v="70.932000000000002"/>
    <n v="78.595000000000013"/>
    <n v="71.322999999999993"/>
    <n v="76.402999999999992"/>
    <n v="55.070999999999998"/>
    <n v="47.388999999999996"/>
    <n v="72.325999999999993"/>
    <n v="70.916000000000011"/>
    <n v="82.070000000000007"/>
    <n v="71.031999999999996"/>
    <n v="87.557000000000002"/>
    <n v="70.64500000000001"/>
    <n v="50.567999999999998"/>
    <n v="49.570999999999991"/>
    <n v="69.206000000000003"/>
    <n v="59.607999999999997"/>
    <n v="77.539999999999992"/>
    <n v="104.17399999999999"/>
    <n v="71.11999999999999"/>
    <n v="108.52999999999999"/>
    <n v="57.247"/>
    <n v="63.505000000000003"/>
    <n v="76.452999999999989"/>
    <n v="76.023299999999978"/>
    <n v="9.5029124999999972"/>
  </r>
  <r>
    <n v="19"/>
    <x v="0"/>
    <s v="EVCS-360035"/>
    <x v="16"/>
    <s v="Trinity"/>
    <s v="Public-Paid"/>
    <s v="7.4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s v="EVCS-360035"/>
    <x v="17"/>
    <s v="Trinity"/>
    <s v="Public-Paid"/>
    <s v="12KW"/>
    <s v="DC Charger"/>
    <n v="1"/>
    <x v="0"/>
    <n v="0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33333333333332E-4"/>
    <n v="3.3333333333333332E-4"/>
  </r>
  <r>
    <n v="21"/>
    <x v="0"/>
    <s v="EVCS-360035"/>
    <x v="17"/>
    <s v="Trinity"/>
    <s v="Public-Paid"/>
    <s v="15KW"/>
    <s v="DC Charger"/>
    <n v="1"/>
    <x v="0"/>
    <n v="15.089"/>
    <n v="0"/>
    <n v="0"/>
    <n v="0"/>
    <n v="0"/>
    <n v="0"/>
    <n v="0"/>
    <n v="0"/>
    <n v="0"/>
    <n v="0"/>
    <n v="0"/>
    <n v="0"/>
    <n v="0"/>
    <n v="0"/>
    <n v="13.79"/>
    <n v="0"/>
    <n v="0"/>
    <n v="16.27"/>
    <n v="0"/>
    <n v="0"/>
    <n v="0"/>
    <n v="0"/>
    <n v="0"/>
    <n v="12.67"/>
    <n v="0"/>
    <n v="0"/>
    <n v="0"/>
    <n v="0"/>
    <n v="0"/>
    <n v="5.0599999999999996"/>
    <n v="2.095966666666667"/>
    <n v="2.095966666666667"/>
  </r>
  <r>
    <n v="22"/>
    <x v="0"/>
    <s v="EVCS-360035"/>
    <x v="17"/>
    <s v="Trinity"/>
    <s v="Public-Paid"/>
    <s v="60 kw"/>
    <s v="DC Charger"/>
    <n v="1"/>
    <x v="0"/>
    <n v="354.85"/>
    <n v="499.36999999999989"/>
    <n v="399.17800000000005"/>
    <n v="436.90000000000009"/>
    <n v="189.22599999999997"/>
    <n v="122.572"/>
    <n v="433.05"/>
    <n v="245.55199999999999"/>
    <n v="475.22599999999994"/>
    <n v="319.14799999999991"/>
    <n v="406.25"/>
    <n v="83.85"/>
    <n v="145.22000000000003"/>
    <n v="334.12399999999997"/>
    <n v="415.04399999999993"/>
    <n v="435.85"/>
    <n v="467.77800000000002"/>
    <n v="321.84999999999997"/>
    <n v="117.32399999999998"/>
    <n v="107.19999999999997"/>
    <n v="357.47200000000009"/>
    <n v="469.36799999999999"/>
    <n v="456.17799999999994"/>
    <n v="396.59599999999995"/>
    <n v="310.60000000000002"/>
    <n v="128.696"/>
    <n v="197.04800000000006"/>
    <n v="388.02799999999996"/>
    <n v="563.05200000000025"/>
    <n v="546.19599999999969"/>
    <n v="337.42653333333334"/>
    <n v="337.42653333333334"/>
  </r>
  <r>
    <n v="23"/>
    <x v="0"/>
    <s v="EVCS-360035"/>
    <x v="16"/>
    <s v="Trinity"/>
    <s v="Public-Paid"/>
    <s v="120KW"/>
    <s v="DC Charger"/>
    <n v="1"/>
    <x v="0"/>
    <n v="371.85"/>
    <n v="478.80999999999995"/>
    <n v="506.87000000000012"/>
    <n v="400.04000000000008"/>
    <n v="244.98999999999995"/>
    <n v="214.43"/>
    <n v="450.69999999999993"/>
    <n v="270.63"/>
    <n v="378.18999999999988"/>
    <n v="445.31"/>
    <n v="434.72999999999985"/>
    <n v="133.11000000000001"/>
    <n v="212.5"/>
    <n v="367.02999999999986"/>
    <n v="505.41999999999996"/>
    <n v="532.48"/>
    <n v="521.30999999999983"/>
    <n v="347.11"/>
    <n v="200.38"/>
    <n v="193.14"/>
    <n v="430.95999999999992"/>
    <n v="460.24"/>
    <n v="504.29000000000019"/>
    <n v="392.79"/>
    <n v="488.66999999999996"/>
    <n v="251.39000000000004"/>
    <n v="180.01999999999995"/>
    <n v="445.83999999999992"/>
    <n v="535.69000000000017"/>
    <n v="638.66"/>
    <n v="384.58600000000007"/>
    <n v="384.58600000000007"/>
  </r>
  <r>
    <n v="24"/>
    <x v="0"/>
    <s v="EVCS-360035"/>
    <x v="16"/>
    <s v="Trinity"/>
    <s v="Public-Paid"/>
    <s v="240kw"/>
    <s v="DC Charger"/>
    <n v="1"/>
    <x v="0"/>
    <n v="0"/>
    <n v="0"/>
    <n v="0"/>
    <n v="0"/>
    <n v="62.15"/>
    <n v="11.2"/>
    <n v="155.375"/>
    <n v="62.024999999999999"/>
    <n v="42.1"/>
    <n v="0"/>
    <n v="280.92500000000001"/>
    <n v="0"/>
    <n v="0"/>
    <n v="0"/>
    <n v="95.724999999999994"/>
    <n v="84.35"/>
    <n v="289.89999999999998"/>
    <n v="397.125"/>
    <n v="75.95"/>
    <n v="484.17499999999995"/>
    <n v="779.9"/>
    <n v="274.25"/>
    <n v="490.92499999999995"/>
    <n v="307.87399999999997"/>
    <n v="419.79999999999995"/>
    <n v="478.65000000000003"/>
    <n v="419.92500000000001"/>
    <n v="353.32499999999999"/>
    <n v="733.99999999999977"/>
    <n v="336.05"/>
    <n v="221.18996666666666"/>
    <n v="221.18996666666666"/>
  </r>
  <r>
    <n v="25"/>
    <x v="0"/>
    <s v="EVCS-360041"/>
    <x v="18"/>
    <s v="Trinity"/>
    <s v="Public-Paid"/>
    <s v="3.3KW"/>
    <s v="OCPP"/>
    <n v="7"/>
    <x v="1"/>
    <n v="189.61599999999999"/>
    <n v="226.19200000000004"/>
    <n v="227.24299999999999"/>
    <n v="237.43800000000005"/>
    <n v="208.37800000000004"/>
    <n v="163.45599999999999"/>
    <n v="225.31"/>
    <n v="242.22800000000007"/>
    <n v="234.25799999999998"/>
    <n v="197.19900000000001"/>
    <n v="303.37499999999994"/>
    <n v="186.75899999999999"/>
    <n v="174.99800000000002"/>
    <n v="185.42999999999998"/>
    <n v="249.09900000000016"/>
    <n v="223.75500000000008"/>
    <n v="203.25399999999996"/>
    <n v="198.91499999999999"/>
    <n v="186.53699999999998"/>
    <n v="187.44200000000001"/>
    <n v="214.25700000000006"/>
    <n v="179.90699999999998"/>
    <n v="182.91000000000003"/>
    <n v="209.928"/>
    <n v="272.06900000000002"/>
    <n v="150.50899999999999"/>
    <n v="198.91700000000003"/>
    <n v="219.82300000000001"/>
    <n v="192.93300000000005"/>
    <n v="87.779999999999973"/>
    <n v="205.3305"/>
    <n v="29.332928571428571"/>
  </r>
  <r>
    <n v="26"/>
    <x v="0"/>
    <s v="EVCS-360036"/>
    <x v="19"/>
    <s v="Trinity"/>
    <s v="Public-Paid"/>
    <s v="3.3KW"/>
    <s v="OCPP"/>
    <n v="1"/>
    <x v="0"/>
    <n v="6.4210000000000003"/>
    <n v="10.446"/>
    <n v="10.865"/>
    <n v="0.46800000000000003"/>
    <n v="1.9629999999999999"/>
    <n v="11.382"/>
    <n v="0"/>
    <n v="1.984"/>
    <n v="6.4080000000000004"/>
    <n v="0.84899999999999998"/>
    <n v="0"/>
    <n v="2.665"/>
    <n v="1.252"/>
    <n v="7.7210000000000001"/>
    <n v="6.4050000000000002"/>
    <n v="9.2479999999999993"/>
    <n v="9.3219999999999992"/>
    <n v="0"/>
    <n v="5.2859999999999996"/>
    <n v="3.4670000000000001"/>
    <n v="3.1320000000000001"/>
    <n v="0"/>
    <n v="0"/>
    <n v="0"/>
    <n v="0.32200000000000001"/>
    <n v="33.85"/>
    <n v="56.880000000000017"/>
    <n v="5.2010000000000005"/>
    <n v="12.221"/>
    <n v="5.6070000000000011"/>
    <n v="7.1121666666666679"/>
    <n v="7.1121666666666679"/>
  </r>
  <r>
    <n v="27"/>
    <x v="0"/>
    <s v="EVCS-360036"/>
    <x v="19"/>
    <s v="Trinity"/>
    <s v="Public-Paid"/>
    <s v="7.4KW"/>
    <s v="OCPP"/>
    <n v="1"/>
    <x v="0"/>
    <n v="15.042000000000002"/>
    <n v="9.923"/>
    <n v="0"/>
    <n v="0"/>
    <n v="18.600000000000001"/>
    <n v="0"/>
    <n v="0"/>
    <n v="31.513000000000002"/>
    <n v="0"/>
    <n v="19.856999999999999"/>
    <n v="0"/>
    <n v="16.158000000000001"/>
    <n v="0"/>
    <n v="0"/>
    <n v="11.65"/>
    <n v="2.105"/>
    <n v="15.806000000000001"/>
    <n v="0"/>
    <n v="0"/>
    <n v="0"/>
    <n v="0"/>
    <n v="34.192999999999998"/>
    <n v="0"/>
    <n v="0"/>
    <n v="66.459000000000003"/>
    <n v="9.5330000000000013"/>
    <n v="8.2759999999999998"/>
    <n v="25.600999999999999"/>
    <n v="0"/>
    <n v="5.1749999999999998"/>
    <n v="9.6630333333333365"/>
    <n v="9.6630333333333365"/>
  </r>
  <r>
    <n v="28"/>
    <x v="0"/>
    <s v="EVCS-360036"/>
    <x v="20"/>
    <s v="Trinity"/>
    <s v="Public-Paid"/>
    <s v="12KW"/>
    <s v="DC Charger"/>
    <n v="3"/>
    <x v="0"/>
    <n v="46.669999999999995"/>
    <n v="0"/>
    <n v="0"/>
    <n v="0.41000000000000003"/>
    <n v="0"/>
    <n v="0"/>
    <n v="0"/>
    <n v="0"/>
    <n v="0"/>
    <n v="0"/>
    <n v="8.32"/>
    <n v="46.74"/>
    <n v="33.869999999999997"/>
    <n v="57.751000000000005"/>
    <n v="69.86"/>
    <n v="55.379999999999995"/>
    <n v="33.729999999999997"/>
    <n v="0"/>
    <n v="26.229999999999997"/>
    <n v="43.26"/>
    <n v="53.970000000000006"/>
    <n v="25.92"/>
    <n v="65.699000000000012"/>
    <n v="45.581000000000003"/>
    <n v="0.18000000000000005"/>
    <n v="0"/>
    <n v="0"/>
    <n v="73.63000000000001"/>
    <n v="65.39"/>
    <n v="103.64"/>
    <n v="28.541033333333335"/>
    <n v="9.5136777777777777"/>
  </r>
  <r>
    <n v="29"/>
    <x v="0"/>
    <s v="EVCS-360036"/>
    <x v="20"/>
    <s v="Trinity"/>
    <s v="Public-Paid"/>
    <s v="2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s v="EVCS-360036"/>
    <x v="20"/>
    <s v="Trinity"/>
    <s v="Public-Paid"/>
    <s v="30  KW"/>
    <s v="DC Charger"/>
    <n v="1"/>
    <x v="0"/>
    <n v="30.560000000000002"/>
    <n v="15.68"/>
    <n v="40.86"/>
    <n v="83.52"/>
    <n v="17.34"/>
    <n v="49.75"/>
    <n v="41.89"/>
    <n v="124.28"/>
    <n v="87.83"/>
    <n v="40.78"/>
    <n v="18.98"/>
    <n v="44.370000000000005"/>
    <n v="38.449999999999996"/>
    <n v="27.009999999999998"/>
    <n v="58.79"/>
    <n v="50.33"/>
    <n v="51.32"/>
    <n v="56.849999999999994"/>
    <n v="13.969999999999999"/>
    <n v="31.279999999999998"/>
    <n v="10.780000000000001"/>
    <n v="35"/>
    <n v="32"/>
    <n v="0"/>
    <n v="114.77999999999999"/>
    <n v="41"/>
    <n v="29.9"/>
    <n v="65.44"/>
    <n v="48.21"/>
    <n v="82.13000000000001"/>
    <n v="46.102666666666678"/>
    <n v="46.102666666666678"/>
  </r>
  <r>
    <n v="31"/>
    <x v="0"/>
    <s v="EVCS-360039"/>
    <x v="21"/>
    <s v="Trinity"/>
    <s v="Public-Paid"/>
    <s v="3.3KW"/>
    <s v="OCPP"/>
    <n v="9"/>
    <x v="1"/>
    <n v="30.41"/>
    <n v="63.247000000000007"/>
    <n v="131.23399999999998"/>
    <n v="146.17099999999999"/>
    <n v="155.40799999999999"/>
    <n v="143.47000000000003"/>
    <n v="183.61"/>
    <n v="142.58400000000006"/>
    <n v="125.19800000000001"/>
    <n v="128.833"/>
    <n v="136.53799999999998"/>
    <n v="177.571"/>
    <n v="144.464"/>
    <n v="177.61199999999999"/>
    <n v="131.65600000000003"/>
    <n v="97.990000000000009"/>
    <n v="155.81700000000001"/>
    <n v="129.86000000000001"/>
    <n v="121.16000000000003"/>
    <n v="87.782000000000025"/>
    <n v="126.21"/>
    <n v="110.80199999999998"/>
    <n v="84.46899999999998"/>
    <n v="126.99400000000001"/>
    <n v="81.655000000000001"/>
    <n v="95.313000000000002"/>
    <n v="210.96400000000006"/>
    <n v="106.83900000000001"/>
    <n v="155.94499999999999"/>
    <n v="95.268000000000015"/>
    <n v="126.83580000000003"/>
    <n v="14.092866666666671"/>
  </r>
  <r>
    <n v="32"/>
    <x v="0"/>
    <s v="EVCS-360071"/>
    <x v="22"/>
    <s v="Trinity"/>
    <s v="Public-Paid"/>
    <s v="15KW"/>
    <s v="DC Charger"/>
    <n v="1"/>
    <x v="1"/>
    <n v="0"/>
    <n v="5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933333333333333"/>
    <n v="0.19933333333333333"/>
  </r>
  <r>
    <n v="33"/>
    <x v="0"/>
    <s v="EVCS-360040"/>
    <x v="23"/>
    <s v="Trinity"/>
    <s v="Public-Paid"/>
    <s v="3.3KW"/>
    <s v="OCPP"/>
    <n v="8"/>
    <x v="1"/>
    <n v="63.131"/>
    <n v="40.367000000000004"/>
    <n v="67.59"/>
    <n v="103.37599999999999"/>
    <n v="63.619000000000007"/>
    <n v="49.634000000000007"/>
    <n v="57.867000000000004"/>
    <n v="81.816999999999979"/>
    <n v="70.894999999999982"/>
    <n v="84.478000000000009"/>
    <n v="79.338000000000008"/>
    <n v="62.38900000000001"/>
    <n v="65.22699999999999"/>
    <n v="76.823000000000008"/>
    <n v="84.911000000000001"/>
    <n v="51.121000000000002"/>
    <n v="78.295999999999978"/>
    <n v="63.146999999999998"/>
    <n v="81.085000000000008"/>
    <n v="88.328000000000003"/>
    <n v="87.812999999999974"/>
    <n v="53.357000000000006"/>
    <n v="33.916000000000004"/>
    <n v="122.807"/>
    <n v="73.152999999999992"/>
    <n v="77.87"/>
    <n v="86.926999999999992"/>
    <n v="58.507000000000005"/>
    <n v="127.52400000000002"/>
    <n v="58.269999999999996"/>
    <n v="73.119433333333333"/>
    <n v="9.1399291666666667"/>
  </r>
  <r>
    <n v="34"/>
    <x v="0"/>
    <s v="EVCS-360040"/>
    <x v="23"/>
    <s v="Trinity"/>
    <s v="Public-Paid"/>
    <s v="7.4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x v="0"/>
    <s v="EVCS-360042"/>
    <x v="24"/>
    <s v="Trinity"/>
    <s v="Public-Paid"/>
    <s v="3.3KW"/>
    <s v="OCPP"/>
    <n v="2"/>
    <x v="2"/>
    <n v="8.7720000000000002"/>
    <n v="17.737000000000002"/>
    <n v="9.4710000000000001"/>
    <n v="18.718000000000004"/>
    <n v="6.120000000000001"/>
    <n v="13.089999999999998"/>
    <n v="22.355999999999998"/>
    <n v="19.871000000000002"/>
    <n v="22.469999999999995"/>
    <n v="23.919"/>
    <n v="27.974999999999994"/>
    <n v="26.875"/>
    <n v="14.974000000000002"/>
    <n v="24.042000000000002"/>
    <n v="24.619000000000003"/>
    <n v="27.609000000000002"/>
    <n v="11.009"/>
    <n v="22.736999999999998"/>
    <n v="25.072000000000003"/>
    <n v="20.512999999999998"/>
    <n v="19.186"/>
    <n v="20.651"/>
    <n v="15.911000000000001"/>
    <n v="29.372999999999998"/>
    <n v="18.113"/>
    <n v="20.164999999999999"/>
    <n v="28.436999999999998"/>
    <n v="9.3309999999999995"/>
    <n v="26.326999999999998"/>
    <n v="25.328999999999997"/>
    <n v="20.025733333333331"/>
    <n v="10.012866666666666"/>
  </r>
  <r>
    <n v="36"/>
    <x v="0"/>
    <s v="EVCS-360043"/>
    <x v="25"/>
    <s v="Trinity"/>
    <s v="Public-Paid"/>
    <s v="3.3KW"/>
    <s v="OCPP"/>
    <n v="11"/>
    <x v="1"/>
    <n v="198.13800000000001"/>
    <n v="111.96"/>
    <n v="173.01900000000003"/>
    <n v="238.67399999999998"/>
    <n v="222.29"/>
    <n v="182.84699999999998"/>
    <n v="75.265999999999991"/>
    <n v="125.53000000000002"/>
    <n v="201.43499999999995"/>
    <n v="165.333"/>
    <n v="177.41899999999998"/>
    <n v="183.14200000000002"/>
    <n v="120.81500000000001"/>
    <n v="63.942"/>
    <n v="115.44799999999998"/>
    <n v="124.88600000000001"/>
    <n v="91.234000000000009"/>
    <n v="91.241"/>
    <n v="69.745000000000005"/>
    <n v="49.690000000000005"/>
    <n v="52.825999999999993"/>
    <n v="41.279000000000003"/>
    <n v="69.903999999999996"/>
    <n v="183.71300000000002"/>
    <n v="145.01899999999998"/>
    <n v="173.98599999999999"/>
    <n v="71.327999999999989"/>
    <n v="72.088999999999999"/>
    <n v="77.039000000000001"/>
    <n v="95.243000000000009"/>
    <n v="125.48266666666665"/>
    <n v="11.407515151515149"/>
  </r>
  <r>
    <n v="37"/>
    <x v="0"/>
    <s v="EVCS-360068"/>
    <x v="26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x v="0"/>
    <s v="EVCS-360044"/>
    <x v="27"/>
    <s v="Trinity"/>
    <s v="Public-Paid"/>
    <s v="3.3KW"/>
    <s v="OCPP"/>
    <n v="1"/>
    <x v="3"/>
    <n v="0"/>
    <n v="0"/>
    <n v="0"/>
    <n v="0.79900000000000004"/>
    <n v="1.7150000000000001"/>
    <n v="0"/>
    <n v="0"/>
    <n v="0"/>
    <n v="0"/>
    <n v="1.8029999999999999"/>
    <n v="0"/>
    <n v="1.133"/>
    <n v="0"/>
    <n v="0"/>
    <n v="0"/>
    <n v="0"/>
    <n v="0"/>
    <n v="0"/>
    <n v="2.0310000000000001"/>
    <n v="0"/>
    <n v="0"/>
    <n v="1.0720000000000001"/>
    <n v="0"/>
    <n v="0"/>
    <n v="0"/>
    <n v="0"/>
    <n v="0"/>
    <n v="1.903"/>
    <n v="0"/>
    <n v="0"/>
    <n v="0.34853333333333336"/>
    <n v="0.34853333333333336"/>
  </r>
  <r>
    <n v="39"/>
    <x v="0"/>
    <s v="EVCS-360045"/>
    <x v="28"/>
    <s v="Trinity"/>
    <s v="Public-Paid"/>
    <s v="3.3KW"/>
    <s v="OCPP"/>
    <n v="6"/>
    <x v="1"/>
    <n v="53.573000000000008"/>
    <n v="73.298000000000002"/>
    <n v="55.528999999999989"/>
    <n v="68.119000000000014"/>
    <n v="100.69799999999998"/>
    <n v="75.176999999999992"/>
    <n v="64.853000000000009"/>
    <n v="75.734000000000023"/>
    <n v="86.142000000000024"/>
    <n v="50.113999999999997"/>
    <n v="129.10399999999998"/>
    <n v="120.509"/>
    <n v="93.447000000000003"/>
    <n v="79.080000000000013"/>
    <n v="110.965"/>
    <n v="118.232"/>
    <n v="107.74000000000002"/>
    <n v="101.73399999999998"/>
    <n v="108.392"/>
    <n v="65.274999999999977"/>
    <n v="26.403999999999993"/>
    <n v="20.737000000000002"/>
    <n v="9.6039999999999992"/>
    <n v="5.9189999999999996"/>
    <n v="10.673999999999999"/>
    <n v="9.4759999999999991"/>
    <n v="11.928000000000001"/>
    <n v="9.0779999999999994"/>
    <n v="16.908999999999999"/>
    <n v="12.896000000000001"/>
    <n v="62.378000000000007"/>
    <n v="10.396333333333335"/>
  </r>
  <r>
    <n v="40"/>
    <x v="0"/>
    <s v="EVCS-360046"/>
    <x v="29"/>
    <s v="Trinity"/>
    <s v="Public-Paid"/>
    <s v="3.3KW"/>
    <s v="OCPP"/>
    <n v="13"/>
    <x v="1"/>
    <n v="51.688000000000002"/>
    <n v="40.028000000000006"/>
    <n v="54.95000000000001"/>
    <n v="63.901999999999994"/>
    <n v="47.635000000000005"/>
    <n v="53.333000000000006"/>
    <n v="61.490000000000009"/>
    <n v="85.596999999999994"/>
    <n v="42.091000000000001"/>
    <n v="46.840999999999994"/>
    <n v="63.459999999999994"/>
    <n v="45.731999999999999"/>
    <n v="37.974000000000004"/>
    <n v="55.852999999999994"/>
    <n v="74.762"/>
    <n v="65.143000000000001"/>
    <n v="96.343000000000004"/>
    <n v="47.945"/>
    <n v="49.414000000000001"/>
    <n v="69.915999999999997"/>
    <n v="43.399000000000001"/>
    <n v="93.168000000000006"/>
    <n v="75.432999999999993"/>
    <n v="64.62299999999999"/>
    <n v="85.73399999999998"/>
    <n v="78.331000000000017"/>
    <n v="79.100000000000009"/>
    <n v="57.883999999999986"/>
    <n v="96.279999999999987"/>
    <n v="86.967999999999989"/>
    <n v="63.833900000000007"/>
    <n v="4.9103000000000003"/>
  </r>
  <r>
    <n v="41"/>
    <x v="0"/>
    <s v="EVCS-360047"/>
    <x v="30"/>
    <s v="Trinity"/>
    <s v="Public-Paid"/>
    <s v="22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x v="0"/>
    <s v="EVCS-360048"/>
    <x v="31"/>
    <s v="Trinity"/>
    <s v="Public-Paid"/>
    <s v="3.3KW"/>
    <s v="OCPP"/>
    <n v="5"/>
    <x v="1"/>
    <n v="12.459"/>
    <n v="10.709"/>
    <n v="7.7789999999999999"/>
    <n v="10.292000000000002"/>
    <n v="8.2789999999999999"/>
    <n v="12.206"/>
    <n v="9.8000000000000007"/>
    <n v="5.58"/>
    <n v="11.704000000000001"/>
    <n v="10.815000000000001"/>
    <n v="8.7620000000000005"/>
    <n v="9.0679999999999996"/>
    <n v="9.4480000000000004"/>
    <n v="14.530000000000001"/>
    <n v="4.3879999999999999"/>
    <n v="16.802"/>
    <n v="2.0529999999999999"/>
    <n v="8.738999999999999"/>
    <n v="9.0289999999999999"/>
    <n v="8.8000000000000007"/>
    <n v="11.396000000000001"/>
    <n v="8.0129999999999999"/>
    <n v="8.1270000000000007"/>
    <n v="11.515000000000001"/>
    <n v="7.7319999999999993"/>
    <n v="3.6"/>
    <n v="3.7360000000000002"/>
    <n v="9.1280000000000001"/>
    <n v="4.8789999999999996"/>
    <n v="4.3620000000000001"/>
    <n v="8.7910000000000004"/>
    <n v="1.7582"/>
  </r>
  <r>
    <n v="43"/>
    <x v="0"/>
    <s v="EVCS-360049"/>
    <x v="32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s v="EVCS-360050"/>
    <x v="33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s v="EVCS-360051"/>
    <x v="34"/>
    <s v="ETO"/>
    <s v="Public-Paid"/>
    <s v="3.3KW"/>
    <s v="OCPP"/>
    <n v="1"/>
    <x v="2"/>
    <n v="0"/>
    <n v="0"/>
    <n v="0"/>
    <n v="3.2549999999999999"/>
    <n v="0"/>
    <n v="0"/>
    <n v="1.738"/>
    <n v="0"/>
    <n v="0"/>
    <n v="0"/>
    <n v="0"/>
    <n v="0"/>
    <n v="0"/>
    <n v="0"/>
    <n v="0"/>
    <n v="2.7109999999999999"/>
    <n v="0.58899999999999997"/>
    <n v="0"/>
    <n v="0"/>
    <n v="0"/>
    <n v="0"/>
    <n v="0"/>
    <n v="0"/>
    <n v="0"/>
    <n v="0"/>
    <n v="1.9259999999999999"/>
    <n v="0"/>
    <n v="1.968"/>
    <n v="0"/>
    <n v="0"/>
    <n v="0.40623333333333339"/>
    <n v="0.40623333333333339"/>
  </r>
  <r>
    <n v="46"/>
    <x v="0"/>
    <s v="EVCS-360052"/>
    <x v="35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0"/>
    <s v="EVCS-360053"/>
    <x v="36"/>
    <s v="Trinity"/>
    <s v="Public-Paid"/>
    <s v="25KW"/>
    <s v="DC Charger"/>
    <n v="2"/>
    <x v="0"/>
    <n v="179.81299999999999"/>
    <n v="255.04399999999998"/>
    <n v="180.06800000000001"/>
    <n v="220.95900000000003"/>
    <n v="166.654"/>
    <n v="78.237999999999985"/>
    <n v="204.84899999999996"/>
    <n v="352.92100000000005"/>
    <n v="293.40499999999997"/>
    <n v="311.303"/>
    <n v="364.89299999999997"/>
    <n v="197.55999999999997"/>
    <n v="84.568999999999988"/>
    <n v="213.87400000000002"/>
    <n v="308.03499999999997"/>
    <n v="353.65600000000001"/>
    <n v="309.82899999999995"/>
    <n v="0"/>
    <n v="152.44299999999998"/>
    <n v="50.620999999999995"/>
    <n v="230.32100000000003"/>
    <n v="385.678"/>
    <n v="360.70599999999996"/>
    <n v="335.84300000000002"/>
    <n v="422.10499999999996"/>
    <n v="171.48699999999999"/>
    <n v="99.460000000000008"/>
    <n v="293.10399999999993"/>
    <n v="320.65299999999996"/>
    <n v="378.81400000000008"/>
    <n v="242.5635"/>
    <n v="121.28175"/>
  </r>
  <r>
    <n v="48"/>
    <x v="0"/>
    <s v="EVCS-360054"/>
    <x v="37"/>
    <s v="Trinity"/>
    <s v="Public-Paid"/>
    <s v="3.3KW"/>
    <s v="OCPP"/>
    <n v="5"/>
    <x v="3"/>
    <n v="8.3000000000000007"/>
    <n v="14.366000000000001"/>
    <n v="3.3019999999999996"/>
    <n v="12.771000000000001"/>
    <n v="8.94"/>
    <n v="1.96"/>
    <n v="6.5449999999999999"/>
    <n v="11.159999999999998"/>
    <n v="21.954999999999998"/>
    <n v="4.8920000000000003"/>
    <n v="24.293000000000003"/>
    <n v="7.6280000000000001"/>
    <n v="9.9789999999999992"/>
    <n v="11.57"/>
    <n v="2.456"/>
    <n v="5.4590000000000005"/>
    <n v="18.904"/>
    <n v="6.68"/>
    <n v="6.7919999999999998"/>
    <n v="7.2350000000000003"/>
    <n v="9.8480000000000008"/>
    <n v="22.663"/>
    <n v="9.1630000000000003"/>
    <n v="6.5839999999999996"/>
    <n v="20.825999999999997"/>
    <n v="8.5850000000000009"/>
    <n v="4.46"/>
    <n v="11.522"/>
    <n v="6.8289999999999997"/>
    <n v="3.5960000000000001"/>
    <n v="9.9754333333333349"/>
    <n v="1.9950866666666669"/>
  </r>
  <r>
    <n v="49"/>
    <x v="0"/>
    <s v="EVCS-360055"/>
    <x v="38"/>
    <s v="Trinity"/>
    <s v="Public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0"/>
    <s v="EVCS-360055"/>
    <x v="38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0"/>
    <s v="EVCS-360057"/>
    <x v="39"/>
    <s v="Trinity"/>
    <s v="Public-Paid"/>
    <s v="3.3KW"/>
    <s v="OCPP"/>
    <n v="1"/>
    <x v="0"/>
    <n v="0"/>
    <n v="0"/>
    <n v="5.4889999999999999"/>
    <n v="5.9669999999999996"/>
    <n v="3.8359999999999999"/>
    <n v="0"/>
    <n v="3.7850000000000001"/>
    <n v="20.032"/>
    <n v="5.9399999999999995"/>
    <n v="3.5379999999999998"/>
    <n v="3.948"/>
    <n v="3.694"/>
    <n v="0"/>
    <n v="4.5440000000000005"/>
    <n v="4.0960000000000001"/>
    <n v="4.2309999999999999"/>
    <n v="3.548"/>
    <n v="1.984"/>
    <n v="0"/>
    <n v="0"/>
    <n v="3.7210000000000001"/>
    <n v="2.9209999999999998"/>
    <n v="2.964"/>
    <n v="2.0550000000000002"/>
    <n v="6.5759999999999996"/>
    <n v="3.07"/>
    <n v="0"/>
    <n v="3.96"/>
    <n v="0"/>
    <n v="0"/>
    <n v="3.3299666666666661"/>
    <n v="3.3299666666666661"/>
  </r>
  <r>
    <n v="52"/>
    <x v="0"/>
    <s v="EVCS-360057"/>
    <x v="39"/>
    <s v="Trinity"/>
    <s v="Public-Paid"/>
    <s v="7.4KW"/>
    <s v="OCPP"/>
    <n v="1"/>
    <x v="0"/>
    <n v="0"/>
    <n v="0"/>
    <n v="0"/>
    <n v="0"/>
    <n v="0"/>
    <n v="0"/>
    <n v="0"/>
    <n v="0"/>
    <n v="0"/>
    <n v="10.51"/>
    <n v="0"/>
    <n v="11.615"/>
    <n v="19.273"/>
    <n v="0"/>
    <n v="0"/>
    <n v="6.5750000000000002"/>
    <n v="0"/>
    <n v="0"/>
    <n v="2.2389999999999999"/>
    <n v="0"/>
    <n v="0"/>
    <n v="0"/>
    <n v="0"/>
    <n v="0"/>
    <n v="0"/>
    <n v="0"/>
    <n v="0"/>
    <n v="0"/>
    <n v="0"/>
    <n v="0"/>
    <n v="1.6737333333333333"/>
    <n v="1.6737333333333333"/>
  </r>
  <r>
    <n v="53"/>
    <x v="0"/>
    <s v="EVCS-360057"/>
    <x v="3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657"/>
    <n v="0"/>
    <n v="0"/>
    <n v="0.48856666666666665"/>
    <n v="0.48856666666666665"/>
  </r>
  <r>
    <n v="54"/>
    <x v="0"/>
    <s v="EVCS-360056"/>
    <x v="40"/>
    <s v="Trinity"/>
    <s v="Public-Paid"/>
    <s v="3.3KW"/>
    <s v="OCPP"/>
    <n v="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x v="0"/>
    <s v="EVCS-360059"/>
    <x v="41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"/>
    <x v="1"/>
    <s v="EVCS-360060"/>
    <x v="4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x v="0"/>
    <s v="EVCS-360061"/>
    <x v="43"/>
    <s v="Trinity"/>
    <s v="Public-Paid"/>
    <s v="3.3KW"/>
    <s v="OCPP"/>
    <n v="1"/>
    <x v="2"/>
    <n v="3.6619999999999999"/>
    <n v="7.9000000000000001E-2"/>
    <n v="0.57199999999999995"/>
    <n v="5.1880000000000006"/>
    <n v="2.78"/>
    <n v="0"/>
    <n v="6.7379999999999995"/>
    <n v="5.44"/>
    <n v="0"/>
    <n v="0.55200000000000005"/>
    <n v="5.8000000000000007"/>
    <n v="0.89100000000000001"/>
    <n v="6.0839999999999996"/>
    <n v="3.3959999999999999"/>
    <n v="3.629"/>
    <n v="3.2040000000000002"/>
    <n v="0"/>
    <n v="1.3320000000000001"/>
    <n v="6.6010000000000009"/>
    <n v="3.839"/>
    <n v="2.1960000000000002"/>
    <n v="0.66500000000000004"/>
    <n v="0"/>
    <n v="1.3579999999999999"/>
    <n v="1.675"/>
    <n v="4.4820000000000002"/>
    <n v="7.992"/>
    <n v="5.2750000000000004"/>
    <n v="2.7690000000000001"/>
    <n v="2.72"/>
    <n v="2.9639666666666669"/>
    <n v="2.9639666666666669"/>
  </r>
  <r>
    <n v="58"/>
    <x v="0"/>
    <s v="EVCS-360062"/>
    <x v="44"/>
    <s v="Trinity"/>
    <s v="Public-Paid"/>
    <s v="3.3KW"/>
    <s v="OCPP"/>
    <n v="10"/>
    <x v="1"/>
    <n v="14.923"/>
    <n v="24.762999999999998"/>
    <n v="54.936000000000007"/>
    <n v="4.9650000000000016"/>
    <n v="30.710999999999999"/>
    <n v="29.585999999999999"/>
    <n v="24.079000000000001"/>
    <n v="34.192"/>
    <n v="24.081"/>
    <n v="43.225000000000001"/>
    <n v="2.2960000000000003"/>
    <n v="39.218000000000004"/>
    <n v="10.207000000000001"/>
    <n v="16.948"/>
    <n v="15.373999999999999"/>
    <n v="25.719000000000001"/>
    <n v="26.582000000000001"/>
    <n v="13.495999999999999"/>
    <n v="1E-3"/>
    <n v="31.89"/>
    <n v="19.370999999999999"/>
    <n v="37.862000000000009"/>
    <n v="23.558"/>
    <n v="53.019999999999996"/>
    <n v="27.173999999999996"/>
    <n v="15.091000000000001"/>
    <n v="16.567"/>
    <n v="28.755000000000003"/>
    <n v="24.274000000000001"/>
    <n v="35.552999999999997"/>
    <n v="24.94723333333333"/>
    <n v="2.494723333333333"/>
  </r>
  <r>
    <n v="59"/>
    <x v="0"/>
    <m/>
    <x v="44"/>
    <s v="Trinity"/>
    <s v="Public-Paid"/>
    <s v="30 kw 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0"/>
    <s v="EVCS-360063"/>
    <x v="45"/>
    <s v="Trinity"/>
    <s v="Public-Paid"/>
    <s v="3.3KW"/>
    <s v="OCPP"/>
    <n v="2"/>
    <x v="2"/>
    <n v="15.998000000000001"/>
    <n v="10.729000000000001"/>
    <n v="21.556000000000001"/>
    <n v="16.738"/>
    <n v="13.635999999999999"/>
    <n v="16.736000000000001"/>
    <n v="12.133000000000001"/>
    <n v="21.274999999999999"/>
    <n v="20.344999999999999"/>
    <n v="16.492999999999999"/>
    <n v="14.95"/>
    <n v="13.138"/>
    <n v="11.618"/>
    <n v="30.405000000000001"/>
    <n v="11.373000000000001"/>
    <n v="22.338999999999999"/>
    <n v="11.167000000000002"/>
    <n v="13.239000000000001"/>
    <n v="11.724"/>
    <n v="10.313000000000001"/>
    <n v="12.355999999999998"/>
    <n v="17.204000000000001"/>
    <n v="7.9820000000000011"/>
    <n v="6.1660000000000004"/>
    <n v="8.5630000000000006"/>
    <n v="14.999000000000001"/>
    <n v="11.333"/>
    <n v="8.3620000000000001"/>
    <n v="16.334"/>
    <n v="23.33"/>
    <n v="14.751133333333335"/>
    <n v="7.3755666666666677"/>
  </r>
  <r>
    <n v="61"/>
    <x v="0"/>
    <m/>
    <x v="46"/>
    <s v="Deccan College of Engg."/>
    <s v="Public-Free"/>
    <s v="3.3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0"/>
    <s v="EVCS-360064"/>
    <x v="47"/>
    <s v="Trinity"/>
    <s v="Public-Paid"/>
    <s v="3.3KW"/>
    <s v="OCPP"/>
    <n v="8"/>
    <x v="1"/>
    <n v="75.393000000000029"/>
    <n v="112.47800000000001"/>
    <n v="96.778000000000006"/>
    <n v="86.084999999999994"/>
    <n v="93.637999999999991"/>
    <n v="76.472999999999999"/>
    <n v="74.163999999999987"/>
    <n v="120.51099999999997"/>
    <n v="83.935999999999993"/>
    <n v="90.451000000000008"/>
    <n v="104.39699999999999"/>
    <n v="61.499999999999993"/>
    <n v="80.180000000000007"/>
    <n v="49.447000000000003"/>
    <n v="95.295000000000002"/>
    <n v="26.894000000000002"/>
    <n v="66.679000000000002"/>
    <n v="21.545999999999999"/>
    <n v="30.265000000000004"/>
    <n v="32.143999999999998"/>
    <n v="61.344999999999999"/>
    <n v="48.142000000000017"/>
    <n v="18.5"/>
    <n v="41.176000000000002"/>
    <n v="9.7129999999999992"/>
    <n v="52.91"/>
    <n v="19.301000000000002"/>
    <n v="37.605999999999995"/>
    <n v="55.028999999999996"/>
    <n v="84.259999999999991"/>
    <n v="63.541200000000011"/>
    <n v="7.9426500000000013"/>
  </r>
  <r>
    <n v="63"/>
    <x v="0"/>
    <m/>
    <x v="48"/>
    <s v="Trinity"/>
    <s v="Public-Paid"/>
    <s v="3.3KW"/>
    <s v="OCPP"/>
    <n v="10"/>
    <x v="1"/>
    <m/>
    <m/>
    <m/>
    <m/>
    <m/>
    <m/>
    <m/>
    <m/>
    <m/>
    <m/>
    <n v="5.444"/>
    <n v="19.125"/>
    <n v="0"/>
    <n v="43.570000000000007"/>
    <n v="67.989000000000004"/>
    <n v="34.762"/>
    <n v="39.594999999999999"/>
    <n v="42.195999999999998"/>
    <n v="29.790000000000003"/>
    <n v="20.375"/>
    <n v="18.214000000000002"/>
    <n v="35.478999999999999"/>
    <n v="51.954000000000001"/>
    <n v="40.947000000000003"/>
    <n v="32.701999999999998"/>
    <n v="46.503"/>
    <n v="6.4180000000000001"/>
    <n v="31.060999999999993"/>
    <n v="39.405999999999999"/>
    <n v="46.048999999999992"/>
    <n v="32.578949999999999"/>
    <n v="3.257895"/>
  </r>
  <r>
    <n v="64"/>
    <x v="0"/>
    <s v="EVCS-360065"/>
    <x v="49"/>
    <s v="Trinity"/>
    <s v="Public-Paid"/>
    <s v="3.3KW"/>
    <s v="OCPP"/>
    <n v="6"/>
    <x v="1"/>
    <n v="62.338000000000001"/>
    <n v="82.742000000000019"/>
    <n v="77.747"/>
    <n v="63.896999999999991"/>
    <n v="71.108999999999995"/>
    <n v="79.149000000000015"/>
    <n v="54.949999999999996"/>
    <n v="76.222999999999985"/>
    <n v="71.871000000000009"/>
    <n v="68.77000000000001"/>
    <n v="54.67"/>
    <n v="68.649000000000001"/>
    <n v="48.543999999999997"/>
    <n v="73.539000000000001"/>
    <n v="64.410000000000011"/>
    <n v="71.487000000000009"/>
    <n v="57.391999999999996"/>
    <n v="48.245000000000012"/>
    <n v="89.346999999999994"/>
    <n v="73.535000000000011"/>
    <n v="79.551999999999992"/>
    <n v="69.460000000000008"/>
    <n v="66.461999999999989"/>
    <n v="85.186999999999983"/>
    <n v="59.161999999999985"/>
    <n v="64.215000000000003"/>
    <n v="61.640999999999991"/>
    <n v="77.428000000000011"/>
    <n v="75.833999999999989"/>
    <n v="47.027999999999999"/>
    <n v="68.152766666666665"/>
    <n v="11.358794444444444"/>
  </r>
  <r>
    <n v="65"/>
    <x v="0"/>
    <s v="EVCS-360072"/>
    <x v="50"/>
    <s v="Trinity"/>
    <s v="Public-Paid"/>
    <s v="60 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x v="0"/>
    <s v="EVCS-360076"/>
    <x v="51"/>
    <s v="Trinity"/>
    <s v="Public-Paid"/>
    <s v="3.3KW"/>
    <s v="OCPP"/>
    <n v="1"/>
    <x v="3"/>
    <n v="0"/>
    <n v="0"/>
    <n v="0"/>
    <n v="0.41299999999999998"/>
    <n v="0"/>
    <n v="2.109"/>
    <n v="0"/>
    <n v="0"/>
    <n v="3.0019999999999998"/>
    <n v="0"/>
    <n v="0"/>
    <n v="0"/>
    <n v="0"/>
    <n v="2.9990000000000001"/>
    <n v="0"/>
    <n v="0"/>
    <n v="0"/>
    <n v="0"/>
    <n v="0"/>
    <n v="0"/>
    <n v="2.0419999999999998"/>
    <n v="0"/>
    <n v="0"/>
    <n v="0"/>
    <n v="0"/>
    <n v="0"/>
    <n v="0"/>
    <n v="0"/>
    <n v="0"/>
    <n v="0"/>
    <n v="0.35216666666666663"/>
    <n v="0.35216666666666663"/>
  </r>
  <r>
    <n v="67"/>
    <x v="0"/>
    <m/>
    <x v="52"/>
    <s v="Trinity"/>
    <s v="Public-Paid"/>
    <s v="3.3KW"/>
    <s v="OCPP"/>
    <n v="2"/>
    <x v="3"/>
    <n v="0"/>
    <n v="3.0209999999999999"/>
    <n v="0"/>
    <n v="2.8319999999999999"/>
    <n v="2.9050000000000002"/>
    <n v="0"/>
    <n v="2.157"/>
    <n v="0"/>
    <n v="1.256"/>
    <n v="2.3330000000000002"/>
    <n v="2.1040000000000001"/>
    <n v="5.1869999999999994"/>
    <n v="0.45400000000000001"/>
    <n v="0.629"/>
    <n v="1.234"/>
    <n v="3.698"/>
    <n v="2.4209999999999998"/>
    <n v="0"/>
    <n v="2.5609999999999999"/>
    <n v="0"/>
    <n v="5.32"/>
    <n v="0"/>
    <n v="1.9870000000000001"/>
    <n v="1.0780000000000001"/>
    <n v="2.7440000000000002"/>
    <n v="1.7999999999999998"/>
    <n v="1.7390000000000001"/>
    <n v="2.347"/>
    <n v="0"/>
    <n v="10.273000000000001"/>
    <n v="2.0026666666666668"/>
    <n v="1.0013333333333334"/>
  </r>
  <r>
    <n v="68"/>
    <x v="0"/>
    <m/>
    <x v="52"/>
    <s v="Trinity"/>
    <s v="Public-Paid"/>
    <s v="7.4KW"/>
    <s v="OCPP"/>
    <n v="2"/>
    <x v="3"/>
    <n v="36.097000000000001"/>
    <n v="0"/>
    <n v="0"/>
    <n v="0"/>
    <n v="0"/>
    <n v="0"/>
    <n v="28.975000000000001"/>
    <n v="3.367"/>
    <n v="6.2560000000000002"/>
    <n v="27.533999999999999"/>
    <n v="0"/>
    <n v="0"/>
    <n v="42.813000000000002"/>
    <n v="0"/>
    <n v="0"/>
    <n v="0"/>
    <n v="26.984999999999999"/>
    <n v="2.089"/>
    <n v="0.88600000000000001"/>
    <n v="7.2970000000000006"/>
    <n v="20.891000000000002"/>
    <n v="4.8860000000000001"/>
    <n v="0"/>
    <n v="0"/>
    <n v="0"/>
    <n v="42.578000000000003"/>
    <n v="0"/>
    <n v="0"/>
    <n v="0"/>
    <n v="0"/>
    <n v="8.3551333333333346"/>
    <n v="4.1775666666666673"/>
  </r>
  <r>
    <n v="69"/>
    <x v="0"/>
    <m/>
    <x v="53"/>
    <s v="Trinity"/>
    <s v="Public-Paid"/>
    <s v="3.3 kW"/>
    <s v="OCPP"/>
    <n v="2"/>
    <x v="3"/>
    <n v="0"/>
    <n v="0"/>
    <n v="0"/>
    <n v="0"/>
    <n v="0"/>
    <n v="2.3929999999999998"/>
    <n v="0"/>
    <n v="0"/>
    <n v="0"/>
    <n v="0"/>
    <n v="0"/>
    <n v="0"/>
    <n v="1.117"/>
    <n v="0"/>
    <n v="0"/>
    <n v="0"/>
    <n v="0"/>
    <n v="0"/>
    <n v="0"/>
    <n v="0"/>
    <n v="0"/>
    <n v="0"/>
    <n v="0"/>
    <n v="0"/>
    <n v="0"/>
    <n v="0"/>
    <n v="0"/>
    <n v="0"/>
    <n v="0"/>
    <n v="0.1"/>
    <n v="0.12033333333333333"/>
    <n v="6.0166666666666667E-2"/>
  </r>
  <r>
    <n v="70"/>
    <x v="0"/>
    <m/>
    <x v="53"/>
    <s v="Trinity"/>
    <s v="Public-Paid"/>
    <s v="7.4 kW"/>
    <s v="OCPP"/>
    <n v="5"/>
    <x v="3"/>
    <n v="5.3739999999999997"/>
    <n v="4.867"/>
    <n v="0"/>
    <n v="0"/>
    <n v="9.0050000000000008"/>
    <n v="0"/>
    <n v="0"/>
    <n v="0"/>
    <n v="0"/>
    <n v="0"/>
    <n v="0"/>
    <n v="0"/>
    <n v="8.0549999999999997"/>
    <n v="0"/>
    <n v="0"/>
    <n v="7.7769999999999992"/>
    <n v="0"/>
    <n v="0"/>
    <n v="0"/>
    <n v="0"/>
    <n v="0"/>
    <n v="0"/>
    <n v="0"/>
    <n v="7.7850000000000001"/>
    <n v="0"/>
    <n v="0"/>
    <n v="12"/>
    <n v="0"/>
    <n v="0"/>
    <n v="2.6259999999999999"/>
    <n v="1.9162999999999999"/>
    <n v="0.38325999999999999"/>
  </r>
  <r>
    <n v="71"/>
    <x v="2"/>
    <m/>
    <x v="54"/>
    <s v="Trinity"/>
    <s v="Public-Paid"/>
    <s v="240 kw"/>
    <s v="DC Charger"/>
    <n v="1"/>
    <x v="0"/>
    <n v="36.549999999999997"/>
    <n v="0"/>
    <n v="0"/>
    <n v="0"/>
    <n v="53.4"/>
    <n v="5.5750000000000002"/>
    <n v="0"/>
    <n v="34.700000000000003"/>
    <n v="340.52500000000003"/>
    <n v="329.2"/>
    <n v="381.94999999999993"/>
    <n v="361.07499999999999"/>
    <n v="299.25"/>
    <n v="195.02500000000001"/>
    <n v="95.3"/>
    <n v="204.9"/>
    <n v="311.99999999999994"/>
    <n v="23.375"/>
    <n v="225.95"/>
    <n v="906.07400000000007"/>
    <n v="120.62499999999999"/>
    <n v="374.45000000000005"/>
    <n v="488.35000000000008"/>
    <n v="576.57500000000005"/>
    <n v="650.87400000000002"/>
    <n v="578.09999999999991"/>
    <n v="578.851"/>
    <n v="479.274"/>
    <n v="401.02499999999998"/>
    <n v="467.22500000000008"/>
    <n v="284.00659999999999"/>
    <n v="284.00659999999999"/>
  </r>
  <r>
    <n v="72"/>
    <x v="0"/>
    <m/>
    <x v="55"/>
    <s v="Trinity"/>
    <s v="Public-Paid"/>
    <s v="240 kw"/>
    <s v="DC Charger"/>
    <n v="4"/>
    <x v="0"/>
    <n v="245.41"/>
    <n v="224.16"/>
    <n v="331.20000000000005"/>
    <n v="354.93999999999988"/>
    <n v="251.39000000000001"/>
    <n v="165.34"/>
    <n v="371.73"/>
    <n v="439.48000000000008"/>
    <n v="539.61"/>
    <n v="372.59"/>
    <n v="388.62000000000006"/>
    <n v="318.75"/>
    <n v="194.57999999999998"/>
    <n v="457.00999999999993"/>
    <n v="648.27"/>
    <n v="606.66999999999985"/>
    <n v="416.3900000000001"/>
    <n v="298.42"/>
    <n v="369.31999999999994"/>
    <n v="247.36000000000004"/>
    <n v="655.83"/>
    <n v="446.36999999999995"/>
    <n v="561.84999999999991"/>
    <n v="463.10000000000008"/>
    <n v="472.42000000000019"/>
    <n v="684.40000000000009"/>
    <n v="295.00000000000006"/>
    <n v="385.06999999999994"/>
    <n v="633.76999999999975"/>
    <n v="618.66000000000008"/>
    <n v="415.25700000000001"/>
    <n v="103.81425"/>
  </r>
  <r>
    <n v="73"/>
    <x v="0"/>
    <m/>
    <x v="55"/>
    <s v="Trinity"/>
    <s v="Public-Paid"/>
    <s v="7.4 kW"/>
    <s v="OCPP"/>
    <n v="2"/>
    <x v="0"/>
    <m/>
    <m/>
    <m/>
    <n v="1.4929999999999999"/>
    <n v="0"/>
    <n v="0"/>
    <n v="3.8940000000000001"/>
    <n v="0"/>
    <n v="0"/>
    <n v="57.155999999999999"/>
    <n v="0.16500000000000001"/>
    <n v="23.34"/>
    <n v="0"/>
    <n v="0"/>
    <n v="19.545000000000002"/>
    <n v="51.31"/>
    <n v="3.3040000000000003"/>
    <n v="0"/>
    <n v="0"/>
    <n v="28.481999999999999"/>
    <n v="0"/>
    <n v="21.038"/>
    <n v="14.566999999999998"/>
    <n v="48.163000000000004"/>
    <n v="0"/>
    <n v="0"/>
    <n v="14.811999999999999"/>
    <n v="5.47"/>
    <n v="35.161000000000001"/>
    <n v="25.764000000000003"/>
    <n v="13.09866666666667"/>
    <n v="6.549333333333335"/>
  </r>
  <r>
    <n v="74"/>
    <x v="0"/>
    <m/>
    <x v="55"/>
    <s v="Trinity"/>
    <s v="Public-Paid"/>
    <s v="3.3 kW"/>
    <s v="OCPP"/>
    <n v="1"/>
    <x v="0"/>
    <m/>
    <m/>
    <m/>
    <m/>
    <m/>
    <m/>
    <m/>
    <m/>
    <n v="0"/>
    <n v="2.593"/>
    <n v="7.3650000000000002"/>
    <n v="8.1739999999999995"/>
    <n v="11.952000000000002"/>
    <n v="5.0609999999999999"/>
    <n v="9.5359999999999996"/>
    <n v="21.633999999999997"/>
    <n v="15.539"/>
    <n v="28.477"/>
    <n v="26.007000000000001"/>
    <n v="12.722"/>
    <n v="21.41"/>
    <n v="14.266"/>
    <n v="7.84"/>
    <n v="26.253"/>
    <n v="18.189"/>
    <n v="30.222000000000001"/>
    <n v="12.82"/>
    <n v="14.308000000000002"/>
    <n v="16.251999999999999"/>
    <n v="9.956999999999999"/>
    <n v="14.571681818181817"/>
    <n v="14.571681818181817"/>
  </r>
  <r>
    <n v="75"/>
    <x v="3"/>
    <m/>
    <x v="56"/>
    <s v="Trinity"/>
    <s v="Public-Paid"/>
    <s v="3.3 kW"/>
    <s v="OCPP"/>
    <n v="1"/>
    <x v="3"/>
    <n v="20.802"/>
    <n v="2.2629999999999999"/>
    <n v="0"/>
    <n v="0"/>
    <n v="0"/>
    <n v="0"/>
    <n v="0"/>
    <n v="1.53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050000000000004"/>
    <n v="0"/>
    <n v="0"/>
    <n v="1.0401666666666667"/>
    <n v="1.0401666666666667"/>
  </r>
  <r>
    <n v="76"/>
    <x v="3"/>
    <m/>
    <x v="56"/>
    <s v="Trinity"/>
    <s v="Public-Paid"/>
    <s v="7.4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33.504999999999995"/>
    <n v="0"/>
    <n v="0"/>
    <n v="0"/>
    <n v="1.728"/>
    <n v="0"/>
    <n v="0"/>
    <n v="0"/>
    <n v="13.259999999999998"/>
    <n v="0"/>
    <n v="0"/>
    <n v="13.925000000000001"/>
    <n v="0"/>
    <n v="0"/>
    <n v="2.0805999999999996"/>
    <n v="2.0805999999999996"/>
  </r>
  <r>
    <n v="77"/>
    <x v="3"/>
    <m/>
    <x v="56"/>
    <s v="Trinity"/>
    <s v="Public-Paid"/>
    <s v="22 kW"/>
    <s v="OCPP"/>
    <n v="1"/>
    <x v="3"/>
    <n v="0"/>
    <n v="0"/>
    <n v="2.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757999999999999"/>
    <n v="0"/>
    <n v="0"/>
    <n v="0"/>
    <n v="0"/>
    <n v="0"/>
    <n v="0.71989999999999987"/>
    <n v="0.71989999999999987"/>
  </r>
  <r>
    <n v="78"/>
    <x v="4"/>
    <s v="EVCS-320001"/>
    <x v="57"/>
    <s v="Trinity"/>
    <s v="Public-Paid"/>
    <s v="15KW"/>
    <s v="DC Charger"/>
    <n v="1"/>
    <x v="0"/>
    <n v="0"/>
    <n v="0"/>
    <n v="0"/>
    <n v="0"/>
    <n v="0"/>
    <n v="0"/>
    <n v="0"/>
    <n v="16.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396666666666661"/>
    <n v="0.55396666666666661"/>
  </r>
  <r>
    <n v="79"/>
    <x v="0"/>
    <m/>
    <x v="58"/>
    <s v="ETO Driver"/>
    <s v="Public-Free"/>
    <s v="3.3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0"/>
    <m/>
    <x v="59"/>
    <s v="HMRL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5"/>
    <m/>
    <x v="60"/>
    <s v="Trinity"/>
    <s v="Public-Paid"/>
    <s v="240 kw"/>
    <s v="DC Charger"/>
    <n v="1"/>
    <x v="0"/>
    <n v="0"/>
    <n v="0"/>
    <n v="0"/>
    <n v="0"/>
    <n v="0"/>
    <n v="0"/>
    <n v="0"/>
    <n v="46.198999999999998"/>
    <n v="151"/>
    <n v="0"/>
    <n v="189.4"/>
    <n v="0"/>
    <n v="0"/>
    <n v="0"/>
    <n v="0"/>
    <n v="0"/>
    <n v="0"/>
    <n v="0"/>
    <n v="355.2"/>
    <n v="205.52500000000001"/>
    <n v="761.875"/>
    <n v="486.45"/>
    <n v="350.4"/>
    <n v="450.20000000000005"/>
    <n v="367.67500000000001"/>
    <n v="472.92499999999995"/>
    <n v="419.22500000000002"/>
    <n v="515.04999999999995"/>
    <n v="362.52499999999998"/>
    <n v="254.72499999999999"/>
    <n v="179.61246666666668"/>
    <n v="179.61246666666668"/>
  </r>
  <r>
    <n v="82"/>
    <x v="5"/>
    <s v="EVCS-370001"/>
    <x v="61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x v="5"/>
    <s v="EVCS-370003"/>
    <x v="62"/>
    <s v="Trinity"/>
    <s v="Public-Paid"/>
    <s v="3.3KW"/>
    <s v="OCPP"/>
    <n v="10"/>
    <x v="2"/>
    <n v="26.632000000000005"/>
    <n v="5.0949999999999998"/>
    <n v="22.042999999999999"/>
    <n v="31.266000000000002"/>
    <n v="51.784000000000006"/>
    <n v="17.083000000000002"/>
    <n v="31.957999999999998"/>
    <n v="51.180999999999997"/>
    <n v="41.345999999999997"/>
    <n v="28.409000000000002"/>
    <n v="35.663000000000004"/>
    <n v="40.197000000000003"/>
    <n v="23.492000000000001"/>
    <n v="25.244"/>
    <n v="49.391000000000005"/>
    <n v="31.224999999999998"/>
    <n v="23.485000000000003"/>
    <n v="31.782000000000004"/>
    <n v="52.405999999999999"/>
    <n v="32.197000000000003"/>
    <n v="39.902999999999999"/>
    <n v="29.328999999999997"/>
    <n v="26.009999999999998"/>
    <n v="46.795999999999999"/>
    <n v="41.669999999999995"/>
    <n v="43.277000000000001"/>
    <n v="28.684999999999999"/>
    <n v="43.192999999999998"/>
    <n v="36.348999999999997"/>
    <n v="22.805"/>
    <n v="33.663199999999996"/>
    <n v="3.3663199999999995"/>
  </r>
  <r>
    <n v="84"/>
    <x v="6"/>
    <s v="EVCS-370004"/>
    <x v="63"/>
    <s v="Trinity"/>
    <s v="Public-Paid"/>
    <s v="3.3KW"/>
    <s v="OCPP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6"/>
    <s v="EVCS-370005"/>
    <x v="64"/>
    <s v="Trinity"/>
    <s v="Public-Paid"/>
    <s v="3.3KW"/>
    <s v="OCPP"/>
    <n v="7"/>
    <x v="1"/>
    <n v="4.8019999999999987"/>
    <n v="38.405000000000008"/>
    <n v="8.4400000000000013"/>
    <n v="27.838999999999999"/>
    <n v="14.214"/>
    <n v="14.909000000000001"/>
    <n v="23.709"/>
    <n v="19.315999999999999"/>
    <n v="15.827"/>
    <n v="24.352"/>
    <n v="22.810000000000006"/>
    <n v="22.535"/>
    <n v="17.603999999999999"/>
    <n v="14.312999999999999"/>
    <n v="26.423999999999999"/>
    <n v="22.400999999999996"/>
    <n v="25.200000000000003"/>
    <n v="17.712"/>
    <n v="24.402999999999999"/>
    <n v="48.378"/>
    <n v="90.052999999999969"/>
    <n v="53.277000000000015"/>
    <n v="75.896000000000001"/>
    <n v="71.725999999999985"/>
    <n v="67.443999999999988"/>
    <n v="80.047000000000011"/>
    <n v="56.856000000000009"/>
    <n v="66.600999999999999"/>
    <n v="91.586999999999989"/>
    <n v="80.25800000000001"/>
    <n v="38.911266666666663"/>
    <n v="5.55875238095238"/>
  </r>
  <r>
    <n v="86"/>
    <x v="6"/>
    <m/>
    <x v="65"/>
    <s v="Trinity"/>
    <s v="Public-Paid"/>
    <s v="3.3KW"/>
    <s v="OCPP"/>
    <n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</r>
  <r>
    <n v="87"/>
    <x v="6"/>
    <m/>
    <x v="65"/>
    <s v="Trinity"/>
    <s v="Public-Paid"/>
    <s v="7.4 kW"/>
    <s v="OCPP"/>
    <n v="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</r>
  <r>
    <n v="88"/>
    <x v="7"/>
    <s v="EVCS-370006"/>
    <x v="66"/>
    <s v="Trinity"/>
    <s v="Public-Paid"/>
    <s v="3.3KW"/>
    <s v="OCPP"/>
    <n v="7"/>
    <x v="1"/>
    <n v="29.097000000000001"/>
    <n v="61.619000000000007"/>
    <n v="54.099999999999994"/>
    <n v="30.980000000000004"/>
    <n v="31.792000000000002"/>
    <n v="56.954999999999998"/>
    <n v="43.356999999999992"/>
    <n v="43.947999999999993"/>
    <n v="33.384999999999998"/>
    <n v="52.268000000000001"/>
    <n v="43.29"/>
    <n v="31.498000000000001"/>
    <n v="51.766999999999996"/>
    <n v="37.809000000000005"/>
    <n v="19.830000000000002"/>
    <n v="53.128000000000007"/>
    <n v="56.017999999999994"/>
    <n v="48.86999999999999"/>
    <n v="37.043999999999997"/>
    <n v="47.812999999999995"/>
    <n v="39.804000000000002"/>
    <n v="51.006"/>
    <n v="31.625"/>
    <n v="41.832999999999998"/>
    <n v="32.141000000000005"/>
    <n v="41.772999999999996"/>
    <n v="46.682999999999993"/>
    <n v="39.629000000000005"/>
    <n v="45.692999999999998"/>
    <n v="39.573999999999998"/>
    <n v="42.47763333333333"/>
    <n v="6.0682333333333327"/>
  </r>
  <r>
    <n v="89"/>
    <x v="8"/>
    <m/>
    <x v="67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8"/>
    <m/>
    <x v="67"/>
    <s v="Trinity"/>
    <s v="Public-Paid"/>
    <s v="4.7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8"/>
    <m/>
    <x v="67"/>
    <s v="Trinity"/>
    <s v="Public-Paid"/>
    <s v="22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9"/>
    <s v="EVCS-370007"/>
    <x v="68"/>
    <s v="Trinity"/>
    <s v="Public-Paid"/>
    <s v="3.3KW"/>
    <s v="OCPP"/>
    <n v="5"/>
    <x v="1"/>
    <n v="18.637999999999998"/>
    <n v="21.225999999999999"/>
    <n v="35.638999999999996"/>
    <n v="5.3800000000000008"/>
    <n v="53.031000000000006"/>
    <n v="24.628"/>
    <n v="19.224"/>
    <n v="19.738999999999997"/>
    <n v="18.765000000000001"/>
    <n v="41.887999999999998"/>
    <n v="23.12"/>
    <n v="13.725"/>
    <n v="21.520000000000003"/>
    <n v="47.936999999999998"/>
    <n v="28.282000000000004"/>
    <n v="20.712"/>
    <n v="28.696000000000002"/>
    <n v="22.875999999999998"/>
    <n v="35.242000000000004"/>
    <n v="8.8470000000000013"/>
    <n v="31.994"/>
    <n v="17.032"/>
    <n v="26.137"/>
    <n v="20.779"/>
    <n v="28.713000000000001"/>
    <n v="26.898000000000003"/>
    <n v="17.349"/>
    <n v="39.757999999999996"/>
    <n v="10.683"/>
    <n v="23.844999999999999"/>
    <n v="25.076766666666671"/>
    <n v="5.0153533333333344"/>
  </r>
  <r>
    <n v="93"/>
    <x v="8"/>
    <s v="EVCS-290002"/>
    <x v="69"/>
    <s v="Flipkart"/>
    <s v="Public-Paid"/>
    <s v="3.3KW"/>
    <s v="OCPP"/>
    <n v="4"/>
    <x v="2"/>
    <n v="7.7040000000000006"/>
    <n v="11.86"/>
    <n v="12.452999999999999"/>
    <n v="10.72"/>
    <n v="10.074999999999999"/>
    <n v="11.228999999999999"/>
    <n v="13.294"/>
    <n v="11.898"/>
    <n v="17.128"/>
    <n v="22.638000000000002"/>
    <n v="11.648"/>
    <n v="12.283999999999999"/>
    <n v="13.170999999999999"/>
    <n v="19.143999999999998"/>
    <n v="9.722999999999999"/>
    <n v="10.039000000000001"/>
    <n v="8.3170000000000002"/>
    <n v="11.321000000000002"/>
    <n v="4.2830000000000004"/>
    <n v="0"/>
    <n v="14.536"/>
    <n v="4.569"/>
    <n v="13.666"/>
    <n v="10.269"/>
    <n v="11.436"/>
    <n v="13.858999999999998"/>
    <n v="16.57"/>
    <n v="12.670000000000002"/>
    <n v="5.7240000000000002"/>
    <n v="7.6280000000000001"/>
    <n v="11.328533333333331"/>
    <n v="2.8321333333333327"/>
  </r>
  <r>
    <n v="94"/>
    <x v="8"/>
    <s v="EVCS-290003"/>
    <x v="70"/>
    <s v="Flipkart"/>
    <s v="Public-Paid"/>
    <s v="3.3KW"/>
    <s v="OCPP"/>
    <n v="9"/>
    <x v="2"/>
    <n v="13.707000000000001"/>
    <n v="35.619"/>
    <n v="47.527999999999992"/>
    <n v="72.136999999999986"/>
    <n v="38.225000000000001"/>
    <n v="53.649000000000001"/>
    <n v="52.496000000000002"/>
    <n v="46.296999999999997"/>
    <n v="37.225000000000001"/>
    <n v="41.542999999999992"/>
    <n v="42.939000000000007"/>
    <n v="33.891999999999996"/>
    <n v="8.7620000000000005"/>
    <n v="38.436"/>
    <n v="14.853"/>
    <n v="29.93"/>
    <n v="48.057999999999993"/>
    <n v="26.385000000000009"/>
    <n v="32.305"/>
    <n v="33.011000000000003"/>
    <n v="37.618999999999993"/>
    <n v="21.289000000000001"/>
    <n v="32.049999999999997"/>
    <n v="32.641000000000005"/>
    <n v="16.540999999999997"/>
    <n v="25.031000000000002"/>
    <n v="6.9879999999999995"/>
    <n v="25.635000000000002"/>
    <n v="19.064"/>
    <n v="44.169000000000011"/>
    <n v="33.600799999999985"/>
    <n v="3.7334222222222206"/>
  </r>
  <r>
    <n v="95"/>
    <x v="8"/>
    <s v="EVCS-290004"/>
    <x v="71"/>
    <s v="EFL"/>
    <s v="Public-Free"/>
    <s v="3.3KW"/>
    <s v="OCPP"/>
    <n v="8"/>
    <x v="1"/>
    <n v="76.483000000000018"/>
    <n v="111.28599999999999"/>
    <n v="128.53899999999999"/>
    <n v="109.91000000000001"/>
    <n v="74.986000000000004"/>
    <n v="106.49400000000003"/>
    <n v="80.936999999999983"/>
    <n v="97.051999999999978"/>
    <n v="105.39499999999998"/>
    <n v="108.94000000000001"/>
    <n v="98.47"/>
    <n v="82.027000000000001"/>
    <n v="105.67"/>
    <n v="78.343000000000004"/>
    <n v="97.325000000000003"/>
    <n v="91.859000000000009"/>
    <n v="81.911000000000016"/>
    <n v="74.421000000000006"/>
    <n v="75.611999999999995"/>
    <n v="43.303000000000004"/>
    <n v="88.92"/>
    <n v="84.040999999999997"/>
    <n v="103.98500000000001"/>
    <n v="111.52799999999999"/>
    <n v="80.858999999999995"/>
    <n v="103.45400000000002"/>
    <n v="85.725999999999985"/>
    <n v="79.369000000000014"/>
    <n v="107.15399999999998"/>
    <n v="106.84899999999999"/>
    <n v="92.694933333333367"/>
    <n v="11.586866666666671"/>
  </r>
  <r>
    <n v="96"/>
    <x v="8"/>
    <s v="EVCS-290004"/>
    <x v="71"/>
    <s v="EFL"/>
    <s v="Public-Free"/>
    <s v="6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8"/>
    <s v="EVCS-290005"/>
    <x v="72"/>
    <s v="Trinity"/>
    <s v="Public-Paid"/>
    <s v="3.3KW"/>
    <s v="OCPP"/>
    <n v="7"/>
    <x v="1"/>
    <n v="100.012"/>
    <n v="54.214999999999996"/>
    <n v="120.01199999999996"/>
    <n v="90.113"/>
    <n v="63.14"/>
    <n v="175.08999999999997"/>
    <n v="90.552999999999997"/>
    <n v="159.62899999999999"/>
    <n v="120.34000000000003"/>
    <n v="133.434"/>
    <n v="139.18500000000003"/>
    <n v="102.24500000000003"/>
    <n v="116.95699999999998"/>
    <n v="125.25699999999998"/>
    <n v="107.03699999999999"/>
    <n v="66.037000000000006"/>
    <n v="129.27799999999999"/>
    <n v="92.834999999999994"/>
    <n v="108.94800000000001"/>
    <n v="109.67700000000001"/>
    <n v="111.529"/>
    <n v="90.57"/>
    <n v="111.51600000000001"/>
    <n v="85.390999999999991"/>
    <n v="87.716000000000008"/>
    <n v="91.99"/>
    <n v="102.26299999999999"/>
    <n v="97.131"/>
    <n v="86.305999999999997"/>
    <n v="104.985"/>
    <n v="105.77970000000001"/>
    <n v="15.111385714285715"/>
  </r>
  <r>
    <n v="98"/>
    <x v="8"/>
    <s v="EVCS-290007"/>
    <x v="73"/>
    <s v="Trinity"/>
    <s v="Public-Paid"/>
    <s v="3.3KW"/>
    <s v="OCPP"/>
    <n v="10"/>
    <x v="1"/>
    <n v="75.994999999999976"/>
    <n v="107.61100000000003"/>
    <n v="120.77699999999999"/>
    <n v="154.756"/>
    <n v="136.25700000000003"/>
    <n v="119.84399999999999"/>
    <n v="136.63199999999998"/>
    <n v="97.981999999999999"/>
    <n v="121.068"/>
    <n v="115.14299999999999"/>
    <n v="91.075000000000003"/>
    <n v="123.29900000000005"/>
    <n v="97.129000000000005"/>
    <n v="84.746000000000009"/>
    <n v="123.97600000000001"/>
    <n v="77.769000000000005"/>
    <n v="126.85600000000002"/>
    <n v="82.251000000000005"/>
    <n v="82.869"/>
    <n v="82.761999999999972"/>
    <n v="76.709000000000003"/>
    <n v="97.850000000000009"/>
    <n v="81.978999999999999"/>
    <n v="112.06500000000003"/>
    <n v="81.076000000000008"/>
    <n v="94.004999999999995"/>
    <n v="70.85499999999999"/>
    <n v="101.777"/>
    <n v="90.905999999999992"/>
    <n v="84.512000000000015"/>
    <n v="101.68436666666668"/>
    <n v="10.168436666666668"/>
  </r>
  <r>
    <n v="99"/>
    <x v="8"/>
    <s v="EVCS-290009"/>
    <x v="74"/>
    <s v="Trinity"/>
    <s v="Public-Paid"/>
    <s v="3.3KW"/>
    <s v="OCPP"/>
    <n v="8"/>
    <x v="1"/>
    <n v="35.606000000000002"/>
    <n v="33.299999999999997"/>
    <n v="26.725000000000012"/>
    <n v="41.063000000000002"/>
    <n v="41.172999999999995"/>
    <n v="19.789000000000001"/>
    <n v="50.867999999999995"/>
    <n v="37.660999999999994"/>
    <n v="27.631000000000004"/>
    <n v="62.372999999999998"/>
    <n v="31.622"/>
    <n v="25.463999999999999"/>
    <n v="51.387"/>
    <n v="26.437000000000001"/>
    <n v="25.800999999999998"/>
    <n v="18.516999999999999"/>
    <n v="37.570999999999998"/>
    <n v="37.183"/>
    <n v="14.229000000000003"/>
    <n v="18.106000000000002"/>
    <n v="27.457999999999998"/>
    <n v="24.402000000000001"/>
    <n v="17.972999999999999"/>
    <n v="29.774999999999995"/>
    <n v="24.117000000000001"/>
    <n v="11.738"/>
    <n v="30.558"/>
    <n v="7.109"/>
    <n v="36.548999999999992"/>
    <n v="13.1"/>
    <n v="29.509500000000003"/>
    <n v="3.6886875000000003"/>
  </r>
  <r>
    <n v="100"/>
    <x v="8"/>
    <s v="EVCS-290010"/>
    <x v="75"/>
    <s v="Trinity"/>
    <s v="Public-Paid"/>
    <s v="3.3KW"/>
    <s v="OCPP"/>
    <n v="6"/>
    <x v="1"/>
    <n v="14.766"/>
    <n v="17.902999999999999"/>
    <n v="15.722000000000001"/>
    <n v="17.631"/>
    <n v="21.107999999999997"/>
    <n v="30.613999999999997"/>
    <n v="11.004"/>
    <n v="21.422000000000001"/>
    <n v="28.113"/>
    <n v="17.396000000000001"/>
    <n v="9.8710000000000022"/>
    <n v="26.986000000000001"/>
    <n v="13.883999999999999"/>
    <n v="13.416"/>
    <n v="26.467000000000006"/>
    <n v="6.9740000000000002"/>
    <n v="21.558"/>
    <n v="7.7410000000000005"/>
    <n v="9.3919999999999995"/>
    <n v="10.968000000000002"/>
    <n v="25.862000000000002"/>
    <n v="9.2470000000000017"/>
    <n v="21.669999999999998"/>
    <n v="11.367000000000001"/>
    <n v="4.4349999999999996"/>
    <n v="0"/>
    <n v="13.85"/>
    <n v="9.5120000000000005"/>
    <n v="6.2190000000000003"/>
    <n v="17.498000000000001"/>
    <n v="15.419866666666667"/>
    <n v="2.5699777777777779"/>
  </r>
  <r>
    <n v="101"/>
    <x v="8"/>
    <s v="EVCS-290011"/>
    <x v="76"/>
    <s v="Trinity"/>
    <s v="Public-Paid"/>
    <s v="3.3KW"/>
    <s v="OCPP"/>
    <n v="2"/>
    <x v="1"/>
    <n v="35.199999999999996"/>
    <n v="34.591999999999999"/>
    <n v="27.438000000000002"/>
    <n v="29.944000000000003"/>
    <n v="22.433"/>
    <n v="27.617000000000001"/>
    <n v="35.994999999999997"/>
    <n v="20.268000000000001"/>
    <n v="12.155999999999999"/>
    <n v="31.297999999999998"/>
    <n v="38.527999999999999"/>
    <n v="31.166999999999994"/>
    <n v="0"/>
    <n v="3.5739999999999998"/>
    <n v="13.446999999999999"/>
    <n v="18.442999999999998"/>
    <n v="30.369"/>
    <n v="32.211000000000006"/>
    <n v="13.882999999999999"/>
    <n v="19.051000000000002"/>
    <n v="6.7600000000000007"/>
    <n v="15.885999999999999"/>
    <n v="35.548999999999999"/>
    <n v="38.271000000000001"/>
    <n v="29.391999999999999"/>
    <n v="16.974999999999998"/>
    <n v="11.357000000000001"/>
    <n v="22.038999999999998"/>
    <n v="24.935000000000002"/>
    <n v="7.8140000000000001"/>
    <n v="22.886399999999998"/>
    <n v="11.443199999999999"/>
  </r>
  <r>
    <n v="102"/>
    <x v="8"/>
    <m/>
    <x v="77"/>
    <s v="Trinity"/>
    <s v="Public-Paid"/>
    <s v="15KW"/>
    <s v="DC Charger"/>
    <n v="1"/>
    <x v="3"/>
    <n v="0"/>
    <n v="0"/>
    <n v="0"/>
    <n v="0"/>
    <n v="0"/>
    <n v="0"/>
    <n v="0"/>
    <n v="0"/>
    <n v="0"/>
    <n v="0"/>
    <n v="0"/>
    <n v="1.91"/>
    <n v="0"/>
    <n v="0"/>
    <n v="0"/>
    <n v="0.32999999999999996"/>
    <n v="15"/>
    <n v="0"/>
    <n v="0"/>
    <n v="0"/>
    <n v="17.39"/>
    <n v="0"/>
    <n v="14.96"/>
    <n v="0"/>
    <n v="12.94"/>
    <n v="4.3600000000000003"/>
    <n v="0"/>
    <n v="0"/>
    <n v="11.54"/>
    <n v="0"/>
    <n v="2.6143333333333336"/>
    <n v="2.6143333333333336"/>
  </r>
  <r>
    <n v="103"/>
    <x v="8"/>
    <m/>
    <x v="78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x v="10"/>
    <s v="EVCS-330003"/>
    <x v="79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5"/>
    <x v="11"/>
    <s v="EVCS-330002"/>
    <x v="80"/>
    <s v="Flipkart"/>
    <s v="Public-Paid"/>
    <s v="3.3KW"/>
    <s v="OCPP"/>
    <n v="14"/>
    <x v="0"/>
    <n v="0"/>
    <n v="0"/>
    <n v="0"/>
    <n v="0"/>
    <n v="0"/>
    <n v="0"/>
    <n v="0"/>
    <n v="0"/>
    <n v="2.56"/>
    <n v="0"/>
    <n v="2.5409999999999999"/>
    <n v="2.8769999999999998"/>
    <n v="0"/>
    <n v="0"/>
    <n v="0"/>
    <n v="0"/>
    <n v="2.129"/>
    <n v="2.7080000000000002"/>
    <n v="2.4510000000000001"/>
    <n v="0"/>
    <n v="2.4829999999999997"/>
    <n v="2.78"/>
    <n v="2.8119999999999998"/>
    <n v="0"/>
    <n v="2.8580000000000001"/>
    <n v="0"/>
    <n v="0"/>
    <n v="2.782"/>
    <n v="2.5270000000000001"/>
    <n v="2.3479999999999999"/>
    <n v="1.1285333333333334"/>
    <n v="8.0609523809523811E-2"/>
  </r>
  <r>
    <n v="106"/>
    <x v="12"/>
    <s v="EVCS-330004"/>
    <x v="8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x v="13"/>
    <s v="EVCS-330005"/>
    <x v="8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x v="14"/>
    <s v="EVCS-320003"/>
    <x v="83"/>
    <s v="Trinity"/>
    <s v="Public-Paid"/>
    <s v="15KW"/>
    <s v="DC Charger"/>
    <n v="1"/>
    <x v="0"/>
    <n v="12.209999999999999"/>
    <n v="15.940000000000001"/>
    <n v="5.2299999999999995"/>
    <n v="0"/>
    <n v="0"/>
    <n v="0"/>
    <n v="11.739999999999998"/>
    <n v="3.64"/>
    <n v="0"/>
    <n v="5.46"/>
    <n v="9.64"/>
    <n v="0"/>
    <n v="0"/>
    <n v="0"/>
    <n v="4.2300000000000004"/>
    <n v="10.620000000000001"/>
    <n v="5.51"/>
    <n v="0"/>
    <n v="0"/>
    <n v="0"/>
    <n v="8.9390000000000001"/>
    <n v="11.45"/>
    <n v="10.170999999999999"/>
    <n v="0"/>
    <n v="7.5400000000000009"/>
    <n v="7.2589999999999995"/>
    <n v="0"/>
    <n v="5.43"/>
    <n v="0"/>
    <n v="5.45"/>
    <n v="4.6819666666666668"/>
    <n v="4.6819666666666668"/>
  </r>
  <r>
    <n v="109"/>
    <x v="15"/>
    <m/>
    <x v="8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4"/>
    <n v="0"/>
    <n v="0.19133333333333333"/>
    <n v="0.19133333333333333"/>
  </r>
  <r>
    <n v="110"/>
    <x v="16"/>
    <m/>
    <x v="85"/>
    <s v="Trinity"/>
    <s v="Public-Paid"/>
    <s v="15 kw"/>
    <s v="DC Charger"/>
    <n v="2"/>
    <x v="3"/>
    <n v="0"/>
    <n v="0"/>
    <n v="0"/>
    <n v="0"/>
    <n v="5.26"/>
    <n v="0"/>
    <n v="0"/>
    <n v="0"/>
    <n v="0"/>
    <n v="11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6900000000000006"/>
    <n v="0.28450000000000003"/>
  </r>
  <r>
    <n v="111"/>
    <x v="17"/>
    <m/>
    <x v="86"/>
    <s v="Trinity"/>
    <s v="Public-Paid"/>
    <s v="15 kw"/>
    <s v="DC Charger"/>
    <n v="1"/>
    <x v="3"/>
    <n v="20.8"/>
    <n v="0"/>
    <n v="0"/>
    <n v="24.67"/>
    <n v="0"/>
    <n v="0"/>
    <n v="0"/>
    <n v="19.52"/>
    <n v="0"/>
    <n v="0"/>
    <n v="0"/>
    <n v="23.41"/>
    <n v="0"/>
    <n v="0"/>
    <n v="0"/>
    <n v="0"/>
    <n v="11.14"/>
    <n v="13.21"/>
    <n v="0"/>
    <n v="0"/>
    <n v="0"/>
    <n v="0"/>
    <n v="12.42"/>
    <n v="0"/>
    <n v="0"/>
    <n v="26.689999999999998"/>
    <n v="14.73"/>
    <n v="0"/>
    <n v="0"/>
    <n v="21.53"/>
    <n v="6.2706666666666671"/>
    <n v="6.2706666666666671"/>
  </r>
  <r>
    <n v="112"/>
    <x v="18"/>
    <s v="EVCS-270011"/>
    <x v="8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19"/>
    <s v="EVCS-270005"/>
    <x v="88"/>
    <s v="ETO"/>
    <s v="Public-Paid"/>
    <s v="3.3KW"/>
    <s v="OCPP"/>
    <n v="20"/>
    <x v="2"/>
    <n v="22.611000000000001"/>
    <n v="10.054"/>
    <n v="9.9239999999999995"/>
    <n v="10.103"/>
    <n v="72.596000000000004"/>
    <n v="26.667000000000002"/>
    <n v="0"/>
    <n v="12.425000000000001"/>
    <n v="9.9779999999999998"/>
    <n v="27.860999999999997"/>
    <n v="19.035"/>
    <n v="11.132999999999999"/>
    <n v="13.315"/>
    <n v="1E-3"/>
    <n v="25.984000000000002"/>
    <n v="0.90700000000000003"/>
    <n v="0"/>
    <n v="0"/>
    <n v="119.74"/>
    <n v="13.337999999999999"/>
    <n v="0"/>
    <n v="1.2040000000000002"/>
    <n v="231.35300000000001"/>
    <n v="0"/>
    <n v="6.4450000000000003"/>
    <n v="0"/>
    <n v="0"/>
    <n v="0.38800000000000001"/>
    <n v="0"/>
    <n v="0"/>
    <n v="21.502066666666671"/>
    <n v="1.0751033333333335"/>
  </r>
  <r>
    <n v="114"/>
    <x v="19"/>
    <s v="EVCS-270007"/>
    <x v="89"/>
    <s v="ETO"/>
    <s v="Public-Paid"/>
    <s v="3.3KW"/>
    <s v="OCPP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x v="20"/>
    <s v="EVCS-100003"/>
    <x v="9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"/>
    <x v="21"/>
    <s v="EVCS-080001"/>
    <x v="91"/>
    <s v="Trinity"/>
    <s v="Public-Paid"/>
    <s v="15KW"/>
    <s v="DC Charger"/>
    <n v="1"/>
    <x v="0"/>
    <n v="0"/>
    <n v="0"/>
    <n v="0"/>
    <n v="0"/>
    <n v="6.6790000000000003"/>
    <n v="0"/>
    <n v="11.14"/>
    <n v="0"/>
    <n v="0"/>
    <n v="0"/>
    <n v="0"/>
    <n v="0"/>
    <n v="0"/>
    <n v="0"/>
    <n v="17.011000000000003"/>
    <n v="0"/>
    <n v="0"/>
    <n v="0"/>
    <n v="0"/>
    <n v="0"/>
    <n v="0"/>
    <n v="0"/>
    <n v="18.588999999999999"/>
    <n v="0"/>
    <n v="0"/>
    <n v="0"/>
    <n v="0"/>
    <n v="0"/>
    <n v="0"/>
    <n v="0"/>
    <n v="1.7806333333333335"/>
    <n v="1.7806333333333335"/>
  </r>
  <r>
    <n v="117"/>
    <x v="22"/>
    <s v="EVCS-270008"/>
    <x v="9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8"/>
    <x v="23"/>
    <s v="EVCS-180001"/>
    <x v="93"/>
    <s v="Trinity"/>
    <s v="Public-Paid"/>
    <s v="15KW"/>
    <s v="DC Charger"/>
    <n v="1"/>
    <x v="0"/>
    <n v="0"/>
    <n v="0"/>
    <n v="0"/>
    <n v="0"/>
    <n v="0"/>
    <n v="0"/>
    <n v="0"/>
    <n v="2.6850000000000001"/>
    <n v="0"/>
    <n v="0"/>
    <n v="0"/>
    <n v="0"/>
    <n v="0"/>
    <n v="0"/>
    <n v="0"/>
    <n v="0"/>
    <n v="0"/>
    <n v="0"/>
    <n v="0"/>
    <n v="0"/>
    <n v="0"/>
    <n v="0"/>
    <n v="0"/>
    <n v="35.731999999999999"/>
    <n v="0"/>
    <n v="0"/>
    <n v="0"/>
    <n v="0"/>
    <n v="0"/>
    <n v="0"/>
    <n v="1.2805666666666666"/>
    <n v="1.2805666666666666"/>
  </r>
  <r>
    <n v="119"/>
    <x v="24"/>
    <s v="EVCS-180002"/>
    <x v="9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0"/>
    <x v="25"/>
    <m/>
    <x v="95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"/>
    <x v="26"/>
    <m/>
    <x v="96"/>
    <s v="Trinity"/>
    <s v="Public-Paid"/>
    <s v="15KW"/>
    <s v="DC Charger"/>
    <n v="2"/>
    <x v="3"/>
    <n v="28.31"/>
    <n v="17.079999999999998"/>
    <n v="17.509999999999998"/>
    <n v="29.65"/>
    <n v="16.829999999999998"/>
    <n v="0"/>
    <n v="35.17"/>
    <n v="29.039999999999996"/>
    <n v="22.93"/>
    <n v="0.37"/>
    <n v="14.75"/>
    <n v="11.920000000000002"/>
    <n v="0"/>
    <n v="0"/>
    <n v="0"/>
    <n v="0"/>
    <n v="0"/>
    <n v="21.419999999999998"/>
    <n v="0"/>
    <n v="0"/>
    <n v="0"/>
    <n v="22.66"/>
    <n v="0"/>
    <n v="0"/>
    <n v="1.8"/>
    <n v="0"/>
    <n v="0"/>
    <n v="35.519999999999996"/>
    <n v="26.08"/>
    <n v="15.02"/>
    <n v="11.535333333333332"/>
    <n v="5.7676666666666661"/>
  </r>
  <r>
    <n v="122"/>
    <x v="27"/>
    <s v="EVCS-190001"/>
    <x v="9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28"/>
    <s v="EVCS-190002"/>
    <x v="98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x v="29"/>
    <s v="EVCS-270010"/>
    <x v="99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13.38"/>
    <n v="0"/>
    <n v="0"/>
    <n v="0"/>
    <n v="0"/>
    <n v="0"/>
    <n v="0"/>
    <n v="0"/>
    <n v="0"/>
    <n v="0"/>
    <n v="0"/>
    <n v="0"/>
    <n v="0"/>
    <n v="6.29"/>
    <n v="0"/>
    <n v="0"/>
    <n v="0"/>
    <n v="0"/>
    <n v="0.65566666666666673"/>
    <n v="0.65566666666666673"/>
  </r>
  <r>
    <n v="125"/>
    <x v="30"/>
    <s v="EVCS-270012"/>
    <x v="10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x v="31"/>
    <s v="EVCS-240004"/>
    <x v="10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3.2"/>
    <n v="0"/>
    <n v="0"/>
    <n v="0"/>
    <n v="0"/>
    <n v="0"/>
    <n v="0"/>
    <n v="0"/>
    <n v="0"/>
    <n v="0"/>
    <n v="0"/>
    <n v="0"/>
    <n v="0"/>
    <n v="0"/>
    <n v="0"/>
    <n v="0"/>
    <n v="0.10666666666666667"/>
    <n v="0.10666666666666667"/>
  </r>
  <r>
    <n v="127"/>
    <x v="32"/>
    <s v="EVCS-230001"/>
    <x v="10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x v="33"/>
    <s v="EVCS-320002"/>
    <x v="103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x v="34"/>
    <s v="EVCS-220001"/>
    <x v="10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x v="35"/>
    <s v="EVCS-240003"/>
    <x v="105"/>
    <s v="SOU"/>
    <s v="Public-Paid"/>
    <s v="3.3KW"/>
    <s v="OCPP"/>
    <n v="40"/>
    <x v="2"/>
    <n v="100.134"/>
    <n v="378.54199999999992"/>
    <n v="343.09200000000004"/>
    <n v="252.97400000000005"/>
    <n v="259.21699999999993"/>
    <n v="298.38799999999998"/>
    <n v="274.27399999999994"/>
    <n v="85.541999999999973"/>
    <n v="249.876"/>
    <n v="314.57999999999993"/>
    <n v="332.45"/>
    <n v="418.33200000000005"/>
    <n v="522.94100000000003"/>
    <n v="485.52200000000005"/>
    <n v="194.71599999999995"/>
    <n v="86.335999999999999"/>
    <n v="289.24900000000008"/>
    <n v="275.24299999999994"/>
    <n v="387.38499999999999"/>
    <n v="334.26900000000006"/>
    <n v="122.53000000000003"/>
    <n v="367.57899999999995"/>
    <n v="237.62299999999999"/>
    <n v="251.68799999999999"/>
    <n v="237.02800000000013"/>
    <n v="332.29"/>
    <n v="423.93900000000002"/>
    <n v="369.94700000000006"/>
    <n v="168.98300000000003"/>
    <n v="232.51499999999999"/>
    <n v="287.57279999999997"/>
    <n v="7.1893199999999995"/>
  </r>
  <r>
    <n v="131"/>
    <x v="36"/>
    <m/>
    <x v="106"/>
    <s v="Trinity"/>
    <s v="Public-Paid"/>
    <s v="30KW"/>
    <s v="DC Charger"/>
    <n v="1"/>
    <x v="3"/>
    <n v="0"/>
    <n v="12.709999999999999"/>
    <n v="47.04"/>
    <n v="0.86"/>
    <n v="51.29"/>
    <n v="0"/>
    <n v="14.88"/>
    <n v="18.570000000000004"/>
    <n v="33.950000000000003"/>
    <n v="1.7200000000000002"/>
    <n v="34.700000000000003"/>
    <n v="2.5"/>
    <n v="0"/>
    <n v="5.2099999999999991"/>
    <n v="0"/>
    <n v="46.309999999999995"/>
    <n v="45.49"/>
    <n v="33.29"/>
    <n v="37.9"/>
    <n v="27.79"/>
    <n v="32.200000000000003"/>
    <n v="22.2"/>
    <n v="64.149999999999991"/>
    <n v="8.5"/>
    <n v="0"/>
    <n v="1.23"/>
    <n v="18.07"/>
    <n v="0"/>
    <n v="32.300000000000004"/>
    <n v="30.490000000000002"/>
    <n v="20.778333333333332"/>
    <n v="20.778333333333332"/>
  </r>
  <r>
    <n v="132"/>
    <x v="37"/>
    <m/>
    <x v="10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3"/>
    <x v="38"/>
    <s v="EVCS-090001"/>
    <x v="108"/>
    <s v="ETO"/>
    <s v="Public-Paid"/>
    <s v="3.3KW"/>
    <s v="OCPP"/>
    <n v="19"/>
    <x v="2"/>
    <n v="0.35499999999999998"/>
    <n v="1.121"/>
    <n v="1.222"/>
    <n v="1.419"/>
    <n v="1.304"/>
    <n v="2.069"/>
    <n v="1.1870000000000001"/>
    <n v="2.2709999999999999"/>
    <n v="3.593"/>
    <n v="2.4910000000000001"/>
    <n v="1.8740000000000001"/>
    <n v="0.48299999999999998"/>
    <n v="2.4950000000000001"/>
    <n v="3.6229999999999998"/>
    <n v="3.5650000000000004"/>
    <n v="3.9609999999999999"/>
    <n v="3.52"/>
    <n v="4.0540000000000003"/>
    <n v="3.2279999999999998"/>
    <n v="3.5430000000000001"/>
    <n v="4.2590000000000003"/>
    <n v="3.0819999999999999"/>
    <n v="3.5679999999999996"/>
    <n v="4.0350000000000001"/>
    <n v="3.8499999999999996"/>
    <n v="4.7590000000000003"/>
    <n v="3.589"/>
    <n v="2.8"/>
    <n v="2.6920000000000002"/>
    <n v="6.7110000000000003"/>
    <n v="2.8907666666666665"/>
    <n v="0.15214561403508772"/>
  </r>
  <r>
    <n v="134"/>
    <x v="39"/>
    <s v="EVCS-090003"/>
    <x v="109"/>
    <s v="Mahagun Hotel"/>
    <s v="Public-Paid"/>
    <s v="7.4KW"/>
    <s v="OCPP"/>
    <n v="2"/>
    <x v="0"/>
    <n v="0"/>
    <n v="33.843000000000004"/>
    <n v="38.798000000000002"/>
    <n v="0"/>
    <n v="0"/>
    <n v="52.050000000000004"/>
    <n v="0"/>
    <n v="0.29699999999999999"/>
    <n v="0"/>
    <n v="40.255000000000003"/>
    <n v="0"/>
    <n v="0"/>
    <n v="39.936"/>
    <n v="27.193000000000001"/>
    <n v="0"/>
    <n v="50.941000000000003"/>
    <n v="0"/>
    <n v="12.304"/>
    <n v="0"/>
    <n v="0"/>
    <n v="6.3029999999999999"/>
    <n v="0"/>
    <n v="0"/>
    <n v="33.235999999999997"/>
    <n v="0"/>
    <n v="35.423999999999999"/>
    <n v="0"/>
    <n v="2.2949999999999999"/>
    <n v="0"/>
    <n v="0"/>
    <n v="12.429166666666665"/>
    <n v="6.2145833333333327"/>
  </r>
  <r>
    <n v="135"/>
    <x v="40"/>
    <s v="EVCS-090005"/>
    <x v="110"/>
    <s v="Trinity"/>
    <s v="Public-Paid"/>
    <s v="3.3KW"/>
    <s v="OCPP"/>
    <n v="6"/>
    <x v="2"/>
    <n v="9.3979999999999997"/>
    <n v="1.3199999999999998"/>
    <n v="2.6389999999999998"/>
    <n v="11.346"/>
    <n v="21.590999999999998"/>
    <n v="0"/>
    <n v="0"/>
    <n v="0"/>
    <n v="17.725000000000001"/>
    <n v="6.935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651333333333335"/>
    <n v="0.39418888888888892"/>
  </r>
  <r>
    <n v="136"/>
    <x v="40"/>
    <s v="EVCS-090006"/>
    <x v="111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"/>
    <x v="40"/>
    <s v="EVCS-090007"/>
    <x v="112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8"/>
    <x v="40"/>
    <s v="EVCS-090008"/>
    <x v="113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9"/>
    <x v="41"/>
    <s v="EVCS-090009"/>
    <x v="114"/>
    <s v="Trinity"/>
    <s v="Public-Paid"/>
    <s v="3.3KW"/>
    <s v="OCPP"/>
    <n v="15"/>
    <x v="1"/>
    <n v="228.79099999999994"/>
    <n v="284.23099999999999"/>
    <n v="274.14200000000005"/>
    <n v="217.61700000000005"/>
    <n v="309.19599999999991"/>
    <n v="246.34700000000004"/>
    <n v="329.66999999999996"/>
    <n v="227.6279999999999"/>
    <n v="222.35799999999992"/>
    <n v="242.93599999999992"/>
    <n v="197.70400000000004"/>
    <n v="264.90799999999996"/>
    <n v="266.4310000000001"/>
    <n v="269.59399999999999"/>
    <n v="317.26100000000002"/>
    <n v="283.11999999999995"/>
    <n v="345.66899999999993"/>
    <n v="322.77000000000004"/>
    <n v="316.726"/>
    <n v="322.16600000000011"/>
    <n v="279.08900000000017"/>
    <n v="317.45300000000009"/>
    <n v="328.25500000000005"/>
    <n v="291.62800000000004"/>
    <n v="355.46600000000012"/>
    <n v="322.46299999999991"/>
    <n v="312.82000000000011"/>
    <n v="336.87099999999998"/>
    <n v="364.1520000000001"/>
    <n v="308.53099999999995"/>
    <n v="290.19976666666662"/>
    <n v="19.346651111111107"/>
  </r>
  <r>
    <n v="140"/>
    <x v="41"/>
    <s v="EVCS-090009"/>
    <x v="115"/>
    <s v="Trinity"/>
    <s v="Public-Paid"/>
    <s v="12KW"/>
    <s v="DC Charger"/>
    <n v="1"/>
    <x v="1"/>
    <n v="5.92"/>
    <n v="0.03"/>
    <n v="0"/>
    <n v="0"/>
    <n v="0"/>
    <n v="0"/>
    <n v="0"/>
    <n v="0"/>
    <n v="0"/>
    <n v="0"/>
    <n v="0"/>
    <n v="0"/>
    <n v="0"/>
    <n v="0"/>
    <n v="0.67"/>
    <n v="0"/>
    <n v="0"/>
    <n v="0"/>
    <n v="0"/>
    <n v="0"/>
    <n v="0"/>
    <n v="0.15"/>
    <n v="3.1999999999999997"/>
    <n v="0"/>
    <n v="0"/>
    <n v="0"/>
    <n v="0"/>
    <n v="0"/>
    <n v="0"/>
    <n v="0"/>
    <n v="0.33233333333333337"/>
    <n v="0.33233333333333337"/>
  </r>
  <r>
    <n v="141"/>
    <x v="42"/>
    <s v="EVCS-070004"/>
    <x v="116"/>
    <s v="ETO"/>
    <s v="Public-Paid"/>
    <s v="3.3KW"/>
    <s v="OCPP"/>
    <n v="5"/>
    <x v="2"/>
    <n v="0"/>
    <n v="0"/>
    <n v="0"/>
    <n v="0"/>
    <n v="0.36199999999999999"/>
    <n v="1.0999999999999999E-2"/>
    <n v="0.69099999999999995"/>
    <n v="0"/>
    <n v="0"/>
    <n v="0"/>
    <n v="0"/>
    <n v="0"/>
    <n v="3.1960000000000002"/>
    <n v="0"/>
    <n v="0"/>
    <n v="2.7289999999999996"/>
    <n v="1.0900000000000001"/>
    <n v="0"/>
    <n v="0"/>
    <n v="0"/>
    <n v="0"/>
    <n v="0"/>
    <n v="0.90900000000000003"/>
    <n v="0"/>
    <n v="0"/>
    <n v="0"/>
    <n v="0"/>
    <n v="0"/>
    <n v="0.20699999999999999"/>
    <n v="0"/>
    <n v="0.30649999999999999"/>
    <n v="6.13E-2"/>
  </r>
  <r>
    <n v="142"/>
    <x v="42"/>
    <s v="EVCS-070007"/>
    <x v="117"/>
    <s v="ETO"/>
    <s v="Public-Paid"/>
    <s v="3.3KW"/>
    <s v="OCPP"/>
    <n v="16"/>
    <x v="2"/>
    <n v="121.51899999999999"/>
    <n v="154.39699999999999"/>
    <n v="100.68299999999998"/>
    <n v="116.806"/>
    <n v="118.56300000000002"/>
    <n v="116.68700000000001"/>
    <n v="89.564000000000007"/>
    <n v="125.11499999999998"/>
    <n v="49.148000000000003"/>
    <n v="76.048000000000002"/>
    <n v="74.073999999999998"/>
    <n v="38.878"/>
    <n v="47.150999999999996"/>
    <n v="64.430000000000007"/>
    <n v="70.998000000000005"/>
    <n v="49.981999999999999"/>
    <n v="8.0869999999999997"/>
    <n v="6.976"/>
    <n v="13.328000000000001"/>
    <n v="32.82"/>
    <n v="29.742000000000001"/>
    <n v="42.3"/>
    <n v="41.987000000000002"/>
    <n v="21.179000000000002"/>
    <n v="31.100999999999999"/>
    <n v="20.544"/>
    <n v="21.561"/>
    <n v="54.972999999999999"/>
    <n v="38.513000000000005"/>
    <n v="97.986999999999995"/>
    <n v="62.5047"/>
    <n v="3.90654375"/>
  </r>
  <r>
    <n v="143"/>
    <x v="42"/>
    <s v="EVCS-070008"/>
    <x v="118"/>
    <s v="ETO"/>
    <s v="Public-Paid"/>
    <s v="3.3KW"/>
    <s v="OCPP"/>
    <n v="1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4"/>
    <x v="42"/>
    <s v="EVCS-070009"/>
    <x v="119"/>
    <s v="ETO"/>
    <s v="Public-Paid"/>
    <s v="3.3KW"/>
    <s v="OCPP"/>
    <n v="13"/>
    <x v="2"/>
    <n v="172.637"/>
    <n v="149.06899999999999"/>
    <n v="116.43199999999999"/>
    <n v="125.26600000000001"/>
    <n v="106.64099999999998"/>
    <n v="111.76300000000001"/>
    <n v="114.22699999999999"/>
    <n v="92.557000000000002"/>
    <n v="118.94"/>
    <n v="113.48099999999998"/>
    <n v="98.018000000000001"/>
    <n v="64.435999999999993"/>
    <n v="74.833000000000013"/>
    <n v="62.617999999999995"/>
    <n v="111.282"/>
    <n v="93.085999999999984"/>
    <n v="92.123000000000005"/>
    <n v="87.421999999999983"/>
    <n v="102.38900000000001"/>
    <n v="6.3410000000000002"/>
    <n v="0"/>
    <n v="0"/>
    <n v="0"/>
    <n v="0"/>
    <n v="0"/>
    <n v="0"/>
    <n v="0"/>
    <n v="0"/>
    <n v="0"/>
    <n v="0"/>
    <n v="67.11869999999999"/>
    <n v="5.162976923076922"/>
  </r>
  <r>
    <n v="145"/>
    <x v="42"/>
    <s v="EVCS-070065"/>
    <x v="120"/>
    <s v="Trinity"/>
    <s v="Public-Paid"/>
    <s v="3.3KW"/>
    <s v="OCPP"/>
    <n v="15"/>
    <x v="1"/>
    <n v="394.48400000000004"/>
    <n v="379.51999999999992"/>
    <n v="357.47899999999998"/>
    <n v="395.11400000000003"/>
    <n v="334.02299999999997"/>
    <n v="342.99599999999998"/>
    <n v="227.85400000000004"/>
    <n v="424.02100000000002"/>
    <n v="381.92300000000006"/>
    <n v="362.0870000000001"/>
    <n v="384.28199999999993"/>
    <n v="499.12300000000016"/>
    <n v="367.83800000000002"/>
    <n v="416.505"/>
    <n v="381.18500000000012"/>
    <n v="361.98300000000006"/>
    <n v="380.37"/>
    <n v="428.23199999999974"/>
    <n v="354.08800000000002"/>
    <n v="317.01400000000007"/>
    <n v="321.51700000000011"/>
    <n v="318.53200000000004"/>
    <n v="395.23700000000002"/>
    <n v="332.74400000000014"/>
    <n v="307.02199999999999"/>
    <n v="269.26700000000011"/>
    <n v="293.01299999999998"/>
    <n v="298.61999999999995"/>
    <n v="319.21100000000001"/>
    <n v="418.59200000000016"/>
    <n v="358.79586666666677"/>
    <n v="23.919724444444451"/>
  </r>
  <r>
    <n v="146"/>
    <x v="42"/>
    <s v="EVCS-070010"/>
    <x v="121"/>
    <s v="ETO"/>
    <s v="Public-Paid"/>
    <s v="3.3KW"/>
    <s v="OCPP"/>
    <n v="20"/>
    <x v="2"/>
    <n v="269.38600000000002"/>
    <n v="394.97499999999997"/>
    <n v="268.99899999999991"/>
    <n v="230.83699999999999"/>
    <n v="259.76900000000001"/>
    <n v="218.85"/>
    <n v="250.98500000000004"/>
    <n v="261.90400000000011"/>
    <n v="255.04700000000003"/>
    <n v="291.11700000000008"/>
    <n v="267.20899999999995"/>
    <n v="379.952"/>
    <n v="257.40800000000002"/>
    <n v="306.26100000000002"/>
    <n v="239.80899999999997"/>
    <n v="292.584"/>
    <n v="313.12199999999996"/>
    <n v="322.62100000000009"/>
    <n v="304.78400000000005"/>
    <n v="255.99800000000002"/>
    <n v="326.38899999999995"/>
    <n v="319.44599999999991"/>
    <n v="325.39199999999994"/>
    <n v="318.45500000000004"/>
    <n v="248.48499999999996"/>
    <n v="300.30799999999999"/>
    <n v="275.95"/>
    <n v="292.92"/>
    <n v="315.67500000000001"/>
    <n v="293.90999999999991"/>
    <n v="288.61823333333331"/>
    <n v="14.430911666666665"/>
  </r>
  <r>
    <n v="147"/>
    <x v="42"/>
    <s v="EVCS-070066"/>
    <x v="122"/>
    <s v="ETO"/>
    <s v="Public-Paid"/>
    <s v="12KW"/>
    <s v="DC Charger"/>
    <n v="2"/>
    <x v="2"/>
    <n v="0"/>
    <n v="0"/>
    <n v="0"/>
    <n v="20.47"/>
    <n v="42.77000000000001"/>
    <n v="0"/>
    <n v="0"/>
    <n v="0"/>
    <n v="0"/>
    <n v="0"/>
    <n v="0"/>
    <n v="0"/>
    <n v="8.6"/>
    <n v="0"/>
    <n v="0"/>
    <n v="0"/>
    <n v="0"/>
    <n v="0"/>
    <n v="15.07"/>
    <n v="70.86999999999999"/>
    <n v="14.599999999999998"/>
    <n v="18.82"/>
    <n v="23.720000000000006"/>
    <n v="27.59"/>
    <n v="41.06"/>
    <n v="38.309999999999995"/>
    <n v="50.46"/>
    <n v="49.360000000000007"/>
    <n v="77.11999999999999"/>
    <n v="10.209999999999997"/>
    <n v="16.967666666666663"/>
    <n v="8.4838333333333313"/>
  </r>
  <r>
    <n v="148"/>
    <x v="42"/>
    <s v="EVCS-070011"/>
    <x v="123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9"/>
    <x v="42"/>
    <s v="EVCS-070012"/>
    <x v="124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0"/>
    <x v="42"/>
    <s v="EVCS-070013"/>
    <x v="125"/>
    <s v="Trinity"/>
    <s v="Public-Paid"/>
    <s v="7.4KW"/>
    <s v="OCPP"/>
    <n v="2"/>
    <x v="0"/>
    <n v="0"/>
    <n v="0"/>
    <n v="2.3860000000000001"/>
    <n v="0"/>
    <n v="9.0489999999999995"/>
    <n v="0"/>
    <n v="0"/>
    <n v="0"/>
    <n v="0"/>
    <n v="0"/>
    <n v="0"/>
    <n v="8.9550000000000001"/>
    <n v="29.387"/>
    <n v="43.082000000000001"/>
    <n v="28.58"/>
    <n v="25.288"/>
    <n v="0"/>
    <n v="0"/>
    <n v="29.36"/>
    <n v="9.5459999999999994"/>
    <n v="47.606999999999999"/>
    <n v="0"/>
    <n v="0"/>
    <n v="0"/>
    <n v="32.151000000000003"/>
    <n v="0"/>
    <n v="0"/>
    <n v="9.2349999999999994"/>
    <n v="35.616999999999997"/>
    <n v="0"/>
    <n v="10.341433333333333"/>
    <n v="5.1707166666666664"/>
  </r>
  <r>
    <n v="151"/>
    <x v="42"/>
    <s v="EVCS-070014"/>
    <x v="126"/>
    <m/>
    <s v="Private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2"/>
    <x v="42"/>
    <s v="EVCS-070015"/>
    <x v="127"/>
    <s v="Trinity"/>
    <s v="Public-Free"/>
    <s v="3.3KW"/>
    <s v="OCPP"/>
    <n v="6"/>
    <x v="3"/>
    <n v="9.0690000000000008"/>
    <n v="18.512"/>
    <n v="5.8420000000000005"/>
    <n v="20.588999999999999"/>
    <n v="0"/>
    <n v="0"/>
    <n v="11.225000000000001"/>
    <n v="9.7539999999999996"/>
    <n v="16.234000000000002"/>
    <n v="4.3999999999999995"/>
    <n v="33.603999999999999"/>
    <n v="0"/>
    <n v="0"/>
    <n v="0"/>
    <n v="17.202000000000002"/>
    <n v="11.273"/>
    <n v="17.783000000000001"/>
    <n v="1.9E-2"/>
    <n v="0"/>
    <n v="0"/>
    <n v="11.594999999999999"/>
    <n v="15.035"/>
    <n v="14.728"/>
    <n v="17.832000000000001"/>
    <n v="24.239999999999995"/>
    <n v="0"/>
    <n v="0"/>
    <n v="12.374000000000001"/>
    <n v="22.734999999999999"/>
    <n v="32.944000000000003"/>
    <n v="10.899633333333334"/>
    <n v="1.8166055555555556"/>
  </r>
  <r>
    <n v="153"/>
    <x v="42"/>
    <s v="EVCS-070016"/>
    <x v="128"/>
    <s v="Trinity"/>
    <s v="Public-Paid"/>
    <s v="3.3KW"/>
    <s v="OCPP"/>
    <n v="20"/>
    <x v="1"/>
    <n v="204.916"/>
    <n v="195.91099999999997"/>
    <n v="185.24199999999999"/>
    <n v="181.31900000000005"/>
    <n v="217.59699999999995"/>
    <n v="172.61600000000004"/>
    <n v="206.01499999999996"/>
    <n v="189.81299999999999"/>
    <n v="180.95299999999995"/>
    <n v="219.51"/>
    <n v="192.108"/>
    <n v="165.99799999999996"/>
    <n v="232.52499999999995"/>
    <n v="221.51500000000001"/>
    <n v="39.695"/>
    <n v="110.75399999999999"/>
    <n v="161.48700000000002"/>
    <n v="175.48699999999999"/>
    <n v="209.18600000000004"/>
    <n v="155.64699999999999"/>
    <n v="193.62499999999997"/>
    <n v="197.37299999999999"/>
    <n v="161.351"/>
    <n v="180.37599999999998"/>
    <n v="169.13800000000001"/>
    <n v="115.66700000000003"/>
    <n v="156.87299999999996"/>
    <n v="133.67799999999997"/>
    <n v="161.38800000000001"/>
    <n v="93.832999999999984"/>
    <n v="172.71986666666666"/>
    <n v="8.6359933333333334"/>
  </r>
  <r>
    <n v="154"/>
    <x v="42"/>
    <s v="EVCS-070068"/>
    <x v="129"/>
    <s v="Trinity"/>
    <s v="Public-Paid"/>
    <s v="7.4KW"/>
    <s v="OCPP"/>
    <n v="1"/>
    <x v="0"/>
    <n v="13.855999999999998"/>
    <n v="16.454000000000001"/>
    <n v="18.484999999999999"/>
    <n v="16.821000000000002"/>
    <n v="18.949000000000002"/>
    <n v="14.557"/>
    <n v="20.292999999999999"/>
    <n v="15.036"/>
    <n v="21.91"/>
    <n v="22.399000000000001"/>
    <n v="14.876999999999999"/>
    <n v="21.003999999999998"/>
    <n v="20.131999999999998"/>
    <n v="22.483000000000001"/>
    <n v="3.4"/>
    <n v="31.624000000000002"/>
    <n v="26.839999999999996"/>
    <n v="30.497999999999998"/>
    <n v="15.343999999999999"/>
    <n v="22.850999999999999"/>
    <n v="22.715999999999998"/>
    <n v="30.113"/>
    <n v="15.741999999999999"/>
    <n v="28.918999999999997"/>
    <n v="8.5640000000000001"/>
    <n v="24.493000000000002"/>
    <n v="18.616"/>
    <n v="23.884999999999998"/>
    <n v="15.323"/>
    <n v="20.413"/>
    <n v="19.886566666666667"/>
    <n v="19.886566666666667"/>
  </r>
  <r>
    <n v="155"/>
    <x v="42"/>
    <s v="EVCS-070068"/>
    <x v="129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4"/>
    <n v="0"/>
    <n v="0"/>
    <n v="0"/>
    <n v="0"/>
    <n v="0"/>
    <n v="0"/>
    <n v="0"/>
    <n v="0"/>
    <n v="0"/>
    <n v="2.4666666666666667E-2"/>
    <n v="2.4666666666666667E-2"/>
  </r>
  <r>
    <n v="156"/>
    <x v="42"/>
    <s v="EVCS-070063"/>
    <x v="130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7"/>
    <x v="42"/>
    <s v="EVCS-070017"/>
    <x v="131"/>
    <s v="Trinity"/>
    <s v="Public-Paid"/>
    <s v="3.3KW"/>
    <s v="OCPP"/>
    <n v="15"/>
    <x v="1"/>
    <n v="176.90200000000002"/>
    <n v="196.88200000000001"/>
    <n v="237.86900000000003"/>
    <n v="199.04599999999996"/>
    <n v="200.78"/>
    <n v="196.81299999999999"/>
    <n v="191.751"/>
    <n v="181.04500000000002"/>
    <n v="181.5"/>
    <n v="216.33300000000003"/>
    <n v="240.48800000000003"/>
    <n v="281.21799999999996"/>
    <n v="256.88100000000009"/>
    <n v="234.57200000000009"/>
    <n v="261.27799999999991"/>
    <n v="227.66700000000003"/>
    <n v="252.999"/>
    <n v="217.67499999999995"/>
    <n v="255.97800000000007"/>
    <n v="298.25099999999998"/>
    <n v="277.85099999999994"/>
    <n v="253.85300000000001"/>
    <n v="252.46199999999999"/>
    <n v="238.50300000000004"/>
    <n v="226.32300000000001"/>
    <n v="229.59900000000007"/>
    <n v="275.24300000000005"/>
    <n v="255.96899999999999"/>
    <n v="250.08999999999997"/>
    <n v="245.79900000000006"/>
    <n v="233.72066666666666"/>
    <n v="15.581377777777778"/>
  </r>
  <r>
    <n v="158"/>
    <x v="42"/>
    <s v="EVCS-070067"/>
    <x v="132"/>
    <s v="Trinity"/>
    <s v="Public-Paid"/>
    <s v="12KW"/>
    <s v="DC Charger"/>
    <n v="1"/>
    <x v="1"/>
    <n v="8.9700000000000006"/>
    <n v="8.75"/>
    <n v="0"/>
    <n v="0"/>
    <n v="0"/>
    <n v="15.02"/>
    <n v="5.22"/>
    <n v="5.66"/>
    <n v="0"/>
    <n v="0"/>
    <n v="1.26"/>
    <n v="3.06"/>
    <n v="8.61"/>
    <n v="0"/>
    <n v="0"/>
    <n v="0"/>
    <n v="0"/>
    <n v="0"/>
    <n v="0"/>
    <n v="0"/>
    <n v="0"/>
    <n v="0"/>
    <n v="0"/>
    <n v="0"/>
    <n v="0"/>
    <n v="0"/>
    <n v="0"/>
    <n v="0"/>
    <n v="0"/>
    <n v="0"/>
    <n v="1.8849999999999996"/>
    <n v="1.8849999999999996"/>
  </r>
  <r>
    <n v="159"/>
    <x v="42"/>
    <s v="EVCS-070020"/>
    <x v="133"/>
    <s v="Trinity"/>
    <s v="Public-Paid"/>
    <s v="3.3KW"/>
    <s v="OCPP"/>
    <n v="4"/>
    <x v="0"/>
    <n v="0"/>
    <n v="0"/>
    <n v="0.87"/>
    <n v="0"/>
    <n v="0"/>
    <n v="0"/>
    <n v="0"/>
    <n v="0"/>
    <n v="0"/>
    <n v="1.31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1.9E-2"/>
    <n v="0"/>
    <n v="0"/>
    <n v="7.3333333333333334E-2"/>
    <n v="1.8333333333333333E-2"/>
  </r>
  <r>
    <n v="160"/>
    <x v="42"/>
    <s v="EVCS-070020"/>
    <x v="133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1"/>
    <x v="42"/>
    <s v="EVCS-070002"/>
    <x v="134"/>
    <s v="BYPL MCD Parking"/>
    <s v="Public-Paid"/>
    <s v="3.3KW"/>
    <s v="OCPP"/>
    <n v="2"/>
    <x v="0"/>
    <n v="1.8280000000000001"/>
    <n v="0"/>
    <n v="1.431"/>
    <n v="0.16300000000000001"/>
    <n v="0"/>
    <n v="0"/>
    <n v="0"/>
    <n v="0.79900000000000004"/>
    <n v="0"/>
    <n v="0"/>
    <n v="8.1000000000000003E-2"/>
    <n v="0"/>
    <n v="7.8840000000000003"/>
    <n v="12.588000000000001"/>
    <n v="11.463999999999999"/>
    <n v="4.9830000000000032"/>
    <n v="12.672000000000001"/>
    <n v="16.809999999999999"/>
    <n v="5.2010000000000005"/>
    <n v="24.597000000000001"/>
    <n v="3.4989999999999997"/>
    <n v="0"/>
    <n v="10.031000000000001"/>
    <n v="12.193999999999999"/>
    <n v="22.977"/>
    <n v="5.5139999999999993"/>
    <n v="21.198"/>
    <n v="8.4059999999999988"/>
    <n v="15.158000000000001"/>
    <n v="9.4039999999999999"/>
    <n v="6.9627333333333334"/>
    <n v="3.4813666666666667"/>
  </r>
  <r>
    <n v="162"/>
    <x v="42"/>
    <s v="EVCS-070022"/>
    <x v="13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3"/>
    <x v="42"/>
    <s v="EVCS-070023"/>
    <x v="136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4"/>
    <x v="42"/>
    <s v="EVCS-070023"/>
    <x v="136"/>
    <s v="BYPL MCD Parking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5"/>
    <x v="42"/>
    <s v="EVCS-070025"/>
    <x v="13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6"/>
    <x v="42"/>
    <s v="EVCS-070042"/>
    <x v="138"/>
    <s v="BYPL MCD Parking"/>
    <s v="Public-Paid"/>
    <s v="3.3KW"/>
    <s v="OCPP"/>
    <n v="3"/>
    <x v="0"/>
    <n v="7.5890000000000004"/>
    <n v="14.161000000000001"/>
    <n v="15.680999999999999"/>
    <n v="20.341999999999999"/>
    <n v="6.22"/>
    <n v="21.122"/>
    <n v="9.7639999999999993"/>
    <n v="17.279"/>
    <n v="13.499000000000001"/>
    <n v="11.587999999999999"/>
    <n v="8.6280000000000001"/>
    <n v="13.201000000000001"/>
    <n v="7.8410000000000002"/>
    <n v="2.8090000000000002"/>
    <n v="8.4920000000000009"/>
    <n v="16.074999999999999"/>
    <n v="6.2590000000000003"/>
    <n v="15.382"/>
    <n v="17.173999999999999"/>
    <n v="18.609000000000002"/>
    <n v="6.8079999999999998"/>
    <n v="12.015000000000001"/>
    <n v="4.8730000000000002"/>
    <n v="13.013999999999999"/>
    <n v="0"/>
    <n v="25.297000000000001"/>
    <n v="19.374000000000002"/>
    <n v="7.7130000000000001"/>
    <n v="12.718"/>
    <n v="16.094999999999999"/>
    <n v="12.320733333333335"/>
    <n v="4.1069111111111116"/>
  </r>
  <r>
    <n v="167"/>
    <x v="42"/>
    <s v="EVCS-070049"/>
    <x v="139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8"/>
    <x v="42"/>
    <s v="EVCS-070054"/>
    <x v="140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9"/>
    <x v="42"/>
    <s v="EVCS-070055"/>
    <x v="141"/>
    <s v="ETO"/>
    <s v="Public-Paid"/>
    <s v="3.3KW"/>
    <s v="OCPP"/>
    <n v="4"/>
    <x v="3"/>
    <n v="0"/>
    <n v="0"/>
    <n v="0"/>
    <n v="0"/>
    <n v="0"/>
    <n v="0"/>
    <n v="1.6850000000000001"/>
    <n v="10.789"/>
    <n v="0"/>
    <n v="0"/>
    <n v="0"/>
    <n v="0"/>
    <n v="0"/>
    <n v="0"/>
    <n v="0"/>
    <n v="0"/>
    <n v="0"/>
    <n v="0"/>
    <n v="0"/>
    <n v="0"/>
    <n v="0"/>
    <n v="0"/>
    <n v="0"/>
    <n v="7.5330000000000004"/>
    <n v="10.81"/>
    <n v="0"/>
    <n v="0"/>
    <n v="0"/>
    <n v="0"/>
    <n v="0"/>
    <n v="1.0272333333333334"/>
    <n v="0.25680833333333336"/>
  </r>
  <r>
    <n v="170"/>
    <x v="42"/>
    <s v="EVCS-070056"/>
    <x v="142"/>
    <s v="Trinity"/>
    <s v="Public-Paid"/>
    <s v="3.3KW"/>
    <s v="OCPP"/>
    <n v="15"/>
    <x v="1"/>
    <n v="114.03500000000001"/>
    <n v="110.99499999999999"/>
    <n v="96.491000000000028"/>
    <n v="109.28499999999998"/>
    <n v="102.51500000000001"/>
    <n v="100.54299999999998"/>
    <n v="126.00499999999998"/>
    <n v="94.406999999999996"/>
    <n v="99.879000000000005"/>
    <n v="109.23100000000001"/>
    <n v="114.51800000000001"/>
    <n v="104.26600000000001"/>
    <n v="98.683999999999997"/>
    <n v="104.95700000000001"/>
    <n v="110.32199999999999"/>
    <n v="59.489999999999995"/>
    <n v="110.89300000000001"/>
    <n v="92.971000000000004"/>
    <n v="110.25899999999999"/>
    <n v="89.823000000000008"/>
    <n v="71.994"/>
    <n v="93.571999999999989"/>
    <n v="82.802000000000007"/>
    <n v="101.95800000000001"/>
    <n v="95.444000000000003"/>
    <n v="100.76900000000001"/>
    <n v="78.077999999999989"/>
    <n v="80.414000000000001"/>
    <n v="60.113"/>
    <n v="57.802999999999997"/>
    <n v="96.083866666666694"/>
    <n v="6.4055911111111126"/>
  </r>
  <r>
    <n v="171"/>
    <x v="42"/>
    <s v="EVCS-070069"/>
    <x v="143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1"/>
    <n v="27.46"/>
    <n v="23.51"/>
    <n v="24.869999999999997"/>
    <n v="0"/>
    <n v="25.61"/>
    <n v="23.43"/>
    <n v="39.021000000000001"/>
    <n v="6.16"/>
    <n v="0"/>
    <n v="6.0956999999999999"/>
    <n v="6.0956999999999999"/>
  </r>
  <r>
    <n v="172"/>
    <x v="42"/>
    <s v="EVCS-070057"/>
    <x v="144"/>
    <s v="BRPL MCD Parking"/>
    <s v="Public-Free"/>
    <s v="3.3KW"/>
    <s v="OCPP"/>
    <n v="2"/>
    <x v="3"/>
    <n v="7.2430000000000003"/>
    <n v="13.303000000000001"/>
    <n v="9.9589999999999996"/>
    <n v="10.431999999999999"/>
    <n v="0"/>
    <n v="0"/>
    <n v="17.626999999999999"/>
    <n v="10.904"/>
    <n v="8.375"/>
    <n v="0"/>
    <n v="9.2249999999999996"/>
    <n v="0"/>
    <n v="0"/>
    <n v="0"/>
    <n v="8.0410000000000004"/>
    <n v="4.3250000000000002"/>
    <n v="10.718999999999999"/>
    <n v="0"/>
    <n v="0"/>
    <n v="0"/>
    <n v="0"/>
    <n v="8.5180000000000007"/>
    <n v="13.837"/>
    <n v="4.7649999999999997"/>
    <n v="13.863"/>
    <n v="0"/>
    <n v="0"/>
    <n v="5.7509999999999994"/>
    <n v="9.5839999999999996"/>
    <n v="5.5640000000000001"/>
    <n v="5.7344999999999988"/>
    <n v="2.8672499999999994"/>
  </r>
  <r>
    <n v="173"/>
    <x v="42"/>
    <s v="EVCS-070058"/>
    <x v="145"/>
    <s v="Sold"/>
    <s v="Public-Free"/>
    <s v="3.3KW"/>
    <s v="OCPP"/>
    <n v="2"/>
    <x v="3"/>
    <n v="3.004"/>
    <n v="5.0670000000000002"/>
    <n v="0"/>
    <n v="0"/>
    <n v="0"/>
    <n v="0"/>
    <n v="7.5110000000000001"/>
    <n v="7.2249999999999996"/>
    <n v="4.9130000000000003"/>
    <n v="0"/>
    <n v="4.6449999999999996"/>
    <n v="0"/>
    <n v="0"/>
    <n v="0"/>
    <n v="2.0169999999999999"/>
    <n v="9.8209999999999997"/>
    <n v="0"/>
    <n v="0"/>
    <n v="0"/>
    <n v="0"/>
    <n v="11.974"/>
    <n v="0"/>
    <n v="0"/>
    <n v="0"/>
    <n v="0"/>
    <n v="0"/>
    <n v="0"/>
    <n v="0"/>
    <n v="0"/>
    <n v="0"/>
    <n v="1.8725666666666669"/>
    <n v="0.93628333333333347"/>
  </r>
  <r>
    <n v="174"/>
    <x v="42"/>
    <s v="EVCS-070059"/>
    <x v="146"/>
    <s v="BRPL MCD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5"/>
    <x v="42"/>
    <s v="EVCS-070060"/>
    <x v="147"/>
    <s v="Sold"/>
    <s v="Public-Free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6"/>
    <x v="42"/>
    <s v="EVCS-070061"/>
    <x v="148"/>
    <s v="BSES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7"/>
    <x v="42"/>
    <s v="EVCS-070070"/>
    <x v="149"/>
    <s v="BSES Parking"/>
    <s v="Public-Free"/>
    <s v="3.3KW"/>
    <s v="OCPP"/>
    <n v="2"/>
    <x v="3"/>
    <n v="14.548999999999999"/>
    <n v="12.667999999999999"/>
    <n v="8.3740000000000006"/>
    <n v="7.5529999999999999"/>
    <n v="0"/>
    <n v="0"/>
    <n v="11.291"/>
    <n v="8.6110000000000007"/>
    <n v="11.319000000000001"/>
    <n v="0"/>
    <n v="0"/>
    <n v="0"/>
    <n v="0"/>
    <n v="0"/>
    <n v="0"/>
    <n v="0"/>
    <n v="0"/>
    <n v="0"/>
    <n v="0"/>
    <n v="0"/>
    <n v="0"/>
    <n v="9.56"/>
    <n v="6.32"/>
    <n v="11.297000000000001"/>
    <n v="7.7750000000000004"/>
    <n v="0"/>
    <n v="0"/>
    <n v="10.757999999999999"/>
    <n v="11.305"/>
    <n v="4.5430000000000001"/>
    <n v="4.5307666666666666"/>
    <n v="2.2653833333333333"/>
  </r>
  <r>
    <n v="178"/>
    <x v="42"/>
    <s v="EVCS-070062"/>
    <x v="150"/>
    <s v="Trinity"/>
    <s v="Public-Paid"/>
    <s v="3.3KW"/>
    <s v="OCPP"/>
    <n v="15"/>
    <x v="1"/>
    <n v="165.23099999999999"/>
    <n v="151.96799999999999"/>
    <n v="196.09700000000001"/>
    <n v="196.08799999999999"/>
    <n v="174.239"/>
    <n v="162.44499999999999"/>
    <n v="159.59900000000002"/>
    <n v="191.065"/>
    <n v="186.14300000000003"/>
    <n v="218.57000000000005"/>
    <n v="208.345"/>
    <n v="179.27799999999999"/>
    <n v="182.459"/>
    <n v="156.608"/>
    <n v="161.679"/>
    <n v="65.411999999999992"/>
    <n v="83.463000000000008"/>
    <n v="88.679000000000002"/>
    <n v="95.580999999999989"/>
    <n v="118.866"/>
    <n v="100.56399999999999"/>
    <n v="110.577"/>
    <n v="132.90400000000002"/>
    <n v="106.80500000000002"/>
    <n v="98.146000000000015"/>
    <n v="105.84"/>
    <n v="66.230999999999995"/>
    <n v="54.22"/>
    <n v="56.042000000000002"/>
    <n v="66.611000000000004"/>
    <n v="134.6585"/>
    <n v="8.9772333333333343"/>
  </r>
  <r>
    <n v="179"/>
    <x v="42"/>
    <s v="EVCS-070064"/>
    <x v="151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100000000000003"/>
    <n v="0"/>
    <n v="0"/>
    <n v="0"/>
    <n v="12.92"/>
    <n v="8.65"/>
    <n v="7.34"/>
    <n v="0"/>
    <n v="0"/>
    <n v="0"/>
    <n v="0"/>
    <n v="0"/>
    <n v="0.97503333333333342"/>
    <n v="0.48751666666666671"/>
  </r>
  <r>
    <n v="180"/>
    <x v="42"/>
    <m/>
    <x v="152"/>
    <s v="Trinity"/>
    <s v="Public-Paid"/>
    <s v="3.3 kW"/>
    <s v="OCPP"/>
    <n v="2"/>
    <x v="1"/>
    <n v="0"/>
    <n v="0"/>
    <n v="0"/>
    <n v="0"/>
    <n v="0"/>
    <n v="10.423999999999999"/>
    <n v="16.088999999999999"/>
    <n v="6.891"/>
    <n v="10.102"/>
    <n v="12.951000000000001"/>
    <n v="7.27"/>
    <n v="20.239999999999998"/>
    <n v="10.768000000000001"/>
    <n v="22.518999999999998"/>
    <n v="14.529"/>
    <n v="11.367000000000001"/>
    <n v="6.13"/>
    <n v="0"/>
    <n v="1E-3"/>
    <n v="0"/>
    <n v="14.675999999999998"/>
    <n v="1E-3"/>
    <n v="1.839"/>
    <n v="0"/>
    <n v="0"/>
    <n v="7.5150000000000006"/>
    <n v="5.6109999999999998"/>
    <n v="5.1269999999999998"/>
    <n v="0"/>
    <n v="0"/>
    <n v="6.1349999999999989"/>
    <n v="3.0674999999999994"/>
  </r>
  <r>
    <n v="181"/>
    <x v="42"/>
    <m/>
    <x v="153"/>
    <s v="Trinity"/>
    <s v="Public-Paid"/>
    <s v="3.3 kW"/>
    <s v="OCPP"/>
    <n v="1"/>
    <x v="0"/>
    <m/>
    <m/>
    <m/>
    <n v="1.3939999999999999"/>
    <n v="0"/>
    <n v="0"/>
    <n v="0"/>
    <n v="0"/>
    <n v="2.2319999999999998"/>
    <n v="0"/>
    <n v="0"/>
    <n v="0"/>
    <n v="0"/>
    <n v="0"/>
    <n v="0"/>
    <n v="0"/>
    <n v="0"/>
    <n v="0"/>
    <n v="0"/>
    <n v="0"/>
    <n v="0"/>
    <n v="0"/>
    <n v="6.5510000000000002"/>
    <n v="2.6659999999999999"/>
    <n v="0"/>
    <n v="0"/>
    <n v="0"/>
    <n v="0"/>
    <n v="0"/>
    <n v="0"/>
    <n v="0.47566666666666668"/>
    <n v="0.47566666666666668"/>
  </r>
  <r>
    <n v="182"/>
    <x v="42"/>
    <m/>
    <x v="154"/>
    <s v="Trinity"/>
    <s v="Public-Paid"/>
    <s v="3.3 kW"/>
    <s v="OCPP"/>
    <n v="1"/>
    <x v="0"/>
    <m/>
    <m/>
    <m/>
    <m/>
    <m/>
    <m/>
    <n v="0"/>
    <n v="0.716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874999999999999E-2"/>
    <n v="2.9874999999999999E-2"/>
  </r>
  <r>
    <n v="183"/>
    <x v="42"/>
    <m/>
    <x v="155"/>
    <s v="Trinity"/>
    <s v="Public-Paid"/>
    <s v="3.3 kW"/>
    <s v="OCPP"/>
    <n v="1"/>
    <x v="0"/>
    <m/>
    <m/>
    <m/>
    <m/>
    <m/>
    <m/>
    <n v="0"/>
    <n v="1.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625E-2"/>
    <n v="4.6625E-2"/>
  </r>
  <r>
    <n v="184"/>
    <x v="42"/>
    <m/>
    <x v="156"/>
    <s v="Trinity"/>
    <s v="Public-Paid"/>
    <s v="7.4 kW"/>
    <s v="OCPP"/>
    <n v="1"/>
    <x v="0"/>
    <m/>
    <m/>
    <m/>
    <m/>
    <m/>
    <m/>
    <m/>
    <m/>
    <n v="0"/>
    <n v="30.0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52727272727274"/>
    <n v="1.3652727272727274"/>
  </r>
  <r>
    <n v="185"/>
    <x v="42"/>
    <m/>
    <x v="157"/>
    <s v="Trinity"/>
    <s v="Public-Paid"/>
    <s v="3.3 kW"/>
    <s v="OCPP"/>
    <n v="1"/>
    <x v="0"/>
    <m/>
    <m/>
    <m/>
    <m/>
    <m/>
    <m/>
    <n v="0"/>
    <n v="2.7389999999999999"/>
    <n v="0"/>
    <n v="0"/>
    <n v="0"/>
    <n v="0"/>
    <n v="0"/>
    <n v="0.77300000000000002"/>
    <n v="0"/>
    <n v="0"/>
    <n v="0"/>
    <n v="0"/>
    <n v="0"/>
    <n v="0"/>
    <n v="0"/>
    <n v="5.585"/>
    <n v="0.71599999999999997"/>
    <n v="0"/>
    <n v="0"/>
    <n v="0"/>
    <n v="0"/>
    <n v="0"/>
    <n v="0"/>
    <n v="0"/>
    <n v="0.40887499999999993"/>
    <n v="0.40887499999999993"/>
  </r>
  <r>
    <n v="186"/>
    <x v="42"/>
    <m/>
    <x v="158"/>
    <s v="Trinity"/>
    <s v="Public-Paid"/>
    <s v="3.3 kW"/>
    <s v="OCPP"/>
    <n v="1"/>
    <x v="0"/>
    <m/>
    <m/>
    <m/>
    <m/>
    <m/>
    <m/>
    <m/>
    <m/>
    <n v="0"/>
    <n v="0"/>
    <n v="2.3610000000000002"/>
    <n v="0"/>
    <n v="0"/>
    <n v="0.84499999999999997"/>
    <n v="0"/>
    <n v="0"/>
    <n v="0"/>
    <n v="0"/>
    <n v="0"/>
    <n v="0"/>
    <n v="0"/>
    <n v="0"/>
    <n v="0"/>
    <n v="0"/>
    <n v="0"/>
    <n v="0"/>
    <n v="0"/>
    <n v="0"/>
    <n v="0"/>
    <n v="0"/>
    <n v="0.14572727272727273"/>
    <n v="0.14572727272727273"/>
  </r>
  <r>
    <n v="187"/>
    <x v="42"/>
    <m/>
    <x v="159"/>
    <s v="Trinity"/>
    <s v="Public-Paid"/>
    <s v="3.3 kW"/>
    <s v="OCPP"/>
    <n v="1"/>
    <x v="0"/>
    <m/>
    <m/>
    <m/>
    <m/>
    <m/>
    <m/>
    <m/>
    <m/>
    <n v="0"/>
    <n v="0"/>
    <n v="0.659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954545454545456E-2"/>
    <n v="2.9954545454545456E-2"/>
  </r>
  <r>
    <n v="188"/>
    <x v="42"/>
    <m/>
    <x v="160"/>
    <s v="Trinity"/>
    <s v="Public-Paid"/>
    <s v="7.4 kW"/>
    <s v="OCPP"/>
    <n v="1"/>
    <x v="0"/>
    <m/>
    <m/>
    <m/>
    <m/>
    <m/>
    <m/>
    <m/>
    <m/>
    <m/>
    <m/>
    <n v="0"/>
    <n v="10.65"/>
    <n v="6.6950000000000003"/>
    <n v="0"/>
    <n v="1E-3"/>
    <n v="0"/>
    <n v="0"/>
    <n v="0"/>
    <n v="2E-3"/>
    <n v="0"/>
    <n v="0"/>
    <n v="0"/>
    <n v="0"/>
    <n v="0"/>
    <n v="0"/>
    <n v="0"/>
    <n v="0"/>
    <n v="0"/>
    <n v="0"/>
    <n v="0"/>
    <n v="0.86739999999999995"/>
    <n v="0.86739999999999995"/>
  </r>
  <r>
    <n v="189"/>
    <x v="42"/>
    <m/>
    <x v="161"/>
    <s v="Trinity"/>
    <s v="Public-Paid"/>
    <s v="7.4 kW"/>
    <s v="OCPP"/>
    <n v="1"/>
    <x v="0"/>
    <m/>
    <m/>
    <m/>
    <m/>
    <m/>
    <m/>
    <m/>
    <m/>
    <m/>
    <m/>
    <n v="0"/>
    <n v="4.0129999999999999"/>
    <n v="0"/>
    <n v="0"/>
    <n v="0"/>
    <n v="0"/>
    <n v="0"/>
    <n v="0"/>
    <n v="12.901999999999999"/>
    <n v="0"/>
    <n v="0"/>
    <n v="14.135999999999999"/>
    <n v="0"/>
    <n v="0"/>
    <n v="0"/>
    <n v="0"/>
    <n v="0"/>
    <n v="0"/>
    <n v="0"/>
    <n v="0"/>
    <n v="1.5525499999999999"/>
    <n v="1.5525499999999999"/>
  </r>
  <r>
    <n v="190"/>
    <x v="42"/>
    <m/>
    <x v="162"/>
    <s v="Trinity"/>
    <s v="Public-Paid"/>
    <s v="3.3 kW"/>
    <s v="OCPP"/>
    <n v="1"/>
    <x v="0"/>
    <m/>
    <m/>
    <m/>
    <m/>
    <m/>
    <m/>
    <m/>
    <m/>
    <m/>
    <m/>
    <m/>
    <m/>
    <m/>
    <m/>
    <n v="3.5270000000000001"/>
    <n v="5.1219999999999999"/>
    <n v="6.431"/>
    <n v="7.7290000000000001"/>
    <n v="1.548"/>
    <n v="4.3419999999999996"/>
    <n v="4.6589999999999998"/>
    <n v="9.9749999999999996"/>
    <n v="7.7309999999999999"/>
    <n v="2.609"/>
    <n v="0"/>
    <n v="0"/>
    <n v="0"/>
    <n v="0"/>
    <n v="0.76900000000000002"/>
    <n v="0"/>
    <n v="3.402625"/>
    <n v="3.402625"/>
  </r>
  <r>
    <n v="191"/>
    <x v="42"/>
    <m/>
    <x v="163"/>
    <s v="Trinity"/>
    <s v="Public-Paid"/>
    <s v="3.3 kW"/>
    <s v="OCPP"/>
    <n v="1"/>
    <x v="0"/>
    <m/>
    <m/>
    <m/>
    <m/>
    <m/>
    <m/>
    <m/>
    <m/>
    <m/>
    <m/>
    <m/>
    <m/>
    <m/>
    <m/>
    <m/>
    <m/>
    <n v="6.1679999999999993"/>
    <n v="0"/>
    <n v="0"/>
    <n v="0"/>
    <n v="0"/>
    <n v="0"/>
    <n v="0"/>
    <n v="0"/>
    <n v="0"/>
    <n v="0"/>
    <n v="0"/>
    <n v="0"/>
    <n v="0"/>
    <n v="0"/>
    <n v="0.4405714285714285"/>
    <n v="0.4405714285714285"/>
  </r>
  <r>
    <n v="192"/>
    <x v="42"/>
    <m/>
    <x v="164"/>
    <s v="Trinity"/>
    <s v="Public-Paid"/>
    <s v="7.4 kW"/>
    <s v="OCPP"/>
    <n v="1"/>
    <x v="0"/>
    <m/>
    <m/>
    <m/>
    <m/>
    <m/>
    <m/>
    <m/>
    <m/>
    <m/>
    <m/>
    <m/>
    <m/>
    <m/>
    <m/>
    <m/>
    <m/>
    <m/>
    <n v="15.307"/>
    <n v="12.362"/>
    <n v="27.610999999999997"/>
    <n v="0"/>
    <n v="12.359"/>
    <n v="12.791"/>
    <n v="0"/>
    <n v="0"/>
    <n v="0"/>
    <n v="0"/>
    <n v="0"/>
    <n v="0"/>
    <n v="0"/>
    <n v="6.1869230769230761"/>
    <n v="6.1869230769230761"/>
  </r>
  <r>
    <n v="193"/>
    <x v="42"/>
    <m/>
    <x v="165"/>
    <s v="Trinity"/>
    <s v="Public-Paid"/>
    <s v="3.3 kW"/>
    <s v="OCPP"/>
    <n v="1"/>
    <x v="0"/>
    <m/>
    <m/>
    <m/>
    <m/>
    <m/>
    <m/>
    <m/>
    <m/>
    <m/>
    <m/>
    <m/>
    <m/>
    <m/>
    <m/>
    <m/>
    <m/>
    <m/>
    <m/>
    <n v="0"/>
    <n v="0"/>
    <n v="0"/>
    <n v="0"/>
    <n v="2.4049999999999998"/>
    <n v="2.41"/>
    <n v="0"/>
    <n v="0"/>
    <n v="0"/>
    <n v="0"/>
    <n v="0"/>
    <n v="0"/>
    <n v="0.40124999999999994"/>
    <n v="0.40124999999999994"/>
  </r>
  <r>
    <n v="194"/>
    <x v="43"/>
    <m/>
    <x v="166"/>
    <s v="Trinity"/>
    <s v="Public-Paid"/>
    <s v="60 kw"/>
    <s v="DC Charger"/>
    <n v="1"/>
    <x v="0"/>
    <m/>
    <m/>
    <m/>
    <m/>
    <m/>
    <m/>
    <m/>
    <m/>
    <m/>
    <m/>
    <m/>
    <m/>
    <m/>
    <m/>
    <m/>
    <m/>
    <m/>
    <m/>
    <n v="0"/>
    <n v="9.6300000000000008"/>
    <n v="13.09"/>
    <n v="0"/>
    <n v="0"/>
    <n v="0"/>
    <n v="10.58"/>
    <n v="0"/>
    <n v="0"/>
    <n v="10.82"/>
    <n v="3.95"/>
    <n v="16.380000000000003"/>
    <n v="5.3708333333333336"/>
    <n v="5.3708333333333336"/>
  </r>
  <r>
    <n v="195"/>
    <x v="44"/>
    <m/>
    <x v="167"/>
    <s v="Trinity"/>
    <s v="Public-Paid"/>
    <s v="60 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14.79"/>
    <n v="14.79"/>
    <n v="14.79"/>
  </r>
  <r>
    <n v="196"/>
    <x v="44"/>
    <m/>
    <x v="168"/>
    <s v="Trinity"/>
    <s v="Public-Paid"/>
    <s v="7.4 kW"/>
    <s v="OCPP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8.468"/>
    <n v="28.468"/>
    <n v="28.468"/>
  </r>
  <r>
    <n v="197"/>
    <x v="42"/>
    <m/>
    <x v="169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8"/>
    <x v="42"/>
    <m/>
    <x v="170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9"/>
    <x v="42"/>
    <m/>
    <x v="171"/>
    <s v="MCD"/>
    <s v="Public-Paid"/>
    <s v="3.3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"/>
    <x v="42"/>
    <m/>
    <x v="172"/>
    <m/>
    <s v="Public-Paid"/>
    <s v="3.3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1"/>
    <x v="42"/>
    <m/>
    <x v="173"/>
    <s v="ETO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2"/>
    <x v="42"/>
    <m/>
    <x v="174"/>
    <s v="ETO"/>
    <s v="Public-Free"/>
    <s v="3.3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3"/>
    <x v="45"/>
    <m/>
    <x v="175"/>
    <s v="Flipkart"/>
    <s v="Public-Paid"/>
    <s v="3.3KW"/>
    <s v="OCPP"/>
    <n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4"/>
    <x v="45"/>
    <s v="EVCS-100002"/>
    <x v="176"/>
    <s v="Flipkart"/>
    <s v="Public-Paid"/>
    <s v="3.3KW"/>
    <s v="OCPP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">
  <r>
    <n v="1"/>
    <x v="0"/>
    <s v="EVCS-360003"/>
    <x v="0"/>
    <s v="Amazon"/>
    <s v="Public-Paid"/>
    <s v="3.3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s v="EVCS-360004"/>
    <x v="1"/>
    <s v="Amazon"/>
    <s v="Public-Paid"/>
    <s v="3.3KW"/>
    <s v="OCPP"/>
    <n v="9"/>
    <x v="0"/>
    <n v="163.43699999999998"/>
    <n v="151.22300000000004"/>
    <n v="145.16399999999999"/>
    <n v="149.28400000000002"/>
    <n v="169.62699999999998"/>
    <n v="169.62300000000002"/>
    <n v="137.61699999999999"/>
    <n v="178.25999999999993"/>
    <n v="165.18299999999994"/>
    <n v="136.99200000000002"/>
    <n v="167.57700000000003"/>
    <n v="153.33699999999999"/>
    <n v="156.21399999999997"/>
    <n v="116.67"/>
    <n v="181.00100000000003"/>
    <n v="161.209"/>
    <n v="158.95099999999999"/>
    <n v="177.64600000000007"/>
    <n v="150.83700000000002"/>
    <n v="156.12300000000002"/>
    <n v="199.83599999999998"/>
    <n v="164.87400000000002"/>
    <n v="142.90499999999992"/>
    <n v="163.268"/>
    <n v="173.62900000000002"/>
    <n v="167.191"/>
    <n v="145.25400000000002"/>
    <n v="135.51799999999997"/>
    <n v="146.643"/>
    <n v="142.37499999999997"/>
    <n v="139.77600000000001"/>
    <n v="157.00787096774192"/>
    <n v="17.445318996415768"/>
  </r>
  <r>
    <n v="3"/>
    <x v="0"/>
    <s v="EVCS-360005"/>
    <x v="2"/>
    <s v="Amazon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s v="EVCS-360017"/>
    <x v="3"/>
    <s v="Trinity"/>
    <s v="Public-Paid"/>
    <s v="3.3KW"/>
    <s v="OCPP"/>
    <n v="29"/>
    <x v="1"/>
    <n v="648.7800000000002"/>
    <n v="732.85599999999988"/>
    <n v="670.505"/>
    <n v="684.43799999999987"/>
    <n v="715.56299999999965"/>
    <n v="549.75499999999977"/>
    <n v="457.50099999999992"/>
    <n v="832.27900000000022"/>
    <n v="660.85"/>
    <n v="695.75299999999982"/>
    <n v="666.06700000000035"/>
    <n v="660.58499999999981"/>
    <n v="622.27199999999993"/>
    <n v="656.22400000000005"/>
    <n v="722.93800000000022"/>
    <n v="415.41699999999992"/>
    <n v="561.25200000000018"/>
    <n v="590.69699999999989"/>
    <n v="681.38900000000024"/>
    <n v="614.08500000000004"/>
    <n v="638.55399999999997"/>
    <n v="620.42599999999982"/>
    <n v="549.88700000000006"/>
    <n v="524.67000000000019"/>
    <n v="172.39000000000001"/>
    <n v="644.84199999999987"/>
    <n v="754.11899999999969"/>
    <n v="649.08500000000015"/>
    <n v="681.827"/>
    <n v="600.98599999999999"/>
    <n v="418.87499999999989"/>
    <n v="615.96345161290333"/>
    <n v="21.240119021134596"/>
  </r>
  <r>
    <n v="5"/>
    <x v="0"/>
    <s v="EVCS-360067"/>
    <x v="4"/>
    <s v="Trinity"/>
    <s v="Public-Paid"/>
    <s v="12KW"/>
    <s v="DC Charger"/>
    <n v="8"/>
    <x v="1"/>
    <n v="169.87"/>
    <n v="185.75"/>
    <n v="164.50000000000003"/>
    <n v="93.570000000000022"/>
    <n v="18.3"/>
    <n v="27.590000000000003"/>
    <n v="18.07"/>
    <n v="37.17"/>
    <n v="0.4"/>
    <n v="71.939000000000007"/>
    <n v="186.28"/>
    <n v="52.929999999999993"/>
    <n v="54.190000000000005"/>
    <n v="50.399999999999991"/>
    <n v="102.63"/>
    <n v="77.22999999999999"/>
    <n v="74.299999999999983"/>
    <n v="100.68000000000002"/>
    <n v="103.21899999999998"/>
    <n v="209.75999999999996"/>
    <n v="171.51000000000005"/>
    <n v="129.95999999999998"/>
    <n v="171.23000000000002"/>
    <n v="150.44"/>
    <n v="711.0010000000002"/>
    <n v="206.52999999999997"/>
    <n v="247.22800000000007"/>
    <n v="228.73000000000002"/>
    <n v="219.10900000000004"/>
    <n v="164.23000000000005"/>
    <n v="151.91"/>
    <n v="140.34374193548391"/>
    <n v="17.542967741935488"/>
  </r>
  <r>
    <n v="6"/>
    <x v="0"/>
    <s v="EVCS-360019"/>
    <x v="5"/>
    <s v="Trinity"/>
    <s v="Public-Paid"/>
    <s v="3.3KW"/>
    <s v="OCPP"/>
    <n v="6"/>
    <x v="1"/>
    <n v="55.557000000000002"/>
    <n v="49.569999999999993"/>
    <n v="36.86"/>
    <n v="36.020000000000003"/>
    <n v="65.634"/>
    <n v="48.951999999999998"/>
    <n v="44.169000000000004"/>
    <n v="47.814999999999998"/>
    <n v="51.053000000000004"/>
    <n v="38.460000000000008"/>
    <n v="50.64200000000001"/>
    <n v="42.278999999999996"/>
    <n v="44.569000000000003"/>
    <n v="48.688000000000002"/>
    <n v="34.710999999999999"/>
    <n v="57.125"/>
    <n v="52.731000000000002"/>
    <n v="38.175999999999995"/>
    <n v="49.045999999999999"/>
    <n v="44.003"/>
    <n v="44.530999999999999"/>
    <n v="50.423000000000009"/>
    <n v="48.713999999999999"/>
    <n v="38.582999999999998"/>
    <n v="46.551999999999992"/>
    <n v="32.795000000000002"/>
    <n v="52.690999999999995"/>
    <n v="40.165000000000006"/>
    <n v="36.244"/>
    <n v="44.140999999999998"/>
    <n v="33.701999999999998"/>
    <n v="45.309709677419356"/>
    <n v="7.551618279569893"/>
  </r>
  <r>
    <n v="7"/>
    <x v="0"/>
    <s v="EVCS-360020"/>
    <x v="6"/>
    <s v="ETO"/>
    <s v="Public-Paid"/>
    <s v="3.3KW"/>
    <s v="OCPP"/>
    <n v="3"/>
    <x v="2"/>
    <n v="122.03"/>
    <n v="113.20999999999998"/>
    <n v="101.42200000000003"/>
    <n v="101.92100000000001"/>
    <n v="113.94500000000001"/>
    <n v="127.88200000000001"/>
    <n v="125.84600000000002"/>
    <n v="117.383"/>
    <n v="94.928000000000011"/>
    <n v="94.516999999999996"/>
    <n v="128.55500000000001"/>
    <n v="113.64300000000001"/>
    <n v="96.626999999999995"/>
    <n v="108.58000000000001"/>
    <n v="105.92000000000002"/>
    <n v="120.28"/>
    <n v="100.73400000000001"/>
    <n v="103.17299999999999"/>
    <n v="100.63"/>
    <n v="124.23"/>
    <n v="98.366"/>
    <n v="123.34599999999999"/>
    <n v="117.00800000000001"/>
    <n v="113.90199999999999"/>
    <n v="115.955"/>
    <n v="89.667000000000002"/>
    <n v="100.631"/>
    <n v="96.852000000000004"/>
    <n v="97.98299999999999"/>
    <n v="75.123999999999995"/>
    <n v="59.107999999999997"/>
    <n v="106.5612258064516"/>
    <n v="35.520408602150532"/>
  </r>
  <r>
    <n v="8"/>
    <x v="0"/>
    <s v="EVCS-360028"/>
    <x v="7"/>
    <s v="Trinity"/>
    <s v="Public-Free"/>
    <s v="3.3KW"/>
    <s v="OCPP"/>
    <n v="1"/>
    <x v="3"/>
    <n v="0"/>
    <n v="0"/>
    <n v="0"/>
    <n v="0"/>
    <n v="1.681"/>
    <n v="0"/>
    <n v="0"/>
    <n v="0"/>
    <n v="0"/>
    <n v="0"/>
    <n v="0"/>
    <n v="3.3439999999999999"/>
    <n v="0"/>
    <n v="0"/>
    <n v="0"/>
    <n v="0"/>
    <n v="0"/>
    <n v="0"/>
    <n v="0"/>
    <n v="0"/>
    <n v="0"/>
    <n v="0"/>
    <n v="4.7370000000000001"/>
    <n v="0"/>
    <n v="0"/>
    <n v="0"/>
    <n v="0"/>
    <n v="0"/>
    <n v="0"/>
    <n v="0"/>
    <n v="0"/>
    <n v="0.31490322580645164"/>
    <n v="0.31490322580645164"/>
  </r>
  <r>
    <n v="9"/>
    <x v="0"/>
    <s v="EVCS-360030"/>
    <x v="8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0"/>
    <s v="EVCS-360030"/>
    <x v="9"/>
    <s v="Trinity"/>
    <s v="Public-Paid"/>
    <s v="15KW"/>
    <s v="DC Charger"/>
    <n v="2"/>
    <x v="0"/>
    <n v="41.980000000000004"/>
    <n v="24.019999999999996"/>
    <n v="16.32"/>
    <n v="0"/>
    <n v="0"/>
    <n v="1.1599999999999999"/>
    <n v="27.700000000000003"/>
    <n v="30.43"/>
    <n v="18.87"/>
    <n v="47.14"/>
    <n v="40.619999999999997"/>
    <n v="39.069999999999993"/>
    <n v="38.970000000000006"/>
    <n v="36.479999999999997"/>
    <n v="20.13"/>
    <n v="45.069999999999993"/>
    <n v="14.02"/>
    <n v="35.58"/>
    <n v="28.250000000000004"/>
    <n v="50.62"/>
    <n v="20.009999999999998"/>
    <n v="0"/>
    <n v="0"/>
    <n v="0"/>
    <n v="0"/>
    <n v="0"/>
    <n v="0"/>
    <n v="0"/>
    <n v="0"/>
    <n v="0"/>
    <n v="0"/>
    <n v="18.594838709677418"/>
    <n v="9.2974193548387092"/>
  </r>
  <r>
    <n v="11"/>
    <x v="0"/>
    <s v="EVCS-360030"/>
    <x v="9"/>
    <s v="Trinity"/>
    <s v="Public-Paid"/>
    <s v="30 kw "/>
    <s v="DC Charger"/>
    <n v="1"/>
    <x v="0"/>
    <m/>
    <m/>
    <m/>
    <m/>
    <m/>
    <m/>
    <m/>
    <m/>
    <m/>
    <m/>
    <m/>
    <m/>
    <m/>
    <m/>
    <m/>
    <m/>
    <m/>
    <m/>
    <m/>
    <m/>
    <m/>
    <m/>
    <m/>
    <m/>
    <n v="36.82"/>
    <n v="0"/>
    <n v="0"/>
    <n v="0"/>
    <n v="0"/>
    <n v="0"/>
    <n v="0"/>
    <n v="5.26"/>
    <n v="5.26"/>
  </r>
  <r>
    <n v="12"/>
    <x v="0"/>
    <s v="EVCS-360031"/>
    <x v="10"/>
    <s v="Trinity"/>
    <s v="Public-Paid"/>
    <s v="3.3KW"/>
    <s v="OCPP"/>
    <n v="7"/>
    <x v="1"/>
    <n v="90.60199999999999"/>
    <n v="67.131"/>
    <n v="94.456000000000017"/>
    <n v="114.349"/>
    <n v="66.403999999999982"/>
    <n v="109.63599999999998"/>
    <n v="71.310999999999993"/>
    <n v="112.559"/>
    <n v="63.308"/>
    <n v="55.917000000000002"/>
    <n v="110.00700000000001"/>
    <n v="104.402"/>
    <n v="89.78400000000002"/>
    <n v="89.274000000000001"/>
    <n v="68.597999999999999"/>
    <n v="110.164"/>
    <n v="66.373000000000005"/>
    <n v="117.60300000000001"/>
    <n v="45.04"/>
    <n v="121.56000000000002"/>
    <n v="91.347999999999999"/>
    <n v="104.747"/>
    <n v="72.722000000000008"/>
    <n v="74.052999999999997"/>
    <n v="120.387"/>
    <n v="66.401999999999987"/>
    <n v="60.887"/>
    <n v="48.146000000000001"/>
    <n v="92.983000000000004"/>
    <n v="64.933000000000007"/>
    <n v="57.215000000000011"/>
    <n v="84.590354838709715"/>
    <n v="12.084336405529958"/>
  </r>
  <r>
    <n v="13"/>
    <x v="0"/>
    <s v="EVCS-360066"/>
    <x v="11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0"/>
    <s v="EVCS-360070"/>
    <x v="12"/>
    <s v="Trinity"/>
    <s v="Public-Paid"/>
    <s v="3.3KW"/>
    <s v="OCPP"/>
    <n v="4"/>
    <x v="0"/>
    <n v="28.596"/>
    <n v="19.994"/>
    <n v="15.782999999999999"/>
    <n v="18.016999999999999"/>
    <n v="24.048000000000002"/>
    <n v="29.45"/>
    <n v="13.764999999999999"/>
    <n v="22.384"/>
    <n v="23.302"/>
    <n v="5.5370000000000008"/>
    <n v="15.106999999999999"/>
    <n v="15.289"/>
    <n v="23.724"/>
    <n v="16.103999999999999"/>
    <n v="25.807000000000002"/>
    <n v="6.601"/>
    <n v="20.380000000000003"/>
    <n v="32.97"/>
    <n v="34.297999999999995"/>
    <n v="24.729000000000003"/>
    <n v="28.840999999999998"/>
    <n v="31.998000000000001"/>
    <n v="23.125999999999998"/>
    <n v="26.558"/>
    <n v="8.8970000000000002"/>
    <n v="27.883999999999997"/>
    <n v="34.07"/>
    <n v="22.177"/>
    <n v="5.8079999999999998"/>
    <n v="30.131999999999998"/>
    <n v="9.6029999999999998"/>
    <n v="21.450935483870964"/>
    <n v="5.362733870967741"/>
  </r>
  <r>
    <n v="15"/>
    <x v="0"/>
    <s v="EVCS-360034"/>
    <x v="13"/>
    <s v="Trinity"/>
    <s v="Public-Paid"/>
    <s v="3.3KW"/>
    <s v="OCPP"/>
    <n v="19"/>
    <x v="1"/>
    <n v="216.10099999999997"/>
    <n v="135.97399999999996"/>
    <n v="189.31700000000006"/>
    <n v="186.48999999999998"/>
    <n v="174.66299999999998"/>
    <n v="193.64199999999997"/>
    <n v="194.14099999999996"/>
    <n v="184.53399999999999"/>
    <n v="162.78299999999999"/>
    <n v="164.447"/>
    <n v="168.70800000000003"/>
    <n v="203.34700000000001"/>
    <n v="206.55899999999997"/>
    <n v="199.02499999999998"/>
    <n v="199.81900000000002"/>
    <n v="205.79500000000007"/>
    <n v="207.28699999999998"/>
    <n v="181.83799999999999"/>
    <n v="198.96599999999998"/>
    <n v="221.53700000000001"/>
    <n v="210.34000000000009"/>
    <n v="187.81100000000001"/>
    <n v="218.89999999999995"/>
    <n v="216.45499999999996"/>
    <n v="242.60000000000005"/>
    <n v="204.71500000000006"/>
    <n v="228.70299999999997"/>
    <n v="248.33500000000004"/>
    <n v="234.27600000000001"/>
    <n v="159.29300000000001"/>
    <n v="61.404000000000003"/>
    <n v="193.80016129032256"/>
    <n v="10.200008488964345"/>
  </r>
  <r>
    <n v="16"/>
    <x v="0"/>
    <s v="EVCS-360069"/>
    <x v="14"/>
    <s v="Trinity"/>
    <s v="Public-Paid"/>
    <s v="15KW"/>
    <s v="DC Charger"/>
    <n v="1"/>
    <x v="1"/>
    <n v="70.119"/>
    <n v="67.891000000000005"/>
    <n v="69.308000000000007"/>
    <n v="59.48"/>
    <n v="50.22"/>
    <n v="81.72"/>
    <n v="85.050000000000026"/>
    <n v="76.041000000000011"/>
    <n v="48.259999999999991"/>
    <n v="53.928999999999995"/>
    <n v="56.859000000000002"/>
    <n v="45.999000000000002"/>
    <n v="50.130999999999986"/>
    <n v="67.328999999999994"/>
    <n v="66.290000000000006"/>
    <n v="49.009000000000007"/>
    <n v="94.13000000000001"/>
    <n v="53.41899999999999"/>
    <n v="70.189000000000007"/>
    <n v="55.27000000000001"/>
    <n v="8.2200000000000006"/>
    <n v="44.091000000000001"/>
    <n v="54.868999999999993"/>
    <n v="71.889999999999986"/>
    <n v="60.140999999999998"/>
    <n v="0"/>
    <n v="0"/>
    <n v="0"/>
    <n v="0"/>
    <n v="0"/>
    <n v="0"/>
    <n v="48.704967741935491"/>
    <n v="48.704967741935491"/>
  </r>
  <r>
    <n v="17"/>
    <x v="0"/>
    <s v="EVCS-360069"/>
    <x v="14"/>
    <s v="Trinity"/>
    <s v="Public-Paid"/>
    <s v="12KW"/>
    <s v="DC Charger"/>
    <n v="2"/>
    <x v="1"/>
    <n v="32.67"/>
    <n v="50.189999999999991"/>
    <n v="70.28"/>
    <n v="31.88"/>
    <n v="39.309999999999995"/>
    <n v="21.299999999999994"/>
    <n v="32.800000000000004"/>
    <n v="53.970000000000006"/>
    <n v="48.32"/>
    <n v="49.91"/>
    <n v="17.079999999999998"/>
    <n v="0"/>
    <n v="0.01"/>
    <n v="0"/>
    <n v="0"/>
    <n v="0"/>
    <n v="36.89"/>
    <n v="14.389999999999999"/>
    <n v="12.76"/>
    <n v="0"/>
    <n v="0"/>
    <n v="133.36000000000001"/>
    <n v="13.17"/>
    <n v="48.150000000000006"/>
    <n v="58.53"/>
    <n v="14.129999999999999"/>
    <n v="7.29"/>
    <n v="15.23"/>
    <n v="45.59"/>
    <n v="45.61999999999999"/>
    <n v="53.91"/>
    <n v="30.539999999999992"/>
    <n v="15.269999999999996"/>
  </r>
  <r>
    <n v="18"/>
    <x v="0"/>
    <s v="EVCS-360058"/>
    <x v="15"/>
    <s v="Trinity"/>
    <s v="Public-Paid"/>
    <s v="3.3KW"/>
    <s v="OCPP"/>
    <n v="8"/>
    <x v="1"/>
    <n v="124.89700000000002"/>
    <n v="155.00599999999997"/>
    <n v="111.43700000000001"/>
    <n v="86.79"/>
    <n v="148.35099999999997"/>
    <n v="149.24199999999999"/>
    <n v="168.71500000000003"/>
    <n v="144.47800000000009"/>
    <n v="160.26599999999999"/>
    <n v="160.66500000000002"/>
    <n v="160.547"/>
    <n v="180.12200000000001"/>
    <n v="183.08700000000002"/>
    <n v="138.15799999999996"/>
    <n v="152.52999999999997"/>
    <n v="155.77299999999997"/>
    <n v="157.45400000000004"/>
    <n v="137.24800000000002"/>
    <n v="133.84899999999999"/>
    <n v="144.58600000000004"/>
    <n v="98.944999999999979"/>
    <n v="110.63599999999997"/>
    <n v="110.42400000000002"/>
    <n v="94.373999999999995"/>
    <n v="126.017"/>
    <n v="129.56200000000001"/>
    <n v="95.854000000000013"/>
    <n v="95.183999999999983"/>
    <n v="115.274"/>
    <n v="66.62700000000001"/>
    <n v="60.682999999999993"/>
    <n v="130.86390322580647"/>
    <n v="16.357987903225808"/>
  </r>
  <r>
    <n v="19"/>
    <x v="0"/>
    <s v="EVCS-360035"/>
    <x v="16"/>
    <s v="Trinity"/>
    <s v="Public-Paid"/>
    <s v="7.4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s v="EVCS-360035"/>
    <x v="17"/>
    <s v="Trinity"/>
    <s v="Public-Paid"/>
    <s v="12KW"/>
    <s v="DC Charger"/>
    <n v="1"/>
    <x v="0"/>
    <n v="23.89"/>
    <n v="49.12"/>
    <n v="23.189999999999998"/>
    <n v="11.419999999999998"/>
    <n v="9.4300000000000015"/>
    <n v="24.099999999999998"/>
    <n v="27.109999999999996"/>
    <n v="30.499999999999996"/>
    <n v="8.35"/>
    <n v="6.46"/>
    <n v="0.02"/>
    <n v="0"/>
    <n v="0"/>
    <n v="0"/>
    <n v="6.8689999999999998"/>
    <n v="0"/>
    <n v="0"/>
    <n v="18.84"/>
    <n v="10.48"/>
    <n v="35.059999999999995"/>
    <n v="16.14"/>
    <n v="27.39"/>
    <n v="15"/>
    <n v="10.58"/>
    <n v="9.6300000000000008"/>
    <n v="0"/>
    <n v="0"/>
    <n v="0"/>
    <n v="0"/>
    <n v="0"/>
    <n v="0"/>
    <n v="11.728354838709675"/>
    <n v="11.728354838709675"/>
  </r>
  <r>
    <n v="21"/>
    <x v="0"/>
    <s v="EVCS-360035"/>
    <x v="17"/>
    <s v="Trinity"/>
    <s v="Public-Paid"/>
    <s v="15KW"/>
    <s v="DC Charger"/>
    <n v="1"/>
    <x v="0"/>
    <n v="1.599"/>
    <n v="0"/>
    <n v="9.59"/>
    <n v="6.3100000000000005"/>
    <n v="4.24"/>
    <n v="0"/>
    <n v="2.74"/>
    <n v="0"/>
    <n v="4.75"/>
    <n v="2.8610000000000002"/>
    <n v="0"/>
    <n v="0"/>
    <n v="3.4689999999999999"/>
    <n v="0"/>
    <n v="2.6110000000000002"/>
    <n v="3.2789999999999999"/>
    <n v="0"/>
    <n v="9.5"/>
    <n v="0"/>
    <n v="0"/>
    <n v="0"/>
    <n v="0"/>
    <n v="2.601"/>
    <n v="3.55"/>
    <n v="0"/>
    <n v="0"/>
    <n v="14.94"/>
    <n v="3.02"/>
    <n v="0"/>
    <n v="0"/>
    <n v="1.78"/>
    <n v="2.4787096774193547"/>
    <n v="2.4787096774193547"/>
  </r>
  <r>
    <n v="22"/>
    <x v="0"/>
    <s v="EVCS-360035"/>
    <x v="17"/>
    <s v="Trinity"/>
    <s v="Public-Paid"/>
    <s v="60 kw"/>
    <s v="DC Charger"/>
    <n v="1"/>
    <x v="0"/>
    <n v="183.42600000000002"/>
    <n v="55.524000000000001"/>
    <n v="240.04800000000006"/>
    <n v="356.17599999999993"/>
    <n v="363.17399999999998"/>
    <n v="338.32599999999996"/>
    <n v="401.42399999999998"/>
    <n v="180.22599999999997"/>
    <n v="80.55"/>
    <n v="230.29800000000009"/>
    <n v="447.77600000000001"/>
    <n v="438.04800000000006"/>
    <n v="495.39399999999989"/>
    <n v="423.726"/>
    <n v="471.40200000000004"/>
    <n v="449.14999999999992"/>
    <n v="446.39799999999997"/>
    <n v="535.57800000000009"/>
    <n v="536.548"/>
    <n v="474.95199999999994"/>
    <n v="428.75199999999978"/>
    <n v="193.00199999999995"/>
    <n v="137.976"/>
    <n v="354.19999999999993"/>
    <n v="407.32600000000002"/>
    <n v="497.97799999999995"/>
    <n v="472.82600000000008"/>
    <n v="342.02400000000006"/>
    <n v="230.62200000000001"/>
    <n v="78.296000000000006"/>
    <n v="173.18"/>
    <n v="337.55890322580638"/>
    <n v="337.55890322580638"/>
  </r>
  <r>
    <n v="23"/>
    <x v="0"/>
    <s v="EVCS-360035"/>
    <x v="16"/>
    <s v="Trinity"/>
    <s v="Public-Paid"/>
    <s v="120KW"/>
    <s v="DC Charger"/>
    <n v="1"/>
    <x v="0"/>
    <n v="140.26000000000005"/>
    <n v="176.08"/>
    <n v="320.70999999999992"/>
    <n v="471.45"/>
    <n v="419.92999999999995"/>
    <n v="459.53"/>
    <n v="338.01000000000005"/>
    <n v="167.67000000000002"/>
    <n v="44.239999999999995"/>
    <n v="474.63999999999987"/>
    <n v="378.91000000000014"/>
    <n v="634.7299999999999"/>
    <n v="484.11999999999989"/>
    <n v="436.39000000000004"/>
    <n v="674.50999999999988"/>
    <n v="502.86"/>
    <n v="456.42"/>
    <n v="542.09"/>
    <n v="454.90999999999991"/>
    <n v="448.51999999999987"/>
    <n v="482.17"/>
    <n v="177.16000000000003"/>
    <n v="86.04"/>
    <n v="344.91999999999996"/>
    <n v="500.00999999999982"/>
    <n v="451.9199999999999"/>
    <n v="618.94999999999993"/>
    <n v="429.82000000000005"/>
    <n v="240.22"/>
    <n v="153.53"/>
    <n v="254.89000000000001"/>
    <n v="379.53580645161293"/>
    <n v="379.53580645161293"/>
  </r>
  <r>
    <n v="24"/>
    <x v="0"/>
    <s v="EVCS-360035"/>
    <x v="16"/>
    <s v="Trinity"/>
    <s v="Public-Paid"/>
    <s v="240kw"/>
    <s v="DC Charger"/>
    <n v="1"/>
    <x v="0"/>
    <n v="171.82500000000002"/>
    <n v="0"/>
    <n v="92.85"/>
    <n v="41.85"/>
    <n v="30.475000000000001"/>
    <n v="384.12400000000002"/>
    <n v="313.57399999999996"/>
    <n v="133.52500000000001"/>
    <n v="0"/>
    <n v="0"/>
    <n v="57.65"/>
    <n v="524.25000000000011"/>
    <n v="9.5749999999999993"/>
    <n v="0"/>
    <n v="0"/>
    <n v="0"/>
    <n v="271.25"/>
    <n v="27.3"/>
    <n v="0"/>
    <n v="56.175000000000004"/>
    <n v="421.95"/>
    <n v="32.15"/>
    <n v="0"/>
    <n v="31.375"/>
    <n v="60.249999999999986"/>
    <n v="0"/>
    <n v="446.09999999999997"/>
    <n v="0"/>
    <n v="0"/>
    <n v="0"/>
    <n v="0"/>
    <n v="100.20154838709678"/>
    <n v="100.20154838709678"/>
  </r>
  <r>
    <n v="25"/>
    <x v="0"/>
    <s v="EVCS-360041"/>
    <x v="18"/>
    <s v="Trinity"/>
    <s v="Public-Paid"/>
    <s v="3.3KW"/>
    <s v="OCPP"/>
    <n v="7"/>
    <x v="1"/>
    <n v="233.81300000000005"/>
    <n v="164.59899999999996"/>
    <n v="181.25700000000003"/>
    <n v="173.73500000000001"/>
    <n v="246.87599999999998"/>
    <n v="220.53599999999997"/>
    <n v="186.45500000000001"/>
    <n v="199.036"/>
    <n v="220.60700000000003"/>
    <n v="222.29200000000006"/>
    <n v="262.00699999999995"/>
    <n v="159.06100000000004"/>
    <n v="249.74900000000002"/>
    <n v="212.89600000000004"/>
    <n v="233.48099999999999"/>
    <n v="248.65400000000002"/>
    <n v="283.85299999999995"/>
    <n v="267.50200000000001"/>
    <n v="260.85899999999998"/>
    <n v="222.36100000000002"/>
    <n v="214.10500000000002"/>
    <n v="271.79500000000002"/>
    <n v="195.42599999999999"/>
    <n v="227.33400000000006"/>
    <n v="205.78799999999998"/>
    <n v="205.82400000000001"/>
    <n v="245.73399999999998"/>
    <n v="197.09399999999997"/>
    <n v="256.77499999999998"/>
    <n v="211.53899999999999"/>
    <n v="166.34199999999998"/>
    <n v="220.88338709677416"/>
    <n v="31.55476958525345"/>
  </r>
  <r>
    <n v="26"/>
    <x v="0"/>
    <s v="EVCS-360036"/>
    <x v="19"/>
    <s v="Trinity"/>
    <s v="Public-Paid"/>
    <s v="3.3KW"/>
    <s v="OCPP"/>
    <n v="1"/>
    <x v="0"/>
    <n v="23.081000000000003"/>
    <n v="0.70099999999999996"/>
    <n v="9.82"/>
    <n v="8.7420000000000009"/>
    <n v="14.393999999999998"/>
    <n v="7.5960000000000001"/>
    <n v="12.021999999999998"/>
    <n v="2.7170000000000001"/>
    <n v="0"/>
    <n v="14.777000000000001"/>
    <n v="15.151"/>
    <n v="11.134"/>
    <n v="12.983000000000001"/>
    <n v="20.738000000000003"/>
    <n v="15.938000000000002"/>
    <n v="0"/>
    <n v="5.3999999999999999E-2"/>
    <n v="8.99"/>
    <n v="8.6649999999999991"/>
    <n v="4.9619999999999997"/>
    <n v="17.931000000000001"/>
    <n v="8.0399999999999991"/>
    <n v="2.972"/>
    <n v="2.4649999999999999"/>
    <n v="0.114"/>
    <n v="1.8409999999999997"/>
    <n v="1E-3"/>
    <n v="9.6419999999999995"/>
    <n v="0.13"/>
    <n v="14.038"/>
    <n v="5.5460000000000003"/>
    <n v="8.2317741935483877"/>
    <n v="8.2317741935483877"/>
  </r>
  <r>
    <n v="27"/>
    <x v="0"/>
    <s v="EVCS-360036"/>
    <x v="19"/>
    <s v="Trinity"/>
    <s v="Public-Paid"/>
    <s v="7.4KW"/>
    <s v="OCPP"/>
    <n v="1"/>
    <x v="0"/>
    <n v="13.519"/>
    <n v="42.024000000000001"/>
    <n v="0"/>
    <n v="4.0090000000000003"/>
    <n v="43.146000000000001"/>
    <n v="0"/>
    <n v="0"/>
    <n v="0"/>
    <n v="0"/>
    <n v="37.572999999999993"/>
    <n v="0.14799999999999999"/>
    <n v="5.0490000000000004"/>
    <n v="0"/>
    <n v="33.89"/>
    <n v="0"/>
    <n v="16.172000000000001"/>
    <n v="0"/>
    <n v="16.097999999999999"/>
    <n v="2E-3"/>
    <n v="3.0000000000000001E-3"/>
    <n v="0"/>
    <n v="0"/>
    <n v="0"/>
    <n v="0"/>
    <n v="9.3320000000000007"/>
    <n v="0"/>
    <n v="0"/>
    <n v="13.761000000000001"/>
    <n v="15.202999999999999"/>
    <n v="0"/>
    <n v="5.1260000000000003"/>
    <n v="8.2275806451612894"/>
    <n v="8.2275806451612894"/>
  </r>
  <r>
    <n v="28"/>
    <x v="0"/>
    <s v="EVCS-360036"/>
    <x v="20"/>
    <s v="Trinity"/>
    <s v="Public-Paid"/>
    <s v="12KW"/>
    <s v="DC Charger"/>
    <n v="3"/>
    <x v="0"/>
    <n v="55.12"/>
    <n v="41.57"/>
    <n v="54.279999999999994"/>
    <n v="43.9"/>
    <n v="0.14000000000000001"/>
    <n v="70.350000000000009"/>
    <n v="65.47999999999999"/>
    <n v="79.849999999999994"/>
    <n v="27.1"/>
    <n v="6.73"/>
    <n v="1.08"/>
    <n v="53.449999999999989"/>
    <n v="14.61"/>
    <n v="13.31"/>
    <n v="0"/>
    <n v="3.9"/>
    <n v="4.51"/>
    <n v="1.8599999999999999"/>
    <n v="14.57"/>
    <n v="10.29"/>
    <n v="52.27"/>
    <n v="20.39"/>
    <n v="32.56"/>
    <n v="27.2"/>
    <n v="2.16"/>
    <n v="22.17"/>
    <n v="4.6900000000000004"/>
    <n v="14.469999999999999"/>
    <n v="11.529999999999998"/>
    <n v="19.25"/>
    <n v="28.55"/>
    <n v="25.720645161290321"/>
    <n v="8.573548387096773"/>
  </r>
  <r>
    <n v="29"/>
    <x v="0"/>
    <s v="EVCS-360036"/>
    <x v="20"/>
    <s v="Trinity"/>
    <s v="Public-Paid"/>
    <s v="25KW"/>
    <s v="DC Charger"/>
    <n v="1"/>
    <x v="0"/>
    <n v="54.405999999999999"/>
    <n v="59.540999999999997"/>
    <n v="69.302999999999997"/>
    <n v="133.244"/>
    <n v="33.617999999999995"/>
    <n v="14.469999999999999"/>
    <n v="13.657999999999999"/>
    <n v="48.836999999999996"/>
    <n v="43.117000000000004"/>
    <n v="49.265000000000001"/>
    <n v="275.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655096774193549"/>
    <n v="25.655096774193549"/>
  </r>
  <r>
    <n v="30"/>
    <x v="0"/>
    <s v="EVCS-360036"/>
    <x v="20"/>
    <s v="Trinity"/>
    <s v="Public-Paid"/>
    <s v="30  KW"/>
    <s v="DC Charger"/>
    <n v="1"/>
    <x v="0"/>
    <m/>
    <m/>
    <m/>
    <n v="9.7900000000000009"/>
    <n v="140.85"/>
    <n v="93.47"/>
    <n v="168.83999999999997"/>
    <n v="102.84"/>
    <n v="94.050000000000011"/>
    <n v="123.56000000000002"/>
    <n v="179.04999999999998"/>
    <n v="124.22999999999999"/>
    <n v="141.09"/>
    <n v="265.08999999999992"/>
    <n v="120.48"/>
    <n v="58.54"/>
    <n v="86.91"/>
    <n v="110.02000000000001"/>
    <n v="83.899999999999991"/>
    <n v="101.77000000000001"/>
    <n v="68.36"/>
    <n v="76.06"/>
    <n v="59.22999999999999"/>
    <n v="111.89"/>
    <n v="131.36999999999998"/>
    <n v="86.6"/>
    <n v="22.020000000000003"/>
    <n v="58.03"/>
    <n v="7.65"/>
    <n v="103.77"/>
    <n v="32.480000000000004"/>
    <n v="98.640714285714267"/>
    <n v="98.640714285714267"/>
  </r>
  <r>
    <n v="31"/>
    <x v="0"/>
    <s v="EVCS-360039"/>
    <x v="21"/>
    <s v="Trinity"/>
    <s v="Public-Paid"/>
    <s v="3.3KW"/>
    <s v="OCPP"/>
    <n v="9"/>
    <x v="1"/>
    <n v="165.90200000000004"/>
    <n v="110.92499999999998"/>
    <n v="129.50700000000001"/>
    <n v="143.70400000000004"/>
    <n v="118.78800000000001"/>
    <n v="123.78999999999999"/>
    <n v="125.32700000000001"/>
    <n v="113.87299999999999"/>
    <n v="145.76300000000001"/>
    <n v="108.504"/>
    <n v="147.45799999999997"/>
    <n v="118.79599999999999"/>
    <n v="175.11799999999999"/>
    <n v="111.52199999999999"/>
    <n v="108.24200000000002"/>
    <n v="129.739"/>
    <n v="110.77200000000001"/>
    <n v="133.48700000000002"/>
    <n v="97.063999999999993"/>
    <n v="154.24200000000005"/>
    <n v="136.98799999999997"/>
    <n v="131.45099999999999"/>
    <n v="131.27500000000001"/>
    <n v="154.22699999999998"/>
    <n v="155.39200000000002"/>
    <n v="59.450999999999986"/>
    <n v="180.79599999999999"/>
    <n v="85.029999999999987"/>
    <n v="153.43800000000002"/>
    <n v="151.04200000000003"/>
    <n v="81.21899999999998"/>
    <n v="128.80103225806451"/>
    <n v="14.311225806451612"/>
  </r>
  <r>
    <n v="32"/>
    <x v="0"/>
    <s v="EVCS-360071"/>
    <x v="22"/>
    <s v="Trinity"/>
    <s v="Public-Paid"/>
    <s v="15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3"/>
    <x v="0"/>
    <s v="EVCS-360040"/>
    <x v="23"/>
    <s v="Trinity"/>
    <s v="Public-Paid"/>
    <s v="3.3KW"/>
    <s v="OCPP"/>
    <n v="8"/>
    <x v="1"/>
    <n v="94.923000000000002"/>
    <n v="89.072999999999993"/>
    <n v="68.313000000000002"/>
    <n v="93.208999999999989"/>
    <n v="89.991000000000014"/>
    <n v="76.74799999999999"/>
    <n v="55.259999999999991"/>
    <n v="80.692000000000007"/>
    <n v="68.138000000000005"/>
    <n v="77.363"/>
    <n v="109.50200000000001"/>
    <n v="30.604000000000006"/>
    <n v="61.069000000000003"/>
    <n v="43.527000000000001"/>
    <n v="56.884999999999998"/>
    <n v="88.048999999999992"/>
    <n v="73.399000000000015"/>
    <n v="88.539000000000016"/>
    <n v="96.853000000000009"/>
    <n v="105.75700000000001"/>
    <n v="43.314999999999998"/>
    <n v="93.332999999999984"/>
    <n v="67.865000000000009"/>
    <n v="59.305999999999997"/>
    <n v="74.558000000000007"/>
    <n v="80.971000000000004"/>
    <n v="85.135000000000005"/>
    <n v="53.972000000000001"/>
    <n v="57.207000000000008"/>
    <n v="69.792999999999992"/>
    <n v="31.000999999999998"/>
    <n v="73.043548387096806"/>
    <n v="9.1304435483871007"/>
  </r>
  <r>
    <n v="34"/>
    <x v="0"/>
    <s v="EVCS-360040"/>
    <x v="23"/>
    <s v="Trinity"/>
    <s v="Public-Paid"/>
    <s v="7.4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x v="0"/>
    <s v="EVCS-360042"/>
    <x v="24"/>
    <s v="Trinity"/>
    <s v="Public-Paid"/>
    <s v="3.3KW"/>
    <s v="OCPP"/>
    <n v="2"/>
    <x v="2"/>
    <n v="9.2379999999999995"/>
    <n v="24.228999999999999"/>
    <n v="15.637999999999998"/>
    <n v="17.229000000000003"/>
    <n v="26.698999999999998"/>
    <n v="10.405999999999999"/>
    <n v="5.7620000000000005"/>
    <n v="13.202"/>
    <n v="12.398000000000001"/>
    <n v="9.6389999999999993"/>
    <n v="18.613"/>
    <n v="19.373999999999999"/>
    <n v="16.541"/>
    <n v="24.059000000000001"/>
    <n v="32.116"/>
    <n v="8.4239999999999995"/>
    <n v="18.677"/>
    <n v="27.445"/>
    <n v="21.706"/>
    <n v="14.443"/>
    <n v="13.609"/>
    <n v="21.088000000000001"/>
    <n v="15.047999999999998"/>
    <n v="18.121000000000002"/>
    <n v="17.483999999999998"/>
    <n v="19.303000000000001"/>
    <n v="12.885999999999999"/>
    <n v="20.573"/>
    <n v="16.094999999999999"/>
    <n v="8.5399999999999991"/>
    <n v="12.882"/>
    <n v="16.821516129032258"/>
    <n v="8.4107580645161288"/>
  </r>
  <r>
    <n v="36"/>
    <x v="0"/>
    <s v="EVCS-360043"/>
    <x v="25"/>
    <s v="Trinity"/>
    <s v="Public-Paid"/>
    <s v="3.3KW"/>
    <s v="OCPP"/>
    <n v="11"/>
    <x v="1"/>
    <n v="133.477"/>
    <n v="129.49"/>
    <n v="59.795999999999999"/>
    <n v="171.50200000000004"/>
    <n v="143.33000000000001"/>
    <n v="189.29100000000003"/>
    <n v="135.31299999999999"/>
    <n v="132.244"/>
    <n v="153.10399999999998"/>
    <n v="44.578000000000003"/>
    <n v="173.98399999999998"/>
    <n v="152.34300000000002"/>
    <n v="160.51500000000001"/>
    <n v="155.73099999999999"/>
    <n v="61.56"/>
    <n v="137.63200000000001"/>
    <n v="37.433000000000007"/>
    <n v="114.93700000000001"/>
    <n v="148.31399999999999"/>
    <n v="129.45099999999999"/>
    <n v="163.92499999999998"/>
    <n v="180.84499999999997"/>
    <n v="104.62"/>
    <n v="51.727999999999994"/>
    <n v="121.52000000000004"/>
    <n v="150.51300000000001"/>
    <n v="129.74700000000001"/>
    <n v="131.626"/>
    <n v="186.19400000000002"/>
    <n v="139.93300000000002"/>
    <n v="72.793999999999997"/>
    <n v="128.95064516129031"/>
    <n v="11.722785923753664"/>
  </r>
  <r>
    <n v="37"/>
    <x v="0"/>
    <s v="EVCS-360068"/>
    <x v="26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x v="0"/>
    <s v="EVCS-360044"/>
    <x v="27"/>
    <s v="Trinity"/>
    <s v="Public-Paid"/>
    <s v="3.3KW"/>
    <s v="OCPP"/>
    <n v="1"/>
    <x v="3"/>
    <n v="0"/>
    <n v="0"/>
    <n v="1.738"/>
    <n v="0"/>
    <n v="0"/>
    <n v="0"/>
    <n v="2.0630000000000002"/>
    <n v="0"/>
    <n v="0"/>
    <n v="0"/>
    <n v="0"/>
    <n v="0"/>
    <n v="0"/>
    <n v="0"/>
    <n v="0"/>
    <n v="2.306"/>
    <n v="2.6640000000000001"/>
    <n v="0"/>
    <n v="0"/>
    <n v="0"/>
    <n v="0"/>
    <n v="0"/>
    <n v="0"/>
    <n v="0"/>
    <n v="1.8959999999999999"/>
    <n v="0"/>
    <n v="0"/>
    <n v="0"/>
    <n v="0"/>
    <n v="0"/>
    <n v="0"/>
    <n v="0.34409677419354845"/>
    <n v="0.34409677419354845"/>
  </r>
  <r>
    <n v="39"/>
    <x v="0"/>
    <s v="EVCS-360045"/>
    <x v="28"/>
    <s v="Trinity"/>
    <s v="Public-Paid"/>
    <s v="3.3KW"/>
    <s v="OCPP"/>
    <n v="6"/>
    <x v="1"/>
    <n v="56.052999999999997"/>
    <n v="87.152999999999992"/>
    <n v="75.501999999999995"/>
    <n v="50.373000000000005"/>
    <n v="74.853000000000009"/>
    <n v="79.649000000000001"/>
    <n v="82.242999999999995"/>
    <n v="83.837999999999965"/>
    <n v="92.371000000000009"/>
    <n v="93.266999999999996"/>
    <n v="68.572999999999993"/>
    <n v="71.263000000000005"/>
    <n v="74.94"/>
    <n v="60.594999999999999"/>
    <n v="69.736999999999995"/>
    <n v="67.972999999999999"/>
    <n v="64.693999999999988"/>
    <n v="84.461000000000013"/>
    <n v="57.922000000000004"/>
    <n v="63.861000000000011"/>
    <n v="86.606999999999971"/>
    <n v="69.265000000000015"/>
    <n v="63.691000000000038"/>
    <n v="62.190999999999995"/>
    <n v="89.296000000000006"/>
    <n v="94.516000000000005"/>
    <n v="62.010999999999996"/>
    <n v="68.963000000000008"/>
    <n v="71.653999999999996"/>
    <n v="44.33"/>
    <n v="56.494"/>
    <n v="71.881903225806468"/>
    <n v="11.980317204301079"/>
  </r>
  <r>
    <n v="40"/>
    <x v="0"/>
    <s v="EVCS-360046"/>
    <x v="29"/>
    <s v="Trinity"/>
    <s v="Public-Paid"/>
    <s v="3.3KW"/>
    <s v="OCPP"/>
    <n v="13"/>
    <x v="1"/>
    <n v="62.101999999999997"/>
    <n v="50.774000000000001"/>
    <n v="56.902000000000001"/>
    <n v="70.632999999999996"/>
    <n v="79.206000000000003"/>
    <n v="32.892000000000003"/>
    <n v="57.892000000000003"/>
    <n v="31.657"/>
    <n v="84.975000000000009"/>
    <n v="49.246999999999993"/>
    <n v="49.731000000000002"/>
    <n v="56.402000000000001"/>
    <n v="101.02899999999998"/>
    <n v="64.421999999999997"/>
    <n v="71.512999999999991"/>
    <n v="49.815999999999995"/>
    <n v="55.753999999999998"/>
    <n v="106.14000000000001"/>
    <n v="73.554000000000002"/>
    <n v="105.027"/>
    <n v="70.296999999999997"/>
    <n v="59.007000000000005"/>
    <n v="92.587000000000003"/>
    <n v="75.593999999999994"/>
    <n v="61.094000000000008"/>
    <n v="90.065000000000012"/>
    <n v="54.849999999999994"/>
    <n v="96.707999999999998"/>
    <n v="87.084000000000003"/>
    <n v="47.582999999999998"/>
    <n v="35.822000000000003"/>
    <n v="67.108354838709701"/>
    <n v="5.1621811414392074"/>
  </r>
  <r>
    <n v="41"/>
    <x v="0"/>
    <s v="EVCS-360047"/>
    <x v="30"/>
    <s v="Trinity"/>
    <s v="Public-Paid"/>
    <s v="22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35.76"/>
    <n v="0"/>
    <n v="0"/>
    <n v="0"/>
    <n v="0"/>
    <n v="0"/>
    <n v="12.388"/>
    <n v="0"/>
    <n v="0"/>
    <n v="0"/>
    <n v="0"/>
    <n v="0"/>
    <n v="0"/>
    <n v="0"/>
    <n v="0"/>
    <n v="0"/>
    <n v="1.5531612903225804"/>
    <n v="1.5531612903225804"/>
  </r>
  <r>
    <n v="42"/>
    <x v="0"/>
    <s v="EVCS-360048"/>
    <x v="31"/>
    <s v="Trinity"/>
    <s v="Public-Paid"/>
    <s v="3.3KW"/>
    <s v="OCPP"/>
    <n v="5"/>
    <x v="1"/>
    <n v="24.091999999999999"/>
    <n v="4.101"/>
    <n v="19.400000000000002"/>
    <n v="4.5150000000000006"/>
    <n v="12.515000000000001"/>
    <n v="12.202999999999999"/>
    <n v="7.7809999999999997"/>
    <n v="11.95"/>
    <n v="4.5960000000000001"/>
    <n v="15.46"/>
    <n v="10.009"/>
    <n v="13.526000000000002"/>
    <n v="9.2390000000000008"/>
    <n v="0"/>
    <n v="11.368"/>
    <n v="10.544"/>
    <n v="12.884"/>
    <n v="9.0569999999999986"/>
    <n v="11.611000000000001"/>
    <n v="7.2089999999999996"/>
    <n v="23.664999999999999"/>
    <n v="4.9730000000000008"/>
    <n v="0"/>
    <n v="5.2610000000000001"/>
    <n v="8.9789999999999992"/>
    <n v="8.702"/>
    <n v="9.6180000000000003"/>
    <n v="9.1180000000000003"/>
    <n v="9.2250000000000014"/>
    <n v="13.405000000000001"/>
    <n v="5.18"/>
    <n v="10.006000000000004"/>
    <n v="2.0012000000000008"/>
  </r>
  <r>
    <n v="43"/>
    <x v="0"/>
    <s v="EVCS-360049"/>
    <x v="32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s v="EVCS-360050"/>
    <x v="33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s v="EVCS-360051"/>
    <x v="34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2.6930000000000001"/>
    <n v="0"/>
    <n v="0"/>
    <n v="0"/>
    <n v="0"/>
    <n v="0"/>
    <n v="0"/>
    <n v="0"/>
    <n v="0"/>
    <n v="0"/>
    <n v="0"/>
    <n v="0"/>
    <n v="0"/>
    <n v="3.0150000000000001"/>
    <n v="0"/>
    <n v="0"/>
    <n v="0"/>
    <n v="0"/>
    <n v="0"/>
    <n v="0.18412903225806451"/>
    <n v="0.18412903225806451"/>
  </r>
  <r>
    <n v="46"/>
    <x v="0"/>
    <s v="EVCS-360052"/>
    <x v="35"/>
    <s v="ETO"/>
    <s v="Public-Paid"/>
    <s v="3.3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0"/>
    <s v="EVCS-360053"/>
    <x v="36"/>
    <s v="Trinity"/>
    <s v="Public-Paid"/>
    <s v="25KW"/>
    <s v="DC Charger"/>
    <n v="2"/>
    <x v="0"/>
    <n v="245.04400000000004"/>
    <n v="58.119"/>
    <n v="200.16399999999996"/>
    <n v="339.23200000000008"/>
    <n v="350.85700000000003"/>
    <n v="321.56200000000001"/>
    <n v="263.69599999999997"/>
    <n v="128.66000000000003"/>
    <n v="63.166999999999987"/>
    <n v="162.74299999999999"/>
    <n v="0"/>
    <n v="325.28899999999999"/>
    <n v="321.66300000000001"/>
    <n v="264.55799999999999"/>
    <n v="220.23699999999999"/>
    <n v="148.964"/>
    <n v="242.58799999999999"/>
    <n v="352.98899999999998"/>
    <n v="397.0100000000001"/>
    <n v="360.49599999999992"/>
    <n v="359.82599999999996"/>
    <n v="121.73599999999999"/>
    <n v="55.872"/>
    <n v="243.90499999999997"/>
    <n v="305.16900000000004"/>
    <n v="350.67199999999985"/>
    <n v="357.62099999999998"/>
    <n v="352.98199999999997"/>
    <n v="237.80900000000005"/>
    <n v="132.31300000000002"/>
    <n v="105.739"/>
    <n v="238.40909677419353"/>
    <n v="119.20454838709676"/>
  </r>
  <r>
    <n v="48"/>
    <x v="0"/>
    <s v="EVCS-360054"/>
    <x v="37"/>
    <s v="Trinity"/>
    <s v="Public-Paid"/>
    <s v="3.3KW"/>
    <s v="OCPP"/>
    <n v="5"/>
    <x v="3"/>
    <n v="15.716000000000001"/>
    <n v="0"/>
    <n v="21.911000000000001"/>
    <n v="4.7690000000000001"/>
    <n v="8.8239999999999998"/>
    <n v="4.3049999999999997"/>
    <n v="3.2330000000000001"/>
    <n v="6.87"/>
    <n v="0"/>
    <n v="3.9580000000000002"/>
    <n v="10.472"/>
    <n v="8.1340000000000003"/>
    <n v="20.555"/>
    <n v="6.9909999999999997"/>
    <n v="2.71"/>
    <n v="8.4049999999999994"/>
    <n v="25.983999999999995"/>
    <n v="2.5030000000000001"/>
    <n v="1.8"/>
    <n v="10.526999999999999"/>
    <n v="2.52"/>
    <n v="18.506"/>
    <n v="7.3369999999999997"/>
    <n v="1.4219999999999999"/>
    <n v="17.952000000000002"/>
    <n v="2.7050000000000001"/>
    <n v="4.9470000000000001"/>
    <n v="25.552999999999997"/>
    <n v="7.8429999999999991"/>
    <n v="10.730999999999998"/>
    <n v="13.629"/>
    <n v="9.0584516129032266"/>
    <n v="1.8116903225806453"/>
  </r>
  <r>
    <n v="49"/>
    <x v="0"/>
    <s v="EVCS-360055"/>
    <x v="38"/>
    <s v="Trinity"/>
    <s v="Public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0"/>
    <s v="EVCS-360055"/>
    <x v="38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0"/>
    <s v="EVCS-360057"/>
    <x v="39"/>
    <s v="Trinity"/>
    <s v="Public-Paid"/>
    <s v="3.3KW"/>
    <s v="OCPP"/>
    <n v="1"/>
    <x v="0"/>
    <n v="3.008"/>
    <n v="3.4609999999999999"/>
    <n v="4.1529999999999996"/>
    <n v="4.1669999999999998"/>
    <n v="3.7349999999999999"/>
    <n v="3.0110000000000001"/>
    <n v="5.4740000000000002"/>
    <n v="4.274"/>
    <n v="2.6859999999999999"/>
    <n v="4.431"/>
    <n v="4.056"/>
    <n v="3.9409999999999998"/>
    <n v="6.2970000000000006"/>
    <n v="10.207000000000001"/>
    <n v="19.047000000000001"/>
    <n v="3.202"/>
    <n v="9.3840000000000003"/>
    <n v="11.709"/>
    <n v="5.5579999999999998"/>
    <n v="4.2510000000000003"/>
    <n v="6.1739999999999995"/>
    <n v="3.9630000000000001"/>
    <n v="2.36"/>
    <n v="2.5"/>
    <n v="2.7069999999999999"/>
    <n v="3.5459999999999998"/>
    <n v="10.368"/>
    <n v="4.1240000000000006"/>
    <n v="3.1469999999999998"/>
    <n v="0"/>
    <n v="0"/>
    <n v="4.9980967741935487"/>
    <n v="4.9980967741935487"/>
  </r>
  <r>
    <n v="52"/>
    <x v="0"/>
    <s v="EVCS-360057"/>
    <x v="39"/>
    <s v="Trinity"/>
    <s v="Public-Paid"/>
    <s v="7.4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8.199999999999999E-2"/>
    <n v="0"/>
    <n v="0"/>
    <n v="0"/>
    <n v="0"/>
    <n v="0"/>
    <n v="0"/>
    <n v="0"/>
    <n v="0"/>
    <n v="0"/>
    <n v="0"/>
    <n v="0"/>
    <n v="0"/>
    <n v="0"/>
    <n v="2.6451612903225803E-3"/>
    <n v="2.6451612903225803E-3"/>
  </r>
  <r>
    <n v="53"/>
    <x v="0"/>
    <s v="EVCS-360057"/>
    <x v="3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0"/>
    <s v="EVCS-360056"/>
    <x v="40"/>
    <s v="Trinity"/>
    <s v="Public-Paid"/>
    <s v="3.3KW"/>
    <s v="OCPP"/>
    <n v="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x v="0"/>
    <s v="EVCS-360059"/>
    <x v="41"/>
    <s v="Trinity"/>
    <s v="Public-Paid"/>
    <s v="3.3KW"/>
    <s v="OCPP"/>
    <n v="1"/>
    <x v="3"/>
    <n v="0"/>
    <n v="0"/>
    <n v="0"/>
    <n v="0"/>
    <n v="0.738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38709677419353E-2"/>
    <n v="2.3838709677419353E-2"/>
  </r>
  <r>
    <n v="56"/>
    <x v="1"/>
    <s v="EVCS-360060"/>
    <x v="4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003999999999998"/>
    <n v="0"/>
    <n v="0"/>
    <n v="0"/>
    <n v="0"/>
    <n v="0"/>
    <n v="0.83883870967741925"/>
    <n v="0.83883870967741925"/>
  </r>
  <r>
    <n v="57"/>
    <x v="0"/>
    <s v="EVCS-360061"/>
    <x v="43"/>
    <s v="Trinity"/>
    <s v="Public-Paid"/>
    <s v="3.3KW"/>
    <s v="OCPP"/>
    <n v="1"/>
    <x v="2"/>
    <n v="3.254"/>
    <n v="1.377"/>
    <n v="0"/>
    <n v="3.7370000000000001"/>
    <n v="3.0859999999999999"/>
    <n v="2.7130000000000001"/>
    <n v="4.0339999999999998"/>
    <n v="0"/>
    <n v="0"/>
    <n v="3.855"/>
    <n v="6.0409999999999995"/>
    <n v="3.7999999999999999E-2"/>
    <n v="6.1349999999999998"/>
    <n v="4.3869999999999996"/>
    <n v="3.3370000000000002"/>
    <n v="2.6150000000000002"/>
    <n v="3.1850000000000001"/>
    <n v="0.23300000000000001"/>
    <n v="4.8230000000000004"/>
    <n v="0.249"/>
    <n v="5.1239999999999997"/>
    <n v="3.99"/>
    <n v="0"/>
    <n v="0"/>
    <n v="4.3159999999999998"/>
    <n v="0.41799999999999998"/>
    <n v="3.5609999999999999"/>
    <n v="4.2279999999999998"/>
    <n v="0"/>
    <n v="0"/>
    <n v="7.6989999999999998"/>
    <n v="2.6591935483870968"/>
    <n v="2.6591935483870968"/>
  </r>
  <r>
    <n v="58"/>
    <x v="0"/>
    <s v="EVCS-360062"/>
    <x v="44"/>
    <s v="Trinity"/>
    <s v="Public-Paid"/>
    <s v="3.3KW"/>
    <s v="OCPP"/>
    <n v="10"/>
    <x v="1"/>
    <n v="11.291"/>
    <n v="19.458000000000002"/>
    <n v="6.13"/>
    <n v="79.075000000000003"/>
    <n v="53.024000000000001"/>
    <n v="18.146999999999998"/>
    <n v="8.5560000000000009"/>
    <n v="9.7039999999999988"/>
    <n v="19.579000000000001"/>
    <n v="9.6159999999999997"/>
    <n v="37.502999999999993"/>
    <n v="61.391000000000005"/>
    <n v="50.302"/>
    <n v="17.89"/>
    <n v="26.338999999999999"/>
    <n v="14.042999999999999"/>
    <n v="1.96"/>
    <n v="51.216000000000001"/>
    <n v="22.378999999999998"/>
    <n v="55.349999999999994"/>
    <n v="33.484000000000002"/>
    <n v="8.1610000000000014"/>
    <n v="31.915999999999997"/>
    <n v="13.806999999999999"/>
    <n v="16.009999999999998"/>
    <n v="0"/>
    <n v="40.037000000000006"/>
    <n v="34.138000000000005"/>
    <n v="68.58"/>
    <n v="10.808"/>
    <n v="6.4770000000000012"/>
    <n v="26.979709677419361"/>
    <n v="2.6979709677419361"/>
  </r>
  <r>
    <n v="59"/>
    <x v="0"/>
    <m/>
    <x v="44"/>
    <s v="Trinity"/>
    <s v="Public-Paid"/>
    <s v="30 kw "/>
    <s v="DC Charger"/>
    <n v="1"/>
    <x v="0"/>
    <m/>
    <m/>
    <m/>
    <m/>
    <m/>
    <m/>
    <m/>
    <m/>
    <m/>
    <m/>
    <m/>
    <m/>
    <m/>
    <m/>
    <m/>
    <m/>
    <m/>
    <m/>
    <m/>
    <m/>
    <m/>
    <m/>
    <m/>
    <m/>
    <n v="1.39"/>
    <n v="0"/>
    <n v="0"/>
    <n v="0"/>
    <n v="0"/>
    <n v="0"/>
    <n v="0"/>
    <n v="0.19857142857142857"/>
    <n v="0.19857142857142857"/>
  </r>
  <r>
    <n v="60"/>
    <x v="0"/>
    <s v="EVCS-360063"/>
    <x v="45"/>
    <s v="Trinity"/>
    <s v="Public-Paid"/>
    <s v="3.3KW"/>
    <s v="OCPP"/>
    <n v="2"/>
    <x v="2"/>
    <n v="28.195"/>
    <n v="16.123999999999999"/>
    <n v="15.352"/>
    <n v="32.292000000000002"/>
    <n v="25.064"/>
    <n v="22.051000000000002"/>
    <n v="25.592000000000002"/>
    <n v="18.596"/>
    <n v="17.326000000000001"/>
    <n v="17.195"/>
    <n v="33.138000000000005"/>
    <n v="26.724"/>
    <n v="21.640999999999998"/>
    <n v="20.564000000000004"/>
    <n v="16.163"/>
    <n v="17.081"/>
    <n v="21.481999999999999"/>
    <n v="29.495999999999999"/>
    <n v="14.306000000000001"/>
    <n v="29.562000000000005"/>
    <n v="14.44"/>
    <n v="26.388000000000002"/>
    <n v="15.228"/>
    <n v="12.76"/>
    <n v="17.051000000000002"/>
    <n v="24.741"/>
    <n v="23.318999999999999"/>
    <n v="16.478999999999999"/>
    <n v="13.686999999999999"/>
    <n v="9.0249999999999986"/>
    <n v="11.870000000000001"/>
    <n v="20.417161290322586"/>
    <n v="10.208580645161293"/>
  </r>
  <r>
    <n v="61"/>
    <x v="0"/>
    <m/>
    <x v="46"/>
    <s v="Deccan College of Engg."/>
    <s v="Public-Free"/>
    <s v="3.3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0"/>
    <s v="EVCS-360064"/>
    <x v="47"/>
    <s v="Trinity"/>
    <s v="Public-Paid"/>
    <s v="3.3KW"/>
    <s v="OCPP"/>
    <n v="8"/>
    <x v="1"/>
    <n v="129.166"/>
    <n v="94.826000000000008"/>
    <n v="75.532999999999987"/>
    <n v="107.11400000000002"/>
    <n v="76.478999999999999"/>
    <n v="107.251"/>
    <n v="127.11299999999999"/>
    <n v="100.75800000000001"/>
    <n v="77.647000000000006"/>
    <n v="100.27500000000001"/>
    <n v="111.91399999999999"/>
    <n v="113.471"/>
    <n v="129.93"/>
    <n v="109.15600000000001"/>
    <n v="77.275000000000006"/>
    <n v="78.613"/>
    <n v="60.91399999999998"/>
    <n v="135.709"/>
    <n v="157.18900000000002"/>
    <n v="65.917999999999992"/>
    <n v="129.44200000000001"/>
    <n v="91.284999999999968"/>
    <n v="95.736999999999995"/>
    <n v="67.894000000000005"/>
    <n v="118.443"/>
    <n v="99.576999999999998"/>
    <n v="101.65599999999999"/>
    <n v="93.530000000000015"/>
    <n v="27.492999999999995"/>
    <n v="63.197999999999993"/>
    <n v="47.466000000000001"/>
    <n v="95.870064516129048"/>
    <n v="11.983758064516131"/>
  </r>
  <r>
    <n v="63"/>
    <x v="0"/>
    <s v="EVCS-360065"/>
    <x v="48"/>
    <s v="Trinity"/>
    <s v="Public-Paid"/>
    <s v="3.3KW"/>
    <s v="OCPP"/>
    <n v="6"/>
    <x v="1"/>
    <n v="98.823000000000022"/>
    <n v="77.02"/>
    <n v="62.552000000000007"/>
    <n v="97.920000000000016"/>
    <n v="82.345999999999989"/>
    <n v="76.695999999999984"/>
    <n v="72.007000000000005"/>
    <n v="75.554000000000002"/>
    <n v="74.245000000000005"/>
    <n v="85.88900000000001"/>
    <n v="68.647000000000006"/>
    <n v="86.02"/>
    <n v="88.924000000000007"/>
    <n v="90.563000000000017"/>
    <n v="74.753999999999991"/>
    <n v="94.919000000000011"/>
    <n v="71.948000000000008"/>
    <n v="72.588999999999999"/>
    <n v="66.564999999999998"/>
    <n v="52.448999999999998"/>
    <n v="91.456000000000003"/>
    <n v="70.756000000000014"/>
    <n v="98.91"/>
    <n v="51.994999999999997"/>
    <n v="88.15"/>
    <n v="63.3"/>
    <n v="56.596000000000004"/>
    <n v="70.801000000000002"/>
    <n v="74.733000000000004"/>
    <n v="60.483000000000004"/>
    <n v="38.046999999999997"/>
    <n v="75.343774193548413"/>
    <n v="12.557295698924735"/>
  </r>
  <r>
    <n v="64"/>
    <x v="0"/>
    <s v="EVCS-360072"/>
    <x v="49"/>
    <s v="Trinity"/>
    <s v="Public-Paid"/>
    <s v="60 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0"/>
    <s v="EVCS-360076"/>
    <x v="50"/>
    <s v="Trinity"/>
    <s v="Public-Paid"/>
    <s v="3.3KW"/>
    <s v="OCPP"/>
    <n v="1"/>
    <x v="3"/>
    <n v="0"/>
    <n v="0"/>
    <n v="2.4079999999999999"/>
    <n v="0"/>
    <n v="0"/>
    <n v="0"/>
    <n v="0"/>
    <n v="0"/>
    <n v="0"/>
    <n v="0"/>
    <n v="0"/>
    <n v="2.6949999999999998"/>
    <n v="0"/>
    <n v="0"/>
    <n v="0"/>
    <n v="0"/>
    <n v="0"/>
    <n v="0"/>
    <n v="0"/>
    <n v="0"/>
    <n v="0"/>
    <n v="0"/>
    <n v="0"/>
    <n v="3.008"/>
    <n v="0"/>
    <n v="0"/>
    <n v="23.287999999999997"/>
    <n v="0"/>
    <n v="2.9860000000000002"/>
    <n v="0"/>
    <n v="0"/>
    <n v="1.1091935483870967"/>
    <n v="1.1091935483870967"/>
  </r>
  <r>
    <n v="66"/>
    <x v="0"/>
    <m/>
    <x v="51"/>
    <s v="Trinity"/>
    <s v="Public-Paid"/>
    <s v="3.3KW"/>
    <s v="OCPP"/>
    <n v="2"/>
    <x v="3"/>
    <n v="2.8439999999999999"/>
    <n v="3.327"/>
    <n v="1.6990000000000001"/>
    <n v="2.8370000000000002"/>
    <n v="4.2690000000000001"/>
    <n v="1.7969999999999999"/>
    <n v="2.4860000000000002"/>
    <n v="0"/>
    <n v="3.4860000000000002"/>
    <n v="2.4900000000000002"/>
    <n v="0"/>
    <n v="0.77800000000000002"/>
    <n v="0"/>
    <n v="2.8079999999999998"/>
    <n v="0"/>
    <n v="7.2610000000000001"/>
    <n v="0"/>
    <n v="3.1560000000000001"/>
    <n v="0"/>
    <n v="1.5349999999999999"/>
    <n v="3.1470000000000002"/>
    <n v="0.71499999999999997"/>
    <n v="3.2610000000000001"/>
    <n v="2.7249999999999996"/>
    <n v="1.7729999999999999"/>
    <n v="0"/>
    <n v="0"/>
    <n v="3.2519999999999998"/>
    <n v="1.8079999999999998"/>
    <n v="2.2589999999999999"/>
    <n v="4.6180000000000003"/>
    <n v="2.0751935483870967"/>
    <n v="1.0375967741935483"/>
  </r>
  <r>
    <n v="67"/>
    <x v="0"/>
    <m/>
    <x v="51"/>
    <s v="Trinity"/>
    <s v="Public-Paid"/>
    <s v="7.4KW"/>
    <s v="OCPP"/>
    <n v="2"/>
    <x v="3"/>
    <n v="63.036999999999999"/>
    <n v="18.928999999999998"/>
    <n v="0"/>
    <n v="0"/>
    <n v="0"/>
    <n v="0"/>
    <n v="0"/>
    <n v="0"/>
    <n v="0"/>
    <n v="29.741"/>
    <n v="0"/>
    <n v="0"/>
    <n v="0"/>
    <n v="0"/>
    <n v="0"/>
    <n v="0"/>
    <n v="0"/>
    <n v="0"/>
    <n v="0"/>
    <n v="0"/>
    <n v="0"/>
    <n v="0"/>
    <n v="0"/>
    <n v="0"/>
    <n v="0"/>
    <n v="0"/>
    <n v="45.010000000000005"/>
    <n v="0"/>
    <n v="0"/>
    <n v="56.734999999999999"/>
    <n v="0"/>
    <n v="6.8855483870967742"/>
    <n v="3.4427741935483871"/>
  </r>
  <r>
    <n v="68"/>
    <x v="0"/>
    <m/>
    <x v="52"/>
    <s v="Trinity"/>
    <s v="Public-Paid"/>
    <s v="3.3 kW"/>
    <s v="OCPP"/>
    <n v="2"/>
    <x v="3"/>
    <n v="0"/>
    <n v="0"/>
    <n v="0"/>
    <n v="0"/>
    <n v="0"/>
    <n v="0"/>
    <n v="0"/>
    <n v="1.881"/>
    <n v="0"/>
    <n v="0"/>
    <n v="0.54600000000000004"/>
    <n v="0"/>
    <n v="0"/>
    <n v="0"/>
    <n v="0"/>
    <n v="0"/>
    <n v="0"/>
    <n v="1.5"/>
    <n v="0"/>
    <n v="0"/>
    <n v="0"/>
    <n v="0"/>
    <n v="0"/>
    <n v="0"/>
    <n v="0"/>
    <n v="0"/>
    <n v="0"/>
    <n v="0"/>
    <n v="0"/>
    <n v="2.181"/>
    <n v="0"/>
    <n v="0.19703225806451616"/>
    <n v="9.8516129032258079E-2"/>
  </r>
  <r>
    <n v="68"/>
    <x v="0"/>
    <m/>
    <x v="52"/>
    <s v="Trinity"/>
    <s v="Public-Paid"/>
    <s v="7.4 kW"/>
    <s v="OCPP"/>
    <n v="5"/>
    <x v="3"/>
    <m/>
    <m/>
    <m/>
    <m/>
    <m/>
    <m/>
    <m/>
    <m/>
    <m/>
    <m/>
    <m/>
    <m/>
    <m/>
    <m/>
    <m/>
    <m/>
    <m/>
    <m/>
    <m/>
    <m/>
    <m/>
    <m/>
    <m/>
    <m/>
    <m/>
    <m/>
    <m/>
    <n v="6.7149999999999999"/>
    <n v="0"/>
    <n v="0"/>
    <n v="0"/>
    <n v="1.67875"/>
    <n v="0.33574999999999999"/>
  </r>
  <r>
    <n v="69"/>
    <x v="2"/>
    <m/>
    <x v="53"/>
    <s v="Trinity"/>
    <s v="Public-Paid"/>
    <s v="240 kw"/>
    <s v="DC Charger"/>
    <n v="1"/>
    <x v="0"/>
    <m/>
    <m/>
    <m/>
    <m/>
    <m/>
    <m/>
    <n v="5.0999999999999996"/>
    <n v="409.4"/>
    <n v="0"/>
    <n v="0"/>
    <n v="3.7"/>
    <n v="0"/>
    <n v="0"/>
    <n v="0"/>
    <n v="0"/>
    <n v="0"/>
    <n v="0"/>
    <n v="0"/>
    <n v="48.650000000000006"/>
    <n v="0"/>
    <n v="0"/>
    <n v="0"/>
    <n v="27.1"/>
    <n v="0"/>
    <n v="0"/>
    <n v="0"/>
    <n v="0"/>
    <n v="36.173999999999999"/>
    <n v="0"/>
    <n v="0"/>
    <n v="0"/>
    <n v="21.20496"/>
    <n v="21.20496"/>
  </r>
  <r>
    <n v="70"/>
    <x v="0"/>
    <m/>
    <x v="54"/>
    <s v="Trinity"/>
    <s v="Public-Paid"/>
    <s v="240 kw"/>
    <s v="DC Charger"/>
    <n v="4"/>
    <x v="0"/>
    <m/>
    <m/>
    <m/>
    <m/>
    <m/>
    <m/>
    <m/>
    <m/>
    <m/>
    <m/>
    <m/>
    <m/>
    <n v="107.83000000000003"/>
    <n v="114.77999999999999"/>
    <n v="522.99"/>
    <n v="629.44999999999982"/>
    <n v="259.83000000000004"/>
    <n v="252.88"/>
    <n v="156.03"/>
    <n v="341.76000000000005"/>
    <n v="169.35"/>
    <n v="126.49"/>
    <n v="62.33"/>
    <n v="89.08"/>
    <n v="254.96"/>
    <n v="313.65999999999991"/>
    <n v="151.23999999999998"/>
    <n v="358.19"/>
    <n v="244.4"/>
    <n v="100.05"/>
    <n v="104.9"/>
    <n v="229.48421052631574"/>
    <n v="57.371052631578934"/>
  </r>
  <r>
    <n v="71"/>
    <x v="3"/>
    <m/>
    <x v="55"/>
    <s v="Trinity"/>
    <s v="Public-Paid"/>
    <s v="3.3 kW"/>
    <s v="OCPP"/>
    <n v="1"/>
    <x v="3"/>
    <m/>
    <m/>
    <m/>
    <m/>
    <m/>
    <m/>
    <m/>
    <m/>
    <m/>
    <m/>
    <m/>
    <m/>
    <m/>
    <m/>
    <m/>
    <m/>
    <m/>
    <m/>
    <m/>
    <m/>
    <m/>
    <m/>
    <m/>
    <n v="0.14699999999999999"/>
    <n v="0"/>
    <n v="0"/>
    <n v="0"/>
    <n v="0"/>
    <n v="0"/>
    <n v="0"/>
    <n v="0"/>
    <n v="1.8374999999999999E-2"/>
    <n v="1.8374999999999999E-2"/>
  </r>
  <r>
    <n v="72"/>
    <x v="3"/>
    <m/>
    <x v="55"/>
    <s v="Trinity"/>
    <s v="Public-Paid"/>
    <s v="7.4 kW"/>
    <s v="OCPP"/>
    <n v="1"/>
    <x v="3"/>
    <m/>
    <m/>
    <m/>
    <m/>
    <m/>
    <m/>
    <m/>
    <m/>
    <m/>
    <m/>
    <m/>
    <m/>
    <m/>
    <m/>
    <m/>
    <m/>
    <m/>
    <m/>
    <m/>
    <m/>
    <m/>
    <m/>
    <m/>
    <n v="0.15"/>
    <n v="0"/>
    <n v="0"/>
    <n v="0"/>
    <n v="0"/>
    <n v="0"/>
    <n v="0"/>
    <n v="0"/>
    <n v="1.8749999999999999E-2"/>
    <n v="1.8749999999999999E-2"/>
  </r>
  <r>
    <n v="73"/>
    <x v="3"/>
    <m/>
    <x v="55"/>
    <s v="Trinity"/>
    <s v="Public-Paid"/>
    <s v="22 kW"/>
    <s v="OCPP"/>
    <n v="1"/>
    <x v="3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n v="74"/>
    <x v="4"/>
    <s v="EVCS-320001"/>
    <x v="5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x v="0"/>
    <m/>
    <x v="57"/>
    <s v="ETO Driver"/>
    <s v="Public-Free"/>
    <s v="3.3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0"/>
    <m/>
    <x v="58"/>
    <s v="HMRL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5"/>
    <m/>
    <x v="59"/>
    <s v="Trinity"/>
    <s v="Public-Paid"/>
    <s v="240 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m/>
    <m/>
    <m/>
    <n v="41.4"/>
    <n v="0"/>
    <n v="0"/>
    <n v="0"/>
    <n v="10.35"/>
    <n v="10.35"/>
  </r>
  <r>
    <n v="77"/>
    <x v="5"/>
    <s v="EVCS-370001"/>
    <x v="60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774000000000001"/>
    <n v="1.7346451612903226"/>
    <n v="0.34692903225806454"/>
  </r>
  <r>
    <n v="78"/>
    <x v="5"/>
    <s v="EVCS-370003"/>
    <x v="61"/>
    <s v="Trinity"/>
    <s v="Public-Paid"/>
    <s v="3.3KW"/>
    <s v="OCPP"/>
    <n v="10"/>
    <x v="2"/>
    <n v="91.265999999999991"/>
    <n v="64.608000000000004"/>
    <n v="85.760999999999996"/>
    <n v="85.239000000000004"/>
    <n v="81.982000000000014"/>
    <n v="64.785000000000011"/>
    <n v="83.502999999999986"/>
    <n v="71.183999999999997"/>
    <n v="73.528999999999996"/>
    <n v="76.772999999999996"/>
    <n v="69.894999999999982"/>
    <n v="54.917000000000002"/>
    <n v="67.515999999999991"/>
    <n v="89.90300000000002"/>
    <n v="52.226000000000006"/>
    <n v="79.698000000000008"/>
    <n v="53.115999999999993"/>
    <n v="64.939000000000007"/>
    <n v="43.752999999999986"/>
    <n v="67"/>
    <n v="84.456000000000003"/>
    <n v="58.83"/>
    <n v="56.935999999999993"/>
    <n v="71.316999999999993"/>
    <n v="63.097999999999992"/>
    <n v="52.524000000000001"/>
    <n v="72.430000000000007"/>
    <n v="76.222999999999999"/>
    <n v="101.95299999999999"/>
    <n v="47.034000000000006"/>
    <n v="62.612000000000009"/>
    <n v="69.967935483870974"/>
    <n v="6.9967935483870978"/>
  </r>
  <r>
    <n v="79"/>
    <x v="6"/>
    <s v="EVCS-370004"/>
    <x v="62"/>
    <s v="Trinity"/>
    <s v="Public-Paid"/>
    <s v="3.3KW"/>
    <s v="OCPP"/>
    <n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6"/>
    <s v="EVCS-370005"/>
    <x v="63"/>
    <s v="Trinity"/>
    <s v="Public-Paid"/>
    <s v="3.3KW"/>
    <s v="OCPP"/>
    <n v="7"/>
    <x v="1"/>
    <n v="146.595"/>
    <n v="81.227999999999994"/>
    <n v="84.080999999999989"/>
    <n v="140.11699999999996"/>
    <n v="97.609000000000023"/>
    <n v="125.255"/>
    <n v="87.45"/>
    <n v="85.075000000000003"/>
    <n v="102.32300000000001"/>
    <n v="95.161999999999992"/>
    <n v="90.945999999999998"/>
    <n v="42.75"/>
    <n v="43.82"/>
    <n v="59.603999999999999"/>
    <n v="26.021000000000001"/>
    <n v="35.403999999999996"/>
    <n v="34.762"/>
    <n v="32.03"/>
    <n v="56.321999999999996"/>
    <n v="32.43"/>
    <n v="23.907"/>
    <n v="33.290999999999997"/>
    <n v="59.135999999999996"/>
    <n v="36.587000000000003"/>
    <n v="32.182000000000002"/>
    <n v="44.014000000000003"/>
    <n v="37.211999999999996"/>
    <n v="34.677"/>
    <n v="47.435000000000002"/>
    <n v="40.215000000000003"/>
    <n v="22.846"/>
    <n v="61.628580645161264"/>
    <n v="8.8040829493087518"/>
  </r>
  <r>
    <n v="81"/>
    <x v="7"/>
    <s v="EVCS-370006"/>
    <x v="64"/>
    <s v="Trinity"/>
    <s v="Public-Paid"/>
    <s v="3.3KW"/>
    <s v="OCPP"/>
    <n v="7"/>
    <x v="1"/>
    <n v="25.302"/>
    <n v="27.204000000000001"/>
    <n v="56.147999999999996"/>
    <n v="53.87700000000001"/>
    <n v="50.326999999999998"/>
    <n v="47.094999999999999"/>
    <n v="36.478999999999999"/>
    <n v="46.58"/>
    <n v="28.867000000000004"/>
    <n v="27.731000000000005"/>
    <n v="42.673000000000002"/>
    <n v="34.308999999999997"/>
    <n v="44.981999999999999"/>
    <n v="40.290999999999997"/>
    <n v="34.392000000000003"/>
    <n v="49.404000000000003"/>
    <n v="43.187999999999995"/>
    <n v="27.258999999999997"/>
    <n v="33.459000000000003"/>
    <n v="54.858999999999995"/>
    <n v="46.756999999999991"/>
    <n v="26.978000000000002"/>
    <n v="26.180999999999997"/>
    <n v="47.218000000000004"/>
    <n v="32.819000000000003"/>
    <n v="42.106999999999999"/>
    <n v="27.923000000000002"/>
    <n v="20.718"/>
    <n v="51.37700000000001"/>
    <n v="31.278999999999996"/>
    <n v="39.094999999999999"/>
    <n v="38.60896774193548"/>
    <n v="5.5155668202764971"/>
  </r>
  <r>
    <n v="82"/>
    <x v="8"/>
    <m/>
    <x v="65"/>
    <s v="Trinity"/>
    <s v="Public-Paid"/>
    <s v="3.3 kW"/>
    <s v="OCPP"/>
    <n v="1"/>
    <x v="3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</r>
  <r>
    <n v="83"/>
    <x v="8"/>
    <m/>
    <x v="65"/>
    <s v="Trinity"/>
    <s v="Public-Paid"/>
    <s v="4.7 kw"/>
    <s v="OCPP"/>
    <n v="1"/>
    <x v="3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8"/>
    <m/>
    <x v="65"/>
    <s v="Trinity"/>
    <s v="Public-Paid"/>
    <s v="22 kW"/>
    <s v="OCPP"/>
    <n v="1"/>
    <x v="3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9"/>
    <s v="EVCS-370007"/>
    <x v="66"/>
    <s v="Trinity"/>
    <s v="Public-Paid"/>
    <s v="3.3KW"/>
    <s v="OCPP"/>
    <n v="5"/>
    <x v="1"/>
    <n v="28.317"/>
    <n v="28.186"/>
    <n v="24.173000000000002"/>
    <n v="37.165999999999997"/>
    <n v="22.551000000000002"/>
    <n v="26.432000000000002"/>
    <n v="18.957000000000001"/>
    <n v="37.682999999999993"/>
    <n v="15.356"/>
    <n v="41.746000000000002"/>
    <n v="24.600999999999999"/>
    <n v="27.436"/>
    <n v="12.861999999999998"/>
    <n v="36.615000000000002"/>
    <n v="20.93"/>
    <n v="24.349"/>
    <n v="33.185000000000002"/>
    <n v="19.974000000000004"/>
    <n v="35.277999999999999"/>
    <n v="28.199000000000002"/>
    <n v="45.354999999999997"/>
    <n v="16.970999999999997"/>
    <n v="44.894000000000005"/>
    <n v="33.015000000000001"/>
    <n v="41.278999999999996"/>
    <n v="26.843999999999998"/>
    <n v="29.868000000000002"/>
    <n v="21.319000000000003"/>
    <n v="34.954999999999998"/>
    <n v="39.975999999999999"/>
    <n v="18.819000000000003"/>
    <n v="28.944870967741934"/>
    <n v="5.7889741935483867"/>
  </r>
  <r>
    <n v="86"/>
    <x v="8"/>
    <s v="EVCS-290002"/>
    <x v="67"/>
    <s v="Flipkart"/>
    <s v="Public-Paid"/>
    <s v="3.3KW"/>
    <s v="OCPP"/>
    <n v="4"/>
    <x v="2"/>
    <n v="83.875"/>
    <n v="71.465000000000003"/>
    <n v="94.190000000000012"/>
    <n v="75.201999999999998"/>
    <n v="73.582000000000008"/>
    <n v="82.670000000000016"/>
    <n v="89.60299999999998"/>
    <n v="57.713999999999999"/>
    <n v="65.310000000000016"/>
    <n v="24.629999999999995"/>
    <n v="19.695"/>
    <n v="9.6340000000000003"/>
    <n v="7.2239999999999993"/>
    <n v="23.035999999999998"/>
    <n v="20.798999999999999"/>
    <n v="19.405999999999999"/>
    <n v="21.517000000000003"/>
    <n v="23.756999999999998"/>
    <n v="18.701999999999998"/>
    <n v="10.704999999999998"/>
    <n v="19.82"/>
    <n v="13.657999999999999"/>
    <n v="8.5220000000000002"/>
    <n v="19.481999999999999"/>
    <n v="9.6810000000000009"/>
    <n v="9.3070000000000004"/>
    <n v="16.068000000000001"/>
    <n v="10.531999999999998"/>
    <n v="14.340999999999999"/>
    <n v="5.5940000000000003"/>
    <n v="17.603000000000002"/>
    <n v="33.46206451612904"/>
    <n v="8.3655161290322599"/>
  </r>
  <r>
    <n v="87"/>
    <x v="8"/>
    <s v="EVCS-290003"/>
    <x v="68"/>
    <s v="Flipkart"/>
    <s v="Public-Paid"/>
    <s v="3.3KW"/>
    <s v="OCPP"/>
    <n v="9"/>
    <x v="2"/>
    <n v="37.002999999999993"/>
    <n v="42.533000000000008"/>
    <n v="35.647000000000006"/>
    <n v="70.11999999999999"/>
    <n v="28.972999999999999"/>
    <n v="46.732999999999997"/>
    <n v="35.779999999999994"/>
    <n v="66.98899999999999"/>
    <n v="46.727999999999994"/>
    <n v="32.625999999999998"/>
    <n v="30.494"/>
    <n v="11.544"/>
    <n v="16.48"/>
    <n v="50.829999999999991"/>
    <n v="34.61"/>
    <n v="14.369000000000002"/>
    <n v="18.52"/>
    <n v="37.307000000000002"/>
    <n v="56.677"/>
    <n v="64.713999999999984"/>
    <n v="55.516999999999996"/>
    <n v="73.45"/>
    <n v="28.276000000000003"/>
    <n v="62.420000000000009"/>
    <n v="56.826000000000008"/>
    <n v="49.651000000000003"/>
    <n v="43.553000000000011"/>
    <n v="37.822000000000003"/>
    <n v="59.531000000000006"/>
    <n v="54.227000000000004"/>
    <n v="41.882999999999996"/>
    <n v="43.284935483870967"/>
    <n v="4.8094372759856627"/>
  </r>
  <r>
    <n v="88"/>
    <x v="8"/>
    <s v="EVCS-290004"/>
    <x v="69"/>
    <s v="EFL"/>
    <s v="Public-Free"/>
    <s v="3.3KW"/>
    <s v="OCPP"/>
    <n v="8"/>
    <x v="1"/>
    <n v="31.973000000000003"/>
    <n v="10.341000000000001"/>
    <n v="10.216999999999999"/>
    <n v="24.266000000000002"/>
    <n v="24.088999999999999"/>
    <n v="23.222999999999999"/>
    <n v="24.223999999999997"/>
    <n v="31.428000000000001"/>
    <n v="12.231999999999999"/>
    <n v="19.47"/>
    <n v="16.945"/>
    <n v="4.6210000000000004"/>
    <n v="20.337"/>
    <n v="24.169"/>
    <n v="34.149000000000001"/>
    <n v="22.29"/>
    <n v="38.771000000000001"/>
    <n v="13.051"/>
    <n v="41.027000000000001"/>
    <n v="15.845000000000001"/>
    <n v="14.736000000000001"/>
    <n v="48.186000000000007"/>
    <n v="30.188000000000002"/>
    <n v="43.949999999999996"/>
    <n v="47.942000000000007"/>
    <n v="130.88499999999999"/>
    <n v="40.353000000000002"/>
    <n v="31.356000000000002"/>
    <n v="16.562999999999999"/>
    <n v="15.741"/>
    <n v="60.678999999999988"/>
    <n v="29.782161290322581"/>
    <n v="3.7227701612903226"/>
  </r>
  <r>
    <n v="89"/>
    <x v="8"/>
    <s v="EVCS-290004"/>
    <x v="69"/>
    <s v="EFL"/>
    <s v="Public-Free"/>
    <s v="6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8"/>
    <s v="EVCS-290005"/>
    <x v="70"/>
    <s v="Trinity"/>
    <s v="Public-Paid"/>
    <s v="3.3KW"/>
    <s v="OCPP"/>
    <n v="7"/>
    <x v="1"/>
    <n v="150.60499999999999"/>
    <n v="159.59200000000001"/>
    <n v="137.19099999999997"/>
    <n v="167.98599999999999"/>
    <n v="150.898"/>
    <n v="174.09599999999998"/>
    <n v="164.91200000000003"/>
    <n v="143.43299999999999"/>
    <n v="187.48399999999992"/>
    <n v="163.53899999999999"/>
    <n v="150.56299999999999"/>
    <n v="163.691"/>
    <n v="131.57899999999998"/>
    <n v="165.90899999999999"/>
    <n v="168.172"/>
    <n v="176.15800000000004"/>
    <n v="134.54799999999997"/>
    <n v="138.755"/>
    <n v="148.84899999999999"/>
    <n v="118.08500000000002"/>
    <n v="128.53299999999999"/>
    <n v="123.684"/>
    <n v="136.75"/>
    <n v="147.02999999999997"/>
    <n v="123.414"/>
    <n v="153.77099999999999"/>
    <n v="122.996"/>
    <n v="115.41200000000001"/>
    <n v="132.07300000000001"/>
    <n v="61.724999999999994"/>
    <n v="33.686"/>
    <n v="141.13287096774198"/>
    <n v="20.161838709677426"/>
  </r>
  <r>
    <n v="91"/>
    <x v="8"/>
    <s v="EVCS-290007"/>
    <x v="71"/>
    <s v="Trinity"/>
    <s v="Public-Paid"/>
    <s v="3.3KW"/>
    <s v="OCPP"/>
    <n v="10"/>
    <x v="1"/>
    <n v="139.29599999999999"/>
    <n v="135.16300000000001"/>
    <n v="153.11199999999997"/>
    <n v="153.965"/>
    <n v="162.11199999999999"/>
    <n v="131.64300000000006"/>
    <n v="140.113"/>
    <n v="142.25600000000003"/>
    <n v="162.95700000000002"/>
    <n v="121.22900000000003"/>
    <n v="126.92100000000002"/>
    <n v="138.94199999999998"/>
    <n v="155.02099999999996"/>
    <n v="139.05499999999998"/>
    <n v="163.93900000000002"/>
    <n v="147.44800000000001"/>
    <n v="127.69799999999999"/>
    <n v="154.541"/>
    <n v="144.333"/>
    <n v="120.795"/>
    <n v="135.779"/>
    <n v="117.90000000000002"/>
    <n v="144.90299999999999"/>
    <n v="155.15600000000003"/>
    <n v="137.58200000000002"/>
    <n v="148.00599999999997"/>
    <n v="110.30699999999996"/>
    <n v="144.89400000000006"/>
    <n v="114.143"/>
    <n v="92.191000000000003"/>
    <n v="108.68"/>
    <n v="137.74451612903226"/>
    <n v="13.774451612903226"/>
  </r>
  <r>
    <n v="92"/>
    <x v="8"/>
    <s v="EVCS-290009"/>
    <x v="72"/>
    <s v="Trinity"/>
    <s v="Public-Paid"/>
    <s v="3.3KW"/>
    <s v="OCPP"/>
    <n v="8"/>
    <x v="1"/>
    <n v="56.393999999999998"/>
    <n v="56.25800000000001"/>
    <n v="46.128999999999991"/>
    <n v="56.697000000000003"/>
    <n v="36.010000000000005"/>
    <n v="54.325000000000003"/>
    <n v="52.971000000000004"/>
    <n v="56.131"/>
    <n v="53.304000000000002"/>
    <n v="35.167999999999999"/>
    <n v="61.482999999999997"/>
    <n v="59.483000000000004"/>
    <n v="55.348999999999997"/>
    <n v="31.503"/>
    <n v="16.596"/>
    <n v="58.328000000000003"/>
    <n v="33.088999999999999"/>
    <n v="50.220999999999997"/>
    <n v="72.763000000000005"/>
    <n v="52.426000000000002"/>
    <n v="43.669999999999995"/>
    <n v="35.010999999999996"/>
    <n v="48.274000000000008"/>
    <n v="48.338999999999999"/>
    <n v="35.299999999999997"/>
    <n v="31.183"/>
    <n v="48.92799999999999"/>
    <n v="65.490999999999985"/>
    <n v="37.875"/>
    <n v="40.367000000000004"/>
    <n v="29.622999999999998"/>
    <n v="47.054483870967736"/>
    <n v="5.8818104838709671"/>
  </r>
  <r>
    <n v="93"/>
    <x v="8"/>
    <s v="EVCS-290010"/>
    <x v="73"/>
    <s v="Trinity"/>
    <s v="Public-Paid"/>
    <s v="3.3KW"/>
    <s v="OCPP"/>
    <n v="6"/>
    <x v="1"/>
    <n v="19.875"/>
    <n v="12.252000000000001"/>
    <n v="24.302"/>
    <n v="23.008000000000003"/>
    <n v="7.5430000000000001"/>
    <n v="3.9499999999999997"/>
    <n v="14.466999999999999"/>
    <n v="12.207000000000001"/>
    <n v="24.731000000000002"/>
    <n v="0"/>
    <n v="10.459"/>
    <n v="12.879000000000001"/>
    <n v="12.982000000000001"/>
    <n v="20.672999999999998"/>
    <n v="13.112"/>
    <n v="22.03"/>
    <n v="19.652999999999999"/>
    <n v="20.988999999999997"/>
    <n v="15.744999999999999"/>
    <n v="15.806000000000001"/>
    <n v="6.2519999999999998"/>
    <n v="17.763000000000002"/>
    <n v="16.377000000000002"/>
    <n v="16.358000000000004"/>
    <n v="2.6749999999999998"/>
    <n v="25.122"/>
    <n v="22.254999999999999"/>
    <n v="8.0380000000000003"/>
    <n v="24.83"/>
    <n v="17.951999999999998"/>
    <n v="11.189"/>
    <n v="15.337870967741935"/>
    <n v="2.5563118279569892"/>
  </r>
  <r>
    <n v="94"/>
    <x v="8"/>
    <s v="EVCS-290011"/>
    <x v="74"/>
    <s v="Trinity"/>
    <s v="Public-Paid"/>
    <s v="3.3KW"/>
    <s v="OCPP"/>
    <n v="2"/>
    <x v="1"/>
    <n v="17.006"/>
    <n v="27.424999999999997"/>
    <n v="5.3790000000000004"/>
    <n v="35.576000000000022"/>
    <n v="13.286"/>
    <n v="23.558"/>
    <n v="30.642999999999994"/>
    <n v="17.148"/>
    <n v="22.21"/>
    <n v="34.591999999999999"/>
    <n v="41.239999999999995"/>
    <n v="20.344000000000001"/>
    <n v="20.32"/>
    <n v="21.685000000000002"/>
    <n v="33.517000000000003"/>
    <n v="16.341999999999999"/>
    <n v="22.024000000000001"/>
    <n v="25.691000000000003"/>
    <n v="25.373000000000005"/>
    <n v="21.323"/>
    <n v="30.661000000000001"/>
    <n v="30.145"/>
    <n v="46.521000000000008"/>
    <n v="29.559000000000001"/>
    <n v="30.808000000000003"/>
    <n v="26.053000000000004"/>
    <n v="21.88"/>
    <n v="11.651000000000002"/>
    <n v="39.609000000000002"/>
    <n v="19.480999999999998"/>
    <n v="30.991"/>
    <n v="25.549709677419351"/>
    <n v="12.774854838709675"/>
  </r>
  <r>
    <n v="95"/>
    <x v="8"/>
    <m/>
    <x v="75"/>
    <s v="Trinity"/>
    <s v="Public-Paid"/>
    <s v="15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6"/>
    <x v="8"/>
    <m/>
    <x v="76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10"/>
    <s v="EVCS-330003"/>
    <x v="77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11"/>
    <s v="EVCS-330002"/>
    <x v="78"/>
    <s v="Flipkart"/>
    <s v="Public-Paid"/>
    <s v="3.3KW"/>
    <s v="OCPP"/>
    <n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089999999999998"/>
    <n v="0"/>
    <n v="0"/>
    <n v="0"/>
    <n v="0"/>
    <n v="0"/>
    <n v="0"/>
    <n v="0"/>
    <n v="0"/>
    <n v="0"/>
    <n v="6.1580645161290318E-2"/>
    <n v="4.3986175115207369E-3"/>
  </r>
  <r>
    <n v="99"/>
    <x v="12"/>
    <s v="EVCS-330004"/>
    <x v="79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"/>
    <x v="13"/>
    <s v="EVCS-330005"/>
    <x v="8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14"/>
    <s v="EVCS-320003"/>
    <x v="81"/>
    <s v="Trinity"/>
    <s v="Public-Paid"/>
    <s v="15KW"/>
    <s v="DC Charger"/>
    <n v="1"/>
    <x v="0"/>
    <n v="21.121000000000002"/>
    <n v="0"/>
    <n v="0"/>
    <n v="8.9600000000000009"/>
    <n v="0"/>
    <n v="0"/>
    <n v="0"/>
    <n v="3.47"/>
    <n v="0"/>
    <n v="0"/>
    <n v="0"/>
    <n v="0"/>
    <n v="0"/>
    <n v="0"/>
    <n v="0"/>
    <n v="0"/>
    <n v="0"/>
    <n v="4.8310000000000004"/>
    <n v="2.899"/>
    <n v="0"/>
    <n v="0"/>
    <n v="0"/>
    <n v="0"/>
    <n v="0"/>
    <n v="8.7609999999999992"/>
    <n v="10.989000000000001"/>
    <n v="8.39"/>
    <n v="7.2009999999999996"/>
    <n v="9.0500000000000007"/>
    <n v="0"/>
    <n v="12.7"/>
    <n v="3.173290322580645"/>
    <n v="3.173290322580645"/>
  </r>
  <r>
    <n v="102"/>
    <x v="15"/>
    <m/>
    <x v="82"/>
    <s v="Trinity"/>
    <s v="Public-Paid"/>
    <s v="15KW"/>
    <s v="DC Charger"/>
    <n v="1"/>
    <x v="0"/>
    <n v="0"/>
    <n v="0"/>
    <n v="0.02"/>
    <n v="5.339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287096774193547"/>
    <n v="0.17287096774193547"/>
  </r>
  <r>
    <n v="103"/>
    <x v="16"/>
    <m/>
    <x v="83"/>
    <s v="Trinity"/>
    <s v="Public-Paid"/>
    <s v="15 kw"/>
    <s v="DC Charger"/>
    <n v="2"/>
    <x v="3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</r>
  <r>
    <n v="104"/>
    <x v="17"/>
    <m/>
    <x v="84"/>
    <s v="Trinity"/>
    <s v="Public-Paid"/>
    <s v="15 kw"/>
    <s v="DC Charger"/>
    <n v="1"/>
    <x v="3"/>
    <m/>
    <m/>
    <m/>
    <m/>
    <m/>
    <m/>
    <m/>
    <m/>
    <m/>
    <m/>
    <m/>
    <m/>
    <m/>
    <m/>
    <m/>
    <m/>
    <m/>
    <m/>
    <m/>
    <m/>
    <m/>
    <m/>
    <m/>
    <n v="0"/>
    <n v="7.69"/>
    <n v="0"/>
    <n v="20.45"/>
    <n v="0"/>
    <n v="0"/>
    <n v="0"/>
    <n v="0"/>
    <n v="3.5175000000000001"/>
    <n v="3.5175000000000001"/>
  </r>
  <r>
    <n v="105"/>
    <x v="18"/>
    <s v="EVCS-270011"/>
    <x v="85"/>
    <s v="Trinity"/>
    <s v="Public-Paid"/>
    <s v="15KW"/>
    <s v="DC Charger"/>
    <n v="1"/>
    <x v="0"/>
    <n v="0"/>
    <n v="0"/>
    <n v="0"/>
    <n v="0"/>
    <n v="0"/>
    <n v="0"/>
    <n v="10.539"/>
    <n v="5.25"/>
    <n v="12.55"/>
    <n v="0"/>
    <n v="0"/>
    <n v="0"/>
    <n v="9.129999999999999"/>
    <n v="0"/>
    <n v="4.08"/>
    <n v="0"/>
    <n v="0"/>
    <n v="0"/>
    <n v="0"/>
    <n v="0"/>
    <n v="0"/>
    <n v="0"/>
    <n v="5.97"/>
    <n v="0"/>
    <n v="0"/>
    <n v="0"/>
    <n v="0"/>
    <n v="0"/>
    <n v="0"/>
    <n v="0"/>
    <n v="0"/>
    <n v="1.5328709677419352"/>
    <n v="1.5328709677419352"/>
  </r>
  <r>
    <n v="106"/>
    <x v="19"/>
    <s v="EVCS-270005"/>
    <x v="86"/>
    <s v="ETO"/>
    <s v="Public-Paid"/>
    <s v="3.3KW"/>
    <s v="OCPP"/>
    <n v="20"/>
    <x v="2"/>
    <n v="121.798"/>
    <n v="26.798000000000002"/>
    <n v="19.308"/>
    <n v="41.308"/>
    <n v="34.465000000000003"/>
    <n v="16.981999999999999"/>
    <n v="15.653"/>
    <n v="37.984999999999999"/>
    <n v="26.495999999999999"/>
    <n v="21.227"/>
    <n v="19.633000000000003"/>
    <n v="26.536000000000001"/>
    <n v="42.984999999999999"/>
    <n v="32.382000000000005"/>
    <n v="1.8240000000000001"/>
    <n v="8.6300000000000008"/>
    <n v="16.295999999999999"/>
    <n v="20.544"/>
    <n v="28.518000000000001"/>
    <n v="11.873000000000001"/>
    <n v="20.420000000000002"/>
    <n v="29.399000000000001"/>
    <n v="30.818000000000001"/>
    <n v="22.253999999999998"/>
    <n v="26.389000000000003"/>
    <n v="44.323"/>
    <n v="20.52"/>
    <n v="29.518999999999998"/>
    <n v="32.783000000000001"/>
    <n v="19.312999999999999"/>
    <n v="0"/>
    <n v="27.321903225806452"/>
    <n v="1.3660951612903225"/>
  </r>
  <r>
    <n v="107"/>
    <x v="19"/>
    <s v="EVCS-270007"/>
    <x v="87"/>
    <s v="ETO"/>
    <s v="Public-Paid"/>
    <s v="3.3KW"/>
    <s v="OCPP"/>
    <n v="3"/>
    <x v="2"/>
    <n v="15.626000000000001"/>
    <n v="5.024"/>
    <n v="15.450000000000001"/>
    <n v="6.819"/>
    <n v="13.997"/>
    <n v="7.4749999999999996"/>
    <n v="11.707000000000001"/>
    <n v="7.8879999999999999"/>
    <n v="6.5250000000000004"/>
    <n v="6.2789999999999999"/>
    <n v="18.456"/>
    <n v="11.54"/>
    <n v="16.603999999999999"/>
    <n v="0"/>
    <n v="8.4980000000000011"/>
    <n v="11.006"/>
    <n v="5.6210000000000004"/>
    <n v="14.436"/>
    <n v="7.3289999999999997"/>
    <n v="8.61"/>
    <n v="0"/>
    <n v="0"/>
    <n v="5.8"/>
    <n v="0"/>
    <n v="4.5940000000000003"/>
    <n v="0"/>
    <n v="0"/>
    <n v="0"/>
    <n v="9.2029999999999994"/>
    <n v="6.6630000000000003"/>
    <n v="0"/>
    <n v="7.2629032258064532"/>
    <n v="2.4209677419354843"/>
  </r>
  <r>
    <n v="108"/>
    <x v="20"/>
    <s v="EVCS-100003"/>
    <x v="88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9"/>
    <x v="21"/>
    <s v="EVCS-080001"/>
    <x v="89"/>
    <s v="Trinity"/>
    <s v="Public-Paid"/>
    <s v="15KW"/>
    <s v="DC Charger"/>
    <n v="1"/>
    <x v="0"/>
    <n v="0"/>
    <n v="0"/>
    <n v="0"/>
    <n v="0"/>
    <n v="10.62"/>
    <n v="0"/>
    <n v="0"/>
    <n v="8.41"/>
    <n v="0"/>
    <n v="0"/>
    <n v="0"/>
    <n v="0"/>
    <n v="0"/>
    <n v="0"/>
    <n v="0"/>
    <n v="0"/>
    <n v="5.629999999999999"/>
    <n v="0"/>
    <n v="0"/>
    <n v="0"/>
    <n v="0"/>
    <n v="0"/>
    <n v="0"/>
    <n v="0"/>
    <n v="0"/>
    <n v="0"/>
    <n v="0"/>
    <n v="0"/>
    <n v="0"/>
    <n v="0"/>
    <n v="0"/>
    <n v="0.79548387096774198"/>
    <n v="0.79548387096774198"/>
  </r>
  <r>
    <n v="110"/>
    <x v="22"/>
    <s v="EVCS-270008"/>
    <x v="9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"/>
    <x v="23"/>
    <s v="EVCS-180001"/>
    <x v="9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"/>
    <x v="24"/>
    <s v="EVCS-180002"/>
    <x v="9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25"/>
    <m/>
    <x v="93"/>
    <s v="Trinity"/>
    <s v="Public-Paid"/>
    <s v="15KW"/>
    <s v="DC Charger"/>
    <n v="1"/>
    <x v="0"/>
    <n v="16.54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409999999999993"/>
    <n v="0"/>
    <n v="0"/>
    <n v="0"/>
    <n v="0"/>
    <n v="18.91"/>
    <n v="0"/>
    <n v="0.09"/>
    <n v="1.4158064516129032"/>
    <n v="1.4158064516129032"/>
  </r>
  <r>
    <n v="114"/>
    <x v="26"/>
    <m/>
    <x v="94"/>
    <s v="Trinity"/>
    <s v="Public-Paid"/>
    <s v="15KW"/>
    <s v="DC Charger"/>
    <n v="2"/>
    <x v="3"/>
    <n v="14.790000000000001"/>
    <n v="43.93"/>
    <n v="0"/>
    <n v="35.909999999999997"/>
    <n v="12.09"/>
    <n v="14.660000000000002"/>
    <n v="8.6300000000000008"/>
    <n v="6.15"/>
    <n v="0"/>
    <n v="7.92"/>
    <n v="0"/>
    <n v="0"/>
    <n v="0"/>
    <n v="0"/>
    <n v="11.27"/>
    <n v="0"/>
    <n v="36.590000000000003"/>
    <n v="9.89"/>
    <n v="0"/>
    <n v="7.18"/>
    <n v="11.29"/>
    <n v="44.339999999999996"/>
    <n v="0"/>
    <n v="10.180000000000001"/>
    <n v="21.659999999999997"/>
    <n v="0.25"/>
    <n v="5.8400000000000007"/>
    <n v="33.160000000000004"/>
    <n v="0"/>
    <n v="0"/>
    <n v="0"/>
    <n v="10.83"/>
    <n v="5.415"/>
  </r>
  <r>
    <n v="115"/>
    <x v="27"/>
    <s v="EVCS-190001"/>
    <x v="95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"/>
    <x v="28"/>
    <s v="EVCS-190002"/>
    <x v="9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"/>
    <x v="29"/>
    <s v="EVCS-270010"/>
    <x v="9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8"/>
    <x v="30"/>
    <s v="EVCS-270012"/>
    <x v="98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"/>
    <x v="31"/>
    <s v="EVCS-240004"/>
    <x v="99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0"/>
    <x v="32"/>
    <s v="EVCS-230001"/>
    <x v="10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"/>
    <x v="33"/>
    <s v="EVCS-320002"/>
    <x v="101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2"/>
    <x v="34"/>
    <s v="EVCS-220001"/>
    <x v="10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35"/>
    <s v="EVCS-240003"/>
    <x v="103"/>
    <s v="SOU"/>
    <s v="Public-Paid"/>
    <s v="3.3KW"/>
    <s v="OCPP"/>
    <n v="40"/>
    <x v="2"/>
    <n v="355.43200000000002"/>
    <n v="370.90699999999993"/>
    <n v="141.86799999999997"/>
    <n v="155.51300000000001"/>
    <n v="308.14199999999994"/>
    <n v="230.566"/>
    <n v="367.90900000000005"/>
    <n v="347.125"/>
    <n v="380.59699999999998"/>
    <n v="303.41099999999994"/>
    <n v="108.74999999999999"/>
    <n v="311.06499999999988"/>
    <n v="220.62899999999988"/>
    <n v="405.0949999999998"/>
    <n v="622.40499999999963"/>
    <n v="619.7109999999999"/>
    <n v="363.90300000000002"/>
    <n v="118.38299999999998"/>
    <n v="364.98600000000016"/>
    <n v="324.49899999999997"/>
    <n v="310.79200000000009"/>
    <n v="391.32399999999984"/>
    <n v="588.86599999999999"/>
    <n v="406.79099999999994"/>
    <n v="105.53999999999999"/>
    <n v="336.31399999999996"/>
    <n v="346.66999999999979"/>
    <n v="315.94100000000003"/>
    <n v="342.6110000000001"/>
    <n v="450.25199999999995"/>
    <n v="410.82099999999997"/>
    <n v="336.34896774193555"/>
    <n v="8.4087241935483892"/>
  </r>
  <r>
    <n v="124"/>
    <x v="36"/>
    <m/>
    <x v="104"/>
    <s v="Trinity"/>
    <s v="Public-Paid"/>
    <s v="30KW"/>
    <s v="DC Charger"/>
    <n v="1"/>
    <x v="3"/>
    <n v="0"/>
    <n v="0"/>
    <n v="24.98"/>
    <n v="44.11"/>
    <n v="15.65"/>
    <n v="29.119999999999997"/>
    <n v="9.9600000000000009"/>
    <n v="33"/>
    <n v="27.03"/>
    <n v="11.389999999999999"/>
    <n v="9.0499999999999989"/>
    <n v="28.34"/>
    <n v="18.100000000000001"/>
    <n v="22.11"/>
    <n v="23.5"/>
    <n v="3.13"/>
    <n v="27.990000000000002"/>
    <n v="15.600000000000001"/>
    <n v="11.04"/>
    <n v="17.309999999999999"/>
    <n v="0.14000000000000001"/>
    <n v="0"/>
    <n v="23.09"/>
    <n v="22.03"/>
    <n v="26.21"/>
    <n v="9.98"/>
    <n v="6.44"/>
    <n v="10.48"/>
    <n v="10.23"/>
    <n v="33.14"/>
    <n v="0"/>
    <n v="16.553225806451614"/>
    <n v="16.553225806451614"/>
  </r>
  <r>
    <n v="125"/>
    <x v="37"/>
    <m/>
    <x v="105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x v="38"/>
    <s v="EVCS-090001"/>
    <x v="106"/>
    <s v="ETO"/>
    <s v="Public-Paid"/>
    <s v="3.3KW"/>
    <s v="OCPP"/>
    <n v="19"/>
    <x v="2"/>
    <n v="0"/>
    <n v="0"/>
    <n v="0"/>
    <n v="0"/>
    <n v="0"/>
    <n v="0"/>
    <n v="0"/>
    <n v="0"/>
    <n v="0"/>
    <n v="0"/>
    <n v="0"/>
    <n v="1.321"/>
    <n v="1.6139999999999999"/>
    <n v="1.3109999999999999"/>
    <n v="0"/>
    <n v="0.72299999999999998"/>
    <n v="0.53600000000000003"/>
    <n v="0.14199999999999999"/>
    <n v="0.63700000000000001"/>
    <n v="0.84299999999999997"/>
    <n v="0.82"/>
    <n v="0.77400000000000002"/>
    <n v="0.60099999999999998"/>
    <n v="0.51300000000000001"/>
    <n v="0.874"/>
    <n v="1.05"/>
    <n v="1.7389999999999999"/>
    <n v="1.627"/>
    <n v="0"/>
    <n v="0.68600000000000005"/>
    <n v="0.626"/>
    <n v="0.53022580645161299"/>
    <n v="2.7906621392190158E-2"/>
  </r>
  <r>
    <n v="127"/>
    <x v="39"/>
    <s v="EVCS-090003"/>
    <x v="107"/>
    <s v="Mahagun Hotel"/>
    <s v="Public-Paid"/>
    <s v="7.4KW"/>
    <s v="OCPP"/>
    <n v="2"/>
    <x v="0"/>
    <n v="0"/>
    <n v="39.497999999999998"/>
    <n v="0"/>
    <n v="0"/>
    <n v="29.495999999999999"/>
    <n v="30.722000000000001"/>
    <n v="0"/>
    <n v="0"/>
    <n v="0"/>
    <n v="36.649000000000001"/>
    <n v="0"/>
    <n v="30.099"/>
    <n v="0"/>
    <n v="0"/>
    <n v="0"/>
    <n v="45.727000000000004"/>
    <n v="0"/>
    <n v="0"/>
    <n v="0"/>
    <n v="38.853999999999999"/>
    <n v="0"/>
    <n v="0"/>
    <n v="39.100999999999999"/>
    <n v="39.692"/>
    <n v="0"/>
    <n v="0"/>
    <n v="38.968000000000004"/>
    <n v="3.7370000000000001"/>
    <n v="0"/>
    <n v="38.750999999999998"/>
    <n v="0"/>
    <n v="13.267548387096776"/>
    <n v="6.6337741935483878"/>
  </r>
  <r>
    <n v="128"/>
    <x v="40"/>
    <s v="EVCS-090005"/>
    <x v="108"/>
    <s v="Trinity"/>
    <s v="Public-Paid"/>
    <s v="3.3KW"/>
    <s v="OCPP"/>
    <n v="6"/>
    <x v="2"/>
    <n v="19.718"/>
    <n v="7.87"/>
    <n v="7.1310000000000002"/>
    <n v="11.059000000000001"/>
    <n v="13.044"/>
    <n v="8.1760000000000002"/>
    <n v="0"/>
    <n v="0"/>
    <n v="0"/>
    <n v="2.6920000000000002"/>
    <n v="10.872"/>
    <n v="13.084999999999997"/>
    <n v="18.081000000000003"/>
    <n v="7.0500000000000007"/>
    <n v="5.431"/>
    <n v="18.558"/>
    <n v="9.93"/>
    <n v="19.684999999999999"/>
    <n v="13.027999999999999"/>
    <n v="31.339000000000002"/>
    <n v="5.508"/>
    <n v="11.257"/>
    <n v="36.453000000000003"/>
    <n v="32.212999999999994"/>
    <n v="43.193000000000005"/>
    <n v="50.598999999999997"/>
    <n v="40.202999999999996"/>
    <n v="35.909999999999997"/>
    <n v="19.989000000000001"/>
    <n v="7.6379999999999999"/>
    <n v="13.321000000000002"/>
    <n v="16.549451612903223"/>
    <n v="2.7582419354838703"/>
  </r>
  <r>
    <n v="129"/>
    <x v="40"/>
    <s v="EVCS-090006"/>
    <x v="10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x v="40"/>
    <s v="EVCS-090007"/>
    <x v="110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"/>
    <x v="40"/>
    <s v="EVCS-090008"/>
    <x v="111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2"/>
    <x v="41"/>
    <s v="EVCS-090009"/>
    <x v="112"/>
    <s v="Trinity"/>
    <s v="Public-Paid"/>
    <s v="3.3KW"/>
    <s v="OCPP"/>
    <n v="15"/>
    <x v="1"/>
    <n v="209.14299999999994"/>
    <n v="200.04599999999999"/>
    <n v="170.38800000000001"/>
    <n v="194.64300000000003"/>
    <n v="212.36599999999999"/>
    <n v="205.04999999999998"/>
    <n v="225.41999999999993"/>
    <n v="222.38000000000002"/>
    <n v="235.68399999999997"/>
    <n v="232.15999999999997"/>
    <n v="228.63799999999992"/>
    <n v="224.42399999999998"/>
    <n v="193.02899999999997"/>
    <n v="125.41899999999998"/>
    <n v="54.402999999999992"/>
    <n v="120.01300000000001"/>
    <n v="199.55399999999997"/>
    <n v="216.57500000000002"/>
    <n v="230.41600000000003"/>
    <n v="207.94100000000003"/>
    <n v="219.39900000000006"/>
    <n v="310.79199999999992"/>
    <n v="301.54300000000006"/>
    <n v="295.57599999999996"/>
    <n v="209.24700000000004"/>
    <n v="300.14100000000002"/>
    <n v="267.06300000000005"/>
    <n v="227.34399999999997"/>
    <n v="286.17500000000007"/>
    <n v="298.90399999999988"/>
    <n v="222.38500000000005"/>
    <n v="220.84712903225804"/>
    <n v="14.72314193548387"/>
  </r>
  <r>
    <n v="133"/>
    <x v="41"/>
    <s v="EVCS-090009"/>
    <x v="113"/>
    <s v="Trinity"/>
    <s v="Public-Paid"/>
    <s v="12KW"/>
    <s v="DC Charger"/>
    <n v="1"/>
    <x v="1"/>
    <n v="2.97"/>
    <n v="0"/>
    <n v="0"/>
    <n v="0"/>
    <n v="0"/>
    <n v="0"/>
    <n v="0"/>
    <n v="0"/>
    <n v="0"/>
    <n v="0"/>
    <n v="10.8"/>
    <n v="14.309999999999999"/>
    <n v="0"/>
    <n v="0"/>
    <n v="0"/>
    <n v="0"/>
    <n v="20.060000000000002"/>
    <n v="7.07"/>
    <n v="0"/>
    <n v="11.18"/>
    <n v="25.41"/>
    <n v="18.25"/>
    <n v="0"/>
    <n v="0"/>
    <n v="0"/>
    <n v="0"/>
    <n v="0"/>
    <n v="10.39"/>
    <n v="8.43"/>
    <n v="0"/>
    <n v="4.75"/>
    <n v="4.3103225806451615"/>
    <n v="4.3103225806451615"/>
  </r>
  <r>
    <n v="134"/>
    <x v="42"/>
    <s v="EVCS-070004"/>
    <x v="114"/>
    <s v="ETO"/>
    <s v="Public-Paid"/>
    <s v="3.3KW"/>
    <s v="OCPP"/>
    <n v="5"/>
    <x v="2"/>
    <n v="20.291999999999998"/>
    <n v="17.094999999999999"/>
    <n v="13.744"/>
    <n v="23.109000000000002"/>
    <n v="17.582000000000001"/>
    <n v="12.49"/>
    <n v="23.746999999999996"/>
    <n v="6.8689999999999998"/>
    <n v="12.1"/>
    <n v="11.574999999999999"/>
    <n v="17.268000000000001"/>
    <n v="25.321000000000002"/>
    <n v="9.7670000000000012"/>
    <n v="9.7189999999999994"/>
    <n v="11.485999999999999"/>
    <n v="4.5869999999999997"/>
    <n v="1E-3"/>
    <n v="2.6989999999999994"/>
    <n v="0"/>
    <n v="0"/>
    <n v="0"/>
    <n v="0"/>
    <n v="0"/>
    <n v="0"/>
    <n v="0"/>
    <n v="0"/>
    <n v="0"/>
    <n v="0"/>
    <n v="0"/>
    <n v="0"/>
    <n v="0"/>
    <n v="7.7242258064516118"/>
    <n v="1.5448451612903225"/>
  </r>
  <r>
    <n v="135"/>
    <x v="42"/>
    <s v="EVCS-070007"/>
    <x v="115"/>
    <s v="ETO"/>
    <s v="Public-Paid"/>
    <s v="3.3KW"/>
    <s v="OCPP"/>
    <n v="16"/>
    <x v="2"/>
    <n v="106.50700000000002"/>
    <n v="96.346999999999994"/>
    <n v="154.38700000000003"/>
    <n v="151.50399999999999"/>
    <n v="155.74900000000002"/>
    <n v="194.78099999999992"/>
    <n v="185.399"/>
    <n v="201.60799999999998"/>
    <n v="130.53399999999999"/>
    <n v="150.55399999999997"/>
    <n v="170.16399999999999"/>
    <n v="133.80199999999999"/>
    <n v="92.98599999999999"/>
    <n v="29.843999999999998"/>
    <n v="59.981999999999999"/>
    <n v="133.25000000000003"/>
    <n v="126.96399999999998"/>
    <n v="190.47900000000004"/>
    <n v="131.03700000000001"/>
    <n v="135.13200000000003"/>
    <n v="130.14099999999999"/>
    <n v="146.51900000000001"/>
    <n v="126.85399999999998"/>
    <n v="130.53099999999998"/>
    <n v="129.12700000000001"/>
    <n v="126.557"/>
    <n v="136.58699999999999"/>
    <n v="123.53000000000002"/>
    <n v="130.99600000000001"/>
    <n v="125.05599999999998"/>
    <n v="125.07000000000001"/>
    <n v="134.25735483870966"/>
    <n v="8.3910846774193537"/>
  </r>
  <r>
    <n v="136"/>
    <x v="42"/>
    <s v="EVCS-070008"/>
    <x v="116"/>
    <s v="ETO"/>
    <s v="Public-Paid"/>
    <s v="3.3KW"/>
    <s v="OCPP"/>
    <n v="1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"/>
    <x v="42"/>
    <s v="EVCS-070009"/>
    <x v="117"/>
    <s v="ETO"/>
    <s v="Public-Paid"/>
    <s v="3.3KW"/>
    <s v="OCPP"/>
    <n v="13"/>
    <x v="2"/>
    <n v="183.38499999999999"/>
    <n v="187.95699999999999"/>
    <n v="168.64899999999997"/>
    <n v="196.22500000000002"/>
    <n v="72.358000000000004"/>
    <n v="175.631"/>
    <n v="172.613"/>
    <n v="178.03699999999998"/>
    <n v="54.813000000000002"/>
    <n v="94.265000000000001"/>
    <n v="109.05800000000002"/>
    <n v="123.36499999999997"/>
    <n v="96.84899999999999"/>
    <n v="30.972000000000005"/>
    <n v="96.409000000000006"/>
    <n v="34.536000000000001"/>
    <n v="76.283999999999992"/>
    <n v="78.655000000000015"/>
    <n v="124.94899999999998"/>
    <n v="163.51599999999999"/>
    <n v="166.35900000000004"/>
    <n v="179.28"/>
    <n v="139.91900000000001"/>
    <n v="118.254"/>
    <n v="181.06099999999995"/>
    <n v="115.24799999999999"/>
    <n v="168.309"/>
    <n v="142.77099999999996"/>
    <n v="174.96300000000002"/>
    <n v="99.734000000000023"/>
    <n v="116.30799999999999"/>
    <n v="129.70103225806454"/>
    <n v="9.9770024813895795"/>
  </r>
  <r>
    <n v="138"/>
    <x v="42"/>
    <s v="EVCS-070065"/>
    <x v="118"/>
    <s v="Trinity"/>
    <s v="Public-Paid"/>
    <s v="3.3KW"/>
    <s v="OCPP"/>
    <n v="15"/>
    <x v="1"/>
    <n v="34.037000000000006"/>
    <n v="27.759"/>
    <n v="17.460999999999999"/>
    <n v="64.025999999999996"/>
    <n v="173.21700000000001"/>
    <n v="58.898999999999994"/>
    <n v="5.8849999999999998"/>
    <n v="102.229"/>
    <n v="112.25000000000001"/>
    <n v="399.68299999999994"/>
    <n v="179.78700000000001"/>
    <n v="168.10700000000003"/>
    <n v="276.85299999999995"/>
    <n v="171.92300000000003"/>
    <n v="70.459000000000003"/>
    <n v="228.92000000000002"/>
    <n v="225.732"/>
    <n v="374.63699999999994"/>
    <n v="253.66500000000008"/>
    <n v="256.35099999999989"/>
    <n v="301.91499999999996"/>
    <n v="269.40000000000009"/>
    <n v="255.30999999999997"/>
    <n v="233.47099999999998"/>
    <n v="305.74400000000009"/>
    <n v="217.45900000000003"/>
    <n v="306.20299999999997"/>
    <n v="319.471"/>
    <n v="340.97100000000012"/>
    <n v="346.94399999999996"/>
    <n v="318.25599999999997"/>
    <n v="207.00077419354835"/>
    <n v="13.800051612903223"/>
  </r>
  <r>
    <n v="139"/>
    <x v="42"/>
    <s v="EVCS-070010"/>
    <x v="119"/>
    <s v="ETO"/>
    <s v="Public-Paid"/>
    <s v="3.3KW"/>
    <s v="OCPP"/>
    <n v="20"/>
    <x v="2"/>
    <n v="395.75800000000004"/>
    <n v="443.31700000000001"/>
    <n v="462.90000000000009"/>
    <n v="452.76500000000004"/>
    <n v="465.178"/>
    <n v="603.59199999999987"/>
    <n v="588.7600000000001"/>
    <n v="508.26199999999983"/>
    <n v="443.58999999999958"/>
    <n v="245.07300000000004"/>
    <n v="354.53499999999997"/>
    <n v="396.47700000000003"/>
    <n v="317.97399999999999"/>
    <n v="303.05200000000002"/>
    <n v="186.35199999999998"/>
    <n v="253.84499999999997"/>
    <n v="261.59700000000004"/>
    <n v="282.28300000000007"/>
    <n v="293.24699999999996"/>
    <n v="247.78"/>
    <n v="265.94299999999998"/>
    <n v="298.87600000000003"/>
    <n v="257.64000000000004"/>
    <n v="240.03400000000002"/>
    <n v="286.60300000000001"/>
    <n v="306.17499999999995"/>
    <n v="287.25700000000001"/>
    <n v="247.07099999999997"/>
    <n v="292.57199999999995"/>
    <n v="244.09700000000004"/>
    <n v="216.77200000000002"/>
    <n v="337.07667741935478"/>
    <n v="16.85383387096774"/>
  </r>
  <r>
    <n v="140"/>
    <x v="42"/>
    <s v="EVCS-070066"/>
    <x v="120"/>
    <s v="ETO"/>
    <s v="Public-Paid"/>
    <s v="12KW"/>
    <s v="DC Charger"/>
    <n v="2"/>
    <x v="2"/>
    <n v="71.009999999999991"/>
    <n v="24.55"/>
    <n v="61.79"/>
    <n v="8.759999999999998"/>
    <n v="0.22"/>
    <n v="7.0000000000000007E-2"/>
    <n v="0"/>
    <n v="156.91999999999999"/>
    <n v="0"/>
    <n v="23.66"/>
    <n v="11.530000000000001"/>
    <n v="13.629999999999999"/>
    <n v="22.47"/>
    <n v="0"/>
    <n v="3.84"/>
    <n v="0"/>
    <n v="0"/>
    <n v="77.199999999999989"/>
    <n v="54.820000000000007"/>
    <n v="53.249999999999993"/>
    <n v="34.489999999999995"/>
    <n v="25"/>
    <n v="56.820000000000007"/>
    <n v="23.240000000000002"/>
    <n v="6.0000000000000005E-2"/>
    <n v="0.03"/>
    <n v="47.95"/>
    <n v="29.85"/>
    <n v="40.39"/>
    <n v="17.650000000000002"/>
    <n v="27.919999999999998"/>
    <n v="28.616774193548387"/>
    <n v="14.308387096774194"/>
  </r>
  <r>
    <n v="141"/>
    <x v="42"/>
    <s v="EVCS-070011"/>
    <x v="121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2"/>
    <x v="42"/>
    <s v="EVCS-070012"/>
    <x v="122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3"/>
    <x v="42"/>
    <s v="EVCS-070013"/>
    <x v="123"/>
    <s v="Trinity"/>
    <s v="Public-Paid"/>
    <s v="7.4KW"/>
    <s v="OCPP"/>
    <n v="2"/>
    <x v="0"/>
    <n v="26.551000000000002"/>
    <n v="0"/>
    <n v="0"/>
    <n v="0"/>
    <n v="32.095999999999997"/>
    <n v="0"/>
    <n v="0"/>
    <n v="0"/>
    <n v="29.494"/>
    <n v="0"/>
    <n v="9.9580000000000002"/>
    <n v="0"/>
    <n v="0"/>
    <n v="0"/>
    <n v="28.257000000000001"/>
    <n v="0"/>
    <n v="0"/>
    <n v="0"/>
    <n v="0"/>
    <n v="0"/>
    <n v="0"/>
    <n v="0"/>
    <n v="0"/>
    <n v="0"/>
    <n v="0"/>
    <n v="36.951000000000001"/>
    <n v="0"/>
    <n v="20.306000000000001"/>
    <n v="0"/>
    <n v="0"/>
    <n v="41.732999999999997"/>
    <n v="7.2692258064516126"/>
    <n v="3.6346129032258063"/>
  </r>
  <r>
    <n v="144"/>
    <x v="42"/>
    <s v="EVCS-070014"/>
    <x v="124"/>
    <m/>
    <s v="Private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5"/>
    <x v="42"/>
    <s v="EVCS-070015"/>
    <x v="125"/>
    <s v="Trinity"/>
    <s v="Public-Free"/>
    <s v="3.3KW"/>
    <s v="OCPP"/>
    <n v="6"/>
    <x v="3"/>
    <n v="0"/>
    <n v="0"/>
    <n v="21.313000000000002"/>
    <n v="19.440000000000001"/>
    <n v="13.672000000000001"/>
    <n v="15.045000000000002"/>
    <n v="19.443999999999999"/>
    <n v="0"/>
    <n v="0"/>
    <n v="8.1949999999999985"/>
    <n v="7.9770000000000003"/>
    <n v="29.215"/>
    <n v="20.054000000000002"/>
    <n v="0"/>
    <n v="0"/>
    <n v="0"/>
    <n v="8.254999999999999"/>
    <n v="18.117000000000001"/>
    <n v="31.135999999999996"/>
    <n v="10.314"/>
    <n v="10.076999999999998"/>
    <n v="0"/>
    <n v="0"/>
    <n v="10.381"/>
    <n v="13.799999999999999"/>
    <n v="25.001999999999999"/>
    <n v="13.712999999999999"/>
    <n v="2.65"/>
    <n v="0"/>
    <n v="0"/>
    <n v="0"/>
    <n v="9.6064516129032249"/>
    <n v="1.6010752688172041"/>
  </r>
  <r>
    <n v="146"/>
    <x v="42"/>
    <s v="EVCS-070016"/>
    <x v="126"/>
    <s v="Trinity"/>
    <s v="Public-Paid"/>
    <s v="3.3KW"/>
    <s v="OCPP"/>
    <n v="20"/>
    <x v="1"/>
    <n v="206.44"/>
    <n v="142.95200000000003"/>
    <n v="175.48399999999998"/>
    <n v="167.26000000000005"/>
    <n v="136.48000000000005"/>
    <n v="182.39400000000006"/>
    <n v="184.154"/>
    <n v="216.59300000000002"/>
    <n v="219.76100000000005"/>
    <n v="184.31599999999997"/>
    <n v="152.33500000000006"/>
    <n v="178.06300000000002"/>
    <n v="200.42599999999999"/>
    <n v="125.56500000000003"/>
    <n v="90.263999999999996"/>
    <n v="138.136"/>
    <n v="135.64200000000005"/>
    <n v="168.54799999999997"/>
    <n v="219.11200000000002"/>
    <n v="181.12400000000005"/>
    <n v="156.65800000000002"/>
    <n v="170.70500000000007"/>
    <n v="157.49199999999999"/>
    <n v="178.333"/>
    <n v="164.07700000000003"/>
    <n v="160.27500000000003"/>
    <n v="188.40700000000001"/>
    <n v="173.63499999999996"/>
    <n v="188.70899999999997"/>
    <n v="179.42"/>
    <n v="127.592"/>
    <n v="169.36619354838709"/>
    <n v="8.468309677419354"/>
  </r>
  <r>
    <n v="147"/>
    <x v="42"/>
    <s v="EVCS-070068"/>
    <x v="127"/>
    <s v="Trinity"/>
    <s v="Public-Paid"/>
    <s v="7.4KW"/>
    <s v="OCPP"/>
    <n v="1"/>
    <x v="0"/>
    <n v="19.614999999999998"/>
    <n v="0"/>
    <n v="0"/>
    <n v="19.745000000000001"/>
    <n v="0"/>
    <n v="0"/>
    <n v="0"/>
    <n v="0"/>
    <n v="0"/>
    <n v="0"/>
    <n v="0"/>
    <n v="0"/>
    <n v="0"/>
    <n v="0"/>
    <n v="0"/>
    <n v="0"/>
    <n v="0"/>
    <n v="15.71"/>
    <n v="22.026"/>
    <n v="17.564"/>
    <n v="12.718999999999999"/>
    <n v="13.939"/>
    <n v="25.894999999999996"/>
    <n v="19.511999999999997"/>
    <n v="0"/>
    <n v="4.6609999999999996"/>
    <n v="5.6319999999999997"/>
    <n v="11.061"/>
    <n v="16.350999999999999"/>
    <n v="18.907"/>
    <n v="32.19"/>
    <n v="8.2428064516129034"/>
    <n v="8.2428064516129034"/>
  </r>
  <r>
    <n v="148"/>
    <x v="42"/>
    <s v="EVCS-070068"/>
    <x v="127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9"/>
    <x v="42"/>
    <s v="EVCS-070063"/>
    <x v="128"/>
    <s v="Trinity"/>
    <s v="Public-Paid"/>
    <s v="3.3KW"/>
    <s v="OCPP"/>
    <n v="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0"/>
    <x v="42"/>
    <s v="EVCS-070017"/>
    <x v="129"/>
    <s v="Trinity"/>
    <s v="Public-Paid"/>
    <s v="3.3KW"/>
    <s v="OCPP"/>
    <n v="15"/>
    <x v="1"/>
    <n v="266.2469999999999"/>
    <n v="249.85799999999998"/>
    <n v="296.08800000000014"/>
    <n v="290.74"/>
    <n v="263.95299999999992"/>
    <n v="302.18299999999994"/>
    <n v="293.80700000000002"/>
    <n v="247.70200000000003"/>
    <n v="252.20699999999997"/>
    <n v="247.69399999999999"/>
    <n v="252.09399999999991"/>
    <n v="228.78400000000002"/>
    <n v="277.84799999999996"/>
    <n v="163.91400000000002"/>
    <n v="297.19700000000006"/>
    <n v="295.3"/>
    <n v="338.601"/>
    <n v="271.053"/>
    <n v="305.20400000000006"/>
    <n v="299.22000000000003"/>
    <n v="241.928"/>
    <n v="280.60300000000001"/>
    <n v="263.48499999999996"/>
    <n v="249.40199999999996"/>
    <n v="274.12299999999999"/>
    <n v="232.22099999999995"/>
    <n v="252.85300000000001"/>
    <n v="229.05299999999997"/>
    <n v="259.75299999999999"/>
    <n v="225.98399999999995"/>
    <n v="136.05599999999998"/>
    <n v="260.81145161290317"/>
    <n v="17.387430107526878"/>
  </r>
  <r>
    <n v="151"/>
    <x v="42"/>
    <s v="EVCS-070067"/>
    <x v="130"/>
    <s v="Trinity"/>
    <s v="Public-Paid"/>
    <s v="12KW"/>
    <s v="DC Charger"/>
    <n v="1"/>
    <x v="1"/>
    <n v="8.26"/>
    <n v="6.63"/>
    <n v="5.4"/>
    <n v="0"/>
    <n v="4.05"/>
    <n v="0"/>
    <n v="0"/>
    <n v="15.079999999999998"/>
    <n v="0"/>
    <n v="0"/>
    <n v="0"/>
    <n v="6.56"/>
    <n v="0"/>
    <n v="13.63"/>
    <n v="13.05"/>
    <n v="6.81"/>
    <n v="5.95"/>
    <n v="0"/>
    <n v="0"/>
    <n v="0"/>
    <n v="0"/>
    <n v="0"/>
    <n v="6.14"/>
    <n v="10.43"/>
    <n v="0"/>
    <n v="0"/>
    <n v="19.619999999999997"/>
    <n v="4.62"/>
    <n v="18.43"/>
    <n v="7.14"/>
    <n v="8.9700000000000006"/>
    <n v="5.1861290322580649"/>
    <n v="5.1861290322580649"/>
  </r>
  <r>
    <n v="152"/>
    <x v="42"/>
    <s v="EVCS-070020"/>
    <x v="131"/>
    <s v="Trinity"/>
    <s v="Public-Paid"/>
    <s v="3.3KW"/>
    <s v="OCPP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350000000000001"/>
    <n v="9.7903225806451624E-2"/>
    <n v="2.4475806451612906E-2"/>
  </r>
  <r>
    <n v="153"/>
    <x v="42"/>
    <s v="EVCS-070020"/>
    <x v="131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4"/>
    <x v="42"/>
    <s v="EVCS-070002"/>
    <x v="132"/>
    <s v="BYPL MCD Parking"/>
    <s v="Public-Paid"/>
    <s v="3.3KW"/>
    <s v="OCPP"/>
    <n v="2"/>
    <x v="0"/>
    <n v="0"/>
    <n v="0"/>
    <n v="0"/>
    <n v="0"/>
    <n v="10.311999999999999"/>
    <n v="10.349"/>
    <n v="3.9180000000000001"/>
    <n v="14.217000000000001"/>
    <n v="10.975999999999999"/>
    <n v="0"/>
    <n v="8.988999999999999"/>
    <n v="19.329000000000001"/>
    <n v="31.138999999999996"/>
    <n v="9.3089999999999993"/>
    <n v="3.3010000000000002"/>
    <n v="0.53800000000000003"/>
    <n v="8.4169999999999998"/>
    <n v="19.407"/>
    <n v="7.7080000000000002"/>
    <n v="18.853000000000002"/>
    <n v="20.476000000000003"/>
    <n v="12.509"/>
    <n v="17.352"/>
    <n v="6.4710000000000001"/>
    <n v="15.561"/>
    <n v="15.000999999999999"/>
    <n v="14.332000000000001"/>
    <n v="11.713000000000001"/>
    <n v="14.170999999999999"/>
    <n v="11.733999999999998"/>
    <n v="0"/>
    <n v="10.196193548387097"/>
    <n v="5.0980967741935483"/>
  </r>
  <r>
    <n v="155"/>
    <x v="42"/>
    <s v="EVCS-070022"/>
    <x v="133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6"/>
    <x v="42"/>
    <s v="EVCS-070023"/>
    <x v="13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7"/>
    <x v="42"/>
    <s v="EVCS-070023"/>
    <x v="134"/>
    <s v="BYPL MCD Parking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8"/>
    <x v="42"/>
    <s v="EVCS-070025"/>
    <x v="13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9"/>
    <x v="42"/>
    <s v="EVCS-070042"/>
    <x v="136"/>
    <s v="BYPL MCD Parking"/>
    <s v="Public-Paid"/>
    <s v="3.3KW"/>
    <s v="OCPP"/>
    <n v="3"/>
    <x v="0"/>
    <n v="24.974"/>
    <n v="20.609000000000002"/>
    <n v="2.8029999999999999"/>
    <n v="13.486000000000001"/>
    <n v="23.394000000000002"/>
    <n v="8.5120000000000005"/>
    <n v="29.606000000000002"/>
    <n v="13.329000000000001"/>
    <n v="18.727999999999998"/>
    <n v="7.3339999999999996"/>
    <n v="7.125"/>
    <n v="16.983000000000001"/>
    <n v="17.765999999999998"/>
    <n v="4.5229999999999997"/>
    <n v="9.1300000000000008"/>
    <n v="1.516"/>
    <n v="8.51"/>
    <n v="13.251000000000001"/>
    <n v="3.798"/>
    <n v="21.163"/>
    <n v="16.233000000000001"/>
    <n v="10.71"/>
    <n v="17.955000000000002"/>
    <n v="8.9939999999999998"/>
    <n v="12.335999999999999"/>
    <n v="19.361000000000001"/>
    <n v="15.516"/>
    <n v="13.353000000000002"/>
    <n v="18.627000000000002"/>
    <n v="21.286999999999999"/>
    <n v="8.8109999999999999"/>
    <n v="13.862032258064517"/>
    <n v="4.6206774193548386"/>
  </r>
  <r>
    <n v="160"/>
    <x v="42"/>
    <s v="EVCS-070049"/>
    <x v="13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1"/>
    <x v="42"/>
    <s v="EVCS-070054"/>
    <x v="13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2"/>
    <x v="42"/>
    <s v="EVCS-070055"/>
    <x v="139"/>
    <s v="ETO"/>
    <s v="Public-Paid"/>
    <s v="3.3KW"/>
    <s v="OCPP"/>
    <n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649999999999999"/>
    <n v="0"/>
    <n v="0"/>
    <n v="13.358000000000001"/>
    <n v="0"/>
    <n v="0"/>
    <n v="0"/>
    <n v="0"/>
    <n v="0"/>
    <n v="0"/>
    <n v="0.49751612903225806"/>
    <n v="0.12437903225806451"/>
  </r>
  <r>
    <n v="163"/>
    <x v="42"/>
    <s v="EVCS-070056"/>
    <x v="140"/>
    <s v="Trinity"/>
    <s v="Public-Paid"/>
    <s v="3.3KW"/>
    <s v="OCPP"/>
    <n v="15"/>
    <x v="1"/>
    <n v="75.018000000000001"/>
    <n v="64.668000000000006"/>
    <n v="67.715000000000003"/>
    <n v="93.936999999999998"/>
    <n v="79.688000000000002"/>
    <n v="69.666999999999987"/>
    <n v="56.108999999999995"/>
    <n v="40.056999999999995"/>
    <n v="50.940999999999995"/>
    <n v="70.996999999999986"/>
    <n v="49.485999999999997"/>
    <n v="75.613"/>
    <n v="86.602000000000004"/>
    <n v="50.449000000000005"/>
    <n v="35.311000000000007"/>
    <n v="73.879000000000005"/>
    <n v="65.507999999999996"/>
    <n v="102.21500000000002"/>
    <n v="77.729000000000013"/>
    <n v="74.475000000000009"/>
    <n v="95.492000000000019"/>
    <n v="113.873"/>
    <n v="71.924000000000007"/>
    <n v="99.397999999999996"/>
    <n v="84.259"/>
    <n v="97.575999999999979"/>
    <n v="115.108"/>
    <n v="94.961000000000013"/>
    <n v="89.61999999999999"/>
    <n v="136.614"/>
    <n v="80.774000000000001"/>
    <n v="78.698806451612896"/>
    <n v="5.246587096774193"/>
  </r>
  <r>
    <n v="164"/>
    <x v="42"/>
    <s v="EVCS-070069"/>
    <x v="141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5"/>
    <x v="42"/>
    <s v="EVCS-070057"/>
    <x v="142"/>
    <s v="BRPL MCD Parking"/>
    <s v="Public-Free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7"/>
    <n v="12.239000000000001"/>
    <n v="6.9149999999999991"/>
    <n v="0"/>
    <n v="0"/>
    <n v="6.915"/>
    <n v="10.45"/>
    <n v="6.63"/>
    <n v="9.8810000000000002"/>
    <n v="0"/>
    <n v="11.345000000000001"/>
    <n v="0"/>
    <n v="0"/>
    <n v="2.2466129032258069"/>
    <n v="1.1233064516129034"/>
  </r>
  <r>
    <n v="166"/>
    <x v="42"/>
    <s v="EVCS-070058"/>
    <x v="143"/>
    <s v="Sold"/>
    <s v="Public-Free"/>
    <s v="3.3KW"/>
    <s v="OCPP"/>
    <n v="2"/>
    <x v="3"/>
    <n v="0"/>
    <n v="0"/>
    <n v="8.7010000000000005"/>
    <n v="11.433"/>
    <n v="6.3810000000000002"/>
    <n v="0.879"/>
    <n v="10.548"/>
    <n v="0"/>
    <n v="0"/>
    <n v="15.619"/>
    <n v="6.891"/>
    <n v="0"/>
    <n v="0"/>
    <n v="0"/>
    <n v="0"/>
    <n v="0"/>
    <n v="15.364000000000001"/>
    <n v="6.7469999999999999"/>
    <n v="0"/>
    <n v="6.3620000000000001"/>
    <n v="0"/>
    <n v="0"/>
    <n v="0"/>
    <n v="25.43"/>
    <n v="0"/>
    <n v="4.1790000000000003"/>
    <n v="7.2370000000000001"/>
    <n v="6.4429999999999996"/>
    <n v="0"/>
    <n v="0"/>
    <n v="0"/>
    <n v="4.2649677419354841"/>
    <n v="2.1324838709677421"/>
  </r>
  <r>
    <n v="167"/>
    <x v="42"/>
    <s v="EVCS-070059"/>
    <x v="144"/>
    <s v="BRPL MCD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8"/>
    <x v="42"/>
    <s v="EVCS-070060"/>
    <x v="145"/>
    <s v="Sold"/>
    <s v="Public-Free"/>
    <s v="3.3KW"/>
    <s v="OCPP"/>
    <n v="2"/>
    <x v="3"/>
    <n v="0"/>
    <n v="0"/>
    <n v="0"/>
    <n v="0"/>
    <n v="0"/>
    <n v="0"/>
    <n v="7.3889999999999993"/>
    <n v="0"/>
    <n v="0"/>
    <n v="0"/>
    <n v="0"/>
    <n v="0"/>
    <n v="4.4870000000000001"/>
    <n v="0"/>
    <n v="0"/>
    <n v="0"/>
    <n v="0"/>
    <n v="0"/>
    <n v="0"/>
    <n v="0"/>
    <n v="5.9770000000000003"/>
    <n v="0"/>
    <n v="0"/>
    <n v="0"/>
    <n v="0"/>
    <n v="0"/>
    <n v="0"/>
    <n v="4.7719999999999994"/>
    <n v="0"/>
    <n v="0"/>
    <n v="0"/>
    <n v="0.72983870967741937"/>
    <n v="0.36491935483870969"/>
  </r>
  <r>
    <n v="169"/>
    <x v="42"/>
    <s v="EVCS-070061"/>
    <x v="146"/>
    <s v="BSES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0"/>
    <x v="42"/>
    <s v="EVCS-070070"/>
    <x v="147"/>
    <s v="BSES Parking"/>
    <s v="Public-Free"/>
    <s v="3.3KW"/>
    <s v="OCPP"/>
    <n v="2"/>
    <x v="3"/>
    <n v="0"/>
    <n v="0"/>
    <n v="9"/>
    <n v="6.3879999999999999"/>
    <n v="8.36"/>
    <n v="9.4879999999999995"/>
    <n v="8.3170000000000002"/>
    <n v="0"/>
    <n v="0"/>
    <n v="9.6959999999999997"/>
    <n v="7.0140000000000002"/>
    <n v="0"/>
    <n v="8.1489999999999991"/>
    <n v="0"/>
    <n v="0"/>
    <n v="0"/>
    <n v="13.036"/>
    <n v="3.0329999999999999"/>
    <n v="9.3879999999999999"/>
    <n v="6.899"/>
    <n v="4.6180000000000003"/>
    <n v="0"/>
    <n v="3.601"/>
    <n v="4.2729999999999997"/>
    <n v="8.4209999999999994"/>
    <n v="6.8449999999999998"/>
    <n v="5.2709999999999999"/>
    <n v="9.3469999999999995"/>
    <n v="0"/>
    <n v="0"/>
    <n v="0"/>
    <n v="4.5530322580645155"/>
    <n v="2.2765161290322578"/>
  </r>
  <r>
    <n v="171"/>
    <x v="42"/>
    <s v="EVCS-070062"/>
    <x v="148"/>
    <s v="Trinity"/>
    <s v="Public-Paid"/>
    <s v="3.3KW"/>
    <s v="OCPP"/>
    <n v="15"/>
    <x v="1"/>
    <n v="122.55900000000003"/>
    <n v="118.13500000000001"/>
    <n v="137.44499999999996"/>
    <n v="178.71700000000001"/>
    <n v="180.608"/>
    <n v="170.31099999999998"/>
    <n v="198.42"/>
    <n v="190.32600000000005"/>
    <n v="183.38099999999994"/>
    <n v="189.70499999999998"/>
    <n v="193.17199999999997"/>
    <n v="163.33899999999997"/>
    <n v="204.23500000000004"/>
    <n v="113.16100000000002"/>
    <n v="96.471000000000004"/>
    <n v="128.27700000000002"/>
    <n v="158.61599999999999"/>
    <n v="0"/>
    <n v="165.892"/>
    <n v="168.648"/>
    <n v="161.721"/>
    <n v="163.88200000000001"/>
    <n v="142.155"/>
    <n v="177.143"/>
    <n v="153.57800000000003"/>
    <n v="173.30700000000002"/>
    <n v="155.517"/>
    <n v="159.30799999999996"/>
    <n v="137.62799999999999"/>
    <n v="199.76500000000001"/>
    <n v="141.01699999999997"/>
    <n v="155.69158064516128"/>
    <n v="10.379438709677419"/>
  </r>
  <r>
    <n v="172"/>
    <x v="42"/>
    <s v="EVCS-070064"/>
    <x v="149"/>
    <s v="Trinity"/>
    <s v="Public-Paid"/>
    <s v="12KW"/>
    <s v="DC Charger"/>
    <n v="2"/>
    <x v="1"/>
    <n v="0"/>
    <n v="17.2"/>
    <n v="40.310000000000009"/>
    <n v="5.8999999999999995"/>
    <n v="0.08"/>
    <n v="0.02"/>
    <n v="6.0000000000000005E-2"/>
    <n v="0"/>
    <n v="0"/>
    <n v="0.02"/>
    <n v="0"/>
    <n v="0"/>
    <n v="0"/>
    <n v="0"/>
    <n v="0"/>
    <n v="0"/>
    <n v="0"/>
    <n v="161.59400000000002"/>
    <n v="0"/>
    <n v="0"/>
    <n v="0"/>
    <n v="0"/>
    <n v="0"/>
    <n v="0"/>
    <n v="0"/>
    <n v="17.32"/>
    <n v="18.14"/>
    <n v="24.959999999999997"/>
    <n v="18.489999999999998"/>
    <n v="18.581"/>
    <n v="0"/>
    <n v="10.408870967741937"/>
    <n v="5.2044354838709683"/>
  </r>
  <r>
    <n v="173"/>
    <x v="42"/>
    <m/>
    <x v="150"/>
    <s v="Trinity"/>
    <s v="Public-Paid"/>
    <s v="3.3 kW"/>
    <s v="OCPP"/>
    <n v="2"/>
    <x v="1"/>
    <n v="5.4030000000000005"/>
    <n v="15.491"/>
    <n v="5.2329999999999997"/>
    <n v="13.448"/>
    <n v="10.122000000000002"/>
    <n v="7.0109999999999992"/>
    <n v="21.141999999999996"/>
    <n v="22.133000000000003"/>
    <n v="12.784999999999998"/>
    <n v="27.785"/>
    <n v="20.399000000000001"/>
    <n v="18.923999999999999"/>
    <n v="17.719000000000001"/>
    <n v="0"/>
    <n v="21.96"/>
    <n v="24.677000000000003"/>
    <n v="14.640999999999998"/>
    <n v="9.2989999999999995"/>
    <n v="12.613999999999997"/>
    <n v="10.138999999999999"/>
    <n v="11.282"/>
    <n v="13.369999999999997"/>
    <n v="4.1690000000000005"/>
    <n v="0"/>
    <n v="14.542000000000002"/>
    <n v="0.57999999999999996"/>
    <n v="0"/>
    <n v="3.4910000000000001"/>
    <n v="0"/>
    <n v="0"/>
    <n v="0"/>
    <n v="10.914806451612899"/>
    <n v="5.4574032258064493"/>
  </r>
  <r>
    <n v="174"/>
    <x v="42"/>
    <m/>
    <x v="151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5"/>
    <x v="42"/>
    <m/>
    <x v="152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6"/>
    <x v="42"/>
    <m/>
    <x v="153"/>
    <s v="MCD"/>
    <s v="Public-Paid"/>
    <s v="3.3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7"/>
    <x v="42"/>
    <m/>
    <x v="154"/>
    <m/>
    <s v="Public-Paid"/>
    <s v="3.3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8"/>
    <x v="42"/>
    <m/>
    <x v="155"/>
    <s v="ETO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9"/>
    <x v="42"/>
    <m/>
    <x v="156"/>
    <s v="ETO"/>
    <s v="Public-Free"/>
    <s v="3.3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0"/>
    <x v="43"/>
    <s v="EVCS-100002"/>
    <x v="157"/>
    <s v="Flipkart"/>
    <s v="Public-Paid"/>
    <s v="3.3KW"/>
    <s v="OCPP"/>
    <n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1"/>
    <x v="43"/>
    <s v="EVCS-100001"/>
    <x v="158"/>
    <s v="Flipkart"/>
    <s v="Public-Paid"/>
    <s v="3.3KW"/>
    <s v="OCPP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">
  <r>
    <n v="1"/>
    <x v="0"/>
    <s v="EVCS-360003"/>
    <x v="0"/>
    <s v="Amazon"/>
    <s v="Public-Paid"/>
    <s v="3.3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s v="EVCS-360004"/>
    <x v="1"/>
    <s v="Amazon"/>
    <s v="Public-Paid"/>
    <s v="3.3KW"/>
    <s v="OCPP"/>
    <n v="9"/>
    <x v="0"/>
    <n v="200.511"/>
    <n v="172.29200000000003"/>
    <n v="152.613"/>
    <n v="117.61999999999996"/>
    <n v="219.34700000000007"/>
    <n v="176.17200000000003"/>
    <n v="167.63799999999998"/>
    <n v="123.54500000000002"/>
    <n v="172.78500000000003"/>
    <n v="195.48599999999996"/>
    <n v="150.316"/>
    <n v="152.50800000000001"/>
    <n v="123.556"/>
    <n v="160.29999999999995"/>
    <n v="140.81100000000001"/>
    <n v="146.00200000000001"/>
    <n v="160.68100000000004"/>
    <n v="135.14400000000001"/>
    <n v="130.66199999999998"/>
    <n v="154.51000000000002"/>
    <n v="156.911"/>
    <n v="135.74900000000002"/>
    <n v="125.53299999999999"/>
    <n v="157.79100000000003"/>
    <n v="128.47300000000004"/>
    <n v="164.80699999999999"/>
    <n v="161.26400000000001"/>
    <n v="184.46899999999999"/>
    <n v="155.982"/>
    <n v="17.331333333333333"/>
  </r>
  <r>
    <n v="3"/>
    <x v="0"/>
    <s v="EVCS-360005"/>
    <x v="2"/>
    <s v="Amazon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s v="EVCS-360014"/>
    <x v="3"/>
    <s v="ETO"/>
    <s v="Public-Paid"/>
    <s v="3.3KW"/>
    <s v="OCPP"/>
    <n v="8"/>
    <x v="1"/>
    <n v="186.995"/>
    <n v="111.688"/>
    <n v="19.862000000000002"/>
    <n v="190.78700000000001"/>
    <n v="104.73799999999999"/>
    <n v="99.575999999999993"/>
    <n v="141.24600000000001"/>
    <n v="127.49900000000001"/>
    <n v="122.49999999999999"/>
    <n v="132.57599999999999"/>
    <n v="102.44699999999999"/>
    <n v="109.501"/>
    <n v="137.13900000000001"/>
    <n v="88.872"/>
    <n v="129.31"/>
    <n v="69.572000000000003"/>
    <n v="132.51400000000001"/>
    <n v="53.865000000000002"/>
    <n v="76.734999999999999"/>
    <n v="0"/>
    <n v="111.44300000000001"/>
    <n v="0"/>
    <n v="0"/>
    <n v="0"/>
    <n v="0"/>
    <n v="0"/>
    <n v="0"/>
    <n v="0"/>
    <n v="80.316607142857137"/>
    <n v="10.039575892857142"/>
  </r>
  <r>
    <n v="5"/>
    <x v="0"/>
    <s v="EVCS-360017"/>
    <x v="4"/>
    <s v="Trinity"/>
    <s v="Public-Paid"/>
    <s v="3.3KW"/>
    <s v="OCPP"/>
    <n v="29"/>
    <x v="2"/>
    <n v="828.51699999999971"/>
    <n v="747.19200000000023"/>
    <n v="771.76899999999989"/>
    <n v="658.41500000000008"/>
    <n v="773.84100000000012"/>
    <n v="841.14999999999975"/>
    <n v="794.42299999999989"/>
    <n v="611.97900000000004"/>
    <n v="775.76499999999987"/>
    <n v="597.37699999999995"/>
    <n v="710.5029999999997"/>
    <n v="744.87300000000005"/>
    <n v="799.10400000000027"/>
    <n v="660.64699999999982"/>
    <n v="788.62300000000005"/>
    <n v="836.71699999999987"/>
    <n v="780.65900000000011"/>
    <n v="702.85900000000004"/>
    <n v="897.32300000000021"/>
    <n v="849.93599999999958"/>
    <n v="765.16099999999994"/>
    <n v="695.77800000000013"/>
    <n v="548.08899999999994"/>
    <n v="582.93399999999963"/>
    <n v="820.06200000000024"/>
    <n v="660.51800000000003"/>
    <n v="611.97"/>
    <n v="864.0930000000003"/>
    <n v="740.00989285714297"/>
    <n v="25.517582512315276"/>
  </r>
  <r>
    <n v="6"/>
    <x v="0"/>
    <s v="EVCS-360067"/>
    <x v="5"/>
    <s v="Trinity"/>
    <s v="Public-Paid"/>
    <s v="12KW"/>
    <s v="DC Charger"/>
    <n v="8"/>
    <x v="2"/>
    <n v="72.84"/>
    <n v="48.819999999999993"/>
    <n v="61.580000000000005"/>
    <n v="97.98"/>
    <n v="166.91"/>
    <n v="91.54000000000002"/>
    <n v="168.75000000000006"/>
    <n v="103.14999999999999"/>
    <n v="96.100999999999999"/>
    <n v="101.58999999999999"/>
    <n v="98.04"/>
    <n v="162.55100000000002"/>
    <n v="40.179999999999993"/>
    <n v="51.680000000000007"/>
    <n v="126.94000000000001"/>
    <n v="70.329999999999984"/>
    <n v="53.659999999999989"/>
    <n v="0"/>
    <n v="48.43"/>
    <n v="15.190000000000001"/>
    <n v="101.50999999999999"/>
    <n v="189.88000000000002"/>
    <n v="182.98"/>
    <n v="230.91999999999996"/>
    <n v="195.36999999999998"/>
    <n v="112.93999999999998"/>
    <n v="47.65"/>
    <n v="34.549999999999997"/>
    <n v="99.002214285714317"/>
    <n v="12.37527678571429"/>
  </r>
  <r>
    <n v="7"/>
    <x v="0"/>
    <s v="EVCS-360019"/>
    <x v="6"/>
    <s v="Trinity"/>
    <s v="Public-Paid"/>
    <s v="3.3KW"/>
    <s v="OCPP"/>
    <n v="6"/>
    <x v="2"/>
    <n v="40.122999999999998"/>
    <n v="28.149000000000001"/>
    <n v="65.564000000000007"/>
    <n v="42.204999999999998"/>
    <n v="39.181000000000004"/>
    <n v="37.518999999999998"/>
    <n v="43.953000000000003"/>
    <n v="53.222000000000008"/>
    <n v="35.83"/>
    <n v="50.945"/>
    <n v="30.726999999999997"/>
    <n v="48.045999999999999"/>
    <n v="25.391999999999999"/>
    <n v="48.476999999999997"/>
    <n v="44.738"/>
    <n v="34.420999999999999"/>
    <n v="39.428000000000004"/>
    <n v="31.486000000000001"/>
    <n v="49.628"/>
    <n v="28.954999999999998"/>
    <n v="52.004999999999995"/>
    <n v="49.672999999999995"/>
    <n v="56.550999999999995"/>
    <n v="43.165000000000006"/>
    <n v="32.484999999999999"/>
    <n v="52.543000000000006"/>
    <n v="47.693999999999996"/>
    <n v="51.112000000000002"/>
    <n v="42.972035714285717"/>
    <n v="7.1620059523809525"/>
  </r>
  <r>
    <n v="8"/>
    <x v="0"/>
    <s v="EVCS-360020"/>
    <x v="7"/>
    <s v="ETO"/>
    <s v="Public-Paid"/>
    <s v="3.3KW"/>
    <s v="OCPP"/>
    <n v="3"/>
    <x v="1"/>
    <n v="92.987000000000023"/>
    <n v="105.92900000000002"/>
    <n v="109.657"/>
    <n v="51.290000000000006"/>
    <n v="95.896999999999991"/>
    <n v="83.695000000000007"/>
    <n v="99.876999999999995"/>
    <n v="111.35499999999998"/>
    <n v="121.06600000000002"/>
    <n v="116.178"/>
    <n v="102.43200000000002"/>
    <n v="121.53800000000001"/>
    <n v="123.21399999999998"/>
    <n v="71.962000000000003"/>
    <n v="95.882000000000005"/>
    <n v="107.59799999999998"/>
    <n v="90.082999999999984"/>
    <n v="94.554000000000002"/>
    <n v="64.567000000000007"/>
    <n v="86.457999999999998"/>
    <n v="119.02700000000002"/>
    <n v="76.736000000000004"/>
    <n v="92.053000000000011"/>
    <n v="123.77899999999998"/>
    <n v="141.87099999999998"/>
    <n v="100.759"/>
    <n v="112.09100000000001"/>
    <n v="106.89500000000001"/>
    <n v="100.69392857142857"/>
    <n v="33.564642857142857"/>
  </r>
  <r>
    <n v="9"/>
    <x v="0"/>
    <s v="EVCS-360028"/>
    <x v="8"/>
    <s v="Trinity"/>
    <s v="Public-Free"/>
    <s v="3.3KW"/>
    <s v="OCPP"/>
    <n v="1"/>
    <x v="3"/>
    <n v="2.7440000000000002"/>
    <n v="0"/>
    <n v="0"/>
    <n v="0"/>
    <n v="0"/>
    <n v="3.39"/>
    <n v="0"/>
    <n v="0"/>
    <n v="3.4140000000000001"/>
    <n v="0"/>
    <n v="0"/>
    <n v="0"/>
    <n v="0"/>
    <n v="0"/>
    <n v="0"/>
    <n v="2.38"/>
    <n v="0"/>
    <n v="0"/>
    <n v="0"/>
    <n v="0"/>
    <n v="0"/>
    <n v="0"/>
    <n v="0"/>
    <n v="0"/>
    <n v="0"/>
    <n v="3.3620000000000001"/>
    <n v="0"/>
    <n v="0"/>
    <n v="0.54607142857142865"/>
    <n v="0.54607142857142865"/>
  </r>
  <r>
    <n v="10"/>
    <x v="0"/>
    <s v="EVCS-360030"/>
    <x v="9"/>
    <s v="Trinity"/>
    <s v="Public-Paid"/>
    <s v="7.4KW"/>
    <s v="OCPP"/>
    <n v="2"/>
    <x v="0"/>
    <n v="0"/>
    <n v="0"/>
    <n v="0"/>
    <n v="1E-3"/>
    <n v="0"/>
    <n v="0"/>
    <n v="0"/>
    <n v="1E-3"/>
    <n v="0"/>
    <n v="0.20300000000000001"/>
    <n v="0"/>
    <n v="0"/>
    <n v="7.8550000000000004"/>
    <n v="0"/>
    <n v="6.5270000000000001"/>
    <n v="0"/>
    <n v="0"/>
    <n v="0"/>
    <n v="0"/>
    <n v="0"/>
    <n v="0"/>
    <n v="0"/>
    <n v="0"/>
    <n v="0"/>
    <n v="0"/>
    <n v="0"/>
    <n v="0"/>
    <n v="0"/>
    <n v="0.52096428571428566"/>
    <n v="0.26048214285714283"/>
  </r>
  <r>
    <n v="11"/>
    <x v="0"/>
    <s v="EVCS-360030"/>
    <x v="10"/>
    <s v="Trinity"/>
    <s v="Public-Paid"/>
    <s v="15KW"/>
    <s v="DC Charger"/>
    <n v="2"/>
    <x v="0"/>
    <n v="0"/>
    <n v="0"/>
    <n v="0"/>
    <n v="0"/>
    <n v="14.709999999999999"/>
    <n v="13.59"/>
    <n v="7.89"/>
    <n v="34.04"/>
    <n v="23.17"/>
    <n v="55.62"/>
    <n v="33.07"/>
    <n v="33.650000000000006"/>
    <n v="57.36"/>
    <n v="36.58"/>
    <n v="17.32"/>
    <n v="24.38"/>
    <n v="50.27"/>
    <n v="26.09"/>
    <n v="0"/>
    <n v="0"/>
    <n v="0"/>
    <n v="13.55"/>
    <n v="12.15"/>
    <n v="25.73"/>
    <n v="22.82"/>
    <n v="8.77"/>
    <n v="32.93"/>
    <n v="40.699999999999996"/>
    <n v="20.871071428571423"/>
    <n v="10.435535714285711"/>
  </r>
  <r>
    <n v="12"/>
    <x v="0"/>
    <s v="EVCS-360031"/>
    <x v="11"/>
    <s v="Trinity"/>
    <s v="Public-Paid"/>
    <s v="3.3KW"/>
    <s v="OCPP"/>
    <n v="7"/>
    <x v="2"/>
    <n v="70.302000000000007"/>
    <n v="59.512"/>
    <n v="90.622"/>
    <n v="53.400999999999989"/>
    <n v="89.561000000000007"/>
    <n v="72.927999999999997"/>
    <n v="105.84399999999999"/>
    <n v="85.263000000000005"/>
    <n v="30.684999999999999"/>
    <n v="124.102"/>
    <n v="59.761000000000003"/>
    <n v="92.455999999999989"/>
    <n v="66.977000000000004"/>
    <n v="84.965000000000003"/>
    <n v="71.36"/>
    <n v="54.313000000000002"/>
    <n v="74.516999999999996"/>
    <n v="83.971000000000004"/>
    <n v="89.620000000000019"/>
    <n v="141.34399999999999"/>
    <n v="83.004000000000005"/>
    <n v="153.08699999999999"/>
    <n v="101.95599999999999"/>
    <n v="102.964"/>
    <n v="101.75999999999999"/>
    <n v="82.701000000000008"/>
    <n v="79.884"/>
    <n v="126.39700000000001"/>
    <n v="86.902035714285702"/>
    <n v="12.414576530612242"/>
  </r>
  <r>
    <n v="13"/>
    <x v="0"/>
    <s v="EVCS-360066"/>
    <x v="12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0"/>
    <s v="EVCS-360070"/>
    <x v="13"/>
    <s v="Trinity"/>
    <s v="Public-Paid"/>
    <s v="3.3KW"/>
    <s v="OCPP"/>
    <n v="4"/>
    <x v="0"/>
    <n v="25.539000000000001"/>
    <n v="24.574000000000002"/>
    <n v="24.990000000000002"/>
    <n v="19.667999999999999"/>
    <n v="20.91"/>
    <n v="22.184999999999999"/>
    <n v="12.122999999999999"/>
    <n v="31.463999999999999"/>
    <n v="36.123000000000005"/>
    <n v="20.163"/>
    <n v="13.255000000000001"/>
    <n v="31.323"/>
    <n v="13.4"/>
    <n v="18.716999999999999"/>
    <n v="12.654999999999999"/>
    <n v="6.3719999999999999"/>
    <n v="11.557"/>
    <n v="22.249000000000002"/>
    <n v="11.991"/>
    <n v="32.843000000000004"/>
    <n v="39.104999999999997"/>
    <n v="74.112999999999985"/>
    <n v="36.803000000000004"/>
    <n v="26.610000000000003"/>
    <n v="17.91"/>
    <n v="14.576999999999998"/>
    <n v="29.338000000000001"/>
    <n v="36.463000000000001"/>
    <n v="24.536428571428566"/>
    <n v="6.1341071428571414"/>
  </r>
  <r>
    <n v="15"/>
    <x v="0"/>
    <s v="EVCS-360070"/>
    <x v="14"/>
    <s v="Trinity"/>
    <s v="Public-Paid"/>
    <s v="7.4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s v="EVCS-360034"/>
    <x v="15"/>
    <s v="Trinity"/>
    <s v="Public-Paid"/>
    <s v="3.3KW"/>
    <s v="OCPP"/>
    <n v="19"/>
    <x v="2"/>
    <n v="168.90200000000002"/>
    <n v="156.51399999999998"/>
    <n v="150.85700000000003"/>
    <n v="204.78200000000004"/>
    <n v="199.04400000000001"/>
    <n v="153.191"/>
    <n v="147.45900000000003"/>
    <n v="192.68199999999999"/>
    <n v="221.33700000000002"/>
    <n v="225.21300000000002"/>
    <n v="186.203"/>
    <n v="201"/>
    <n v="168.685"/>
    <n v="148.80100000000002"/>
    <n v="181.41400000000004"/>
    <n v="172.20100000000002"/>
    <n v="196.15499999999997"/>
    <n v="191.446"/>
    <n v="157.92099999999999"/>
    <n v="174.18500000000003"/>
    <n v="182.911"/>
    <n v="200.47000000000003"/>
    <n v="252.49199999999996"/>
    <n v="255.60700000000006"/>
    <n v="168.137"/>
    <n v="173.249"/>
    <n v="131.25399999999999"/>
    <n v="178.58199999999997"/>
    <n v="183.5962142857143"/>
    <n v="9.6629586466165414"/>
  </r>
  <r>
    <n v="17"/>
    <x v="0"/>
    <s v="EVCS-360069"/>
    <x v="16"/>
    <s v="Trinity"/>
    <s v="Public-Paid"/>
    <s v="15KW"/>
    <s v="DC Charger"/>
    <n v="1"/>
    <x v="2"/>
    <n v="63.129999999999995"/>
    <n v="84.06"/>
    <n v="48.349999999999994"/>
    <n v="99.249000000000009"/>
    <n v="56.419999999999995"/>
    <n v="74.39"/>
    <n v="62.140000000000008"/>
    <n v="68.439999999999984"/>
    <n v="0"/>
    <n v="27.631"/>
    <n v="89.519000000000005"/>
    <n v="75.19"/>
    <n v="67.930999999999997"/>
    <n v="73.129000000000019"/>
    <n v="102.19100000000002"/>
    <n v="57.069000000000003"/>
    <n v="59.949999999999996"/>
    <n v="77.819999999999993"/>
    <n v="69.02000000000001"/>
    <n v="60.81"/>
    <n v="74.170999999999992"/>
    <n v="79.259"/>
    <n v="75.819000000000003"/>
    <n v="82.7"/>
    <n v="31.799999999999997"/>
    <n v="46.480999999999995"/>
    <n v="55.5"/>
    <n v="36.199999999999996"/>
    <n v="64.227464285714291"/>
    <n v="64.227464285714291"/>
  </r>
  <r>
    <n v="18"/>
    <x v="0"/>
    <s v="EVCS-360069"/>
    <x v="16"/>
    <s v="Trinity"/>
    <s v="Public-Paid"/>
    <s v="12KW"/>
    <s v="DC Charger"/>
    <n v="2"/>
    <x v="2"/>
    <n v="20.619999999999997"/>
    <n v="25.340000000000003"/>
    <n v="18.170000000000002"/>
    <n v="48.18"/>
    <n v="38.450000000000003"/>
    <n v="54.140000000000008"/>
    <n v="75.220000000000013"/>
    <n v="25.389999999999993"/>
    <n v="35.14"/>
    <n v="32.82"/>
    <n v="63.85799999999999"/>
    <n v="35.6"/>
    <n v="51.379999999999995"/>
    <n v="17.28"/>
    <n v="46.790000000000006"/>
    <n v="38.15"/>
    <n v="22.330000000000002"/>
    <n v="49.819999999999993"/>
    <n v="40.94"/>
    <n v="40.64"/>
    <n v="32.930999999999997"/>
    <n v="35.519999999999996"/>
    <n v="0"/>
    <n v="12.54"/>
    <n v="49.54"/>
    <n v="67.819999999999993"/>
    <n v="43.54"/>
    <n v="50.379999999999995"/>
    <n v="38.304607142857144"/>
    <n v="19.152303571428572"/>
  </r>
  <r>
    <n v="19"/>
    <x v="0"/>
    <s v="EVCS-360058"/>
    <x v="17"/>
    <s v="Trinity"/>
    <s v="Public-Paid"/>
    <s v="3.3KW"/>
    <s v="OCPP"/>
    <n v="8"/>
    <x v="2"/>
    <n v="163.845"/>
    <n v="212.477"/>
    <n v="206.69499999999999"/>
    <n v="145.93699999999998"/>
    <n v="179.15299999999996"/>
    <n v="151.04799999999997"/>
    <n v="190.57499999999999"/>
    <n v="190.23700000000002"/>
    <n v="143.95099999999999"/>
    <n v="193.40899999999999"/>
    <n v="158.71799999999999"/>
    <n v="154.00799999999998"/>
    <n v="140.46499999999997"/>
    <n v="164.89500000000001"/>
    <n v="195.47200000000004"/>
    <n v="213.976"/>
    <n v="235.05799999999999"/>
    <n v="139.04400000000001"/>
    <n v="177.196"/>
    <n v="190.92700000000005"/>
    <n v="158.29300000000003"/>
    <n v="86.027999999999963"/>
    <n v="138.56700000000004"/>
    <n v="138.93700000000001"/>
    <n v="135.00399999999996"/>
    <n v="146.56"/>
    <n v="125.00899999999999"/>
    <n v="113.06600000000003"/>
    <n v="163.87678571428575"/>
    <n v="20.484598214285718"/>
  </r>
  <r>
    <n v="20"/>
    <x v="0"/>
    <s v="EVCS-360035"/>
    <x v="18"/>
    <s v="Trinity"/>
    <s v="Public-Paid"/>
    <s v="7.4KW"/>
    <s v="OCPP"/>
    <n v="1"/>
    <x v="0"/>
    <n v="5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857142857142857E-4"/>
    <n v="1.7857142857142857E-4"/>
  </r>
  <r>
    <n v="21"/>
    <x v="0"/>
    <s v="EVCS-360035"/>
    <x v="19"/>
    <s v="Trinity"/>
    <s v="Public-Paid"/>
    <s v="12KW"/>
    <s v="DC Charger"/>
    <n v="1"/>
    <x v="0"/>
    <n v="0"/>
    <n v="0"/>
    <n v="0"/>
    <n v="0"/>
    <n v="0"/>
    <n v="0"/>
    <n v="0.01"/>
    <n v="0"/>
    <n v="0"/>
    <n v="0"/>
    <n v="25.14"/>
    <n v="0"/>
    <n v="0"/>
    <n v="0.18"/>
    <n v="7.0000000000000007E-2"/>
    <n v="0.02"/>
    <n v="0.02"/>
    <n v="1.51"/>
    <n v="20.939999999999998"/>
    <n v="12.1"/>
    <n v="48.16"/>
    <n v="55.839999999999996"/>
    <n v="61.040000000000006"/>
    <n v="47.849999999999994"/>
    <n v="33.22"/>
    <n v="40.700000000000003"/>
    <n v="27.51"/>
    <n v="26.819000000000003"/>
    <n v="14.326035714285714"/>
    <n v="14.326035714285714"/>
  </r>
  <r>
    <n v="22"/>
    <x v="0"/>
    <s v="EVCS-360035"/>
    <x v="19"/>
    <s v="Trinity"/>
    <s v="Public-Paid"/>
    <s v="15KW"/>
    <s v="DC Charger"/>
    <n v="1"/>
    <x v="0"/>
    <n v="19.059999999999999"/>
    <n v="0"/>
    <n v="54.42"/>
    <n v="48.35"/>
    <n v="32.918999999999997"/>
    <n v="34.640999999999998"/>
    <n v="31.15"/>
    <n v="5.25"/>
    <n v="0"/>
    <n v="0"/>
    <n v="26.5"/>
    <n v="23.39"/>
    <n v="31.199999999999996"/>
    <n v="12.51"/>
    <n v="3.69"/>
    <n v="3.9590000000000001"/>
    <n v="26.861000000000001"/>
    <n v="25.17"/>
    <n v="14.04"/>
    <n v="34.42"/>
    <n v="18.05"/>
    <n v="0"/>
    <n v="0"/>
    <n v="0"/>
    <n v="0"/>
    <n v="0"/>
    <n v="0"/>
    <n v="14.51"/>
    <n v="16.431785714285716"/>
    <n v="16.431785714285716"/>
  </r>
  <r>
    <n v="23"/>
    <x v="0"/>
    <s v="EVCS-360035"/>
    <x v="19"/>
    <s v="Trinity"/>
    <s v="Public-Paid"/>
    <s v="60 kw"/>
    <s v="DC Charger"/>
    <n v="1"/>
    <x v="0"/>
    <n v="243.20200000000003"/>
    <n v="163.67600000000002"/>
    <n v="309.62200000000001"/>
    <n v="576.97200000000009"/>
    <n v="486.27200000000005"/>
    <n v="385.62599999999992"/>
    <n v="399.44799999999992"/>
    <n v="298.62200000000007"/>
    <n v="67.827999999999989"/>
    <n v="316.99999999999994"/>
    <n v="441.92400000000009"/>
    <n v="432.05200000000008"/>
    <n v="310.05"/>
    <n v="437.072"/>
    <n v="206.22599999999997"/>
    <n v="176.15"/>
    <n v="325.62600000000003"/>
    <n v="458.67600000000004"/>
    <n v="363.37599999999998"/>
    <n v="366.42400000000009"/>
    <n v="298.24799999999999"/>
    <n v="163.17399999999998"/>
    <n v="71.075999999999993"/>
    <n v="224.82600000000005"/>
    <n v="335.95399999999984"/>
    <n v="393.02599999999995"/>
    <n v="330.4"/>
    <n v="331.42599999999999"/>
    <n v="318.3562142857142"/>
    <n v="318.3562142857142"/>
  </r>
  <r>
    <n v="24"/>
    <x v="0"/>
    <s v="EVCS-360035"/>
    <x v="18"/>
    <s v="Trinity"/>
    <s v="Public-Paid"/>
    <s v="120KW"/>
    <s v="DC Charger"/>
    <n v="1"/>
    <x v="0"/>
    <n v="182.36999999999998"/>
    <n v="116.27"/>
    <n v="295.11999999999995"/>
    <n v="444.09000000000003"/>
    <n v="559.13999999999987"/>
    <n v="414.74000000000007"/>
    <n v="408.66"/>
    <n v="169.70999999999998"/>
    <n v="168.12"/>
    <n v="343.91999999999996"/>
    <n v="424.71"/>
    <n v="481.81000000000006"/>
    <n v="448.28000000000009"/>
    <n v="444.30000000000007"/>
    <n v="232.10000000000002"/>
    <n v="210.18"/>
    <n v="374.78999999999996"/>
    <n v="389.87"/>
    <n v="428.60999999999996"/>
    <n v="528.82000000000005"/>
    <n v="462.60000000000008"/>
    <n v="232.24"/>
    <n v="166.47"/>
    <n v="349.6400000000001"/>
    <n v="505.45"/>
    <n v="483.85"/>
    <n v="371.69999999999993"/>
    <n v="405.64"/>
    <n v="358.68571428571431"/>
    <n v="358.68571428571431"/>
  </r>
  <r>
    <n v="25"/>
    <x v="0"/>
    <s v="EVCS-360035"/>
    <x v="18"/>
    <s v="Trinity"/>
    <s v="Public-Paid"/>
    <s v="240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n v="6.4249999999999998"/>
    <n v="0"/>
    <n v="0"/>
    <n v="0"/>
    <n v="1.60625"/>
    <n v="1.60625"/>
  </r>
  <r>
    <n v="26"/>
    <x v="0"/>
    <s v="EVCS-360041"/>
    <x v="20"/>
    <s v="Trinity"/>
    <s v="Public-Paid"/>
    <s v="3.3KW"/>
    <s v="OCPP"/>
    <n v="7"/>
    <x v="2"/>
    <n v="223.64100000000002"/>
    <n v="179.04000000000002"/>
    <n v="135.36499999999998"/>
    <n v="134.547"/>
    <n v="200.31499999999994"/>
    <n v="134.35300000000001"/>
    <n v="181.73900000000003"/>
    <n v="136.58100000000002"/>
    <n v="158.48600000000002"/>
    <n v="165.40299999999999"/>
    <n v="204.916"/>
    <n v="168.56800000000001"/>
    <n v="168.34799999999998"/>
    <n v="157.44399999999999"/>
    <n v="150.98699999999997"/>
    <n v="230.64599999999996"/>
    <n v="177.90199999999996"/>
    <n v="196.136"/>
    <n v="281.923"/>
    <n v="270.738"/>
    <n v="228.27500000000003"/>
    <n v="213.35500000000005"/>
    <n v="160.39900000000003"/>
    <n v="200.44"/>
    <n v="225.83900000000003"/>
    <n v="183.05200000000005"/>
    <n v="174.44600000000003"/>
    <n v="204.24499999999998"/>
    <n v="187.39746428571428"/>
    <n v="26.771066326530612"/>
  </r>
  <r>
    <n v="27"/>
    <x v="0"/>
    <s v="EVCS-360036"/>
    <x v="21"/>
    <s v="Trinity"/>
    <s v="Public-Paid"/>
    <s v="3.3KW"/>
    <s v="OCPP"/>
    <n v="1"/>
    <x v="0"/>
    <n v="15.663999999999998"/>
    <n v="2.4790000000000001"/>
    <n v="8.5359999999999996"/>
    <n v="6.1579999999999995"/>
    <n v="10.248000000000001"/>
    <n v="18.442"/>
    <n v="15.824"/>
    <n v="17.387"/>
    <n v="5.0220000000000002"/>
    <n v="9.8559999999999999"/>
    <n v="19.356999999999999"/>
    <n v="14.178999999999998"/>
    <n v="18.218"/>
    <n v="10.504999999999999"/>
    <n v="19.628999999999998"/>
    <n v="12.405999999999999"/>
    <n v="16.583000000000002"/>
    <n v="4.9390000000000001"/>
    <n v="17.919"/>
    <n v="10.102999999999998"/>
    <n v="7.6010000000000009"/>
    <n v="19.63"/>
    <n v="5.4689999999999994"/>
    <n v="13.147"/>
    <n v="18.427999999999997"/>
    <n v="9.093"/>
    <n v="8.2320000000000011"/>
    <n v="11.734"/>
    <n v="12.385285714285715"/>
    <n v="12.385285714285715"/>
  </r>
  <r>
    <n v="28"/>
    <x v="0"/>
    <s v="EVCS-360036"/>
    <x v="21"/>
    <s v="Trinity"/>
    <s v="Public-Paid"/>
    <s v="7.4KW"/>
    <s v="OCPP"/>
    <n v="1"/>
    <x v="0"/>
    <n v="0"/>
    <n v="0"/>
    <n v="0"/>
    <n v="10.556000000000001"/>
    <n v="31.09"/>
    <n v="0"/>
    <n v="0"/>
    <n v="0"/>
    <n v="32.173999999999999"/>
    <n v="0"/>
    <n v="50.433999999999997"/>
    <n v="0"/>
    <n v="14.715"/>
    <n v="31.346"/>
    <n v="7.0000000000000001E-3"/>
    <n v="33.564"/>
    <n v="22.391000000000002"/>
    <n v="63.647000000000006"/>
    <n v="47.561999999999998"/>
    <n v="22.8"/>
    <n v="12.428000000000001"/>
    <n v="0"/>
    <n v="0"/>
    <n v="29.716000000000001"/>
    <n v="22.117999999999999"/>
    <n v="17.700000000000003"/>
    <n v="34.183999999999997"/>
    <n v="17.844000000000001"/>
    <n v="17.652714285714286"/>
    <n v="17.652714285714286"/>
  </r>
  <r>
    <n v="29"/>
    <x v="0"/>
    <s v="EVCS-360036"/>
    <x v="22"/>
    <s v="Trinity"/>
    <s v="Public-Paid"/>
    <s v="12KW"/>
    <s v="DC Charger"/>
    <n v="3"/>
    <x v="0"/>
    <n v="0"/>
    <n v="0"/>
    <n v="35.44"/>
    <n v="16.68"/>
    <n v="37.129999999999995"/>
    <n v="21.9"/>
    <n v="8.9400000000000013"/>
    <n v="40.29"/>
    <n v="6.15"/>
    <n v="12.18"/>
    <n v="0"/>
    <n v="52.649999999999984"/>
    <n v="50.579999999999991"/>
    <n v="43.23"/>
    <n v="0"/>
    <n v="0"/>
    <n v="33.119999999999997"/>
    <n v="21.07"/>
    <n v="31.730000000000004"/>
    <n v="66.59"/>
    <n v="46.809999999999995"/>
    <n v="67.039999999999992"/>
    <n v="21.479999999999997"/>
    <n v="37.25"/>
    <n v="57.52000000000001"/>
    <n v="32.49"/>
    <n v="0"/>
    <n v="29.79"/>
    <n v="27.502142857142854"/>
    <n v="9.1673809523809506"/>
  </r>
  <r>
    <n v="30"/>
    <x v="0"/>
    <s v="EVCS-360036"/>
    <x v="22"/>
    <s v="Trinity"/>
    <s v="Public-Paid"/>
    <s v="25KW"/>
    <s v="DC Charger"/>
    <n v="2"/>
    <x v="0"/>
    <n v="156.70000000000002"/>
    <n v="56.414999999999992"/>
    <n v="198.95700000000002"/>
    <n v="223.38400000000001"/>
    <n v="121.33200000000001"/>
    <n v="249.74900000000002"/>
    <n v="204.59700000000001"/>
    <n v="186.29599999999999"/>
    <n v="93.993999999999986"/>
    <n v="13.903"/>
    <n v="64.671999999999997"/>
    <n v="150.786"/>
    <n v="132.02799999999999"/>
    <n v="146.80700000000002"/>
    <n v="103.495"/>
    <n v="21.282"/>
    <n v="80.953000000000003"/>
    <n v="61.789999999999992"/>
    <n v="18.16"/>
    <n v="116.56900000000002"/>
    <n v="99.459000000000003"/>
    <n v="58.281000000000006"/>
    <n v="22.266999999999999"/>
    <n v="118.419"/>
    <n v="59.629999999999995"/>
    <n v="111.63400000000001"/>
    <n v="72.400999999999996"/>
    <n v="120.50700000000001"/>
    <n v="109.44524999999999"/>
    <n v="54.722624999999994"/>
  </r>
  <r>
    <n v="31"/>
    <x v="0"/>
    <s v="EVCS-360039"/>
    <x v="23"/>
    <s v="Trinity"/>
    <s v="Public-Paid"/>
    <s v="3.3KW"/>
    <s v="OCPP"/>
    <n v="9"/>
    <x v="2"/>
    <n v="150.60599999999999"/>
    <n v="161.70300000000003"/>
    <n v="158.91699999999997"/>
    <n v="159.03800000000001"/>
    <n v="220.79100000000003"/>
    <n v="140.50399999999999"/>
    <n v="168.64600000000002"/>
    <n v="177.21600000000004"/>
    <n v="169.66500000000002"/>
    <n v="145.52600000000001"/>
    <n v="187.48600000000002"/>
    <n v="178.42500000000001"/>
    <n v="153.19800000000001"/>
    <n v="139.82500000000002"/>
    <n v="161.804"/>
    <n v="156.643"/>
    <n v="99.89100000000002"/>
    <n v="191.77099999999993"/>
    <n v="134.01500000000001"/>
    <n v="145.72400000000002"/>
    <n v="150.17199999999997"/>
    <n v="125.32199999999999"/>
    <n v="138.39600000000004"/>
    <n v="124.82500000000003"/>
    <n v="162.13"/>
    <n v="153.91100000000003"/>
    <n v="159.51000000000008"/>
    <n v="129.11200000000002"/>
    <n v="155.1704285714286"/>
    <n v="17.241158730158734"/>
  </r>
  <r>
    <n v="32"/>
    <x v="0"/>
    <s v="EVCS-360071"/>
    <x v="24"/>
    <s v="Trinity"/>
    <s v="Public-Paid"/>
    <s v="15KW"/>
    <s v="DC Charger"/>
    <n v="1"/>
    <x v="2"/>
    <n v="4.9400000000000004"/>
    <n v="0"/>
    <n v="0"/>
    <n v="0"/>
    <n v="0"/>
    <n v="0"/>
    <n v="0"/>
    <n v="3.88"/>
    <n v="4.21"/>
    <n v="0"/>
    <n v="0"/>
    <n v="0"/>
    <n v="0"/>
    <n v="0"/>
    <n v="0"/>
    <n v="0"/>
    <n v="0"/>
    <n v="0"/>
    <n v="0"/>
    <n v="0"/>
    <n v="0"/>
    <n v="0"/>
    <n v="3.55"/>
    <n v="0"/>
    <n v="0"/>
    <n v="0"/>
    <n v="0"/>
    <n v="0"/>
    <n v="0.59214285714285719"/>
    <n v="0.59214285714285719"/>
  </r>
  <r>
    <n v="33"/>
    <x v="0"/>
    <s v="EVCS-360040"/>
    <x v="25"/>
    <s v="Trinity"/>
    <s v="Public-Paid"/>
    <s v="3.3KW"/>
    <s v="OCPP"/>
    <n v="8"/>
    <x v="2"/>
    <n v="130.48100000000002"/>
    <n v="138.88900000000004"/>
    <n v="114.145"/>
    <n v="146.09700000000001"/>
    <n v="99.253000000000014"/>
    <n v="67.72"/>
    <n v="148.786"/>
    <n v="119.92400000000001"/>
    <n v="134.19900000000001"/>
    <n v="104.99100000000003"/>
    <n v="129.00400000000002"/>
    <n v="108.24699999999997"/>
    <n v="129.88800000000001"/>
    <n v="60.914999999999999"/>
    <n v="125.62600000000002"/>
    <n v="115.15100000000001"/>
    <n v="78.770999999999987"/>
    <n v="105.19"/>
    <n v="101.41900000000001"/>
    <n v="87.882999999999996"/>
    <n v="118.53800000000001"/>
    <n v="109.562"/>
    <n v="84.775000000000006"/>
    <n v="75.85499999999999"/>
    <n v="89.546000000000021"/>
    <n v="71.513000000000005"/>
    <n v="85.487000000000023"/>
    <n v="101.05600000000003"/>
    <n v="106.5325357142857"/>
    <n v="13.316566964285713"/>
  </r>
  <r>
    <n v="34"/>
    <x v="0"/>
    <s v="EVCS-360040"/>
    <x v="25"/>
    <s v="Trinity"/>
    <s v="Public-Paid"/>
    <s v="7.4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x v="0"/>
    <s v="EVCS-360042"/>
    <x v="26"/>
    <s v="Trinity"/>
    <s v="Public-Paid"/>
    <s v="3.3KW"/>
    <s v="OCPP"/>
    <n v="2"/>
    <x v="1"/>
    <n v="22.486999999999998"/>
    <n v="13.562999999999999"/>
    <n v="11.542999999999999"/>
    <n v="27.134"/>
    <n v="15.891"/>
    <n v="3.0219999999999998"/>
    <n v="16.71"/>
    <n v="24.507999999999999"/>
    <n v="18.740000000000002"/>
    <n v="3.4639999999999995"/>
    <n v="20.771000000000001"/>
    <n v="11.276"/>
    <n v="19.401"/>
    <n v="22.878"/>
    <n v="10.388"/>
    <n v="6.7809999999999997"/>
    <n v="13.751999999999999"/>
    <n v="22.003999999999998"/>
    <n v="6.7719999999999994"/>
    <n v="15.673"/>
    <n v="6.2110000000000003"/>
    <n v="9.3410000000000011"/>
    <n v="7.8560000000000008"/>
    <n v="18.067"/>
    <n v="24.496000000000006"/>
    <n v="13.439"/>
    <n v="14.32"/>
    <n v="15.048999999999999"/>
    <n v="14.840607142857143"/>
    <n v="7.4203035714285717"/>
  </r>
  <r>
    <n v="36"/>
    <x v="0"/>
    <s v="EVCS-360043"/>
    <x v="27"/>
    <s v="Trinity"/>
    <s v="Public-Paid"/>
    <s v="3.3KW"/>
    <s v="OCPP"/>
    <n v="11"/>
    <x v="2"/>
    <n v="146.69999999999999"/>
    <n v="135.52000000000001"/>
    <n v="81.34"/>
    <n v="168.143"/>
    <n v="156.29599999999994"/>
    <n v="168.93299999999996"/>
    <n v="177.136"/>
    <n v="150.21899999999999"/>
    <n v="78.891999999999996"/>
    <n v="51.234999999999999"/>
    <n v="128.62000000000003"/>
    <n v="146.33700000000002"/>
    <n v="120.99300000000001"/>
    <n v="160.029"/>
    <n v="99.99"/>
    <n v="118.50899999999999"/>
    <n v="26.393999999999998"/>
    <n v="103.40299999999999"/>
    <n v="134.10599999999997"/>
    <n v="148.85300000000001"/>
    <n v="157.81400000000002"/>
    <n v="142.85400000000001"/>
    <n v="115.32100000000001"/>
    <n v="45.922999999999995"/>
    <n v="144.38500000000002"/>
    <n v="148.10700000000003"/>
    <n v="119.19700000000002"/>
    <n v="98.033000000000015"/>
    <n v="124.04578571428567"/>
    <n v="11.276889610389606"/>
  </r>
  <r>
    <n v="37"/>
    <x v="0"/>
    <s v="EVCS-360068"/>
    <x v="28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x v="0"/>
    <s v="EVCS-360044"/>
    <x v="29"/>
    <s v="Trinity"/>
    <s v="Public-Paid"/>
    <s v="3.3KW"/>
    <s v="OCPP"/>
    <n v="1"/>
    <x v="3"/>
    <n v="0"/>
    <n v="0"/>
    <n v="0"/>
    <n v="0"/>
    <n v="2.6949999999999998"/>
    <n v="0"/>
    <n v="2.2080000000000002"/>
    <n v="0"/>
    <n v="0"/>
    <n v="0"/>
    <n v="0"/>
    <n v="0"/>
    <n v="0"/>
    <n v="1.6919999999999999"/>
    <n v="0"/>
    <n v="0"/>
    <n v="0"/>
    <n v="2.2410000000000001"/>
    <n v="0"/>
    <n v="0"/>
    <n v="0"/>
    <n v="0"/>
    <n v="0"/>
    <n v="0"/>
    <n v="0"/>
    <n v="1.587"/>
    <n v="0"/>
    <n v="0"/>
    <n v="0.37225000000000003"/>
    <n v="0.37225000000000003"/>
  </r>
  <r>
    <n v="39"/>
    <x v="0"/>
    <s v="EVCS-360045"/>
    <x v="30"/>
    <s v="Trinity"/>
    <s v="Public-Paid"/>
    <s v="3.3KW"/>
    <s v="OCPP"/>
    <n v="6"/>
    <x v="2"/>
    <n v="74.575000000000003"/>
    <n v="66.691999999999993"/>
    <n v="71.839999999999989"/>
    <n v="77.728999999999999"/>
    <n v="71.201999999999998"/>
    <n v="88.243999999999986"/>
    <n v="65.658999999999992"/>
    <n v="82.869"/>
    <n v="68.277000000000001"/>
    <n v="73.045999999999992"/>
    <n v="88.600999999999999"/>
    <n v="73.613000000000014"/>
    <n v="43.429000000000002"/>
    <n v="53.791999999999994"/>
    <n v="70.268999999999991"/>
    <n v="80.560999999999993"/>
    <n v="55.06600000000001"/>
    <n v="81.836000000000013"/>
    <n v="59.25"/>
    <n v="50.804999999999993"/>
    <n v="73.829000000000008"/>
    <n v="93.838999999999984"/>
    <n v="51.908000000000008"/>
    <n v="69.25500000000001"/>
    <n v="75.011999999999986"/>
    <n v="56.353000000000002"/>
    <n v="56.233000000000004"/>
    <n v="67.942999999999998"/>
    <n v="69.34739285714285"/>
    <n v="11.557898809523808"/>
  </r>
  <r>
    <n v="40"/>
    <x v="0"/>
    <s v="EVCS-360046"/>
    <x v="31"/>
    <s v="Trinity"/>
    <s v="Public-Paid"/>
    <s v="3.3KW"/>
    <s v="OCPP"/>
    <n v="13"/>
    <x v="2"/>
    <n v="113.65600000000002"/>
    <n v="114.518"/>
    <n v="121.52399999999999"/>
    <n v="95.441999999999993"/>
    <n v="160.04099999999997"/>
    <n v="105.18600000000001"/>
    <n v="111.41300000000001"/>
    <n v="97.527999999999992"/>
    <n v="82.005999999999986"/>
    <n v="56.780999999999977"/>
    <n v="101.42899999999999"/>
    <n v="124.75800000000004"/>
    <n v="92.475999999999999"/>
    <n v="84.617999999999995"/>
    <n v="59.433"/>
    <n v="71.664000000000001"/>
    <n v="78.361999999999995"/>
    <n v="83.603999999999999"/>
    <n v="89.202000000000012"/>
    <n v="83.187000000000012"/>
    <n v="70.262"/>
    <n v="75.692999999999998"/>
    <n v="76.90600000000002"/>
    <n v="68.908000000000001"/>
    <n v="65.679999999999993"/>
    <n v="72.495000000000005"/>
    <n v="67.64"/>
    <n v="102.33999999999999"/>
    <n v="90.241142857142862"/>
    <n v="6.9416263736263737"/>
  </r>
  <r>
    <n v="41"/>
    <x v="0"/>
    <s v="EVCS-360047"/>
    <x v="32"/>
    <s v="Trinity"/>
    <s v="Public-Paid"/>
    <s v="22KW"/>
    <s v="OCPP"/>
    <n v="1"/>
    <x v="3"/>
    <n v="0"/>
    <n v="0"/>
    <n v="0"/>
    <n v="0"/>
    <n v="0"/>
    <n v="0"/>
    <n v="0"/>
    <n v="0"/>
    <n v="0"/>
    <n v="0"/>
    <n v="0"/>
    <n v="9.9699999999999989"/>
    <n v="0"/>
    <n v="0"/>
    <n v="0"/>
    <n v="0"/>
    <n v="0"/>
    <n v="0"/>
    <n v="0"/>
    <n v="8.7330000000000005"/>
    <n v="0"/>
    <n v="0"/>
    <n v="0"/>
    <n v="0"/>
    <n v="0"/>
    <n v="0"/>
    <n v="0"/>
    <n v="0"/>
    <n v="0.66796428571428568"/>
    <n v="0.66796428571428568"/>
  </r>
  <r>
    <n v="42"/>
    <x v="0"/>
    <s v="EVCS-360048"/>
    <x v="33"/>
    <s v="Trinity"/>
    <s v="Public-Paid"/>
    <s v="3.3KW"/>
    <s v="OCPP"/>
    <n v="5"/>
    <x v="2"/>
    <n v="33.022000000000006"/>
    <n v="18.004000000000001"/>
    <n v="15.045999999999999"/>
    <n v="45.874000000000002"/>
    <n v="19.152000000000001"/>
    <n v="25.820999999999998"/>
    <n v="33.986000000000004"/>
    <n v="12.766999999999999"/>
    <n v="25.015999999999998"/>
    <n v="30.817999999999998"/>
    <n v="17.544"/>
    <n v="9.2100000000000009"/>
    <n v="29.757999999999999"/>
    <n v="7.7690000000000001"/>
    <n v="38.311"/>
    <n v="16.792000000000002"/>
    <n v="12.469999999999999"/>
    <n v="28.419000000000004"/>
    <n v="24.136000000000003"/>
    <n v="20.981000000000002"/>
    <n v="18.757000000000001"/>
    <n v="19.587000000000003"/>
    <n v="17.155000000000001"/>
    <n v="22.288999999999998"/>
    <n v="15.047000000000001"/>
    <n v="20.466999999999999"/>
    <n v="9.9920000000000009"/>
    <n v="16.547000000000001"/>
    <n v="21.597749999999998"/>
    <n v="4.3195499999999996"/>
  </r>
  <r>
    <n v="43"/>
    <x v="0"/>
    <s v="EVCS-360049"/>
    <x v="34"/>
    <s v="ETO"/>
    <s v="Public-Paid"/>
    <s v="3.3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s v="EVCS-360050"/>
    <x v="35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s v="EVCS-360051"/>
    <x v="36"/>
    <s v="ETO"/>
    <s v="Public-Paid"/>
    <s v="3.3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10.086"/>
    <n v="5.3280000000000003"/>
    <n v="0"/>
    <n v="0"/>
    <n v="0"/>
    <n v="0"/>
    <n v="0"/>
    <n v="0"/>
    <n v="0"/>
    <n v="0"/>
    <n v="0"/>
    <n v="0"/>
    <n v="0.5505000000000001"/>
    <n v="0.5505000000000001"/>
  </r>
  <r>
    <n v="46"/>
    <x v="0"/>
    <s v="EVCS-360052"/>
    <x v="37"/>
    <s v="ETO"/>
    <s v="Public-Paid"/>
    <s v="3.3KW"/>
    <s v="OCPP"/>
    <n v="1"/>
    <x v="1"/>
    <n v="0"/>
    <n v="0"/>
    <n v="0"/>
    <n v="0"/>
    <n v="0"/>
    <n v="0"/>
    <n v="0"/>
    <n v="0"/>
    <n v="0"/>
    <n v="0"/>
    <n v="0"/>
    <n v="0"/>
    <n v="0"/>
    <n v="0"/>
    <n v="6.452"/>
    <n v="0"/>
    <n v="0"/>
    <n v="0"/>
    <n v="0"/>
    <n v="0"/>
    <n v="0"/>
    <n v="0"/>
    <n v="0"/>
    <n v="0"/>
    <n v="0"/>
    <n v="0"/>
    <n v="0"/>
    <n v="0"/>
    <n v="0.23042857142857143"/>
    <n v="0.23042857142857143"/>
  </r>
  <r>
    <n v="47"/>
    <x v="0"/>
    <s v="EVCS-360053"/>
    <x v="38"/>
    <s v="Trinity"/>
    <s v="Public-Paid"/>
    <s v="25KW"/>
    <s v="DC Charger"/>
    <n v="2"/>
    <x v="0"/>
    <n v="249.62499999999997"/>
    <n v="80.50500000000001"/>
    <n v="165.56200000000004"/>
    <n v="265.24400000000003"/>
    <n v="260.86799999999994"/>
    <n v="170.928"/>
    <n v="180.26100000000002"/>
    <n v="144.786"/>
    <n v="44.170999999999999"/>
    <n v="215.30499999999995"/>
    <n v="366.80800000000005"/>
    <n v="370.37100000000009"/>
    <n v="407.05999999999995"/>
    <n v="328.161"/>
    <n v="257.83100000000002"/>
    <n v="65.869"/>
    <n v="107.776"/>
    <n v="212.48400000000001"/>
    <n v="196.142"/>
    <n v="209.82"/>
    <n v="0"/>
    <n v="240.90499999999997"/>
    <n v="152.86600000000004"/>
    <n v="230.39400000000001"/>
    <n v="395.82099999999991"/>
    <n v="346.62400000000002"/>
    <n v="347.44599999999991"/>
    <n v="330.27500000000003"/>
    <n v="226.56814285714285"/>
    <n v="113.28407142857142"/>
  </r>
  <r>
    <n v="48"/>
    <x v="0"/>
    <s v="EVCS-360054"/>
    <x v="39"/>
    <s v="Trinity"/>
    <s v="Public-Paid"/>
    <s v="3.3KW"/>
    <s v="OCPP"/>
    <n v="5"/>
    <x v="3"/>
    <n v="22.811"/>
    <n v="6.3100000000000005"/>
    <n v="14.444999999999999"/>
    <n v="17.584"/>
    <n v="5.5049999999999999"/>
    <n v="6.4260000000000002"/>
    <n v="7.4320000000000004"/>
    <n v="4.1989999999999998"/>
    <n v="9.1590000000000007"/>
    <n v="17.559000000000001"/>
    <n v="10.645000000000001"/>
    <n v="33.702000000000005"/>
    <n v="6.7620000000000005"/>
    <n v="4.4909999999999997"/>
    <n v="5.4109999999999996"/>
    <n v="21.938000000000002"/>
    <n v="1.647"/>
    <n v="45.432000000000002"/>
    <n v="4.8550000000000004"/>
    <n v="26.167999999999999"/>
    <n v="7.2110000000000003"/>
    <n v="20.086999999999996"/>
    <n v="15.7"/>
    <n v="8.1379999999999999"/>
    <n v="17.198999999999998"/>
    <n v="21.641999999999999"/>
    <n v="4.4829999999999997"/>
    <n v="4.782"/>
    <n v="13.275821428571428"/>
    <n v="2.6551642857142856"/>
  </r>
  <r>
    <n v="49"/>
    <x v="0"/>
    <s v="EVCS-360055"/>
    <x v="40"/>
    <s v="Trinity"/>
    <s v="Public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0"/>
    <s v="EVCS-360055"/>
    <x v="40"/>
    <s v="Trinity"/>
    <s v="Public-Paid"/>
    <s v="22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0"/>
    <s v="EVCS-360057"/>
    <x v="41"/>
    <s v="Trinity"/>
    <s v="Public-Paid"/>
    <s v="3.3KW"/>
    <s v="OCPP"/>
    <n v="1"/>
    <x v="0"/>
    <n v="3.9590000000000001"/>
    <n v="3.1829999999999998"/>
    <n v="3.0129999999999999"/>
    <n v="3.67"/>
    <n v="4.2809999999999997"/>
    <n v="2.9710000000000001"/>
    <n v="4.7160000000000002"/>
    <n v="3.698"/>
    <n v="1.3080000000000001"/>
    <n v="9.8230000000000004"/>
    <n v="9.1769999999999996"/>
    <n v="13.696"/>
    <n v="17.354999999999997"/>
    <n v="13.943000000000001"/>
    <n v="3.12"/>
    <n v="3.6709999999999998"/>
    <n v="3.0529999999999999"/>
    <n v="3.9830000000000001"/>
    <n v="4.5119999999999996"/>
    <n v="2.573"/>
    <n v="2.7429999999999999"/>
    <n v="3.431"/>
    <n v="2.39"/>
    <n v="4.5060000000000002"/>
    <n v="2.359"/>
    <n v="2.3540000000000001"/>
    <n v="5.4030000000000005"/>
    <n v="3.3730000000000002"/>
    <n v="5.0808571428571421"/>
    <n v="5.0808571428571421"/>
  </r>
  <r>
    <n v="52"/>
    <x v="0"/>
    <s v="EVCS-360057"/>
    <x v="41"/>
    <s v="Trinity"/>
    <s v="Public-Paid"/>
    <s v="7.4KW"/>
    <s v="OCPP"/>
    <n v="1"/>
    <x v="0"/>
    <n v="0"/>
    <n v="0"/>
    <n v="3.9830000000000001"/>
    <n v="0"/>
    <n v="4.4720000000000004"/>
    <n v="19.705000000000002"/>
    <n v="0.872"/>
    <n v="0"/>
    <n v="0"/>
    <n v="2.738"/>
    <n v="27.031000000000002"/>
    <n v="0"/>
    <n v="37.541000000000004"/>
    <n v="0"/>
    <n v="0"/>
    <n v="0"/>
    <n v="0"/>
    <n v="3.7239999999999998"/>
    <n v="1.2649999999999999"/>
    <n v="1.1299999999999999"/>
    <n v="0"/>
    <n v="0"/>
    <n v="0"/>
    <n v="0"/>
    <n v="0"/>
    <n v="0"/>
    <n v="0"/>
    <n v="0"/>
    <n v="3.6593214285714288"/>
    <n v="3.6593214285714288"/>
  </r>
  <r>
    <n v="53"/>
    <x v="0"/>
    <s v="EVCS-360057"/>
    <x v="41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0"/>
    <s v="EVCS-360056"/>
    <x v="42"/>
    <s v="Trinity"/>
    <s v="Public-Paid"/>
    <s v="3.3KW"/>
    <s v="OCPP"/>
    <n v="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x v="0"/>
    <s v="EVCS-360059"/>
    <x v="43"/>
    <s v="Trinity"/>
    <s v="Public-Paid"/>
    <s v="3.3KW"/>
    <s v="OCPP"/>
    <n v="1"/>
    <x v="3"/>
    <n v="0"/>
    <n v="0"/>
    <n v="0"/>
    <n v="0"/>
    <n v="0"/>
    <n v="0"/>
    <n v="0"/>
    <n v="0"/>
    <n v="0"/>
    <n v="0.95899999999999996"/>
    <n v="0"/>
    <n v="2.7269999999999999"/>
    <n v="1E-3"/>
    <n v="0"/>
    <n v="0.126"/>
    <n v="0"/>
    <n v="0"/>
    <n v="0"/>
    <n v="0"/>
    <n v="0"/>
    <n v="0"/>
    <n v="0"/>
    <n v="0"/>
    <n v="0"/>
    <n v="0"/>
    <n v="0"/>
    <n v="0"/>
    <n v="0"/>
    <n v="0.13617857142857143"/>
    <n v="0.13617857142857143"/>
  </r>
  <r>
    <n v="56"/>
    <x v="1"/>
    <s v="EVCS-360060"/>
    <x v="4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x v="0"/>
    <s v="EVCS-360061"/>
    <x v="45"/>
    <s v="Trinity"/>
    <s v="Public-Paid"/>
    <s v="3.3KW"/>
    <s v="OCPP"/>
    <n v="1"/>
    <x v="1"/>
    <n v="3.1240000000000001"/>
    <n v="0"/>
    <n v="0"/>
    <n v="1.798"/>
    <n v="7.2780000000000005"/>
    <n v="6.1069999999999993"/>
    <n v="3.4620000000000002"/>
    <n v="3.1259999999999999"/>
    <n v="0"/>
    <n v="0"/>
    <n v="7.2480000000000002"/>
    <n v="7.7560000000000002"/>
    <n v="3.52"/>
    <n v="3.339"/>
    <n v="0"/>
    <n v="0"/>
    <n v="3.375"/>
    <n v="2.8620000000000001"/>
    <n v="3.0110000000000001"/>
    <n v="3.2199999999999998"/>
    <n v="3.2849999999999997"/>
    <n v="2.3140000000000001"/>
    <n v="6.0049999999999999"/>
    <n v="2.7679999999999998"/>
    <n v="7.93"/>
    <n v="0"/>
    <n v="2.048"/>
    <n v="2.7090000000000001"/>
    <n v="3.0816071428571425"/>
    <n v="3.0816071428571425"/>
  </r>
  <r>
    <n v="58"/>
    <x v="0"/>
    <s v="EVCS-360062"/>
    <x v="46"/>
    <s v="Trinity"/>
    <s v="Public-Paid"/>
    <s v="3.3KW"/>
    <s v="OCPP"/>
    <n v="10"/>
    <x v="2"/>
    <n v="73.460999999999984"/>
    <n v="23.521999999999998"/>
    <n v="58.824999999999996"/>
    <n v="24.917999999999999"/>
    <n v="43.176000000000002"/>
    <n v="50.134999999999998"/>
    <n v="49.136000000000003"/>
    <n v="25.967000000000006"/>
    <n v="12.404"/>
    <n v="39.948999999999998"/>
    <n v="26.527999999999999"/>
    <n v="67.498999999999995"/>
    <n v="32.737000000000002"/>
    <n v="58.585000000000001"/>
    <n v="44.314"/>
    <n v="39.916000000000004"/>
    <n v="26.584999999999997"/>
    <n v="31.917000000000002"/>
    <n v="42.136999999999993"/>
    <n v="43.702999999999996"/>
    <n v="34.617999999999995"/>
    <n v="31.271999999999998"/>
    <n v="7.0060000000000011"/>
    <n v="4.327"/>
    <n v="31.384000000000004"/>
    <n v="10.504"/>
    <n v="26.602999999999998"/>
    <n v="24.765000000000001"/>
    <n v="35.210464285714281"/>
    <n v="3.5210464285714282"/>
  </r>
  <r>
    <n v="59"/>
    <x v="0"/>
    <s v="EVCS-360063"/>
    <x v="47"/>
    <s v="Trinity"/>
    <s v="Public-Paid"/>
    <s v="3.3KW"/>
    <s v="OCPP"/>
    <n v="2"/>
    <x v="1"/>
    <n v="31.36"/>
    <n v="28.652999999999999"/>
    <n v="8.3670000000000009"/>
    <n v="16.477"/>
    <n v="23.416999999999998"/>
    <n v="18.170000000000002"/>
    <n v="24.224"/>
    <n v="16.309000000000001"/>
    <n v="13.613000000000001"/>
    <n v="29.631000000000004"/>
    <n v="10.899000000000001"/>
    <n v="18.168999999999997"/>
    <n v="18.215"/>
    <n v="19.270999999999997"/>
    <n v="39.054999999999993"/>
    <n v="21.108999999999998"/>
    <n v="20.013000000000002"/>
    <n v="30.457000000000001"/>
    <n v="18.236000000000001"/>
    <n v="28.621999999999996"/>
    <n v="15.103999999999999"/>
    <n v="24.318000000000001"/>
    <n v="13.309999999999999"/>
    <n v="26.167999999999999"/>
    <n v="28.92"/>
    <n v="27.756"/>
    <n v="21.365000000000002"/>
    <n v="19.004999999999999"/>
    <n v="21.793321428571424"/>
    <n v="10.896660714285712"/>
  </r>
  <r>
    <n v="60"/>
    <x v="0"/>
    <m/>
    <x v="48"/>
    <s v="Deccan College of Engg."/>
    <s v="Public-Free"/>
    <s v="3.3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x v="0"/>
    <s v="EVCS-360064"/>
    <x v="49"/>
    <s v="Trinity"/>
    <s v="Public-Paid"/>
    <s v="3.3KW"/>
    <s v="OCPP"/>
    <n v="8"/>
    <x v="2"/>
    <n v="66.908000000000001"/>
    <n v="48.178000000000004"/>
    <n v="75.307999999999993"/>
    <n v="52.947000000000003"/>
    <n v="82.033000000000001"/>
    <n v="74.715000000000003"/>
    <n v="55.057000000000002"/>
    <n v="111.90999999999998"/>
    <n v="67.089999999999989"/>
    <n v="66.25800000000001"/>
    <n v="91.836999999999989"/>
    <n v="98.768000000000001"/>
    <n v="51.422999999999988"/>
    <n v="148.95999999999998"/>
    <n v="61.176000000000002"/>
    <n v="142.85699999999997"/>
    <n v="89.211999999999989"/>
    <n v="142.93899999999996"/>
    <n v="133.14000000000001"/>
    <n v="109.26200000000001"/>
    <n v="147.65900000000002"/>
    <n v="105.82899999999998"/>
    <n v="100.20599999999999"/>
    <n v="128.82699999999997"/>
    <n v="121.85100000000001"/>
    <n v="93.59"/>
    <n v="25.472999999999995"/>
    <n v="93.341000000000008"/>
    <n v="92.384071428571431"/>
    <n v="11.548008928571429"/>
  </r>
  <r>
    <n v="62"/>
    <x v="0"/>
    <s v="EVCS-360065"/>
    <x v="50"/>
    <s v="Trinity"/>
    <s v="Public-Paid"/>
    <s v="3.3KW"/>
    <s v="OCPP"/>
    <n v="6"/>
    <x v="2"/>
    <n v="100.16600000000003"/>
    <n v="68.298000000000016"/>
    <n v="83.259"/>
    <n v="96.492000000000004"/>
    <n v="82.174000000000007"/>
    <n v="76.567000000000007"/>
    <n v="67.606999999999999"/>
    <n v="83.957000000000008"/>
    <n v="75.605000000000004"/>
    <n v="84.573999999999984"/>
    <n v="96.237000000000009"/>
    <n v="85.394999999999996"/>
    <n v="74.457999999999998"/>
    <n v="90.725999999999999"/>
    <n v="45.030000000000008"/>
    <n v="97.39100000000002"/>
    <n v="56.031999999999996"/>
    <n v="139.928"/>
    <n v="61.750999999999998"/>
    <n v="64.661000000000001"/>
    <n v="118.79500000000002"/>
    <n v="76.724999999999994"/>
    <n v="77.65000000000002"/>
    <n v="84.393999999999991"/>
    <n v="65.009"/>
    <n v="74.90300000000002"/>
    <n v="73.018999999999991"/>
    <n v="79.453000000000003"/>
    <n v="81.437714285714264"/>
    <n v="13.572952380952378"/>
  </r>
  <r>
    <n v="63"/>
    <x v="0"/>
    <s v="EVCS-360072"/>
    <x v="51"/>
    <s v="Trinity"/>
    <s v="Public-Paid"/>
    <s v="60 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"/>
    <x v="0"/>
    <s v="EVCS-360076"/>
    <x v="52"/>
    <s v="Trinity"/>
    <s v="Public-Paid"/>
    <s v="3.3KW"/>
    <s v="OCPP"/>
    <n v="1"/>
    <x v="3"/>
    <n v="0"/>
    <n v="0"/>
    <n v="0"/>
    <n v="3.07"/>
    <n v="0"/>
    <n v="0"/>
    <n v="0"/>
    <n v="0"/>
    <n v="1.323"/>
    <n v="0"/>
    <n v="2.89"/>
    <n v="0"/>
    <n v="0"/>
    <n v="0"/>
    <n v="0.45700000000000002"/>
    <n v="0"/>
    <n v="0"/>
    <n v="0.69899999999999995"/>
    <n v="0"/>
    <n v="2.778"/>
    <n v="0"/>
    <n v="0"/>
    <n v="2.569"/>
    <n v="0"/>
    <n v="0"/>
    <n v="0"/>
    <n v="0"/>
    <n v="0"/>
    <n v="0.49235714285714288"/>
    <n v="0.49235714285714288"/>
  </r>
  <r>
    <n v="65"/>
    <x v="0"/>
    <m/>
    <x v="53"/>
    <s v="Trinity"/>
    <s v="Public-Paid"/>
    <s v="3.3KW"/>
    <s v="OCPP"/>
    <n v="2"/>
    <x v="3"/>
    <m/>
    <m/>
    <m/>
    <m/>
    <m/>
    <m/>
    <m/>
    <n v="1.294"/>
    <n v="0"/>
    <n v="3.2170000000000001"/>
    <n v="0"/>
    <n v="0"/>
    <n v="3.1829999999999998"/>
    <n v="0.48799999999999999"/>
    <n v="2.8450000000000002"/>
    <n v="2.472"/>
    <n v="4.0220000000000002"/>
    <n v="1.4410000000000001"/>
    <n v="0"/>
    <n v="2.3940000000000001"/>
    <n v="4.335"/>
    <n v="0"/>
    <n v="0"/>
    <n v="9.3449999999999989"/>
    <n v="0"/>
    <n v="4.0680000000000005"/>
    <n v="2.4889999999999999"/>
    <n v="2.4809999999999999"/>
    <n v="2.0987619047619046"/>
    <n v="1.0493809523809523"/>
  </r>
  <r>
    <n v="66"/>
    <x v="0"/>
    <m/>
    <x v="53"/>
    <s v="Trinity"/>
    <s v="Public-Paid"/>
    <s v="7.4KW"/>
    <s v="OCPP"/>
    <n v="2"/>
    <x v="3"/>
    <m/>
    <m/>
    <m/>
    <m/>
    <m/>
    <m/>
    <m/>
    <n v="0"/>
    <n v="0"/>
    <n v="0"/>
    <n v="0"/>
    <n v="0"/>
    <n v="0"/>
    <n v="33.47"/>
    <n v="0"/>
    <n v="67.171999999999997"/>
    <n v="0"/>
    <n v="0"/>
    <n v="39.738"/>
    <n v="0"/>
    <n v="35.527999999999999"/>
    <n v="0"/>
    <n v="0"/>
    <n v="0"/>
    <n v="0"/>
    <n v="0"/>
    <n v="24.113"/>
    <n v="0"/>
    <n v="9.5248095238095232"/>
    <n v="4.7624047619047616"/>
  </r>
  <r>
    <n v="67"/>
    <x v="0"/>
    <m/>
    <x v="54"/>
    <s v="Trinity"/>
    <s v="Public-Paid"/>
    <s v="3.3 kW"/>
    <s v="OCPP"/>
    <n v="2"/>
    <x v="3"/>
    <m/>
    <m/>
    <m/>
    <m/>
    <m/>
    <m/>
    <m/>
    <m/>
    <m/>
    <m/>
    <m/>
    <m/>
    <n v="2.89"/>
    <n v="0"/>
    <n v="0.57099999999999995"/>
    <n v="0"/>
    <n v="0"/>
    <n v="0"/>
    <n v="0"/>
    <n v="8.14"/>
    <n v="0"/>
    <n v="0"/>
    <n v="0"/>
    <n v="0"/>
    <n v="7.6689999999999996"/>
    <n v="0"/>
    <n v="0"/>
    <n v="0"/>
    <n v="1.204375"/>
    <n v="0.60218749999999999"/>
  </r>
  <r>
    <n v="68"/>
    <x v="2"/>
    <s v="EVCS-320001"/>
    <x v="55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x v="0"/>
    <m/>
    <x v="56"/>
    <s v="ETO Driver"/>
    <s v="Public-Free"/>
    <s v="3.3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"/>
    <x v="0"/>
    <m/>
    <x v="57"/>
    <s v="HMRL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1"/>
    <x v="3"/>
    <s v="EVCS-370001"/>
    <x v="58"/>
    <s v="Trinity"/>
    <s v="Public-Paid"/>
    <s v="3.3KW"/>
    <s v="OCPP"/>
    <n v="5"/>
    <x v="1"/>
    <n v="2.1909999999999998"/>
    <n v="0"/>
    <n v="0"/>
    <n v="0"/>
    <n v="0"/>
    <n v="9.144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3.3210000000000002"/>
    <n v="0"/>
    <n v="0"/>
    <n v="0"/>
    <n v="0"/>
    <n v="0.52342857142857147"/>
    <n v="0.1046857142857143"/>
  </r>
  <r>
    <n v="72"/>
    <x v="3"/>
    <s v="EVCS-370003"/>
    <x v="59"/>
    <s v="Trinity"/>
    <s v="Public-Paid"/>
    <s v="3.3KW"/>
    <s v="OCPP"/>
    <n v="10"/>
    <x v="1"/>
    <n v="60.167000000000009"/>
    <n v="73.587000000000003"/>
    <n v="92.134999999999991"/>
    <n v="79.279999999999987"/>
    <n v="90.329000000000008"/>
    <n v="88.266999999999996"/>
    <n v="89.900999999999982"/>
    <n v="75.822000000000003"/>
    <n v="81.768000000000001"/>
    <n v="81.746999999999986"/>
    <n v="90.186999999999998"/>
    <n v="65.448000000000008"/>
    <n v="84.069000000000017"/>
    <n v="69.398999999999987"/>
    <n v="93.008999999999986"/>
    <n v="68.376999999999995"/>
    <n v="92.21599999999998"/>
    <n v="67.47999999999999"/>
    <n v="71.667000000000002"/>
    <n v="84.618000000000009"/>
    <n v="63.269999999999989"/>
    <n v="74.323999999999998"/>
    <n v="85.010999999999996"/>
    <n v="69.607000000000014"/>
    <n v="76.745999999999995"/>
    <n v="60.73"/>
    <n v="94.424999999999997"/>
    <n v="96.431999999999988"/>
    <n v="79.286357142857128"/>
    <n v="7.9286357142857131"/>
  </r>
  <r>
    <n v="73"/>
    <x v="4"/>
    <s v="EVCS-370004"/>
    <x v="60"/>
    <s v="Trinity"/>
    <s v="Public-Paid"/>
    <s v="3.3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4"/>
    <s v="EVCS-370005"/>
    <x v="61"/>
    <s v="Trinity"/>
    <s v="Public-Paid"/>
    <s v="3.3KW"/>
    <s v="OCPP"/>
    <n v="7"/>
    <x v="2"/>
    <n v="104.31099999999998"/>
    <n v="110.13"/>
    <n v="122.83900000000001"/>
    <n v="89.278999999999996"/>
    <n v="144.697"/>
    <n v="58.552"/>
    <n v="130.36100000000002"/>
    <n v="98.376000000000005"/>
    <n v="87.310999999999979"/>
    <n v="150.87200000000001"/>
    <n v="115.92300000000002"/>
    <n v="90.126000000000019"/>
    <n v="99.069000000000017"/>
    <n v="126.22"/>
    <n v="39.704999999999998"/>
    <n v="130.09799999999998"/>
    <n v="109.47499999999998"/>
    <n v="110.56299999999999"/>
    <n v="87.397000000000006"/>
    <n v="140.45400000000004"/>
    <n v="104.97300000000001"/>
    <n v="80.835999999999999"/>
    <n v="97.629999999999981"/>
    <n v="113.61500000000001"/>
    <n v="104.39400000000002"/>
    <n v="116.10299999999999"/>
    <n v="86.557999999999993"/>
    <n v="91.461000000000027"/>
    <n v="105.04742857142858"/>
    <n v="15.006775510204083"/>
  </r>
  <r>
    <n v="75"/>
    <x v="5"/>
    <s v="EVCS-370006"/>
    <x v="62"/>
    <s v="Trinity"/>
    <s v="Public-Paid"/>
    <s v="3.3KW"/>
    <s v="OCPP"/>
    <n v="7"/>
    <x v="2"/>
    <n v="36.368000000000002"/>
    <n v="65.033999999999992"/>
    <n v="37.078000000000003"/>
    <n v="44.030999999999999"/>
    <n v="33.396999999999998"/>
    <n v="45.178000000000004"/>
    <n v="25.411999999999995"/>
    <n v="49.771999999999998"/>
    <n v="47.957999999999991"/>
    <n v="52.617000000000004"/>
    <n v="58.158999999999992"/>
    <n v="63.37299999999999"/>
    <n v="31.458000000000002"/>
    <n v="29.788999999999998"/>
    <n v="28.542000000000002"/>
    <n v="56.687000000000005"/>
    <n v="36.408000000000001"/>
    <n v="38.707000000000001"/>
    <n v="41.261999999999993"/>
    <n v="49.234999999999999"/>
    <n v="31.479999999999997"/>
    <n v="59.817000000000007"/>
    <n v="32.569000000000003"/>
    <n v="36.483000000000004"/>
    <n v="40.796999999999997"/>
    <n v="23.379000000000001"/>
    <n v="28.223000000000006"/>
    <n v="66.538999999999987"/>
    <n v="42.491142857142847"/>
    <n v="6.070163265306121"/>
  </r>
  <r>
    <n v="76"/>
    <x v="6"/>
    <s v="EVCS-370007"/>
    <x v="63"/>
    <s v="Trinity"/>
    <s v="Public-Paid"/>
    <s v="3.3KW"/>
    <s v="OCPP"/>
    <n v="5"/>
    <x v="2"/>
    <n v="52.747"/>
    <n v="18.719000000000001"/>
    <n v="29.606000000000002"/>
    <n v="38.218000000000004"/>
    <n v="27.617999999999999"/>
    <n v="29.834"/>
    <n v="21.895"/>
    <n v="27.471000000000004"/>
    <n v="53.110999999999997"/>
    <n v="46.616999999999997"/>
    <n v="22.688000000000002"/>
    <n v="67.688000000000002"/>
    <n v="18.898999999999997"/>
    <n v="40.807000000000002"/>
    <n v="46.591999999999999"/>
    <n v="61.414000000000001"/>
    <n v="19.477"/>
    <n v="57.064000000000007"/>
    <n v="42.091000000000008"/>
    <n v="59.442"/>
    <n v="36.565999999999995"/>
    <n v="24.454999999999998"/>
    <n v="55.417000000000002"/>
    <n v="24.125"/>
    <n v="44.457000000000001"/>
    <n v="40.183"/>
    <n v="31.229999999999997"/>
    <n v="61.016000000000005"/>
    <n v="39.26596428571429"/>
    <n v="7.853192857142858"/>
  </r>
  <r>
    <n v="77"/>
    <x v="7"/>
    <s v="EVCS-290002"/>
    <x v="64"/>
    <s v="Flipkart"/>
    <s v="Public-Paid"/>
    <s v="3.3KW"/>
    <s v="OCPP"/>
    <n v="4"/>
    <x v="1"/>
    <n v="62.442000000000007"/>
    <n v="99.453000000000017"/>
    <n v="81.96"/>
    <n v="112.15199999999999"/>
    <n v="91.826000000000008"/>
    <n v="82.777999999999992"/>
    <n v="91.117999999999981"/>
    <n v="108.44000000000001"/>
    <n v="75.142999999999986"/>
    <n v="87.609999999999985"/>
    <n v="104.373"/>
    <n v="81.459999999999994"/>
    <n v="94.908000000000015"/>
    <n v="73.794000000000011"/>
    <n v="79.015000000000015"/>
    <n v="83.262999999999991"/>
    <n v="94.122"/>
    <n v="88.72799999999998"/>
    <n v="74.988000000000014"/>
    <n v="76.512999999999991"/>
    <n v="69.707999999999998"/>
    <n v="99.777999999999992"/>
    <n v="79.585000000000008"/>
    <n v="78.467000000000041"/>
    <n v="90.216000000000008"/>
    <n v="66.454999999999998"/>
    <n v="108.96000000000001"/>
    <n v="74.888000000000005"/>
    <n v="86.147964285714281"/>
    <n v="21.53699107142857"/>
  </r>
  <r>
    <n v="78"/>
    <x v="7"/>
    <s v="EVCS-290003"/>
    <x v="65"/>
    <s v="Flipkart"/>
    <s v="Public-Paid"/>
    <s v="3.3KW"/>
    <s v="OCPP"/>
    <n v="9"/>
    <x v="1"/>
    <n v="89.425000000000011"/>
    <n v="92.855999999999995"/>
    <n v="88.397999999999982"/>
    <n v="69.918000000000021"/>
    <n v="56.676000000000002"/>
    <n v="59.459999999999994"/>
    <n v="52.986999999999995"/>
    <n v="31.555"/>
    <n v="9.020999999999999"/>
    <n v="5.4749999999999996"/>
    <n v="0"/>
    <n v="49.594000000000008"/>
    <n v="31.838999999999999"/>
    <n v="40.832000000000001"/>
    <n v="43.756"/>
    <n v="32.227000000000004"/>
    <n v="41.298999999999999"/>
    <n v="39.268000000000001"/>
    <n v="39.191999999999993"/>
    <n v="45.265000000000008"/>
    <n v="58.72"/>
    <n v="23.907999999999998"/>
    <n v="49.972000000000001"/>
    <n v="22.338000000000001"/>
    <n v="39.633999999999993"/>
    <n v="51.540000000000006"/>
    <n v="30.389000000000003"/>
    <n v="46.454999999999998"/>
    <n v="44.357107142857139"/>
    <n v="4.9285674603174598"/>
  </r>
  <r>
    <n v="79"/>
    <x v="7"/>
    <s v="EVCS-290004"/>
    <x v="66"/>
    <s v="EFL"/>
    <s v="Public-Free"/>
    <s v="3.3KW"/>
    <s v="OCPP"/>
    <n v="8"/>
    <x v="2"/>
    <n v="49.188000000000002"/>
    <n v="45.481000000000002"/>
    <n v="47.826999999999998"/>
    <n v="56.755000000000003"/>
    <n v="48.096000000000004"/>
    <n v="46.969000000000001"/>
    <n v="50.831999999999994"/>
    <n v="23.552"/>
    <n v="71.954999999999998"/>
    <n v="27.078000000000007"/>
    <n v="20.114000000000004"/>
    <n v="38.303000000000004"/>
    <n v="46.494"/>
    <n v="31.511000000000003"/>
    <n v="70.257000000000005"/>
    <n v="65.714999999999989"/>
    <n v="78.472999999999999"/>
    <n v="52.052999999999997"/>
    <n v="40.668999999999997"/>
    <n v="54.361999999999995"/>
    <n v="32.82"/>
    <n v="34.418000000000006"/>
    <n v="13.651999999999997"/>
    <n v="48.150000000000006"/>
    <n v="27.987000000000002"/>
    <n v="34.823999999999998"/>
    <n v="6.4469999999999992"/>
    <n v="11.468"/>
    <n v="41.980357142857152"/>
    <n v="5.2475446428571439"/>
  </r>
  <r>
    <n v="80"/>
    <x v="7"/>
    <s v="EVCS-290004"/>
    <x v="66"/>
    <s v="EFL"/>
    <s v="Public-Free"/>
    <s v="6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7"/>
    <s v="EVCS-290005"/>
    <x v="67"/>
    <s v="Trinity"/>
    <s v="Public-Paid"/>
    <s v="3.3KW"/>
    <s v="OCPP"/>
    <n v="7"/>
    <x v="2"/>
    <n v="139.31199999999998"/>
    <n v="120.374"/>
    <n v="132.92499999999998"/>
    <n v="150.82899999999995"/>
    <n v="156.55299999999997"/>
    <n v="155.61700000000002"/>
    <n v="145.87399999999997"/>
    <n v="150.06"/>
    <n v="141.14499999999998"/>
    <n v="118.747"/>
    <n v="139.08000000000001"/>
    <n v="135.51700000000002"/>
    <n v="150.822"/>
    <n v="148.583"/>
    <n v="118.88499999999999"/>
    <n v="151.49299999999999"/>
    <n v="173.345"/>
    <n v="155.42400000000004"/>
    <n v="121.14399999999998"/>
    <n v="136.74199999999999"/>
    <n v="156.83799999999997"/>
    <n v="123.69799999999998"/>
    <n v="107.66800000000002"/>
    <n v="200.08399999999997"/>
    <n v="144.25199999999998"/>
    <n v="157.42300000000003"/>
    <n v="130.67099999999999"/>
    <n v="157.59200000000001"/>
    <n v="143.59632142857143"/>
    <n v="20.513760204081631"/>
  </r>
  <r>
    <n v="82"/>
    <x v="7"/>
    <s v="EVCS-290007"/>
    <x v="68"/>
    <s v="Trinity"/>
    <s v="Public-Paid"/>
    <s v="3.3KW"/>
    <s v="OCPP"/>
    <n v="10"/>
    <x v="2"/>
    <n v="136.64100000000002"/>
    <n v="146.35900000000001"/>
    <n v="134.38299999999998"/>
    <n v="107.24299999999998"/>
    <n v="175.82500000000002"/>
    <n v="169.179"/>
    <n v="148.32299999999998"/>
    <n v="120.63200000000002"/>
    <n v="155.17000000000002"/>
    <n v="129.84"/>
    <n v="114.77099999999999"/>
    <n v="143.00499999999997"/>
    <n v="142.17300000000003"/>
    <n v="101.84300000000002"/>
    <n v="123.16300000000001"/>
    <n v="162.29500000000002"/>
    <n v="100.23099999999999"/>
    <n v="124.072"/>
    <n v="112.62100000000002"/>
    <n v="162.364"/>
    <n v="117.85400000000001"/>
    <n v="134.49699999999999"/>
    <n v="113.26500000000003"/>
    <n v="104.45400000000001"/>
    <n v="159.62600000000003"/>
    <n v="119.33000000000001"/>
    <n v="119.05200000000001"/>
    <n v="144.45199999999997"/>
    <n v="132.95224999999999"/>
    <n v="13.295224999999999"/>
  </r>
  <r>
    <n v="83"/>
    <x v="7"/>
    <s v="EVCS-290009"/>
    <x v="69"/>
    <s v="Trinity"/>
    <s v="Public-Paid"/>
    <s v="3.3KW"/>
    <s v="OCPP"/>
    <n v="8"/>
    <x v="2"/>
    <n v="28.977"/>
    <n v="48.47"/>
    <n v="49.258000000000003"/>
    <n v="52.88000000000001"/>
    <n v="67.367000000000004"/>
    <n v="40.549999999999997"/>
    <n v="36.695999999999998"/>
    <n v="55.747"/>
    <n v="39.953000000000003"/>
    <n v="35.397999999999996"/>
    <n v="46.438000000000002"/>
    <n v="32.166000000000004"/>
    <n v="35.496000000000002"/>
    <n v="39.56900000000001"/>
    <n v="32.729999999999997"/>
    <n v="39.384"/>
    <n v="63.112000000000002"/>
    <n v="58.058000000000007"/>
    <n v="46.161000000000001"/>
    <n v="43.791000000000004"/>
    <n v="23.152999999999999"/>
    <n v="34.280999999999999"/>
    <n v="46.583000000000006"/>
    <n v="45.108999999999995"/>
    <n v="55.353999999999999"/>
    <n v="45.51"/>
    <n v="26.798999999999999"/>
    <n v="42.317000000000007"/>
    <n v="43.260964285714287"/>
    <n v="5.4076205357142859"/>
  </r>
  <r>
    <n v="84"/>
    <x v="7"/>
    <s v="EVCS-290010"/>
    <x v="70"/>
    <s v="Trinity"/>
    <s v="Public-Paid"/>
    <s v="3.3KW"/>
    <s v="OCPP"/>
    <n v="6"/>
    <x v="2"/>
    <n v="21.434000000000001"/>
    <n v="6.8949999999999996"/>
    <n v="17.11"/>
    <n v="21.721"/>
    <n v="8.6939999999999991"/>
    <n v="22.1"/>
    <n v="24.16"/>
    <n v="24.061"/>
    <n v="19.93"/>
    <n v="16.236000000000001"/>
    <n v="8.2070000000000007"/>
    <n v="24.149000000000001"/>
    <n v="16.080000000000002"/>
    <n v="7.9379999999999997"/>
    <n v="12.314000000000002"/>
    <n v="18.420999999999999"/>
    <n v="17.744999999999997"/>
    <n v="15.047000000000001"/>
    <n v="1.9059999999999999"/>
    <n v="14.425000000000001"/>
    <n v="1.617"/>
    <n v="11.795"/>
    <n v="20.446999999999999"/>
    <n v="16.417000000000002"/>
    <n v="11.850000000000001"/>
    <n v="14.317"/>
    <n v="7.4740000000000002"/>
    <n v="9.3509999999999991"/>
    <n v="14.708607142857145"/>
    <n v="2.4514345238095241"/>
  </r>
  <r>
    <n v="85"/>
    <x v="7"/>
    <s v="EVCS-290011"/>
    <x v="71"/>
    <s v="Trinity"/>
    <s v="Public-Paid"/>
    <s v="3.3KW"/>
    <s v="OCPP"/>
    <n v="2"/>
    <x v="2"/>
    <n v="0"/>
    <n v="0"/>
    <n v="0"/>
    <n v="0"/>
    <n v="0"/>
    <n v="0"/>
    <n v="7.29"/>
    <n v="16.809999999999999"/>
    <n v="0"/>
    <n v="0"/>
    <n v="0"/>
    <n v="0"/>
    <n v="0"/>
    <n v="0.152"/>
    <n v="10.797000000000001"/>
    <n v="13.824999999999999"/>
    <n v="0"/>
    <n v="14.878"/>
    <n v="13.321000000000002"/>
    <n v="0"/>
    <n v="6.0000000000000001E-3"/>
    <n v="17.802"/>
    <n v="0"/>
    <n v="1.3499999999999999"/>
    <n v="21.837"/>
    <n v="6.1559999999999997"/>
    <n v="6.612000000000001"/>
    <n v="0"/>
    <n v="4.672714285714286"/>
    <n v="2.336357142857143"/>
  </r>
  <r>
    <n v="86"/>
    <x v="7"/>
    <m/>
    <x v="72"/>
    <s v="Trinity"/>
    <s v="Public-Paid"/>
    <s v="15KW"/>
    <s v="DC Charger"/>
    <n v="1"/>
    <x v="3"/>
    <m/>
    <m/>
    <m/>
    <m/>
    <m/>
    <m/>
    <m/>
    <n v="0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047619047619048E-3"/>
    <n v="1.9047619047619048E-3"/>
  </r>
  <r>
    <n v="86"/>
    <x v="7"/>
    <m/>
    <x v="73"/>
    <s v="Trinity"/>
    <s v="Public-Paid"/>
    <s v="22 kw"/>
    <s v="OCPP"/>
    <n v="2"/>
    <x v="3"/>
    <m/>
    <m/>
    <m/>
    <m/>
    <m/>
    <m/>
    <m/>
    <m/>
    <m/>
    <m/>
    <m/>
    <m/>
    <m/>
    <m/>
    <m/>
    <m/>
    <m/>
    <m/>
    <m/>
    <m/>
    <m/>
    <m/>
    <m/>
    <m/>
    <m/>
    <m/>
    <n v="1.0069999999999999"/>
    <n v="0"/>
    <n v="0.50349999999999995"/>
    <n v="0.25174999999999997"/>
  </r>
  <r>
    <n v="87"/>
    <x v="8"/>
    <s v="EVCS-330003"/>
    <x v="74"/>
    <s v="Trinity"/>
    <s v="Public-Paid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x v="9"/>
    <s v="EVCS-330002"/>
    <x v="75"/>
    <s v="Flipkart"/>
    <s v="Public-Paid"/>
    <s v="3.3KW"/>
    <s v="OCPP"/>
    <n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10"/>
    <s v="EVCS-330004"/>
    <x v="7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29999999999999"/>
    <n v="15.221000000000002"/>
    <n v="0.58692857142857147"/>
    <n v="0.58692857142857147"/>
  </r>
  <r>
    <n v="90"/>
    <x v="11"/>
    <s v="EVCS-330005"/>
    <x v="7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2.48"/>
    <n v="0"/>
    <n v="0"/>
    <n v="0"/>
    <n v="0"/>
    <n v="0"/>
    <n v="0"/>
    <n v="0"/>
    <n v="0"/>
    <n v="0"/>
    <n v="0.64"/>
    <n v="0"/>
    <n v="0"/>
    <n v="0"/>
    <n v="0"/>
    <n v="0.11142857142857143"/>
    <n v="0.11142857142857143"/>
  </r>
  <r>
    <n v="91"/>
    <x v="12"/>
    <s v="EVCS-320003"/>
    <x v="78"/>
    <s v="Trinity"/>
    <s v="Public-Paid"/>
    <s v="15KW"/>
    <s v="DC Charger"/>
    <n v="1"/>
    <x v="0"/>
    <n v="0"/>
    <n v="0"/>
    <n v="0"/>
    <n v="8.7889999999999997"/>
    <n v="19.939999999999998"/>
    <n v="0"/>
    <n v="0"/>
    <n v="0"/>
    <n v="0"/>
    <n v="0"/>
    <n v="0"/>
    <n v="0"/>
    <n v="0"/>
    <n v="0"/>
    <n v="0"/>
    <n v="0"/>
    <n v="0"/>
    <n v="0"/>
    <n v="0"/>
    <n v="0.95099999999999996"/>
    <n v="0"/>
    <n v="0"/>
    <n v="0"/>
    <n v="0"/>
    <n v="7.4489999999999998"/>
    <n v="0"/>
    <n v="0"/>
    <n v="0"/>
    <n v="1.3260357142857142"/>
    <n v="1.3260357142857142"/>
  </r>
  <r>
    <n v="92"/>
    <x v="13"/>
    <m/>
    <x v="79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14"/>
    <s v="EVCS-270011"/>
    <x v="8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5.22"/>
    <n v="0"/>
    <n v="0"/>
    <n v="0"/>
    <n v="0"/>
    <n v="0"/>
    <n v="3.6399999999999997"/>
    <n v="0"/>
    <n v="0"/>
    <n v="2.2600000000000002"/>
    <n v="0"/>
    <n v="0"/>
    <n v="11.231"/>
    <n v="0"/>
    <n v="0"/>
    <n v="0"/>
    <n v="0"/>
    <n v="0"/>
    <n v="0.79825000000000002"/>
    <n v="0.79825000000000002"/>
  </r>
  <r>
    <n v="94"/>
    <x v="15"/>
    <s v="EVCS-270005"/>
    <x v="81"/>
    <s v="ETO"/>
    <s v="Public-Paid"/>
    <s v="3.3KW"/>
    <s v="OCPP"/>
    <n v="20"/>
    <x v="1"/>
    <n v="25.492999999999999"/>
    <n v="36.865000000000002"/>
    <n v="38.326999999999998"/>
    <n v="24.149000000000001"/>
    <n v="10.913"/>
    <n v="100.075"/>
    <n v="51.359999999999992"/>
    <n v="57.054999999999993"/>
    <n v="46.731999999999999"/>
    <n v="42.000999999999991"/>
    <n v="46.966000000000001"/>
    <n v="31.774000000000001"/>
    <n v="23.684000000000001"/>
    <n v="31.636000000000003"/>
    <n v="0.36199999999999999"/>
    <n v="0"/>
    <n v="10.802"/>
    <n v="22.326999999999998"/>
    <n v="15.092000000000001"/>
    <n v="13.581999999999999"/>
    <n v="24.314"/>
    <n v="8.2070000000000007"/>
    <n v="0"/>
    <n v="0"/>
    <n v="24.263000000000002"/>
    <n v="0"/>
    <n v="7.4669999999999996"/>
    <n v="162.702"/>
    <n v="30.576714285714282"/>
    <n v="1.5288357142857141"/>
  </r>
  <r>
    <n v="95"/>
    <x v="15"/>
    <s v="EVCS-270007"/>
    <x v="82"/>
    <s v="ETO"/>
    <s v="Public-Paid"/>
    <s v="3.3KW"/>
    <s v="OCPP"/>
    <n v="3"/>
    <x v="1"/>
    <n v="28.405000000000001"/>
    <n v="39.488"/>
    <n v="39.070999999999998"/>
    <n v="37.108000000000004"/>
    <n v="29.478999999999999"/>
    <n v="42.55"/>
    <n v="35.942"/>
    <n v="20.853999999999999"/>
    <n v="31.962"/>
    <n v="19.125"/>
    <n v="34.668000000000006"/>
    <n v="10.373000000000001"/>
    <n v="13.24"/>
    <n v="11.920999999999999"/>
    <n v="6.4809999999999999"/>
    <n v="13.234999999999999"/>
    <n v="15.843"/>
    <n v="11.192"/>
    <n v="0"/>
    <n v="7.0520000000000005"/>
    <n v="7.9020000000000001"/>
    <n v="10.431999999999999"/>
    <n v="6.5590000000000002"/>
    <n v="14.164000000000001"/>
    <n v="4.875"/>
    <n v="8.827"/>
    <n v="7.8970000000000002"/>
    <n v="12.285"/>
    <n v="18.60464285714286"/>
    <n v="6.20154761904762"/>
  </r>
  <r>
    <n v="96"/>
    <x v="16"/>
    <s v="EVCS-100003"/>
    <x v="83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17"/>
    <s v="EVCS-080001"/>
    <x v="8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18"/>
    <s v="EVCS-270008"/>
    <x v="85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x v="19"/>
    <s v="EVCS-180001"/>
    <x v="86"/>
    <s v="Trinity"/>
    <s v="Public-Paid"/>
    <s v="15KW"/>
    <s v="DC Charger"/>
    <n v="1"/>
    <x v="0"/>
    <n v="0"/>
    <n v="0"/>
    <n v="0"/>
    <n v="0"/>
    <n v="18.792999999999999"/>
    <n v="0"/>
    <n v="0"/>
    <n v="0"/>
    <n v="0"/>
    <n v="0"/>
    <n v="2.04"/>
    <n v="0"/>
    <n v="0"/>
    <n v="7.7320000000000002"/>
    <n v="0"/>
    <n v="0"/>
    <n v="0"/>
    <n v="0"/>
    <n v="0"/>
    <n v="0"/>
    <n v="0"/>
    <n v="0"/>
    <n v="0"/>
    <n v="0"/>
    <n v="39.984000000000002"/>
    <n v="20.050999999999998"/>
    <n v="0"/>
    <n v="0"/>
    <n v="3.1642857142857146"/>
    <n v="3.1642857142857146"/>
  </r>
  <r>
    <n v="100"/>
    <x v="20"/>
    <s v="EVCS-180002"/>
    <x v="87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2.7519999999999998"/>
    <n v="0"/>
    <n v="0"/>
    <n v="0"/>
    <n v="0"/>
    <n v="0"/>
    <n v="0"/>
    <n v="0"/>
    <n v="0"/>
    <n v="0"/>
    <n v="0"/>
    <n v="0"/>
    <n v="0"/>
    <n v="0"/>
    <n v="9.8285714285714282E-2"/>
    <n v="9.8285714285714282E-2"/>
  </r>
  <r>
    <n v="101"/>
    <x v="21"/>
    <m/>
    <x v="88"/>
    <s v="Trinity"/>
    <s v="Public-Paid"/>
    <s v="15KW"/>
    <s v="DC Charger"/>
    <n v="2"/>
    <x v="3"/>
    <n v="5.57"/>
    <n v="0"/>
    <n v="0"/>
    <n v="0"/>
    <n v="0"/>
    <n v="0"/>
    <n v="0"/>
    <n v="0"/>
    <n v="0"/>
    <n v="0"/>
    <n v="0"/>
    <n v="0"/>
    <n v="0"/>
    <n v="33.26"/>
    <n v="26.659999999999997"/>
    <n v="0"/>
    <n v="0"/>
    <n v="28.81"/>
    <n v="29.49"/>
    <n v="39.489999999999995"/>
    <n v="18.52"/>
    <n v="0"/>
    <n v="0"/>
    <n v="7.58"/>
    <n v="21.490000000000002"/>
    <n v="0"/>
    <n v="12.66"/>
    <n v="15.149999999999999"/>
    <n v="8.524285714285714"/>
    <n v="4.262142857142857"/>
  </r>
  <r>
    <n v="102"/>
    <x v="22"/>
    <s v="EVCS-190001"/>
    <x v="89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"/>
    <x v="23"/>
    <s v="EVCS-190002"/>
    <x v="90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x v="24"/>
    <s v="EVCS-270010"/>
    <x v="91"/>
    <s v="Trinity"/>
    <s v="Public-Paid"/>
    <s v="15KW"/>
    <s v="DC Charger"/>
    <n v="1"/>
    <x v="0"/>
    <n v="15.530000000000001"/>
    <n v="0"/>
    <n v="0"/>
    <n v="0"/>
    <n v="0"/>
    <n v="7.09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817857142857152"/>
    <n v="0.80817857142857152"/>
  </r>
  <r>
    <n v="105"/>
    <x v="25"/>
    <s v="EVCS-270012"/>
    <x v="92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x v="26"/>
    <s v="EVCS-240004"/>
    <x v="93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x v="27"/>
    <s v="EVCS-230001"/>
    <x v="94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x v="28"/>
    <s v="EVCS-320002"/>
    <x v="95"/>
    <s v="Trinity"/>
    <s v="Public-Paid"/>
    <s v="15KW"/>
    <s v="DC Charger"/>
    <n v="1"/>
    <x v="0"/>
    <n v="0"/>
    <n v="0"/>
    <n v="0"/>
    <n v="0"/>
    <n v="4.73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892857142857146"/>
    <n v="0.16892857142857146"/>
  </r>
  <r>
    <n v="109"/>
    <x v="29"/>
    <s v="EVCS-220001"/>
    <x v="96"/>
    <s v="Trinity"/>
    <s v="Public-Paid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30"/>
    <s v="EVCS-240003"/>
    <x v="97"/>
    <s v="SOU"/>
    <s v="Public-Paid"/>
    <s v="3.3KW"/>
    <s v="OCPP"/>
    <n v="40"/>
    <x v="1"/>
    <n v="449.59699999999998"/>
    <n v="463.11999999999983"/>
    <n v="323.30700000000007"/>
    <n v="113.32299999999999"/>
    <n v="391.25700000000006"/>
    <n v="366.54699999999997"/>
    <n v="317.54299999999995"/>
    <n v="471.71900000000005"/>
    <n v="513.928"/>
    <n v="310.23099999999988"/>
    <n v="140.14100000000002"/>
    <n v="379.91099999999994"/>
    <n v="374.84699999999998"/>
    <n v="269.815"/>
    <n v="417.51100000000014"/>
    <n v="369.51400000000007"/>
    <n v="341.84300000000002"/>
    <n v="121.464"/>
    <n v="371.89900000000011"/>
    <n v="365.33800000000014"/>
    <n v="361.18399999999991"/>
    <n v="398.20799999999991"/>
    <n v="398.69800000000004"/>
    <n v="333.14699999999999"/>
    <n v="135.65799999999996"/>
    <n v="304.23099999999999"/>
    <n v="291.42500000000018"/>
    <n v="147.334"/>
    <n v="330.09785714285715"/>
    <n v="8.2524464285714281"/>
  </r>
  <r>
    <n v="111"/>
    <x v="31"/>
    <m/>
    <x v="98"/>
    <s v="Trinity"/>
    <s v="Public-Paid"/>
    <s v="30KW"/>
    <s v="DC Charger"/>
    <n v="1"/>
    <x v="3"/>
    <m/>
    <m/>
    <m/>
    <m/>
    <m/>
    <m/>
    <m/>
    <n v="13.86"/>
    <n v="19"/>
    <n v="0"/>
    <n v="11.7"/>
    <n v="22.099999999999998"/>
    <n v="1.07"/>
    <n v="0"/>
    <n v="9.16"/>
    <n v="4.82"/>
    <n v="20.09"/>
    <n v="13.55"/>
    <n v="37.89"/>
    <n v="0"/>
    <n v="21.39"/>
    <n v="21.65"/>
    <n v="15.89"/>
    <n v="26.64"/>
    <n v="31.419999999999998"/>
    <n v="28.36"/>
    <n v="26.61"/>
    <n v="0"/>
    <n v="15.485714285714288"/>
    <n v="15.485714285714288"/>
  </r>
  <r>
    <n v="111"/>
    <x v="32"/>
    <m/>
    <x v="99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</r>
  <r>
    <n v="112"/>
    <x v="33"/>
    <s v="EVCS-090001"/>
    <x v="100"/>
    <s v="ETO"/>
    <s v="Public-Paid"/>
    <s v="3.3KW"/>
    <s v="OCPP"/>
    <n v="19"/>
    <x v="1"/>
    <n v="0"/>
    <n v="0"/>
    <n v="0"/>
    <n v="0"/>
    <n v="0"/>
    <n v="0"/>
    <n v="0"/>
    <n v="0"/>
    <n v="5.69999999999999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357142857142857E-3"/>
    <n v="1.0714285714285714E-4"/>
  </r>
  <r>
    <n v="113"/>
    <x v="34"/>
    <s v="EVCS-090003"/>
    <x v="101"/>
    <s v="Mahagun Hotel"/>
    <s v="Public-Paid"/>
    <s v="7.4KW"/>
    <s v="OCPP"/>
    <n v="2"/>
    <x v="0"/>
    <n v="0"/>
    <n v="37.93"/>
    <n v="0"/>
    <n v="0"/>
    <n v="32.966000000000001"/>
    <n v="0"/>
    <n v="0"/>
    <n v="0"/>
    <n v="32.624000000000002"/>
    <n v="0"/>
    <n v="0"/>
    <n v="32.325000000000003"/>
    <n v="0"/>
    <n v="4.5609999999999999"/>
    <n v="36.093000000000004"/>
    <n v="0"/>
    <n v="31.547000000000001"/>
    <n v="0"/>
    <n v="0"/>
    <n v="0"/>
    <n v="34.941000000000003"/>
    <n v="39.71"/>
    <n v="0"/>
    <n v="64.295000000000002"/>
    <n v="13.525"/>
    <n v="36.014000000000003"/>
    <n v="11.929"/>
    <n v="0"/>
    <n v="14.587857142857143"/>
    <n v="7.2939285714285713"/>
  </r>
  <r>
    <n v="114"/>
    <x v="35"/>
    <s v="EVCS-090005"/>
    <x v="102"/>
    <s v="Trinity"/>
    <s v="Public-Paid"/>
    <s v="3.3KW"/>
    <s v="OCPP"/>
    <n v="6"/>
    <x v="1"/>
    <n v="168.32000000000002"/>
    <n v="128.465"/>
    <n v="116.07500000000002"/>
    <n v="48.638999999999982"/>
    <n v="28.983999999999998"/>
    <n v="114.31399999999999"/>
    <n v="83.316000000000003"/>
    <n v="67.100000000000023"/>
    <n v="59.79"/>
    <n v="42.876999999999995"/>
    <n v="54.466999999999999"/>
    <n v="37.10199999999999"/>
    <n v="47.495999999999995"/>
    <n v="31.416999999999998"/>
    <n v="28.887"/>
    <n v="28.54600000000001"/>
    <n v="14.923999999999998"/>
    <n v="21.765000000000001"/>
    <n v="22.382999999999999"/>
    <n v="5.58"/>
    <n v="11.483000000000001"/>
    <n v="11"/>
    <n v="3.4950000000000001"/>
    <n v="13.821"/>
    <n v="6.5950000000000006"/>
    <n v="2.7450000000000001"/>
    <n v="2.7850000000000001"/>
    <n v="21.146000000000004"/>
    <n v="43.697035714285697"/>
    <n v="7.2828392857142825"/>
  </r>
  <r>
    <n v="115"/>
    <x v="35"/>
    <s v="EVCS-090006"/>
    <x v="103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"/>
    <x v="35"/>
    <s v="EVCS-090007"/>
    <x v="104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"/>
    <x v="35"/>
    <s v="EVCS-090008"/>
    <x v="10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"/>
    <n v="0"/>
    <n v="0"/>
    <n v="0"/>
    <n v="0"/>
    <n v="0"/>
    <n v="0"/>
    <n v="0"/>
    <n v="0"/>
    <n v="0"/>
    <n v="2.5714285714285714E-2"/>
    <n v="2.5714285714285714E-2"/>
  </r>
  <r>
    <n v="118"/>
    <x v="36"/>
    <s v="EVCS-090009"/>
    <x v="106"/>
    <s v="Trinity"/>
    <s v="Public-Paid"/>
    <s v="3.3KW"/>
    <s v="OCPP"/>
    <n v="15"/>
    <x v="2"/>
    <n v="356.56199999999995"/>
    <n v="272.57400000000007"/>
    <n v="174.82599999999996"/>
    <n v="209.851"/>
    <n v="305.63700000000011"/>
    <n v="344.84500000000003"/>
    <n v="361.22700000000015"/>
    <n v="300.78499999999997"/>
    <n v="276.06700000000006"/>
    <n v="393.3060000000001"/>
    <n v="342.21999999999991"/>
    <n v="298.97300000000001"/>
    <n v="342.00200000000007"/>
    <n v="373.89799999999997"/>
    <n v="300.59000000000009"/>
    <n v="301.5329999999999"/>
    <n v="301.73900000000003"/>
    <n v="289.93900000000008"/>
    <n v="246.70400000000004"/>
    <n v="261.27900000000005"/>
    <n v="291.88900000000001"/>
    <n v="264.04699999999997"/>
    <n v="252.15699999999998"/>
    <n v="267.55899999999997"/>
    <n v="268.88000000000011"/>
    <n v="241.14000000000004"/>
    <n v="266.92000000000007"/>
    <n v="271.77400000000011"/>
    <n v="292.1043928571429"/>
    <n v="19.473626190476192"/>
  </r>
  <r>
    <n v="119"/>
    <x v="36"/>
    <s v="EVCS-090009"/>
    <x v="107"/>
    <s v="Trinity"/>
    <s v="Public-Paid"/>
    <s v="12KW"/>
    <s v="DC Charger"/>
    <n v="1"/>
    <x v="2"/>
    <n v="0"/>
    <n v="0"/>
    <n v="0"/>
    <n v="17.550000000000004"/>
    <n v="38.85"/>
    <n v="39.729999999999997"/>
    <n v="29.27"/>
    <n v="30.11"/>
    <n v="0"/>
    <n v="0"/>
    <n v="0.01"/>
    <n v="0"/>
    <n v="0"/>
    <n v="0"/>
    <n v="0"/>
    <n v="0"/>
    <n v="19.509999999999998"/>
    <n v="41.720000000000006"/>
    <n v="18.669999999999998"/>
    <n v="0"/>
    <n v="0"/>
    <n v="0"/>
    <n v="0"/>
    <n v="7.73"/>
    <n v="17.850000000000001"/>
    <n v="30.57"/>
    <n v="23.32"/>
    <n v="9.43"/>
    <n v="11.58285714285714"/>
    <n v="11.58285714285714"/>
  </r>
  <r>
    <n v="120"/>
    <x v="37"/>
    <s v="EVCS-070004"/>
    <x v="108"/>
    <s v="ETO"/>
    <s v="Public-Paid"/>
    <s v="3.3KW"/>
    <s v="OCPP"/>
    <n v="5"/>
    <x v="1"/>
    <n v="21.577000000000002"/>
    <n v="19.689"/>
    <n v="27.951999999999998"/>
    <n v="30.368000000000002"/>
    <n v="4.4510000000000005"/>
    <n v="33.417000000000002"/>
    <n v="29.401"/>
    <n v="21.699000000000002"/>
    <n v="7.0589999999999993"/>
    <n v="23.491"/>
    <n v="22.795999999999999"/>
    <n v="8.8169999999999984"/>
    <n v="25.103999999999999"/>
    <n v="15.656000000000001"/>
    <n v="20.292999999999999"/>
    <n v="26.151000000000003"/>
    <n v="20.818999999999999"/>
    <n v="14.737000000000002"/>
    <n v="24.904999999999998"/>
    <n v="20.171999999999997"/>
    <n v="16.274000000000004"/>
    <n v="13.276"/>
    <n v="10.314"/>
    <n v="30.085999999999999"/>
    <n v="17.166"/>
    <n v="13.62"/>
    <n v="22.021000000000001"/>
    <n v="11.690000000000001"/>
    <n v="19.750035714285719"/>
    <n v="3.9500071428571437"/>
  </r>
  <r>
    <n v="121"/>
    <x v="37"/>
    <s v="EVCS-070007"/>
    <x v="109"/>
    <s v="ETO"/>
    <s v="Public-Paid"/>
    <s v="3.3KW"/>
    <s v="OCPP"/>
    <n v="16"/>
    <x v="1"/>
    <n v="108.72300000000001"/>
    <n v="71.582999999999998"/>
    <n v="64.303999999999988"/>
    <n v="79.048999999999992"/>
    <n v="55.969000000000008"/>
    <n v="123.17599999999996"/>
    <n v="108.13299999999998"/>
    <n v="107.361"/>
    <n v="102.56299999999999"/>
    <n v="100.22200000000001"/>
    <n v="92.054000000000002"/>
    <n v="127.45399999999998"/>
    <n v="122.94799999999999"/>
    <n v="166.07199999999997"/>
    <n v="121.01300000000001"/>
    <n v="78.135999999999996"/>
    <n v="158.381"/>
    <n v="144.77200000000002"/>
    <n v="142.44000000000003"/>
    <n v="189.41200000000001"/>
    <n v="216.14199999999997"/>
    <n v="153.65400000000002"/>
    <n v="126.3"/>
    <n v="149.339"/>
    <n v="127.089"/>
    <n v="143.69699999999997"/>
    <n v="88.97999999999999"/>
    <n v="112.04700000000001"/>
    <n v="120.75046428571427"/>
    <n v="7.546904017857142"/>
  </r>
  <r>
    <n v="122"/>
    <x v="37"/>
    <s v="EVCS-070008"/>
    <x v="110"/>
    <s v="ETO"/>
    <s v="Public-Paid"/>
    <s v="3.3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37"/>
    <s v="EVCS-070009"/>
    <x v="111"/>
    <s v="ETO"/>
    <s v="Public-Paid"/>
    <s v="3.3KW"/>
    <s v="OCPP"/>
    <n v="13"/>
    <x v="1"/>
    <n v="164.03000000000003"/>
    <n v="168.67000000000002"/>
    <n v="139.161"/>
    <n v="113.05200000000004"/>
    <n v="144.63200000000001"/>
    <n v="93.494000000000014"/>
    <n v="195.89200000000005"/>
    <n v="175.62700000000001"/>
    <n v="123.011"/>
    <n v="183.88499999999999"/>
    <n v="174.95400000000001"/>
    <n v="175.77799999999999"/>
    <n v="151.07599999999999"/>
    <n v="179.99900000000002"/>
    <n v="143.66500000000002"/>
    <n v="176.84100000000001"/>
    <n v="111.51600000000002"/>
    <n v="196.48300000000003"/>
    <n v="217.36700000000002"/>
    <n v="145.98299999999998"/>
    <n v="171.02100000000002"/>
    <n v="192.40300000000002"/>
    <n v="123.71000000000002"/>
    <n v="165.54900000000001"/>
    <n v="199.42100000000002"/>
    <n v="160.62800000000001"/>
    <n v="176.33400000000003"/>
    <n v="170.90500000000003"/>
    <n v="161.96739285714287"/>
    <n v="12.459030219780221"/>
  </r>
  <r>
    <n v="124"/>
    <x v="37"/>
    <s v="EVCS-070065"/>
    <x v="112"/>
    <s v="Trinity"/>
    <s v="Public-Paid"/>
    <s v="3.3KW"/>
    <s v="OCPP"/>
    <n v="15"/>
    <x v="2"/>
    <n v="2.9569999999999999"/>
    <n v="0"/>
    <n v="4.6040000000000001"/>
    <n v="0"/>
    <n v="0"/>
    <n v="0"/>
    <n v="0"/>
    <n v="0"/>
    <n v="0"/>
    <n v="0"/>
    <n v="0"/>
    <n v="0"/>
    <n v="0"/>
    <n v="0"/>
    <n v="2.1930000000000001"/>
    <n v="0"/>
    <n v="0"/>
    <n v="0"/>
    <n v="0"/>
    <n v="0"/>
    <n v="0"/>
    <n v="7.5679999999999996"/>
    <n v="10.434999999999999"/>
    <n v="38.894999999999996"/>
    <n v="40.112000000000002"/>
    <n v="14.019"/>
    <n v="36.542999999999999"/>
    <n v="22.334"/>
    <n v="6.4164285714285709"/>
    <n v="0.42776190476190473"/>
  </r>
  <r>
    <n v="125"/>
    <x v="37"/>
    <s v="EVCS-070010"/>
    <x v="113"/>
    <s v="ETO"/>
    <s v="Public-Paid"/>
    <s v="3.3KW"/>
    <s v="OCPP"/>
    <n v="20"/>
    <x v="1"/>
    <n v="515.88100000000009"/>
    <n v="428.35700000000008"/>
    <n v="406.51900000000006"/>
    <n v="394.90500000000003"/>
    <n v="412.89499999999992"/>
    <n v="303.92599999999999"/>
    <n v="411.52199999999993"/>
    <n v="406.12900000000008"/>
    <n v="476.1699999999999"/>
    <n v="414.56199999999995"/>
    <n v="383.07000000000016"/>
    <n v="361.77999999999992"/>
    <n v="471.29299999999995"/>
    <n v="481.07100000000003"/>
    <n v="378.42599999999987"/>
    <n v="519.66"/>
    <n v="438.13500000000005"/>
    <n v="404.298"/>
    <n v="509.36000000000018"/>
    <n v="464.75099999999992"/>
    <n v="500.49399999999997"/>
    <n v="438.08200000000016"/>
    <n v="484.85799999999989"/>
    <n v="381.52799999999996"/>
    <n v="480.21899999999994"/>
    <n v="470.1479999999998"/>
    <n v="477.13100000000003"/>
    <n v="457.40299999999996"/>
    <n v="438.30617857142852"/>
    <n v="21.915308928571427"/>
  </r>
  <r>
    <n v="126"/>
    <x v="37"/>
    <s v="EVCS-070066"/>
    <x v="114"/>
    <s v="ETO"/>
    <s v="Public-Paid"/>
    <s v="12KW"/>
    <s v="DC Charger"/>
    <n v="2"/>
    <x v="1"/>
    <n v="0"/>
    <n v="0"/>
    <n v="0"/>
    <n v="0"/>
    <n v="0"/>
    <n v="0"/>
    <n v="0"/>
    <n v="0"/>
    <n v="0"/>
    <n v="10.020000000000001"/>
    <n v="3.84"/>
    <n v="0"/>
    <n v="22.1"/>
    <n v="25.34"/>
    <n v="30.240000000000002"/>
    <n v="0"/>
    <n v="8.85"/>
    <n v="13.739999999999998"/>
    <n v="19.8"/>
    <n v="0"/>
    <n v="0"/>
    <n v="0"/>
    <n v="0"/>
    <n v="15.4"/>
    <n v="51.088999999999999"/>
    <n v="44.42"/>
    <n v="41.050000000000004"/>
    <n v="81.739999999999981"/>
    <n v="13.129607142857143"/>
    <n v="6.5648035714285715"/>
  </r>
  <r>
    <n v="127"/>
    <x v="37"/>
    <s v="EVCS-070011"/>
    <x v="115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x v="37"/>
    <s v="EVCS-070012"/>
    <x v="116"/>
    <s v="ETO"/>
    <s v="Public-Paid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x v="37"/>
    <s v="EVCS-070013"/>
    <x v="117"/>
    <s v="Trinity"/>
    <s v="Public-Paid"/>
    <s v="7.4KW"/>
    <s v="OCPP"/>
    <n v="2"/>
    <x v="0"/>
    <n v="0"/>
    <n v="0"/>
    <n v="0"/>
    <n v="0"/>
    <n v="0"/>
    <n v="0"/>
    <n v="19.884"/>
    <n v="0"/>
    <n v="0"/>
    <n v="0"/>
    <n v="0"/>
    <n v="13.233000000000001"/>
    <n v="2.9239999999999999"/>
    <n v="38.991999999999997"/>
    <n v="0"/>
    <n v="35.164000000000001"/>
    <n v="0"/>
    <n v="0"/>
    <n v="0"/>
    <n v="15.571"/>
    <n v="0"/>
    <n v="8.282"/>
    <n v="0"/>
    <n v="41.360999999999997"/>
    <n v="0"/>
    <n v="0"/>
    <n v="31.962"/>
    <n v="0"/>
    <n v="7.4061785714285708"/>
    <n v="3.7030892857142854"/>
  </r>
  <r>
    <n v="130"/>
    <x v="37"/>
    <s v="EVCS-070014"/>
    <x v="118"/>
    <m/>
    <s v="Private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"/>
    <x v="37"/>
    <s v="EVCS-070015"/>
    <x v="119"/>
    <s v="Trinity"/>
    <s v="Public-Free"/>
    <s v="3.3KW"/>
    <s v="OCPP"/>
    <n v="6"/>
    <x v="3"/>
    <n v="9.1769999999999996"/>
    <n v="0"/>
    <n v="9.3089999999999993"/>
    <n v="19.798999999999999"/>
    <n v="0"/>
    <n v="19.489000000000001"/>
    <n v="11.635000000000002"/>
    <n v="0"/>
    <n v="0"/>
    <n v="7.6470000000000002"/>
    <n v="15.631"/>
    <n v="7.5570000000000004"/>
    <n v="11.915000000000001"/>
    <n v="7.07"/>
    <n v="0"/>
    <n v="0"/>
    <n v="9.3120000000000012"/>
    <n v="4.6639999999999997"/>
    <n v="4.577"/>
    <n v="0"/>
    <n v="2.9390000000000001"/>
    <n v="5.6130000000000004"/>
    <n v="0"/>
    <n v="11.196000000000002"/>
    <n v="22.859000000000002"/>
    <n v="0"/>
    <n v="15.177"/>
    <n v="14.776"/>
    <n v="7.5122142857142862"/>
    <n v="1.2520357142857144"/>
  </r>
  <r>
    <n v="132"/>
    <x v="37"/>
    <s v="EVCS-070016"/>
    <x v="120"/>
    <s v="Trinity"/>
    <s v="Public-Paid"/>
    <s v="3.3KW"/>
    <s v="OCPP"/>
    <n v="20"/>
    <x v="2"/>
    <n v="131.89699999999999"/>
    <n v="103.49900000000001"/>
    <n v="119.16500000000001"/>
    <n v="166.71900000000002"/>
    <n v="87.537999999999997"/>
    <n v="106.28299999999999"/>
    <n v="175.29500000000007"/>
    <n v="156.506"/>
    <n v="158.69500000000002"/>
    <n v="169.79399999999998"/>
    <n v="133.791"/>
    <n v="140.697"/>
    <n v="147.929"/>
    <n v="172.52599999999998"/>
    <n v="137.99799999999999"/>
    <n v="137.08699999999999"/>
    <n v="159.29999999999998"/>
    <n v="178.45600000000002"/>
    <n v="150.75400000000002"/>
    <n v="178.084"/>
    <n v="179.24800000000005"/>
    <n v="154.65000000000003"/>
    <n v="149.13800000000001"/>
    <n v="181.43700000000004"/>
    <n v="132.99299999999997"/>
    <n v="113.07799999999999"/>
    <n v="150.60400000000001"/>
    <n v="170.64900000000003"/>
    <n v="147.99321428571426"/>
    <n v="7.3996607142857131"/>
  </r>
  <r>
    <n v="133"/>
    <x v="37"/>
    <s v="EVCS-070068"/>
    <x v="121"/>
    <s v="Trinity"/>
    <s v="Public-Paid"/>
    <s v="7.4KW"/>
    <s v="OCPP"/>
    <n v="1"/>
    <x v="0"/>
    <n v="7.81"/>
    <n v="27.604999999999997"/>
    <n v="0"/>
    <n v="0"/>
    <n v="0"/>
    <n v="21.496000000000002"/>
    <n v="9.141"/>
    <n v="31.664999999999999"/>
    <n v="0"/>
    <n v="11.96"/>
    <n v="19.518999999999998"/>
    <n v="12.1"/>
    <n v="17.125"/>
    <n v="0"/>
    <n v="14.526"/>
    <n v="30.943999999999996"/>
    <n v="0"/>
    <n v="0"/>
    <n v="0"/>
    <n v="0"/>
    <n v="12.07"/>
    <n v="18.835000000000001"/>
    <n v="0"/>
    <n v="0"/>
    <n v="0"/>
    <n v="0"/>
    <n v="0"/>
    <n v="18.762"/>
    <n v="9.0556428571428587"/>
    <n v="9.0556428571428587"/>
  </r>
  <r>
    <n v="134"/>
    <x v="37"/>
    <s v="EVCS-070068"/>
    <x v="121"/>
    <s v="Trinity"/>
    <s v="Public-Paid"/>
    <s v="12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5"/>
    <x v="37"/>
    <s v="EVCS-070063"/>
    <x v="122"/>
    <s v="Trinity"/>
    <s v="Public-Paid"/>
    <s v="3.3KW"/>
    <s v="OCPP"/>
    <n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6"/>
    <x v="37"/>
    <s v="EVCS-070017"/>
    <x v="123"/>
    <s v="Trinity"/>
    <s v="Public-Paid"/>
    <s v="3.3KW"/>
    <s v="OCPP"/>
    <n v="15"/>
    <x v="2"/>
    <n v="201.85400000000004"/>
    <n v="192.17900000000003"/>
    <n v="255.26100000000002"/>
    <n v="209.27300000000005"/>
    <n v="197.79999999999993"/>
    <n v="217.44800000000004"/>
    <n v="255.85300000000001"/>
    <n v="250.3550000000001"/>
    <n v="256.2240000000001"/>
    <n v="232.78100000000001"/>
    <n v="217.863"/>
    <n v="245.62200000000001"/>
    <n v="212.97499999999999"/>
    <n v="240.07799999999989"/>
    <n v="249.72600000000011"/>
    <n v="229.03100000000003"/>
    <n v="221.239"/>
    <n v="252.24599999999995"/>
    <n v="280.46300000000002"/>
    <n v="266.04500000000007"/>
    <n v="236.88399999999999"/>
    <n v="280.96799999999996"/>
    <n v="200.98000000000005"/>
    <n v="205.02"/>
    <n v="219.41299999999998"/>
    <n v="223.44799999999998"/>
    <n v="282.971"/>
    <n v="245.75600000000009"/>
    <n v="234.99128571428574"/>
    <n v="15.666085714285716"/>
  </r>
  <r>
    <n v="137"/>
    <x v="37"/>
    <s v="EVCS-070067"/>
    <x v="124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11.71"/>
    <n v="0"/>
    <n v="0"/>
    <n v="0"/>
    <n v="0"/>
    <n v="0"/>
    <n v="0"/>
    <n v="0"/>
    <n v="16.149999999999999"/>
    <n v="6.53"/>
    <n v="0"/>
    <n v="19.29"/>
    <n v="19.880000000000003"/>
    <n v="12.46"/>
    <n v="7.94"/>
    <n v="11.92"/>
    <n v="0"/>
    <n v="13.89"/>
    <n v="4.2775000000000007"/>
    <n v="4.2775000000000007"/>
  </r>
  <r>
    <n v="138"/>
    <x v="37"/>
    <s v="EVCS-070020"/>
    <x v="125"/>
    <s v="Trinity"/>
    <s v="Public-Paid"/>
    <s v="3.3KW"/>
    <s v="OCPP"/>
    <n v="4"/>
    <x v="0"/>
    <n v="0"/>
    <n v="0"/>
    <n v="0"/>
    <n v="0"/>
    <n v="0"/>
    <n v="0"/>
    <n v="2.4009999999999998"/>
    <n v="0"/>
    <n v="0"/>
    <n v="0"/>
    <n v="1.383"/>
    <n v="3.456"/>
    <n v="0"/>
    <n v="0"/>
    <n v="0"/>
    <n v="0"/>
    <n v="0"/>
    <n v="0"/>
    <n v="0"/>
    <n v="0"/>
    <n v="0"/>
    <n v="0"/>
    <n v="0"/>
    <n v="0"/>
    <n v="0"/>
    <n v="0"/>
    <n v="0"/>
    <n v="0"/>
    <n v="0.25857142857142856"/>
    <n v="6.4642857142857141E-2"/>
  </r>
  <r>
    <n v="139"/>
    <x v="37"/>
    <s v="EVCS-070020"/>
    <x v="125"/>
    <s v="Trinity"/>
    <s v="Public-Paid"/>
    <s v="7.4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0"/>
    <x v="37"/>
    <s v="EVCS-070002"/>
    <x v="126"/>
    <s v="BYPL MCD Parking"/>
    <s v="Public-Paid"/>
    <s v="3.3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1"/>
    <x v="37"/>
    <s v="EVCS-070022"/>
    <x v="12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2"/>
    <x v="37"/>
    <s v="EVCS-070023"/>
    <x v="12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3"/>
    <x v="37"/>
    <s v="EVCS-070023"/>
    <x v="128"/>
    <s v="BYPL MCD Parking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4"/>
    <x v="37"/>
    <s v="EVCS-070025"/>
    <x v="129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5"/>
    <x v="37"/>
    <s v="EVCS-070042"/>
    <x v="130"/>
    <s v="BYPL MCD Parking"/>
    <s v="Public-Paid"/>
    <s v="3.3KW"/>
    <s v="OCPP"/>
    <n v="3"/>
    <x v="0"/>
    <n v="12.052"/>
    <n v="21.710999999999999"/>
    <n v="9.1440000000000001"/>
    <n v="16.334"/>
    <n v="18.709"/>
    <n v="1.86"/>
    <n v="12.777999999999999"/>
    <n v="0.95199999999999996"/>
    <n v="21.542000000000002"/>
    <n v="8.6310000000000002"/>
    <n v="17.577999999999999"/>
    <n v="8.1980000000000004"/>
    <n v="15.952999999999999"/>
    <n v="17.405999999999999"/>
    <n v="0"/>
    <n v="9.9939999999999998"/>
    <n v="2.7850000000000001"/>
    <n v="8.6980000000000004"/>
    <n v="12.984"/>
    <n v="2.7170000000000001"/>
    <n v="9.5830000000000002"/>
    <n v="0"/>
    <n v="20.393000000000001"/>
    <n v="6.9939999999999998"/>
    <n v="20.237000000000002"/>
    <n v="15.147"/>
    <n v="10.843"/>
    <n v="21.184999999999999"/>
    <n v="11.586000000000002"/>
    <n v="3.8620000000000005"/>
  </r>
  <r>
    <n v="146"/>
    <x v="37"/>
    <s v="EVCS-070049"/>
    <x v="131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7"/>
    <x v="37"/>
    <s v="EVCS-070054"/>
    <x v="132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8"/>
    <x v="37"/>
    <s v="EVCS-070055"/>
    <x v="133"/>
    <s v="ETO"/>
    <s v="Public-Paid"/>
    <s v="3.3KW"/>
    <s v="OCPP"/>
    <n v="4"/>
    <x v="3"/>
    <n v="0"/>
    <n v="0"/>
    <n v="0"/>
    <n v="2.4359999999999999"/>
    <n v="0"/>
    <n v="0"/>
    <n v="1.5169999999999999"/>
    <n v="0"/>
    <n v="0"/>
    <n v="0"/>
    <n v="9.0519999999999996"/>
    <n v="1.5429999999999999"/>
    <n v="0"/>
    <n v="0"/>
    <n v="0"/>
    <n v="0"/>
    <n v="0"/>
    <n v="0"/>
    <n v="0"/>
    <n v="0"/>
    <n v="0"/>
    <n v="0"/>
    <n v="0"/>
    <n v="0"/>
    <n v="0"/>
    <n v="0"/>
    <n v="0"/>
    <n v="0"/>
    <n v="0.51957142857142846"/>
    <n v="0.12989285714285712"/>
  </r>
  <r>
    <n v="149"/>
    <x v="37"/>
    <s v="EVCS-070056"/>
    <x v="134"/>
    <s v="Trinity"/>
    <s v="Public-Paid"/>
    <s v="3.3KW"/>
    <s v="OCPP"/>
    <n v="15"/>
    <x v="2"/>
    <n v="61.406999999999996"/>
    <n v="40.967999999999996"/>
    <n v="47.542000000000002"/>
    <n v="38.378"/>
    <n v="27.388999999999996"/>
    <n v="17.643999999999998"/>
    <n v="40.384999999999998"/>
    <n v="57.587999999999994"/>
    <n v="42.926000000000002"/>
    <n v="49.355999999999995"/>
    <n v="73.427000000000007"/>
    <n v="30.306000000000001"/>
    <n v="64.731000000000009"/>
    <n v="61.329999999999991"/>
    <n v="60.515000000000001"/>
    <n v="44.802999999999997"/>
    <n v="73.858000000000004"/>
    <n v="66.994"/>
    <n v="106.303"/>
    <n v="90.477999999999994"/>
    <n v="67.703000000000003"/>
    <n v="88.503000000000014"/>
    <n v="67.289000000000016"/>
    <n v="92.024999999999991"/>
    <n v="101.69000000000001"/>
    <n v="85.091999999999999"/>
    <n v="69.426000000000002"/>
    <n v="87.925000000000011"/>
    <n v="62.71360714285715"/>
    <n v="4.1809071428571434"/>
  </r>
  <r>
    <n v="150"/>
    <x v="37"/>
    <s v="EVCS-070069"/>
    <x v="13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22.09"/>
    <n v="6.31"/>
    <n v="0"/>
    <n v="0"/>
    <n v="0"/>
    <n v="0"/>
    <n v="0"/>
    <n v="0"/>
    <n v="0"/>
    <n v="0"/>
    <n v="0"/>
    <n v="0"/>
    <n v="0"/>
    <n v="0"/>
    <n v="0"/>
    <n v="0"/>
    <n v="0"/>
    <n v="1.0142857142857142"/>
    <n v="1.0142857142857142"/>
  </r>
  <r>
    <n v="151"/>
    <x v="37"/>
    <s v="EVCS-070057"/>
    <x v="136"/>
    <s v="BRPL MCD Parking"/>
    <s v="Public-Free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14.783000000000001"/>
    <n v="0"/>
    <n v="13.996999999999998"/>
    <n v="4.1859999999999999"/>
    <n v="5.4790000000000001"/>
    <n v="0"/>
    <n v="0"/>
    <n v="7.2610000000000001"/>
    <n v="0"/>
    <n v="0"/>
    <n v="10.308999999999999"/>
    <n v="8.7149999999999999"/>
    <n v="2.3117857142857146"/>
    <n v="1.1558928571428573"/>
  </r>
  <r>
    <n v="152"/>
    <x v="37"/>
    <s v="EVCS-070058"/>
    <x v="137"/>
    <s v="Sold"/>
    <s v="Public-Free"/>
    <s v="3.3KW"/>
    <s v="OCPP"/>
    <n v="2"/>
    <x v="3"/>
    <n v="0"/>
    <n v="0"/>
    <n v="13.558"/>
    <n v="7.6980000000000004"/>
    <n v="0"/>
    <n v="10.009"/>
    <n v="0"/>
    <n v="0"/>
    <n v="0"/>
    <n v="8.5370000000000008"/>
    <n v="6.9550000000000001"/>
    <n v="6.4459999999999997"/>
    <n v="6.52"/>
    <n v="7.2409999999999997"/>
    <n v="0"/>
    <n v="0"/>
    <n v="0"/>
    <n v="12.786"/>
    <n v="0"/>
    <n v="0"/>
    <n v="11.98"/>
    <n v="0"/>
    <n v="0"/>
    <n v="0"/>
    <n v="0"/>
    <n v="0"/>
    <n v="11.515000000000001"/>
    <n v="0"/>
    <n v="3.6873214285714289"/>
    <n v="1.8436607142857144"/>
  </r>
  <r>
    <n v="153"/>
    <x v="37"/>
    <s v="EVCS-070059"/>
    <x v="138"/>
    <s v="BRPL MCD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0"/>
    <n v="0"/>
    <n v="3.5714285714285717E-5"/>
    <n v="3.5714285714285717E-5"/>
  </r>
  <r>
    <n v="154"/>
    <x v="37"/>
    <s v="EVCS-070060"/>
    <x v="139"/>
    <s v="Sold"/>
    <s v="Public-Free"/>
    <s v="3.3KW"/>
    <s v="OCPP"/>
    <n v="2"/>
    <x v="3"/>
    <n v="0"/>
    <n v="0"/>
    <n v="0"/>
    <n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714285714285716E-2"/>
    <n v="2.7857142857142858E-2"/>
  </r>
  <r>
    <n v="155"/>
    <x v="37"/>
    <s v="EVCS-070061"/>
    <x v="140"/>
    <s v="BSES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6"/>
    <x v="37"/>
    <s v="EVCS-070070"/>
    <x v="141"/>
    <s v="BSES Parking"/>
    <s v="Public-Free"/>
    <s v="3.3KW"/>
    <s v="OCPP"/>
    <n v="2"/>
    <x v="3"/>
    <n v="0"/>
    <n v="0"/>
    <n v="12.032"/>
    <n v="3.35"/>
    <n v="0"/>
    <n v="11.212"/>
    <n v="6.4060000000000006"/>
    <n v="0"/>
    <n v="0"/>
    <n v="9.3550000000000004"/>
    <n v="5.0309999999999997"/>
    <n v="0"/>
    <n v="6.28"/>
    <n v="3.7759999999999998"/>
    <n v="0"/>
    <n v="0"/>
    <n v="10.84"/>
    <n v="5.0209999999999999"/>
    <n v="9.3460000000000001"/>
    <n v="2.83"/>
    <n v="5.4109999999999996"/>
    <n v="0"/>
    <n v="0"/>
    <n v="12.667999999999999"/>
    <n v="0"/>
    <n v="0"/>
    <n v="8.6890000000000001"/>
    <n v="5.5039999999999996"/>
    <n v="4.2053928571428578"/>
    <n v="2.1026964285714289"/>
  </r>
  <r>
    <n v="157"/>
    <x v="37"/>
    <s v="EVCS-070062"/>
    <x v="142"/>
    <s v="Trinity"/>
    <s v="Public-Paid"/>
    <s v="3.3KW"/>
    <s v="OCPP"/>
    <n v="15"/>
    <x v="2"/>
    <n v="90.229000000000013"/>
    <n v="84.037000000000006"/>
    <n v="81.687999999999988"/>
    <n v="93.509"/>
    <n v="53.164999999999999"/>
    <n v="104.54200000000002"/>
    <n v="119.54900000000001"/>
    <n v="148.785"/>
    <n v="104.867"/>
    <n v="85.651999999999987"/>
    <n v="146.62199999999999"/>
    <n v="73.825999999999993"/>
    <n v="131.20599999999999"/>
    <n v="90.216999999999999"/>
    <n v="107.31899999999999"/>
    <n v="70.998000000000005"/>
    <n v="84.612000000000009"/>
    <n v="101.29199999999999"/>
    <n v="77.799000000000007"/>
    <n v="115.64500000000001"/>
    <n v="100.85300000000001"/>
    <n v="103.32"/>
    <n v="82.915000000000006"/>
    <n v="109.98399999999999"/>
    <n v="121.29300000000001"/>
    <n v="107.511"/>
    <n v="109.953"/>
    <n v="131.25700000000001"/>
    <n v="101.16589285714285"/>
    <n v="6.7443928571428566"/>
  </r>
  <r>
    <n v="158"/>
    <x v="37"/>
    <s v="EVCS-070064"/>
    <x v="143"/>
    <s v="Trinity"/>
    <s v="Public-Paid"/>
    <s v="12KW"/>
    <s v="DC Charger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40.949999999999996"/>
    <n v="37.230000000000004"/>
    <n v="42.629999999999995"/>
    <n v="35.15"/>
    <n v="43.25"/>
    <n v="24.86"/>
    <n v="19.13"/>
    <n v="0"/>
    <n v="19.789999999999996"/>
    <n v="0"/>
    <n v="0"/>
    <n v="0"/>
    <n v="9.3925000000000001"/>
    <n v="4.69625"/>
  </r>
  <r>
    <n v="159"/>
    <x v="37"/>
    <m/>
    <x v="144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0"/>
    <x v="37"/>
    <m/>
    <x v="145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1"/>
    <x v="37"/>
    <m/>
    <x v="146"/>
    <s v="MCD"/>
    <s v="Public-Paid"/>
    <s v="3.3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2"/>
    <x v="37"/>
    <m/>
    <x v="147"/>
    <m/>
    <s v="Public-Paid"/>
    <s v="3.3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3"/>
    <x v="37"/>
    <m/>
    <x v="148"/>
    <s v="ETO"/>
    <s v="Public-Free"/>
    <s v="3.3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4"/>
    <x v="37"/>
    <m/>
    <x v="149"/>
    <s v="ETO"/>
    <s v="Public-Free"/>
    <s v="3.3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5"/>
    <x v="38"/>
    <s v="EVCS-100002"/>
    <x v="150"/>
    <s v="Flipkart"/>
    <s v="Public-Paid"/>
    <s v="3.3KW"/>
    <s v="OCPP"/>
    <n v="7"/>
    <x v="0"/>
    <n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714285714285717E-5"/>
    <n v="5.1020408163265306E-6"/>
  </r>
  <r>
    <n v="166"/>
    <x v="38"/>
    <s v="EVCS-100001"/>
    <x v="151"/>
    <s v="Flipkart"/>
    <s v="Public-Paid"/>
    <s v="3.3KW"/>
    <s v="OCPP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n v="1"/>
    <x v="0"/>
    <s v="EVCS-360003"/>
    <x v="0"/>
    <s v="Amazon"/>
    <s v="Public-Paid"/>
    <s v="3.3 kW"/>
    <s v="OCPP"/>
    <n v="6"/>
    <x v="0"/>
    <n v="31.089999999999996"/>
    <n v="79.974000000000004"/>
    <n v="111.786"/>
    <n v="56.537000000000006"/>
    <n v="55.813999999999993"/>
    <n v="63.415999999999997"/>
    <n v="68.071999999999989"/>
    <n v="49.680000000000007"/>
    <n v="64.692000000000007"/>
    <n v="65.524000000000001"/>
    <n v="56.51"/>
    <n v="39.277000000000001"/>
    <n v="17.893999999999998"/>
    <n v="35.824000000000005"/>
    <n v="35.573"/>
    <n v="23.887"/>
    <n v="37.356000000000002"/>
    <n v="27.968000000000004"/>
    <n v="54.596999999999987"/>
    <n v="52.671999999999997"/>
    <n v="45.692000000000007"/>
    <n v="36.681000000000004"/>
    <n v="30.486000000000004"/>
    <n v="24.287000000000003"/>
    <n v="27.372999999999998"/>
    <n v="19.559000000000001"/>
    <n v="0"/>
    <n v="0"/>
    <n v="0"/>
    <n v="0"/>
    <n v="0"/>
    <n v="40.407366666666668"/>
    <n v="6.7345611111111117"/>
  </r>
  <r>
    <n v="2"/>
    <x v="0"/>
    <s v="EVCS-360004"/>
    <x v="1"/>
    <s v="Amazon"/>
    <s v="Public-Paid"/>
    <s v="3.3 kW"/>
    <s v="OCPP"/>
    <n v="9"/>
    <x v="0"/>
    <n v="204.72499999999997"/>
    <n v="204.06000000000006"/>
    <n v="179.66900000000004"/>
    <n v="215.89400000000003"/>
    <n v="232.38400000000004"/>
    <n v="204.85299999999998"/>
    <n v="170.35099999999989"/>
    <n v="191.7879999999999"/>
    <n v="192.83700000000005"/>
    <n v="168.68599999999998"/>
    <n v="167.14400000000001"/>
    <n v="176.32100000000003"/>
    <n v="210.60600000000005"/>
    <n v="182.47800000000001"/>
    <n v="167.73400000000004"/>
    <n v="200.983"/>
    <n v="163.58399999999992"/>
    <n v="182.44399999999993"/>
    <n v="193.666"/>
    <n v="192.62599999999995"/>
    <n v="194.72200000000001"/>
    <n v="182.99900000000011"/>
    <n v="163.78799999999993"/>
    <n v="205.28100000000003"/>
    <n v="171.96499999999995"/>
    <n v="154.16900000000001"/>
    <n v="184.74199999999996"/>
    <n v="191.22200000000004"/>
    <n v="186.50000000000006"/>
    <n v="159.51600000000002"/>
    <n v="173.95200000000006"/>
    <n v="186.59123333333329"/>
    <n v="20.732359259259255"/>
  </r>
  <r>
    <n v="3"/>
    <x v="0"/>
    <s v="EVCS-360005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s v="EVCS-360014"/>
    <x v="3"/>
    <s v="ETO"/>
    <s v="Public-Paid"/>
    <s v="3.3 kW"/>
    <s v="OCPP"/>
    <n v="8"/>
    <x v="1"/>
    <n v="98.52000000000001"/>
    <n v="88.146999999999991"/>
    <n v="116.916"/>
    <n v="78.667000000000002"/>
    <n v="93.38300000000001"/>
    <n v="124.64099999999999"/>
    <n v="92.787999999999997"/>
    <n v="77.564999999999998"/>
    <n v="114.20700000000001"/>
    <n v="101.453"/>
    <n v="110.749"/>
    <n v="81.254999999999995"/>
    <n v="159.21100000000001"/>
    <n v="99.803000000000011"/>
    <n v="140.554"/>
    <n v="50.738"/>
    <n v="95.733000000000018"/>
    <n v="86.271000000000001"/>
    <n v="132.601"/>
    <n v="112.22499999999999"/>
    <n v="93.681999999999988"/>
    <n v="35.325000000000003"/>
    <n v="60.803999999999995"/>
    <n v="102.89000000000001"/>
    <n v="122.611"/>
    <n v="87.5"/>
    <n v="104.301"/>
    <n v="68.295000000000002"/>
    <n v="106.54400000000001"/>
    <n v="83.293999999999983"/>
    <n v="104.33899999999998"/>
    <n v="97.355766666666625"/>
    <n v="12.169470833333328"/>
  </r>
  <r>
    <n v="5"/>
    <x v="0"/>
    <s v="EVCS-360017"/>
    <x v="4"/>
    <s v="Trinity"/>
    <s v="Public-Paid"/>
    <s v="3.3 kW"/>
    <s v="OCPP"/>
    <n v="29"/>
    <x v="2"/>
    <n v="980.63899999999967"/>
    <n v="886.50699999999961"/>
    <n v="969.05700000000002"/>
    <n v="827.50100000000009"/>
    <n v="918.03399999999954"/>
    <n v="952.50400000000025"/>
    <n v="949.09900000000027"/>
    <n v="668.25799999999981"/>
    <n v="935.06500000000005"/>
    <n v="743.77699999999993"/>
    <n v="865.40199999999993"/>
    <n v="1042.981"/>
    <n v="847.78099999999972"/>
    <n v="900.74599999999987"/>
    <n v="801.4079999999999"/>
    <n v="834.97199999999987"/>
    <n v="808.34100000000012"/>
    <n v="782.88"/>
    <n v="770.78500000000008"/>
    <n v="882.63500000000045"/>
    <n v="753.07200000000034"/>
    <n v="997.99900000000025"/>
    <n v="712.3520000000002"/>
    <n v="747.428"/>
    <n v="955.3119999999999"/>
    <n v="850.52099999999984"/>
    <n v="916.87699999999995"/>
    <n v="923.97099999999989"/>
    <n v="847.38399999999967"/>
    <n v="943.96199999999988"/>
    <n v="785.673"/>
    <n v="867.24166666666656"/>
    <n v="29.904885057471262"/>
  </r>
  <r>
    <n v="6"/>
    <x v="0"/>
    <s v="EVCS-360017"/>
    <x v="4"/>
    <s v="Trinity"/>
    <s v="Public-Paid"/>
    <s v="3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n v="0"/>
    <n v="0"/>
    <n v="0"/>
    <n v="1.3333333333333334E-2"/>
    <n v="1.3333333333333334E-2"/>
  </r>
  <r>
    <n v="7"/>
    <x v="0"/>
    <s v="EVCS-360017"/>
    <x v="4"/>
    <s v="Trinity"/>
    <s v="Public-Paid"/>
    <s v="12kW"/>
    <s v="DC Charger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s v="EVCS-360019"/>
    <x v="5"/>
    <s v="Trinity"/>
    <s v="Public-Paid"/>
    <s v="3.3 kW"/>
    <s v="OCPP"/>
    <n v="6"/>
    <x v="2"/>
    <n v="39.620999999999995"/>
    <n v="43.506999999999998"/>
    <n v="44.674000000000007"/>
    <n v="46.988"/>
    <n v="31.82"/>
    <n v="45.544999999999995"/>
    <n v="45.673000000000002"/>
    <n v="26.170999999999999"/>
    <n v="48.956999999999994"/>
    <n v="42.618000000000002"/>
    <n v="31.499999999999996"/>
    <n v="44.269000000000005"/>
    <n v="41.073999999999998"/>
    <n v="43.456000000000003"/>
    <n v="41.043999999999997"/>
    <n v="54.298000000000002"/>
    <n v="56.578000000000003"/>
    <n v="35.007999999999996"/>
    <n v="37.138999999999996"/>
    <n v="45.241"/>
    <n v="60.683"/>
    <n v="37.149000000000001"/>
    <n v="37.033000000000001"/>
    <n v="40.213000000000008"/>
    <n v="29.888000000000002"/>
    <n v="33.986999999999995"/>
    <n v="28.116000000000003"/>
    <n v="15.827000000000002"/>
    <n v="36.371000000000002"/>
    <n v="34.747"/>
    <n v="63.250999999999998"/>
    <n v="39.973166666666671"/>
    <n v="6.6621944444444452"/>
  </r>
  <r>
    <n v="9"/>
    <x v="0"/>
    <s v="EVCS-360020"/>
    <x v="6"/>
    <s v="ETO"/>
    <s v="Public-Paid"/>
    <s v="3.3 kW"/>
    <s v="OCPP"/>
    <n v="3"/>
    <x v="1"/>
    <n v="95.483000000000004"/>
    <n v="75.888999999999996"/>
    <n v="95.846000000000018"/>
    <n v="83.507000000000005"/>
    <n v="80.998000000000019"/>
    <n v="103.82600000000002"/>
    <n v="85.407000000000011"/>
    <n v="84.11"/>
    <n v="76.613"/>
    <n v="89.082000000000022"/>
    <n v="118.711"/>
    <n v="99.873000000000005"/>
    <n v="120.45700000000001"/>
    <n v="116.29399999999998"/>
    <n v="98.242000000000004"/>
    <n v="109.151"/>
    <n v="114.723"/>
    <n v="118.56599999999999"/>
    <n v="93.760999999999996"/>
    <n v="71.828999999999994"/>
    <n v="87.461999999999989"/>
    <n v="96.89800000000001"/>
    <n v="76.492999999999995"/>
    <n v="110.31200000000001"/>
    <n v="89.51"/>
    <n v="125.30699999999999"/>
    <n v="77.660999999999987"/>
    <n v="89.532000000000011"/>
    <n v="99.69"/>
    <n v="86.665999999999997"/>
    <n v="102.17099999999999"/>
    <n v="95.729966666666684"/>
    <n v="31.909988888888893"/>
  </r>
  <r>
    <n v="10"/>
    <x v="0"/>
    <s v="EVCS-360028"/>
    <x v="7"/>
    <s v="Trinity"/>
    <s v="Public-Free"/>
    <s v="3.3 kW"/>
    <s v="OCPP"/>
    <n v="1"/>
    <x v="3"/>
    <n v="0"/>
    <n v="0"/>
    <n v="0"/>
    <n v="0"/>
    <n v="0"/>
    <n v="0"/>
    <n v="0"/>
    <n v="0"/>
    <n v="0"/>
    <n v="0"/>
    <n v="0"/>
    <n v="3.3730000000000002"/>
    <n v="0"/>
    <n v="0"/>
    <n v="0"/>
    <n v="0"/>
    <n v="0"/>
    <n v="0"/>
    <n v="0"/>
    <n v="0"/>
    <n v="2.0139999999999998"/>
    <n v="0"/>
    <n v="0"/>
    <n v="0"/>
    <n v="3.3940000000000001"/>
    <n v="0"/>
    <n v="0"/>
    <n v="0"/>
    <n v="0"/>
    <n v="0"/>
    <n v="0"/>
    <n v="0.29270000000000002"/>
    <n v="0.29270000000000002"/>
  </r>
  <r>
    <n v="11"/>
    <x v="0"/>
    <s v="EVCS-360030"/>
    <x v="8"/>
    <s v="Trinity"/>
    <s v="Public-Paid"/>
    <s v="7.4 kW"/>
    <s v="OCPP"/>
    <n v="2"/>
    <x v="0"/>
    <n v="14.577"/>
    <n v="0"/>
    <n v="0"/>
    <n v="0"/>
    <n v="0"/>
    <n v="0"/>
    <n v="0"/>
    <n v="0"/>
    <n v="10.666"/>
    <n v="0"/>
    <n v="16.427"/>
    <n v="0"/>
    <n v="0"/>
    <n v="13.532"/>
    <n v="33.634"/>
    <n v="5.0999999999999997E-2"/>
    <n v="15.132"/>
    <n v="0"/>
    <n v="4.6040000000000001"/>
    <n v="0"/>
    <n v="0"/>
    <n v="0"/>
    <n v="0"/>
    <n v="0"/>
    <n v="2.371"/>
    <n v="0"/>
    <n v="0"/>
    <n v="7.468"/>
    <n v="0"/>
    <n v="0"/>
    <n v="0"/>
    <n v="3.9487333333333337"/>
    <n v="1.9743666666666668"/>
  </r>
  <r>
    <n v="12"/>
    <x v="0"/>
    <s v="EVCS-360030"/>
    <x v="8"/>
    <s v="Trinity"/>
    <s v="Public-Paid"/>
    <s v="15 kw"/>
    <s v="DC Charger"/>
    <n v="2"/>
    <x v="0"/>
    <n v="0"/>
    <n v="31.95"/>
    <n v="23.91"/>
    <n v="32.22"/>
    <n v="24.93"/>
    <n v="30.38"/>
    <n v="21.28"/>
    <n v="24.949999999999996"/>
    <n v="46.08"/>
    <n v="32.49"/>
    <n v="20.2"/>
    <n v="22.229999999999997"/>
    <n v="11.21"/>
    <n v="6.19"/>
    <n v="34.400000000000006"/>
    <n v="9.6300000000000008"/>
    <n v="26.22"/>
    <n v="0"/>
    <n v="0"/>
    <n v="0"/>
    <n v="0"/>
    <n v="4.26"/>
    <n v="5.84"/>
    <n v="0"/>
    <n v="0"/>
    <n v="0"/>
    <n v="0"/>
    <n v="0"/>
    <n v="0"/>
    <n v="0"/>
    <n v="0"/>
    <n v="13.612333333333332"/>
    <n v="6.806166666666666"/>
  </r>
  <r>
    <n v="13"/>
    <x v="0"/>
    <s v="EVCS-360031"/>
    <x v="9"/>
    <s v="Trinity"/>
    <s v="Public-Paid"/>
    <s v="3.3 kW"/>
    <s v="OCPP"/>
    <n v="7"/>
    <x v="2"/>
    <n v="38.466999999999992"/>
    <n v="192.876"/>
    <n v="63.797000000000004"/>
    <n v="116.87899999999999"/>
    <n v="144.60500000000002"/>
    <n v="91.74199999999999"/>
    <n v="52.097999999999999"/>
    <n v="88.64"/>
    <n v="120.74600000000001"/>
    <n v="95.609000000000009"/>
    <n v="185.04599999999999"/>
    <n v="56.646999999999998"/>
    <n v="116.523"/>
    <n v="114.43499999999999"/>
    <n v="100.51300000000001"/>
    <n v="69.789000000000001"/>
    <n v="109.38000000000001"/>
    <n v="89.656000000000006"/>
    <n v="120.611"/>
    <n v="97.632000000000005"/>
    <n v="131.95600000000002"/>
    <n v="100.232"/>
    <n v="88.056999999999988"/>
    <n v="82.027000000000001"/>
    <n v="54.607999999999997"/>
    <n v="79.709000000000003"/>
    <n v="75.076999999999998"/>
    <n v="122.14"/>
    <n v="159.065"/>
    <n v="122.18899999999998"/>
    <n v="104.801"/>
    <n v="102.6917"/>
    <n v="14.670242857142856"/>
  </r>
  <r>
    <n v="14"/>
    <x v="0"/>
    <s v="EVCS-360031"/>
    <x v="9"/>
    <s v="Trinity"/>
    <s v="Public-Paid"/>
    <s v="12kW"/>
    <s v="DC Charger"/>
    <n v="1"/>
    <x v="2"/>
    <n v="0"/>
    <n v="0"/>
    <n v="11.68"/>
    <n v="6.68"/>
    <n v="5.3"/>
    <n v="0"/>
    <n v="0"/>
    <n v="0"/>
    <n v="13.229999999999999"/>
    <n v="0"/>
    <n v="0"/>
    <n v="16.78"/>
    <n v="0"/>
    <n v="0"/>
    <n v="0"/>
    <n v="5.04"/>
    <n v="0"/>
    <n v="0"/>
    <n v="0"/>
    <n v="0"/>
    <n v="8.1300000000000008"/>
    <n v="8.06"/>
    <n v="0"/>
    <n v="4.12"/>
    <n v="0"/>
    <n v="0"/>
    <n v="0"/>
    <n v="1.1299999999999999"/>
    <n v="0"/>
    <n v="0"/>
    <n v="0"/>
    <n v="2.6716666666666669"/>
    <n v="2.6716666666666669"/>
  </r>
  <r>
    <n v="15"/>
    <x v="0"/>
    <s v="EVCS-360032"/>
    <x v="10"/>
    <s v="Trinity"/>
    <s v="Public-Paid"/>
    <s v="3.3 kW"/>
    <s v="OCPP"/>
    <n v="4"/>
    <x v="0"/>
    <n v="20.442999999999998"/>
    <n v="8.6590000000000007"/>
    <n v="19.236000000000001"/>
    <n v="19.78"/>
    <n v="27.106999999999996"/>
    <n v="29.581999999999994"/>
    <n v="14.087"/>
    <n v="21.588000000000001"/>
    <n v="26.08"/>
    <n v="7.1069999999999993"/>
    <n v="29.303000000000001"/>
    <n v="39.262999999999998"/>
    <n v="19.067"/>
    <n v="30.021999999999998"/>
    <n v="10.198"/>
    <n v="26.945"/>
    <n v="47.338999999999999"/>
    <n v="45.048999999999999"/>
    <n v="26.670999999999999"/>
    <n v="27.744"/>
    <n v="24.436"/>
    <n v="23.459999999999997"/>
    <n v="26.565000000000001"/>
    <n v="21.799000000000003"/>
    <n v="13.382999999999999"/>
    <n v="11.18"/>
    <n v="27.364000000000001"/>
    <n v="37.013999999999996"/>
    <n v="16.350999999999999"/>
    <n v="29.519999999999996"/>
    <n v="19.695"/>
    <n v="24.211400000000001"/>
    <n v="6.0528500000000003"/>
  </r>
  <r>
    <n v="16"/>
    <x v="0"/>
    <s v="EVCS-360032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EVCS-360034"/>
    <x v="11"/>
    <s v="Trinity"/>
    <s v="Public-Paid"/>
    <s v="3.3 kW"/>
    <s v="OCPP"/>
    <n v="19"/>
    <x v="2"/>
    <n v="137.024"/>
    <n v="118.10800000000003"/>
    <n v="187.15599999999998"/>
    <n v="150.208"/>
    <n v="134.34799999999998"/>
    <n v="124.22100000000003"/>
    <n v="157.21600000000001"/>
    <n v="174.55300000000003"/>
    <n v="190.93699999999998"/>
    <n v="217.72900000000004"/>
    <n v="193.33699999999996"/>
    <n v="195.64099999999999"/>
    <n v="211.42799999999994"/>
    <n v="226.01900000000003"/>
    <n v="164.48100000000002"/>
    <n v="214.27599999999995"/>
    <n v="211.65899999999996"/>
    <n v="184.97900000000001"/>
    <n v="221.46199999999996"/>
    <n v="186.346"/>
    <n v="173.95999999999998"/>
    <n v="236.48699999999999"/>
    <n v="214.13400000000004"/>
    <n v="262.31600000000009"/>
    <n v="159.11900000000003"/>
    <n v="176.97700000000006"/>
    <n v="208.79599999999994"/>
    <n v="219.47599999999994"/>
    <n v="170.34799999999998"/>
    <n v="189.77499999999998"/>
    <n v="204.60299999999998"/>
    <n v="187.08386666666667"/>
    <n v="9.8465192982456138"/>
  </r>
  <r>
    <n v="18"/>
    <x v="0"/>
    <s v="EVCS-360034"/>
    <x v="11"/>
    <s v="Trinity"/>
    <s v="Public-Paid"/>
    <s v="15kw"/>
    <s v="DC Charger"/>
    <n v="1"/>
    <x v="2"/>
    <n v="5.74"/>
    <n v="52.948999999999998"/>
    <n v="48.34"/>
    <n v="51.169999999999987"/>
    <n v="36.700000000000003"/>
    <n v="64.75"/>
    <n v="54.09"/>
    <n v="43.769999999999996"/>
    <n v="36.840000000000003"/>
    <n v="75.190000000000012"/>
    <n v="61.069999999999993"/>
    <n v="40.941000000000003"/>
    <n v="38.769000000000005"/>
    <n v="41.861000000000004"/>
    <n v="67.028999999999996"/>
    <n v="0"/>
    <n v="74.501000000000005"/>
    <n v="49.299000000000007"/>
    <n v="76.049999999999983"/>
    <n v="76.720999999999989"/>
    <n v="44.669999999999995"/>
    <n v="44.33"/>
    <n v="35.050000000000004"/>
    <n v="74.529999999999987"/>
    <n v="65.61"/>
    <n v="47.86"/>
    <n v="78.240000000000009"/>
    <n v="73.61999999999999"/>
    <n v="52.559999999999995"/>
    <n v="23.05"/>
    <n v="64.72999999999999"/>
    <n v="51.176666666666648"/>
    <n v="51.176666666666648"/>
  </r>
  <r>
    <n v="19"/>
    <x v="0"/>
    <s v="EVCS-360035"/>
    <x v="12"/>
    <s v="Trinity"/>
    <s v="Public-Paid"/>
    <s v="3.3 kW"/>
    <s v="OCPP"/>
    <n v="8"/>
    <x v="2"/>
    <n v="271.95499999999993"/>
    <n v="160.51899999999995"/>
    <n v="189.72300000000001"/>
    <n v="204.07900000000004"/>
    <n v="165.46199999999999"/>
    <n v="171.92599999999999"/>
    <n v="218.43200000000002"/>
    <n v="168.52399999999997"/>
    <n v="193.94899999999998"/>
    <n v="199.56599999999992"/>
    <n v="189.75599999999997"/>
    <n v="194.14199999999997"/>
    <n v="165.92699999999996"/>
    <n v="181.66800000000003"/>
    <n v="158.85300000000004"/>
    <n v="190.48100000000005"/>
    <n v="187.18300000000005"/>
    <n v="211.357"/>
    <n v="125.45600000000003"/>
    <n v="166.62700000000007"/>
    <n v="192.08400000000003"/>
    <n v="169.75700000000003"/>
    <n v="179.90400000000002"/>
    <n v="156.17900000000009"/>
    <n v="181.71199999999999"/>
    <n v="166.97899999999998"/>
    <n v="123.46699999999998"/>
    <n v="182.13"/>
    <n v="196.33900000000003"/>
    <n v="120.22500000000001"/>
    <n v="138.33099999999999"/>
    <n v="179.4787"/>
    <n v="22.4348375"/>
  </r>
  <r>
    <n v="20"/>
    <x v="0"/>
    <s v="EVCS-360035"/>
    <x v="13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x v="0"/>
    <s v="EVCS-360035"/>
    <x v="13"/>
    <s v="Trinity"/>
    <s v="Public-Paid"/>
    <s v="12 kW"/>
    <s v="DC Charger"/>
    <n v="1"/>
    <x v="0"/>
    <n v="0.03"/>
    <n v="0"/>
    <n v="0"/>
    <n v="0"/>
    <n v="0"/>
    <n v="0"/>
    <n v="0"/>
    <n v="0"/>
    <n v="0"/>
    <n v="0"/>
    <n v="0"/>
    <n v="0"/>
    <n v="0"/>
    <n v="0"/>
    <n v="0"/>
    <n v="0"/>
    <n v="0"/>
    <n v="0"/>
    <n v="17.399999999999999"/>
    <n v="16.78"/>
    <n v="0"/>
    <n v="0"/>
    <n v="0"/>
    <n v="0"/>
    <n v="0"/>
    <n v="0"/>
    <n v="0"/>
    <n v="0"/>
    <n v="0"/>
    <n v="0"/>
    <n v="0"/>
    <n v="1.1403333333333334"/>
    <n v="1.1403333333333334"/>
  </r>
  <r>
    <n v="22"/>
    <x v="0"/>
    <s v="EVCS-360035"/>
    <x v="13"/>
    <s v="Trinity"/>
    <s v="Public-Paid"/>
    <s v="15 kw"/>
    <s v="DC Charger"/>
    <n v="1"/>
    <x v="0"/>
    <n v="0"/>
    <n v="38.24"/>
    <n v="37.380000000000003"/>
    <n v="26.04"/>
    <n v="41.370000000000005"/>
    <n v="46.7"/>
    <n v="0"/>
    <n v="0"/>
    <n v="42.349999999999994"/>
    <n v="55.46"/>
    <n v="52.170000000000009"/>
    <n v="42.08"/>
    <n v="47.670999999999999"/>
    <n v="7.3199999999999994"/>
    <n v="0"/>
    <n v="40.870000000000005"/>
    <n v="27.88"/>
    <n v="52.669999999999995"/>
    <n v="34.57"/>
    <n v="36.319999999999993"/>
    <n v="3.19"/>
    <n v="0"/>
    <n v="32.08"/>
    <n v="21.788999999999998"/>
    <n v="19.11"/>
    <n v="20.51"/>
    <n v="3.29"/>
    <n v="3.32"/>
    <n v="3.13"/>
    <n v="22.529999999999998"/>
    <n v="13.8"/>
    <n v="25.268000000000008"/>
    <n v="25.268000000000008"/>
  </r>
  <r>
    <n v="23"/>
    <x v="0"/>
    <s v="EVCS-360035"/>
    <x v="13"/>
    <s v="Trinity"/>
    <s v="Public-Paid"/>
    <s v="60 kw"/>
    <s v="DC Charger"/>
    <n v="1"/>
    <x v="0"/>
    <n v="84.275000000000006"/>
    <n v="230.47500000000002"/>
    <n v="168.02500000000001"/>
    <n v="220.47499999999997"/>
    <n v="154.875"/>
    <n v="142.69999999999999"/>
    <n v="142.5"/>
    <n v="84.550000000000011"/>
    <n v="186.6"/>
    <n v="193.02499999999998"/>
    <n v="305.39999999999998"/>
    <n v="265.39999999999998"/>
    <n v="231.17500000000004"/>
    <n v="91.250000000000014"/>
    <n v="76.974999999999994"/>
    <n v="220.875"/>
    <n v="319.05000000000007"/>
    <n v="237.5"/>
    <n v="304.79999999999995"/>
    <n v="174.62499999999997"/>
    <n v="158.72499999999999"/>
    <n v="111.22499999999999"/>
    <n v="226.54999999999995"/>
    <n v="156.22500000000002"/>
    <n v="77.375"/>
    <n v="124.25"/>
    <n v="201.79999999999998"/>
    <n v="95.174999999999997"/>
    <n v="157.4"/>
    <n v="192.87499999999997"/>
    <n v="213.82499999999996"/>
    <n v="177.8716666666667"/>
    <n v="177.8716666666667"/>
  </r>
  <r>
    <n v="24"/>
    <x v="0"/>
    <s v="EVCS-360035"/>
    <x v="13"/>
    <s v="Trinity"/>
    <s v="Public-Paid"/>
    <s v="120 kw"/>
    <s v="DC Charger"/>
    <n v="1"/>
    <x v="0"/>
    <n v="34.25"/>
    <n v="210.07999999999998"/>
    <n v="269.71999999999997"/>
    <n v="263.39000000000004"/>
    <n v="211.28"/>
    <n v="291.01"/>
    <n v="151.34"/>
    <n v="96.97"/>
    <n v="198.98000000000002"/>
    <n v="277.15999999999991"/>
    <n v="230.82000000000002"/>
    <n v="325.59000000000009"/>
    <n v="269.28999999999996"/>
    <n v="78.14"/>
    <n v="51.51"/>
    <n v="231.73999999999998"/>
    <n v="302.20999999999992"/>
    <n v="327.27999999999997"/>
    <n v="263.72999999999996"/>
    <n v="330.54000000000008"/>
    <n v="55.189999999999991"/>
    <n v="46.480000000000004"/>
    <n v="265.91000000000003"/>
    <n v="182.43"/>
    <n v="181.09000000000003"/>
    <n v="167.75"/>
    <n v="225.10000000000002"/>
    <n v="116.45"/>
    <n v="114.25999999999999"/>
    <n v="190.89999999999998"/>
    <n v="143.22"/>
    <n v="198.68633333333335"/>
    <n v="198.68633333333335"/>
  </r>
  <r>
    <n v="25"/>
    <x v="0"/>
    <s v="EVCS-360041"/>
    <x v="14"/>
    <s v="Trinity"/>
    <s v="Public-Paid"/>
    <s v="3.3 kW"/>
    <s v="OCPP"/>
    <n v="7"/>
    <x v="2"/>
    <n v="80.003999999999991"/>
    <n v="77.478000000000009"/>
    <n v="86.539000000000001"/>
    <n v="80.911999999999978"/>
    <n v="74.783999999999992"/>
    <n v="58.152000000000001"/>
    <n v="102.76900000000001"/>
    <n v="98.556000000000012"/>
    <n v="42.540000000000006"/>
    <n v="90.18"/>
    <n v="70.885999999999996"/>
    <n v="119.101"/>
    <n v="102.19900000000001"/>
    <n v="105.23400000000001"/>
    <n v="108.14400000000001"/>
    <n v="176.17100000000005"/>
    <n v="184.82300000000004"/>
    <n v="196.61199999999999"/>
    <n v="127.38999999999999"/>
    <n v="159.07200000000003"/>
    <n v="129.33199999999999"/>
    <n v="179.202"/>
    <n v="137.05500000000001"/>
    <n v="69.492999999999995"/>
    <n v="110.68"/>
    <n v="55.561999999999998"/>
    <n v="115.321"/>
    <n v="82.928999999999988"/>
    <n v="156.95399999999998"/>
    <n v="117.21299999999998"/>
    <n v="90.86099999999999"/>
    <n v="109.8429"/>
    <n v="15.691842857142857"/>
  </r>
  <r>
    <n v="26"/>
    <x v="0"/>
    <s v="EVCS-360036"/>
    <x v="15"/>
    <s v="Trinity"/>
    <s v="Public-Paid"/>
    <s v="3.3 kW"/>
    <s v="OCPP"/>
    <n v="1"/>
    <x v="0"/>
    <n v="2.9979999999999998"/>
    <n v="1.246"/>
    <n v="0"/>
    <n v="0"/>
    <n v="0.19800000000000001"/>
    <n v="0.23799999999999999"/>
    <n v="2.4049999999999998"/>
    <n v="3.2640000000000002"/>
    <n v="5.48"/>
    <n v="5.3599999999999985"/>
    <n v="3.9869999999999997"/>
    <n v="0.52300000000000002"/>
    <n v="2.7469999999999999"/>
    <n v="6.0230000000000006"/>
    <n v="5.282"/>
    <n v="7.1020000000000003"/>
    <n v="6.0019999999999998"/>
    <n v="0.39100000000000001"/>
    <n v="6.4009999999999998"/>
    <n v="0"/>
    <n v="4.2880000000000003"/>
    <n v="1.661"/>
    <n v="9.4870000000000001"/>
    <n v="7.8369999999999997"/>
    <n v="12.349"/>
    <n v="3.6889999999999996"/>
    <n v="0.315"/>
    <n v="19.312999999999999"/>
    <n v="1.1589999999999998"/>
    <n v="10.376000000000001"/>
    <n v="10.277999999999999"/>
    <n v="4.337366666666667"/>
    <n v="4.337366666666667"/>
  </r>
  <r>
    <n v="27"/>
    <x v="0"/>
    <s v="EVCS-360036"/>
    <x v="15"/>
    <s v="Trinity"/>
    <s v="Public-Paid"/>
    <s v="7.4 kW"/>
    <s v="OCPP"/>
    <n v="1"/>
    <x v="0"/>
    <n v="0"/>
    <n v="0"/>
    <n v="23.42"/>
    <n v="14.214"/>
    <n v="15.356999999999999"/>
    <n v="7.7640000000000002"/>
    <n v="16.492999999999999"/>
    <n v="17.378"/>
    <n v="0.113"/>
    <n v="12.567"/>
    <n v="12.868"/>
    <n v="19.591000000000001"/>
    <n v="0.64300000000000002"/>
    <n v="10.349"/>
    <n v="0"/>
    <n v="2.6930000000000001"/>
    <n v="11.263"/>
    <n v="12.103999999999999"/>
    <n v="18.463999999999999"/>
    <n v="14.106"/>
    <n v="0"/>
    <n v="0"/>
    <n v="9.3979999999999997"/>
    <n v="0"/>
    <n v="0"/>
    <n v="0"/>
    <n v="6.8550000000000004"/>
    <n v="0"/>
    <n v="8.1769999999999996"/>
    <n v="16.169"/>
    <n v="9.7360000000000007"/>
    <n v="8.332866666666666"/>
    <n v="8.332866666666666"/>
  </r>
  <r>
    <n v="28"/>
    <x v="0"/>
    <s v="EVCS-360036"/>
    <x v="15"/>
    <s v="Trinity"/>
    <s v="Public-Paid"/>
    <s v="12kW"/>
    <s v="DC Charger"/>
    <n v="1"/>
    <x v="0"/>
    <n v="29.61"/>
    <n v="24.180000000000003"/>
    <n v="0"/>
    <n v="0"/>
    <n v="0"/>
    <n v="0"/>
    <n v="0"/>
    <n v="0"/>
    <n v="0"/>
    <n v="0"/>
    <n v="0"/>
    <n v="23.25"/>
    <n v="24.59"/>
    <n v="3.83"/>
    <n v="0"/>
    <n v="0"/>
    <n v="0"/>
    <n v="0"/>
    <n v="78.241"/>
    <n v="38.119999999999997"/>
    <n v="0"/>
    <n v="0"/>
    <n v="0"/>
    <n v="0"/>
    <n v="0"/>
    <n v="0"/>
    <n v="0"/>
    <n v="0"/>
    <n v="0"/>
    <n v="15.219999999999999"/>
    <n v="27.12"/>
    <n v="7.9013666666666671"/>
    <n v="7.9013666666666671"/>
  </r>
  <r>
    <n v="29"/>
    <x v="0"/>
    <s v="EVCS-360036"/>
    <x v="15"/>
    <s v="Trinity"/>
    <s v="Public-Paid"/>
    <s v="25 kW"/>
    <s v="DC Charger"/>
    <n v="2"/>
    <x v="0"/>
    <n v="109.68600000000001"/>
    <n v="75.933999999999997"/>
    <n v="130.64600000000002"/>
    <n v="237.666"/>
    <n v="101.971"/>
    <n v="239.30500000000001"/>
    <n v="93.073999999999998"/>
    <n v="102.70099999999999"/>
    <n v="193.81"/>
    <n v="177.887"/>
    <n v="96.843999999999994"/>
    <n v="90.183999999999997"/>
    <n v="169.03299999999999"/>
    <n v="96.995999999999995"/>
    <n v="73.704999999999998"/>
    <n v="88.477000000000004"/>
    <n v="215.04500000000002"/>
    <n v="69.530000000000015"/>
    <n v="112.65299999999999"/>
    <n v="69.510000000000005"/>
    <n v="25.665999999999997"/>
    <n v="107.93100000000001"/>
    <n v="122.60400000000001"/>
    <n v="68.478999999999999"/>
    <n v="29.573"/>
    <n v="70.715000000000003"/>
    <n v="86.171999999999997"/>
    <n v="102.825"/>
    <n v="99.103999999999999"/>
    <n v="96.780999999999992"/>
    <n v="52.767999999999994"/>
    <n v="111.81689999999999"/>
    <n v="55.908449999999995"/>
  </r>
  <r>
    <n v="30"/>
    <x v="0"/>
    <s v="EVCS-360039"/>
    <x v="16"/>
    <s v="Trinity"/>
    <s v="Public-Paid"/>
    <s v="3.3 kW"/>
    <s v="OCPP"/>
    <n v="9"/>
    <x v="2"/>
    <n v="183.83300000000003"/>
    <n v="156.81600000000003"/>
    <n v="198.78100000000003"/>
    <n v="160.64500000000004"/>
    <n v="171.88000000000002"/>
    <n v="158.40699999999998"/>
    <n v="162.048"/>
    <n v="168.53299999999996"/>
    <n v="161.488"/>
    <n v="143.09599999999998"/>
    <n v="172.57100000000005"/>
    <n v="175.53200000000001"/>
    <n v="168.11199999999999"/>
    <n v="172.137"/>
    <n v="143.62000000000003"/>
    <n v="166.15299999999999"/>
    <n v="213.75600000000003"/>
    <n v="159.673"/>
    <n v="202.74999999999997"/>
    <n v="139.04399999999995"/>
    <n v="160.04599999999996"/>
    <n v="157.71299999999997"/>
    <n v="172.97699999999998"/>
    <n v="122.345"/>
    <n v="136.108"/>
    <n v="136.06499999999997"/>
    <n v="138.703"/>
    <n v="191.14499999999995"/>
    <n v="131.19399999999999"/>
    <n v="127.21"/>
    <n v="123.274"/>
    <n v="161.74603333333332"/>
    <n v="17.971781481481479"/>
  </r>
  <r>
    <n v="31"/>
    <x v="0"/>
    <s v="EVCS-360039"/>
    <x v="16"/>
    <s v="Trinity"/>
    <s v="Public-Paid"/>
    <s v="15 kw"/>
    <s v="DC Charger"/>
    <n v="1"/>
    <x v="2"/>
    <n v="36.879999999999995"/>
    <n v="36.120000000000005"/>
    <n v="39.799999999999997"/>
    <n v="29.81"/>
    <n v="27.840000000000003"/>
    <n v="41.81"/>
    <n v="35.28"/>
    <n v="24.63"/>
    <n v="21.71"/>
    <n v="13.57"/>
    <n v="28.13"/>
    <n v="18.330000000000002"/>
    <n v="20.090000000000003"/>
    <n v="19.420000000000002"/>
    <n v="13.65"/>
    <n v="10.96"/>
    <n v="17.759999999999998"/>
    <n v="10.039999999999999"/>
    <n v="16.920000000000002"/>
    <n v="14.02"/>
    <n v="14.5"/>
    <n v="9.33"/>
    <n v="9.120000000000001"/>
    <n v="16.690000000000001"/>
    <n v="10.169999999999998"/>
    <n v="20.239999999999998"/>
    <n v="20.399999999999999"/>
    <n v="22.24"/>
    <n v="24.509999999999998"/>
    <n v="21.68"/>
    <n v="19.009999999999998"/>
    <n v="21.521666666666661"/>
    <n v="21.521666666666661"/>
  </r>
  <r>
    <n v="32"/>
    <x v="0"/>
    <s v="EVCS-360040"/>
    <x v="17"/>
    <s v="Trinity"/>
    <s v="Public-Paid"/>
    <s v="3.3 kW"/>
    <s v="OCPP"/>
    <n v="8"/>
    <x v="2"/>
    <n v="113.82300000000001"/>
    <n v="110.536"/>
    <n v="123.71299999999999"/>
    <n v="134.63900000000001"/>
    <n v="95.957999999999998"/>
    <n v="107.30200000000001"/>
    <n v="120.67099999999998"/>
    <n v="105.78799999999998"/>
    <n v="96.285999999999973"/>
    <n v="81.861999999999981"/>
    <n v="99.665000000000006"/>
    <n v="111.92699999999999"/>
    <n v="119.94200000000002"/>
    <n v="123.27500000000001"/>
    <n v="90.929999999999993"/>
    <n v="62.366000000000007"/>
    <n v="104.947"/>
    <n v="124.75"/>
    <n v="88.570000000000007"/>
    <n v="120.343"/>
    <n v="111.52800000000001"/>
    <n v="75.176999999999992"/>
    <n v="60.009999999999991"/>
    <n v="56.195"/>
    <n v="86.51700000000001"/>
    <n v="81.242999999999995"/>
    <n v="86.972000000000008"/>
    <n v="61.876000000000005"/>
    <n v="118.363"/>
    <n v="71.369"/>
    <n v="83.430999999999997"/>
    <n v="98.218100000000007"/>
    <n v="12.277262500000001"/>
  </r>
  <r>
    <n v="33"/>
    <x v="0"/>
    <s v="EVCS-360040"/>
    <x v="17"/>
    <s v="Trinity"/>
    <s v="Public-Paid"/>
    <s v="7.4 kW"/>
    <s v="OCPP"/>
    <n v="2"/>
    <x v="2"/>
    <n v="5.6880000000000006"/>
    <n v="31.893000000000001"/>
    <n v="22.698"/>
    <n v="40.607999999999997"/>
    <n v="28.788"/>
    <n v="55.003"/>
    <n v="43.534999999999997"/>
    <n v="19.710999999999999"/>
    <n v="0"/>
    <n v="57.930999999999997"/>
    <n v="50.683"/>
    <n v="71.44"/>
    <n v="37.005000000000003"/>
    <n v="0"/>
    <n v="0"/>
    <n v="0.96099999999999997"/>
    <n v="28.066000000000003"/>
    <n v="27.366"/>
    <n v="0"/>
    <n v="0"/>
    <n v="0"/>
    <n v="0"/>
    <n v="0"/>
    <n v="0"/>
    <n v="0"/>
    <n v="0"/>
    <n v="0"/>
    <n v="0"/>
    <n v="0"/>
    <n v="0"/>
    <n v="0"/>
    <n v="17.379200000000001"/>
    <n v="8.6896000000000004"/>
  </r>
  <r>
    <n v="34"/>
    <x v="0"/>
    <s v="EVCS-360042"/>
    <x v="18"/>
    <s v="Trinity"/>
    <s v="Public-Paid"/>
    <s v="3.3 kW"/>
    <s v="OCPP"/>
    <n v="2"/>
    <x v="1"/>
    <n v="26.199000000000002"/>
    <n v="15.148999999999999"/>
    <n v="17.485000000000003"/>
    <n v="29.137999999999998"/>
    <n v="12.343999999999999"/>
    <n v="14.391999999999999"/>
    <n v="21.064"/>
    <n v="5.1430000000000007"/>
    <n v="23.747"/>
    <n v="14.38"/>
    <n v="4.7850000000000001"/>
    <n v="8.85"/>
    <n v="16.952000000000002"/>
    <n v="22.113999999999997"/>
    <n v="14.488"/>
    <n v="13.932"/>
    <n v="8.7520000000000007"/>
    <n v="12.744"/>
    <n v="7.5589999999999993"/>
    <n v="10.331"/>
    <n v="17.558"/>
    <n v="12.965"/>
    <n v="8.5120000000000005"/>
    <n v="7.484"/>
    <n v="20.413"/>
    <n v="10.248000000000001"/>
    <n v="9.4390000000000001"/>
    <n v="6.0619999999999994"/>
    <n v="14.048"/>
    <n v="11.205000000000002"/>
    <n v="1.38"/>
    <n v="13.916066666666667"/>
    <n v="6.9580333333333337"/>
  </r>
  <r>
    <n v="35"/>
    <x v="0"/>
    <s v="EVCS-360043"/>
    <x v="19"/>
    <s v="Trinity"/>
    <s v="Public-Paid"/>
    <s v="3.3 kW"/>
    <s v="OCPP"/>
    <n v="11"/>
    <x v="2"/>
    <n v="149.09700000000001"/>
    <n v="113.873"/>
    <n v="203.85999999999999"/>
    <n v="215.72199999999998"/>
    <n v="209.399"/>
    <n v="209.57499999999999"/>
    <n v="217.21199999999996"/>
    <n v="111.233"/>
    <n v="109.187"/>
    <n v="247.97499999999999"/>
    <n v="183.84199999999998"/>
    <n v="200.26300000000003"/>
    <n v="162.16899999999995"/>
    <n v="172.15100000000004"/>
    <n v="155.221"/>
    <n v="87.823999999999998"/>
    <n v="198.95300000000003"/>
    <n v="135.09399999999999"/>
    <n v="166.60000000000002"/>
    <n v="155.35000000000002"/>
    <n v="155.36799999999999"/>
    <n v="146.09000000000003"/>
    <n v="57.559999999999995"/>
    <n v="198.04399999999998"/>
    <n v="220.23600000000005"/>
    <n v="132.88999999999999"/>
    <n v="144.51399999999998"/>
    <n v="186.59000000000003"/>
    <n v="109.11899999999999"/>
    <n v="104.74799999999999"/>
    <n v="135.773"/>
    <n v="161.99196666666663"/>
    <n v="14.726542424242421"/>
  </r>
  <r>
    <n v="36"/>
    <x v="0"/>
    <s v="EVCS-360043"/>
    <x v="19"/>
    <s v="Trinity"/>
    <s v="Public-Paid"/>
    <s v="12kW"/>
    <s v="DC Charger"/>
    <n v="1"/>
    <x v="2"/>
    <n v="0"/>
    <n v="0"/>
    <n v="0"/>
    <n v="0"/>
    <n v="0"/>
    <n v="0"/>
    <n v="0"/>
    <n v="6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733333333333331"/>
    <n v="0.20733333333333331"/>
  </r>
  <r>
    <n v="37"/>
    <x v="0"/>
    <s v="EVCS-360044"/>
    <x v="20"/>
    <s v="Trinity"/>
    <s v="Public-Paid"/>
    <s v="3.3 kW"/>
    <s v="OCPP"/>
    <n v="1"/>
    <x v="3"/>
    <n v="0"/>
    <n v="2.0750000000000002"/>
    <n v="0"/>
    <n v="0"/>
    <n v="0"/>
    <n v="0"/>
    <n v="0"/>
    <n v="0"/>
    <n v="0"/>
    <n v="0.13800000000000001"/>
    <n v="2.173"/>
    <n v="0"/>
    <n v="0"/>
    <n v="0"/>
    <n v="1.677"/>
    <n v="0"/>
    <n v="0"/>
    <n v="0"/>
    <n v="2.4279999999999999"/>
    <n v="0"/>
    <n v="2.109"/>
    <n v="0"/>
    <n v="0"/>
    <n v="0"/>
    <n v="0"/>
    <n v="2.2589999999999999"/>
    <n v="0"/>
    <n v="0"/>
    <n v="0"/>
    <n v="0"/>
    <n v="0"/>
    <n v="0.42863333333333331"/>
    <n v="0.42863333333333331"/>
  </r>
  <r>
    <n v="38"/>
    <x v="0"/>
    <s v="EVCS-360045"/>
    <x v="21"/>
    <s v="Trinity"/>
    <s v="Public-Paid"/>
    <s v="3.3 kW"/>
    <s v="OCPP"/>
    <n v="6"/>
    <x v="2"/>
    <n v="107.65299999999999"/>
    <n v="53.792999999999999"/>
    <n v="90.734999999999985"/>
    <n v="107.73299999999999"/>
    <n v="114.41200000000001"/>
    <n v="93.738"/>
    <n v="90.06"/>
    <n v="94.364000000000004"/>
    <n v="78.415999999999997"/>
    <n v="91.204999999999998"/>
    <n v="86.270999999999987"/>
    <n v="77.385000000000005"/>
    <n v="108.88999999999999"/>
    <n v="65.955000000000013"/>
    <n v="79.857999999999976"/>
    <n v="75.046999999999997"/>
    <n v="109.03299999999999"/>
    <n v="95.061999999999983"/>
    <n v="104.126"/>
    <n v="99.031999999999982"/>
    <n v="96.393000000000001"/>
    <n v="98.144999999999996"/>
    <n v="72.438000000000002"/>
    <n v="81.757999999999981"/>
    <n v="99.132999999999996"/>
    <n v="101.03400000000002"/>
    <n v="88.968000000000004"/>
    <n v="74.531000000000006"/>
    <n v="83.916000000000025"/>
    <n v="52.205000000000005"/>
    <n v="71.606999999999999"/>
    <n v="89.042966666666644"/>
    <n v="14.84049444444444"/>
  </r>
  <r>
    <n v="39"/>
    <x v="0"/>
    <s v="EVCS-360046"/>
    <x v="22"/>
    <s v="Trinity"/>
    <s v="Public-Paid"/>
    <s v="3.3 kW"/>
    <s v="OCPP"/>
    <n v="13"/>
    <x v="2"/>
    <n v="113.96599999999999"/>
    <n v="103.16400000000002"/>
    <n v="134.80399999999995"/>
    <n v="59.479000000000006"/>
    <n v="145.904"/>
    <n v="129.43799999999996"/>
    <n v="128.27799999999999"/>
    <n v="91.814000000000007"/>
    <n v="71.766000000000005"/>
    <n v="70.235000000000014"/>
    <n v="128.49"/>
    <n v="94.629000000000005"/>
    <n v="98.851000000000013"/>
    <n v="66.76100000000001"/>
    <n v="114.50899999999999"/>
    <n v="54.374000000000002"/>
    <n v="59.327999999999996"/>
    <n v="64.816999999999993"/>
    <n v="65.153000000000006"/>
    <n v="83.299999999999983"/>
    <n v="85.183999999999983"/>
    <n v="80.99799999999999"/>
    <n v="57.53"/>
    <n v="86.84399999999998"/>
    <n v="79.924000000000007"/>
    <n v="49.384000000000007"/>
    <n v="64.745999999999995"/>
    <n v="58.201000000000001"/>
    <n v="74.052000000000007"/>
    <n v="65.918999999999997"/>
    <n v="49.906000000000006"/>
    <n v="86.061400000000006"/>
    <n v="6.6201076923076929"/>
  </r>
  <r>
    <n v="40"/>
    <x v="0"/>
    <s v="EVCS-360047"/>
    <x v="23"/>
    <s v="Trinity"/>
    <s v="Public-Paid"/>
    <s v="22 kw"/>
    <s v="OCPP"/>
    <n v="1"/>
    <x v="3"/>
    <n v="5.2869999999999999"/>
    <n v="6.0750000000000002"/>
    <n v="13.757000000000001"/>
    <n v="12.728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616000000000001"/>
    <n v="1.2616000000000001"/>
  </r>
  <r>
    <n v="41"/>
    <x v="0"/>
    <s v="EVCS-360048"/>
    <x v="24"/>
    <s v="Trinity"/>
    <s v="Public-Paid"/>
    <s v="3.3 kW"/>
    <s v="OCPP"/>
    <n v="5"/>
    <x v="2"/>
    <n v="17.663"/>
    <n v="6.8469999999999995"/>
    <n v="22.890999999999998"/>
    <n v="25.768999999999998"/>
    <n v="17.741"/>
    <n v="27.978000000000005"/>
    <n v="29.086000000000002"/>
    <n v="33.319999999999993"/>
    <n v="28.393000000000001"/>
    <n v="33.759"/>
    <n v="28.132999999999999"/>
    <n v="15.762"/>
    <n v="22.913000000000004"/>
    <n v="21.545999999999999"/>
    <n v="15.189"/>
    <n v="18.075000000000003"/>
    <n v="61.995000000000005"/>
    <n v="42.548999999999999"/>
    <n v="19.735999999999997"/>
    <n v="29.482999999999997"/>
    <n v="16.495000000000001"/>
    <n v="13.234"/>
    <n v="16.562999999999999"/>
    <n v="11.705000000000002"/>
    <n v="23.443000000000001"/>
    <n v="9.0549999999999997"/>
    <n v="28.166"/>
    <n v="14.342000000000001"/>
    <n v="8.5079999999999991"/>
    <n v="19.197000000000003"/>
    <n v="38.393999999999998"/>
    <n v="22.651200000000003"/>
    <n v="4.5302400000000009"/>
  </r>
  <r>
    <n v="42"/>
    <x v="0"/>
    <s v="EVCS-360049"/>
    <x v="25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s v="EVCS-360050"/>
    <x v="26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s v="EVCS-360051"/>
    <x v="27"/>
    <s v="ETO"/>
    <s v="Public-Paid"/>
    <s v="3.3 kW"/>
    <s v="OCPP"/>
    <n v="1"/>
    <x v="1"/>
    <n v="0"/>
    <n v="0.93300000000000005"/>
    <n v="0"/>
    <n v="2.9830000000000001"/>
    <n v="0"/>
    <n v="0"/>
    <n v="3.9350000000000001"/>
    <n v="0"/>
    <n v="0"/>
    <n v="0"/>
    <n v="0"/>
    <n v="0"/>
    <n v="0"/>
    <n v="0"/>
    <n v="0"/>
    <n v="0"/>
    <n v="0"/>
    <n v="0"/>
    <n v="0"/>
    <n v="0"/>
    <n v="0"/>
    <n v="0"/>
    <n v="0"/>
    <n v="6.702"/>
    <n v="0"/>
    <n v="0"/>
    <n v="0"/>
    <n v="0"/>
    <n v="0"/>
    <n v="0"/>
    <n v="0"/>
    <n v="0.48510000000000003"/>
    <n v="0.48510000000000003"/>
  </r>
  <r>
    <n v="45"/>
    <x v="0"/>
    <s v="EVCS-360052"/>
    <x v="28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0"/>
    <s v="EVCS-360053"/>
    <x v="29"/>
    <s v="Trinity"/>
    <s v="Public-Paid"/>
    <s v="25 kW"/>
    <s v="DC Charger"/>
    <n v="2"/>
    <x v="0"/>
    <n v="99.331000000000003"/>
    <n v="205.23400000000004"/>
    <n v="227.50500000000002"/>
    <n v="244.15599999999995"/>
    <n v="365.8850000000001"/>
    <n v="360.29599999999999"/>
    <n v="168.108"/>
    <n v="162.054"/>
    <n v="91.616"/>
    <n v="191.77499999999995"/>
    <n v="159.54000000000002"/>
    <n v="160.40099999999998"/>
    <n v="341.89900000000006"/>
    <n v="117.85000000000002"/>
    <n v="61.408000000000001"/>
    <n v="143.791"/>
    <n v="268.85700000000003"/>
    <n v="278.697"/>
    <n v="307.32599999999996"/>
    <n v="246.66699999999997"/>
    <n v="156.40700000000001"/>
    <n v="61.500999999999998"/>
    <n v="210.054"/>
    <n v="329.62399999999997"/>
    <n v="196.30700000000002"/>
    <n v="214.845"/>
    <n v="224.38399999999999"/>
    <n v="138.10100000000003"/>
    <n v="56.272999999999996"/>
    <n v="191.62700000000001"/>
    <n v="245.81899999999999"/>
    <n v="199.38396666666668"/>
    <n v="99.69198333333334"/>
  </r>
  <r>
    <n v="47"/>
    <x v="0"/>
    <s v="EVCS-360054"/>
    <x v="30"/>
    <s v="Trinity"/>
    <s v="Public-Paid"/>
    <s v="3.3 kW"/>
    <s v="OCPP"/>
    <n v="5"/>
    <x v="3"/>
    <n v="21.632999999999999"/>
    <n v="19.936999999999998"/>
    <n v="45.541999999999994"/>
    <n v="10.880999999999998"/>
    <n v="31.073"/>
    <n v="21.352"/>
    <n v="12.692"/>
    <n v="31.623000000000001"/>
    <n v="16.407"/>
    <n v="2.802"/>
    <n v="22.759"/>
    <n v="2.6269999999999998"/>
    <n v="11.746"/>
    <n v="19.617000000000001"/>
    <n v="20.292000000000002"/>
    <n v="4.1230000000000002"/>
    <n v="3.1829999999999998"/>
    <n v="11.604000000000001"/>
    <n v="22.079000000000001"/>
    <n v="6.4459999999999997"/>
    <n v="9.6340000000000003"/>
    <n v="10.971"/>
    <n v="2.4049999999999998"/>
    <n v="3.4260000000000002"/>
    <n v="11.238999999999999"/>
    <n v="6.056"/>
    <n v="9.9290000000000003"/>
    <n v="3.032"/>
    <n v="6.197000000000001"/>
    <n v="20.398"/>
    <n v="3.5960000000000001"/>
    <n v="14.056833333333334"/>
    <n v="2.8113666666666668"/>
  </r>
  <r>
    <n v="48"/>
    <x v="0"/>
    <s v="EVCS-360055"/>
    <x v="31"/>
    <s v="Trinity"/>
    <s v="Public-Paid"/>
    <s v="3.3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0"/>
    <s v="EVCS-360055"/>
    <x v="31"/>
    <s v="Trinity"/>
    <s v="Public-Paid"/>
    <s v="22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0"/>
    <s v="EVCS-360057"/>
    <x v="32"/>
    <s v="Trinity"/>
    <s v="Public-Paid"/>
    <s v="3.3 kW"/>
    <s v="OCPP"/>
    <n v="1"/>
    <x v="0"/>
    <n v="0"/>
    <n v="2.6179999999999999"/>
    <n v="0"/>
    <n v="0"/>
    <n v="0"/>
    <n v="0"/>
    <n v="6.0579999999999998"/>
    <n v="2.399"/>
    <n v="3.9130000000000003"/>
    <n v="6.5820000000000007"/>
    <n v="3.7590000000000003"/>
    <n v="7.9139999999999997"/>
    <n v="11.852"/>
    <n v="3.5649999999999999"/>
    <n v="3.7070000000000003"/>
    <n v="8.24"/>
    <n v="5.2289999999999992"/>
    <n v="2.746"/>
    <n v="2.7770000000000001"/>
    <n v="2.4410000000000003"/>
    <n v="3.6440000000000001"/>
    <n v="2.9980000000000002"/>
    <n v="3.238"/>
    <n v="3.8330000000000002"/>
    <n v="3.9849999999999999"/>
    <n v="4.734"/>
    <n v="5.7729999999999997"/>
    <n v="3.319"/>
    <n v="2.8140000000000001"/>
    <n v="3.681"/>
    <n v="5.5169999999999995"/>
    <n v="3.7273000000000001"/>
    <n v="3.7273000000000001"/>
  </r>
  <r>
    <n v="51"/>
    <x v="0"/>
    <s v="EVCS-360057"/>
    <x v="32"/>
    <s v="Trinity"/>
    <s v="Public-Paid"/>
    <s v="7.4 kW"/>
    <s v="OCPP"/>
    <n v="1"/>
    <x v="0"/>
    <n v="0"/>
    <n v="9.9859999999999989"/>
    <n v="0"/>
    <n v="4.726"/>
    <n v="0"/>
    <n v="0"/>
    <n v="0"/>
    <n v="0"/>
    <n v="0"/>
    <n v="0"/>
    <n v="0"/>
    <n v="0"/>
    <n v="0"/>
    <n v="8.1710000000000012"/>
    <n v="0"/>
    <n v="0"/>
    <n v="0"/>
    <n v="0"/>
    <n v="0"/>
    <n v="0"/>
    <n v="0"/>
    <n v="0"/>
    <n v="0"/>
    <n v="0"/>
    <n v="0"/>
    <n v="0"/>
    <n v="0"/>
    <n v="0"/>
    <n v="0"/>
    <n v="12.566000000000001"/>
    <n v="15.689"/>
    <n v="1.1816333333333335"/>
    <n v="1.1816333333333335"/>
  </r>
  <r>
    <n v="52"/>
    <x v="0"/>
    <s v="EVCS-360057"/>
    <x v="32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0"/>
    <s v="EVCS-360056"/>
    <x v="33"/>
    <s v="Trinity"/>
    <s v="Public-Paid"/>
    <s v="3.3 kW"/>
    <s v="OCPP"/>
    <n v="9"/>
    <x v="3"/>
    <n v="109.09500000000001"/>
    <n v="92.721999999999994"/>
    <n v="139.18100000000001"/>
    <n v="141.07"/>
    <n v="46.343000000000004"/>
    <n v="178.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580333333333336"/>
    <n v="2.6200370370370374"/>
  </r>
  <r>
    <n v="54"/>
    <x v="0"/>
    <s v="EVCS-360059"/>
    <x v="34"/>
    <s v="Trinity"/>
    <s v="Public-Paid"/>
    <s v="3.3 kW"/>
    <s v="OCPP"/>
    <n v="1"/>
    <x v="3"/>
    <n v="0"/>
    <n v="1.3120000000000001"/>
    <n v="0"/>
    <n v="0"/>
    <n v="0"/>
    <n v="0"/>
    <n v="0"/>
    <n v="0"/>
    <n v="0"/>
    <n v="0"/>
    <n v="0"/>
    <n v="0.19900000000000001"/>
    <n v="1.2749999999999999"/>
    <n v="0"/>
    <n v="0"/>
    <n v="0"/>
    <n v="0"/>
    <n v="1.3260000000000001"/>
    <n v="8.7999999999999995E-2"/>
    <n v="0"/>
    <n v="0"/>
    <n v="0"/>
    <n v="0"/>
    <n v="0"/>
    <n v="0"/>
    <n v="0"/>
    <n v="0"/>
    <n v="1.9530000000000001"/>
    <n v="0"/>
    <n v="0"/>
    <n v="0"/>
    <n v="0.2051"/>
    <n v="0.2051"/>
  </r>
  <r>
    <n v="55"/>
    <x v="1"/>
    <s v="EVCS-360060"/>
    <x v="35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"/>
    <x v="0"/>
    <s v="EVCS-360061"/>
    <x v="36"/>
    <s v="Trinity"/>
    <s v="Public-Paid"/>
    <s v="3.3 kW"/>
    <s v="OCPP"/>
    <n v="1"/>
    <x v="1"/>
    <n v="0"/>
    <n v="0"/>
    <n v="1.1779999999999999"/>
    <n v="0"/>
    <n v="0"/>
    <n v="2.698"/>
    <n v="0"/>
    <n v="0"/>
    <n v="3.504"/>
    <n v="1.2999999999999999E-2"/>
    <n v="5.1449999999999996"/>
    <n v="0"/>
    <n v="0"/>
    <n v="0"/>
    <n v="0"/>
    <n v="0"/>
    <n v="3.4780000000000002"/>
    <n v="0"/>
    <n v="1.7549999999999999"/>
    <n v="2.1819999999999999"/>
    <n v="4.4130000000000003"/>
    <n v="0"/>
    <n v="5.0869999999999997"/>
    <n v="0.41"/>
    <n v="3"/>
    <n v="4.6180000000000003"/>
    <n v="1.155"/>
    <n v="2.7879999999999998"/>
    <n v="3.3159999999999998"/>
    <n v="5.5010000000000003"/>
    <n v="5.5469999999999997"/>
    <n v="1.6747000000000001"/>
    <n v="1.6747000000000001"/>
  </r>
  <r>
    <n v="57"/>
    <x v="0"/>
    <s v="EVCS-360062"/>
    <x v="37"/>
    <s v="Trinity"/>
    <s v="Public-Paid"/>
    <s v="3.3 kW"/>
    <s v="OCPP"/>
    <n v="10"/>
    <x v="2"/>
    <n v="26.597000000000001"/>
    <n v="9.2360000000000007"/>
    <n v="29.183"/>
    <n v="12.541999999999998"/>
    <n v="21.538999999999998"/>
    <n v="16.701999999999998"/>
    <n v="8.0219999999999985"/>
    <n v="13.928999999999998"/>
    <n v="18.625000000000004"/>
    <n v="38.774000000000001"/>
    <n v="14.242999999999999"/>
    <n v="34.091000000000001"/>
    <n v="9.4510000000000005"/>
    <n v="12.933999999999999"/>
    <n v="26.480999999999998"/>
    <n v="23.509999999999998"/>
    <n v="30.871999999999996"/>
    <n v="20.459999999999997"/>
    <n v="35.58300000000002"/>
    <n v="33.323"/>
    <n v="13.346"/>
    <n v="16.898000000000003"/>
    <n v="20.370999999999995"/>
    <n v="14.667"/>
    <n v="19.239000000000001"/>
    <n v="16.241999999999997"/>
    <n v="27.939999999999998"/>
    <n v="36.196999999999996"/>
    <n v="51.504999999999995"/>
    <n v="34.441000000000003"/>
    <n v="26.744"/>
    <n v="22.898099999999999"/>
    <n v="2.2898100000000001"/>
  </r>
  <r>
    <n v="58"/>
    <x v="0"/>
    <s v="EVCS-360063"/>
    <x v="38"/>
    <s v="Trinity"/>
    <s v="Public-Paid"/>
    <s v="3.3 kW"/>
    <s v="OCPP"/>
    <n v="2"/>
    <x v="1"/>
    <n v="8.7640000000000011"/>
    <n v="12.276999999999999"/>
    <n v="10.700999999999999"/>
    <n v="7.5990000000000002"/>
    <n v="22.547000000000004"/>
    <n v="15.549999999999997"/>
    <n v="17.977999999999998"/>
    <n v="7.7809999999999997"/>
    <n v="12.67"/>
    <n v="25.817999999999998"/>
    <n v="24.97"/>
    <n v="17.205000000000002"/>
    <n v="23.008000000000003"/>
    <n v="16.562999999999999"/>
    <n v="9.4220000000000006"/>
    <n v="9.2899999999999991"/>
    <n v="24.664999999999996"/>
    <n v="11.335999999999999"/>
    <n v="22.081"/>
    <n v="14.689"/>
    <n v="16.267000000000003"/>
    <n v="15.747999999999998"/>
    <n v="16.124000000000002"/>
    <n v="28.105999999999998"/>
    <n v="21.714000000000002"/>
    <n v="18.462"/>
    <n v="24.200999999999997"/>
    <n v="19.324999999999999"/>
    <n v="10.811"/>
    <n v="23.032"/>
    <n v="20.048000000000002"/>
    <n v="16.956800000000001"/>
    <n v="8.4784000000000006"/>
  </r>
  <r>
    <n v="59"/>
    <x v="0"/>
    <m/>
    <x v="39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0"/>
    <s v="EVCS-360064"/>
    <x v="40"/>
    <s v="Trinity"/>
    <s v="Public-Paid"/>
    <s v="3.3 kW"/>
    <s v="OCPP"/>
    <n v="8"/>
    <x v="2"/>
    <n v="30.018999999999998"/>
    <n v="25.113"/>
    <n v="36.823999999999991"/>
    <n v="30.476999999999997"/>
    <n v="35.219000000000001"/>
    <n v="32.694000000000003"/>
    <n v="23.697000000000003"/>
    <n v="40.311999999999998"/>
    <n v="23.087000000000003"/>
    <n v="15.942"/>
    <n v="33.216000000000001"/>
    <n v="33.467999999999996"/>
    <n v="55.284000000000006"/>
    <n v="30.591999999999999"/>
    <n v="34.488"/>
    <n v="31.708000000000006"/>
    <n v="35.206999999999994"/>
    <n v="51.965000000000003"/>
    <n v="34.622"/>
    <n v="39.991"/>
    <n v="58.457999999999998"/>
    <n v="37.980999999999995"/>
    <n v="35.048999999999999"/>
    <n v="55.843999999999994"/>
    <n v="30.100999999999999"/>
    <n v="24.064000000000004"/>
    <n v="28.688000000000002"/>
    <n v="30.017000000000003"/>
    <n v="32.03"/>
    <n v="36.194000000000003"/>
    <n v="21.670000000000005"/>
    <n v="34.745033333333332"/>
    <n v="4.3431291666666665"/>
  </r>
  <r>
    <n v="61"/>
    <x v="0"/>
    <s v="EVCS-360065"/>
    <x v="41"/>
    <s v="Trinity"/>
    <s v="Public-Paid"/>
    <s v="3.3 kW"/>
    <s v="OCPP"/>
    <n v="6"/>
    <x v="2"/>
    <m/>
    <m/>
    <m/>
    <m/>
    <m/>
    <m/>
    <m/>
    <m/>
    <n v="14.956"/>
    <n v="47.926000000000002"/>
    <n v="80.774000000000015"/>
    <n v="72.173000000000002"/>
    <n v="52.828000000000003"/>
    <n v="51.696999999999996"/>
    <n v="60.561999999999998"/>
    <n v="89.803000000000011"/>
    <n v="47.724999999999994"/>
    <n v="57.484999999999999"/>
    <n v="85.077000000000012"/>
    <n v="64.489000000000004"/>
    <n v="43.788000000000004"/>
    <n v="72.858999999999995"/>
    <n v="44.933"/>
    <n v="98.555000000000021"/>
    <n v="67.704999999999998"/>
    <n v="59.734999999999992"/>
    <n v="63.059999999999988"/>
    <n v="72.611000000000018"/>
    <n v="77.688000000000002"/>
    <n v="54.122999999999998"/>
    <n v="79.245000000000019"/>
    <n v="62.752363636363654"/>
    <n v="10.458727272727275"/>
  </r>
  <r>
    <n v="62"/>
    <x v="2"/>
    <s v="EVCS-320001"/>
    <x v="42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959999999999994"/>
    <n v="0"/>
    <n v="0"/>
    <n v="0"/>
    <n v="0"/>
    <n v="0"/>
    <n v="0"/>
    <n v="0"/>
    <n v="0"/>
    <n v="11.894"/>
    <n v="0"/>
    <n v="0.63966666666666661"/>
    <n v="0.63966666666666661"/>
  </r>
  <r>
    <n v="63"/>
    <x v="0"/>
    <m/>
    <x v="43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"/>
    <x v="0"/>
    <m/>
    <x v="44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3"/>
    <s v="EVCS-370001"/>
    <x v="45"/>
    <s v="Trinity"/>
    <s v="Public-Paid"/>
    <s v="3.3 kW"/>
    <s v="OCPP"/>
    <n v="5"/>
    <x v="1"/>
    <n v="0"/>
    <n v="15.753"/>
    <n v="10.981999999999999"/>
    <n v="0"/>
    <n v="3.343"/>
    <n v="5.6120000000000001"/>
    <n v="6.8480000000000008"/>
    <n v="1.3109999999999999"/>
    <n v="7.9339999999999993"/>
    <n v="2.7480000000000002"/>
    <n v="13.907999999999999"/>
    <n v="16.472000000000001"/>
    <n v="9.5830000000000002"/>
    <n v="8.5560000000000009"/>
    <n v="15.021000000000001"/>
    <n v="2.226"/>
    <n v="14.005999999999998"/>
    <n v="16.304000000000002"/>
    <n v="13.988"/>
    <n v="11.384"/>
    <n v="27.960999999999999"/>
    <n v="23.513999999999999"/>
    <n v="14.316000000000001"/>
    <n v="10.314"/>
    <n v="0"/>
    <n v="25.555"/>
    <n v="11.968999999999999"/>
    <n v="16.151999999999997"/>
    <n v="15.026"/>
    <n v="4.4009999999999998"/>
    <n v="23.309000000000001"/>
    <n v="10.839566666666666"/>
    <n v="2.1679133333333334"/>
  </r>
  <r>
    <n v="66"/>
    <x v="3"/>
    <s v="EVCS-370003"/>
    <x v="46"/>
    <s v="Trinity"/>
    <s v="Public-Paid"/>
    <s v="3.3 kW"/>
    <s v="OCPP"/>
    <n v="10"/>
    <x v="1"/>
    <n v="124.601"/>
    <n v="98.375"/>
    <n v="83.679000000000002"/>
    <n v="77.213999999999999"/>
    <n v="132.32300000000001"/>
    <n v="86.074999999999989"/>
    <n v="92.090999999999994"/>
    <n v="61.953000000000003"/>
    <n v="81.427000000000021"/>
    <n v="84.097999999999985"/>
    <n v="60.69100000000001"/>
    <n v="86.795999999999978"/>
    <n v="88.46299999999998"/>
    <n v="70.578999999999994"/>
    <n v="75.072000000000003"/>
    <n v="83.298999999999992"/>
    <n v="72.942000000000007"/>
    <n v="59.901000000000003"/>
    <n v="96.129000000000005"/>
    <n v="78.585000000000008"/>
    <n v="77.337000000000018"/>
    <n v="85.26600000000002"/>
    <n v="70.294999999999987"/>
    <n v="85.775000000000006"/>
    <n v="55.163000000000004"/>
    <n v="69.596000000000004"/>
    <n v="76.926000000000002"/>
    <n v="71.125"/>
    <n v="69.142000000000024"/>
    <n v="86.906999999999996"/>
    <n v="62.262999999999998"/>
    <n v="81.394166666666663"/>
    <n v="8.1394166666666656"/>
  </r>
  <r>
    <n v="67"/>
    <x v="4"/>
    <s v="EVCS-370004"/>
    <x v="47"/>
    <s v="Trinity"/>
    <s v="Public-Paid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4"/>
    <s v="EVCS-370005"/>
    <x v="48"/>
    <s v="Trinity"/>
    <s v="Public-Paid"/>
    <s v="3.3 kW"/>
    <s v="OCPP"/>
    <n v="7"/>
    <x v="2"/>
    <n v="96.879000000000019"/>
    <n v="123.13700000000001"/>
    <n v="116.69899999999998"/>
    <n v="85.934999999999988"/>
    <n v="106.66700000000002"/>
    <n v="111.33800000000004"/>
    <n v="85.220999999999989"/>
    <n v="85.527999999999992"/>
    <n v="113.37400000000001"/>
    <n v="93.839000000000013"/>
    <n v="125.78199999999997"/>
    <n v="94.11099999999999"/>
    <n v="84.678000000000011"/>
    <n v="117.83199999999999"/>
    <n v="74.59"/>
    <n v="130.483"/>
    <n v="77.064000000000007"/>
    <n v="56.923000000000002"/>
    <n v="132.08699999999999"/>
    <n v="89.537999999999997"/>
    <n v="84.509"/>
    <n v="111.92800000000003"/>
    <n v="143.506"/>
    <n v="47.345999999999997"/>
    <n v="118.49599999999998"/>
    <n v="74.165999999999997"/>
    <n v="122.30600000000003"/>
    <n v="70.675999999999988"/>
    <n v="67.260000000000005"/>
    <n v="97.657999999999987"/>
    <n v="65.838999999999999"/>
    <n v="97.98520000000002"/>
    <n v="13.997885714285717"/>
  </r>
  <r>
    <n v="69"/>
    <x v="5"/>
    <s v="EVCS-370006"/>
    <x v="49"/>
    <s v="Trinity"/>
    <s v="Public-Paid"/>
    <s v="3.3 kW"/>
    <s v="OCPP"/>
    <n v="7"/>
    <x v="2"/>
    <n v="89.74199999999999"/>
    <n v="58.93399999999999"/>
    <n v="66.815999999999988"/>
    <n v="41.271999999999998"/>
    <n v="37.125999999999991"/>
    <n v="61.529000000000003"/>
    <n v="36.164000000000001"/>
    <n v="57.431999999999995"/>
    <n v="51.265999999999998"/>
    <n v="44.024999999999999"/>
    <n v="57.78"/>
    <n v="48.730000000000004"/>
    <n v="61.723999999999997"/>
    <n v="48.384999999999998"/>
    <n v="39.981999999999999"/>
    <n v="51.847999999999999"/>
    <n v="50.277000000000008"/>
    <n v="62.278999999999996"/>
    <n v="30.355"/>
    <n v="55.481000000000009"/>
    <n v="43.070999999999998"/>
    <n v="65.166000000000011"/>
    <n v="52.646000000000001"/>
    <n v="41.350999999999992"/>
    <n v="37.235999999999997"/>
    <n v="47.660000000000004"/>
    <n v="42.195999999999998"/>
    <n v="43.598999999999997"/>
    <n v="53.748999999999995"/>
    <n v="51.565999999999995"/>
    <n v="41.960999999999999"/>
    <n v="50.979566666666656"/>
    <n v="7.282795238095237"/>
  </r>
  <r>
    <n v="70"/>
    <x v="6"/>
    <s v="EVCS-370007"/>
    <x v="50"/>
    <s v="Trinity"/>
    <s v="Public-Paid"/>
    <s v="3.3 kW"/>
    <s v="OCPP"/>
    <n v="5"/>
    <x v="2"/>
    <n v="39.606999999999999"/>
    <n v="37.397999999999996"/>
    <n v="14.561"/>
    <n v="41.654999999999994"/>
    <n v="20.228999999999999"/>
    <n v="30.312999999999995"/>
    <n v="30.688999999999997"/>
    <n v="19.672999999999998"/>
    <n v="24.243000000000002"/>
    <n v="24.282999999999998"/>
    <n v="28.834000000000003"/>
    <n v="35.748999999999995"/>
    <n v="40.729999999999997"/>
    <n v="26.807000000000002"/>
    <n v="25.670999999999999"/>
    <n v="14.21"/>
    <n v="41.731999999999999"/>
    <n v="26.244"/>
    <n v="31.2"/>
    <n v="18.535"/>
    <n v="41.413000000000004"/>
    <n v="21.770999999999997"/>
    <n v="36.164999999999999"/>
    <n v="35.896000000000001"/>
    <n v="20.7"/>
    <n v="36.245999999999995"/>
    <n v="26.654000000000003"/>
    <n v="12.902999999999997"/>
    <n v="45.205000000000005"/>
    <n v="23.590000000000003"/>
    <n v="31.744"/>
    <n v="29.096866666666667"/>
    <n v="5.8193733333333331"/>
  </r>
  <r>
    <n v="71"/>
    <x v="7"/>
    <s v="EVCS-290002"/>
    <x v="51"/>
    <s v="Flipkart"/>
    <s v="Public-Paid"/>
    <s v="3.3 kW"/>
    <s v="OCPP"/>
    <n v="4"/>
    <x v="1"/>
    <n v="94.053999999999988"/>
    <n v="81.000999999999976"/>
    <n v="99.248000000000005"/>
    <n v="104.253"/>
    <n v="77.484999999999985"/>
    <n v="89.575999999999979"/>
    <n v="93.248999999999981"/>
    <n v="84.781999999999982"/>
    <n v="70.972999999999999"/>
    <n v="100.839"/>
    <n v="84.8"/>
    <n v="96.056999999999988"/>
    <n v="100.23600000000002"/>
    <n v="75.796999999999997"/>
    <n v="99.876000000000019"/>
    <n v="76.335999999999999"/>
    <n v="100.836"/>
    <n v="85.014999999999986"/>
    <n v="88.461999999999989"/>
    <n v="75.187999999999988"/>
    <n v="75.974999999999994"/>
    <n v="79.088999999999999"/>
    <n v="84.202999999999989"/>
    <n v="90.117999999999981"/>
    <n v="79.061000000000021"/>
    <n v="66.427000000000007"/>
    <n v="76.791999999999987"/>
    <n v="78.8"/>
    <n v="77.092000000000013"/>
    <n v="82.336000000000013"/>
    <n v="69.462999999999994"/>
    <n v="85.598533333333336"/>
    <n v="21.399633333333334"/>
  </r>
  <r>
    <n v="72"/>
    <x v="7"/>
    <s v="EVCS-290003"/>
    <x v="52"/>
    <s v="Flipkart"/>
    <s v="Public-Paid"/>
    <s v="3.3 kW"/>
    <s v="OCPP"/>
    <n v="9"/>
    <x v="1"/>
    <n v="109.372"/>
    <n v="180.50799999999995"/>
    <n v="145.60300000000001"/>
    <n v="130.36799999999997"/>
    <n v="137.47500000000002"/>
    <n v="109.27200000000001"/>
    <n v="119.661"/>
    <n v="137.411"/>
    <n v="125.014"/>
    <n v="107.89699999999998"/>
    <n v="123.03999999999999"/>
    <n v="130.77999999999997"/>
    <n v="131.14799999999997"/>
    <n v="100.35499999999999"/>
    <n v="134.88200000000001"/>
    <n v="118.15199999999997"/>
    <n v="120.05399999999999"/>
    <n v="135.589"/>
    <n v="152.22899999999998"/>
    <n v="129.14799999999997"/>
    <n v="133.92000000000002"/>
    <n v="92.774000000000001"/>
    <n v="115.389"/>
    <n v="120.17900000000002"/>
    <n v="105.09900000000002"/>
    <n v="126.61400000000003"/>
    <n v="104.26"/>
    <n v="130.01899999999998"/>
    <n v="101.768"/>
    <n v="153.60300000000001"/>
    <n v="105.18600000000001"/>
    <n v="125.3861"/>
    <n v="13.931788888888889"/>
  </r>
  <r>
    <n v="73"/>
    <x v="7"/>
    <s v="EVCS-290004"/>
    <x v="53"/>
    <s v="EFL"/>
    <s v="Public-Free"/>
    <s v="3.3 kW"/>
    <s v="OCPP"/>
    <n v="8"/>
    <x v="2"/>
    <n v="50.147999999999996"/>
    <n v="13.999000000000001"/>
    <n v="55.58"/>
    <n v="11.837"/>
    <n v="15.350999999999999"/>
    <n v="31.272000000000002"/>
    <n v="32.192"/>
    <n v="31.614999999999998"/>
    <n v="1.7919999999999998"/>
    <n v="22.234999999999999"/>
    <n v="37.161000000000001"/>
    <n v="10.037000000000001"/>
    <n v="25.175000000000001"/>
    <n v="25.797999999999998"/>
    <n v="31.806999999999999"/>
    <n v="29.187999999999999"/>
    <n v="20.656999999999996"/>
    <n v="16.286999999999999"/>
    <n v="15.299999999999999"/>
    <n v="33.180999999999997"/>
    <n v="23.417000000000002"/>
    <n v="32.018999999999998"/>
    <n v="24.411999999999999"/>
    <n v="13.051000000000002"/>
    <n v="26.338000000000001"/>
    <n v="16.943999999999999"/>
    <n v="6.8460000000000001"/>
    <n v="7.0040000000000004"/>
    <n v="14.436"/>
    <n v="17.821000000000002"/>
    <n v="18.350000000000001"/>
    <n v="23.096666666666671"/>
    <n v="2.8870833333333339"/>
  </r>
  <r>
    <n v="74"/>
    <x v="7"/>
    <s v="EVCS-290004"/>
    <x v="53"/>
    <s v="EFL"/>
    <s v="Public-Free"/>
    <s v="6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x v="7"/>
    <s v="EVCS-290005"/>
    <x v="54"/>
    <s v="Trinity"/>
    <s v="Public-Paid"/>
    <s v="3.3 kW"/>
    <s v="OCPP"/>
    <n v="7"/>
    <x v="2"/>
    <n v="129.464"/>
    <n v="158.12700000000004"/>
    <n v="127.60799999999998"/>
    <n v="141.67899999999997"/>
    <n v="142.16200000000001"/>
    <n v="129.10500000000002"/>
    <n v="96.16"/>
    <n v="143.12699999999998"/>
    <n v="159.94299999999998"/>
    <n v="140.98599999999999"/>
    <n v="148.67099999999999"/>
    <n v="131.94"/>
    <n v="151.07300000000004"/>
    <n v="166.66800000000001"/>
    <n v="155.04500000000002"/>
    <n v="141.684"/>
    <n v="154.05100000000002"/>
    <n v="135.33999999999997"/>
    <n v="150.00799999999998"/>
    <n v="160.24800000000002"/>
    <n v="91.572000000000017"/>
    <n v="119.456"/>
    <n v="122.56200000000001"/>
    <n v="98.23599999999999"/>
    <n v="112.66700000000003"/>
    <n v="130.029"/>
    <n v="163.15199999999996"/>
    <n v="183.76900000000001"/>
    <n v="161.22200000000004"/>
    <n v="129.90100000000004"/>
    <n v="132.26"/>
    <n v="139.18850000000003"/>
    <n v="19.884071428571435"/>
  </r>
  <r>
    <n v="76"/>
    <x v="7"/>
    <s v="EVCS-290007"/>
    <x v="55"/>
    <s v="Trinity"/>
    <s v="Public-Paid"/>
    <s v="3.3 kW"/>
    <s v="OCPP"/>
    <n v="10"/>
    <x v="2"/>
    <n v="145.09199999999998"/>
    <n v="81.552000000000007"/>
    <n v="123.97600000000001"/>
    <n v="201.02900000000002"/>
    <n v="130.60999999999999"/>
    <n v="128.78899999999999"/>
    <n v="158.32000000000002"/>
    <n v="136.251"/>
    <n v="178.62599999999998"/>
    <n v="137.369"/>
    <n v="156.57900000000001"/>
    <n v="104.28899999999999"/>
    <n v="149.98699999999997"/>
    <n v="150.15599999999998"/>
    <n v="119.84000000000006"/>
    <n v="120.06200000000005"/>
    <n v="176.488"/>
    <n v="142.40599999999998"/>
    <n v="150.98600000000002"/>
    <n v="166.90899999999999"/>
    <n v="131.34900000000002"/>
    <n v="150.43500000000009"/>
    <n v="105.82800000000002"/>
    <n v="164.71400000000003"/>
    <n v="104.477"/>
    <n v="154.89300000000003"/>
    <n v="136.86400000000003"/>
    <n v="118.48000000000002"/>
    <n v="160.04900000000004"/>
    <n v="127.82100000000003"/>
    <n v="146.60799999999998"/>
    <n v="140.4742"/>
    <n v="14.047419999999999"/>
  </r>
  <r>
    <n v="77"/>
    <x v="7"/>
    <s v="EVCS-290009"/>
    <x v="56"/>
    <s v="Trinity"/>
    <s v="Public-Paid"/>
    <s v="3.3 kW"/>
    <s v="OCPP"/>
    <n v="8"/>
    <x v="2"/>
    <n v="41.033999999999999"/>
    <n v="73.41"/>
    <n v="39.861999999999995"/>
    <n v="51.261000000000003"/>
    <n v="57.247999999999998"/>
    <n v="60.853999999999999"/>
    <n v="66.3"/>
    <n v="66.584000000000003"/>
    <n v="56.047999999999995"/>
    <n v="87.108999999999995"/>
    <n v="66.448000000000008"/>
    <n v="49.198"/>
    <n v="40.013999999999996"/>
    <n v="51.826999999999991"/>
    <n v="28.575999999999997"/>
    <n v="25.725999999999999"/>
    <n v="62.83"/>
    <n v="47.487000000000002"/>
    <n v="52.054000000000002"/>
    <n v="33.465000000000003"/>
    <n v="38.736999999999995"/>
    <n v="52.977999999999994"/>
    <n v="32.803000000000004"/>
    <n v="23.671999999999997"/>
    <n v="17.744"/>
    <n v="27.152000000000001"/>
    <n v="34.152999999999999"/>
    <n v="11.206"/>
    <n v="19.929000000000002"/>
    <n v="26.439"/>
    <n v="15.731999999999998"/>
    <n v="44.738266666666682"/>
    <n v="5.5922833333333353"/>
  </r>
  <r>
    <n v="78"/>
    <x v="7"/>
    <s v="EVCS-290010"/>
    <x v="57"/>
    <s v="Trinity"/>
    <s v="Public-Paid"/>
    <s v="3.3 kW"/>
    <s v="OCPP"/>
    <n v="6"/>
    <x v="2"/>
    <n v="0"/>
    <n v="0"/>
    <n v="0"/>
    <n v="8.6519999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8839999999999999"/>
    <n v="4.8066666666666667E-2"/>
  </r>
  <r>
    <n v="79"/>
    <x v="7"/>
    <s v="EVCS-290011"/>
    <x v="58"/>
    <s v="Trinity"/>
    <s v="Public-Paid"/>
    <s v="3.3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8"/>
    <s v="EVCS-330003"/>
    <x v="59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9"/>
    <s v="EVCS-330002"/>
    <x v="60"/>
    <s v="Flipkart"/>
    <s v="Public-Paid"/>
    <s v="3.3 kW"/>
    <s v="OCPP"/>
    <n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10"/>
    <s v="EVCS-330004"/>
    <x v="61"/>
    <s v="Trinity"/>
    <s v="Public-Paid"/>
    <s v="15 kw"/>
    <s v="DC Charger"/>
    <n v="1"/>
    <x v="0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4.9020000000000001"/>
    <n v="0"/>
    <n v="0"/>
  </r>
  <r>
    <n v="83"/>
    <x v="11"/>
    <s v="EVCS-270011"/>
    <x v="62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  <r>
    <n v="84"/>
    <x v="12"/>
    <s v="EVCS-270005"/>
    <x v="63"/>
    <s v="ETO"/>
    <s v="Public-Paid"/>
    <s v="3.3kW"/>
    <s v="OCPP"/>
    <n v="20"/>
    <x v="1"/>
    <n v="7.0049999999999999"/>
    <n v="10.124000000000001"/>
    <n v="14.956999999999999"/>
    <n v="17.965999999999998"/>
    <n v="41.144999999999996"/>
    <n v="39.123000000000005"/>
    <n v="25.072999999999997"/>
    <n v="12.411000000000001"/>
    <n v="21.887"/>
    <n v="30.934999999999999"/>
    <n v="27.696999999999999"/>
    <n v="11.492000000000001"/>
    <n v="22.341000000000001"/>
    <n v="33.978999999999999"/>
    <n v="23.587000000000003"/>
    <n v="32.107999999999997"/>
    <n v="15.616000000000001"/>
    <n v="21.774999999999999"/>
    <n v="63.740000000000009"/>
    <n v="84.165999999999997"/>
    <n v="11.673"/>
    <n v="53.683"/>
    <n v="75.260999999999996"/>
    <n v="56.24"/>
    <n v="60.365999999999993"/>
    <n v="50.511999999999993"/>
    <n v="68.980999999999995"/>
    <n v="56.219999999999992"/>
    <n v="27.504999999999999"/>
    <n v="42.655999999999992"/>
    <n v="21.931999999999999"/>
    <n v="35.340799999999994"/>
    <n v="1.7670399999999997"/>
  </r>
  <r>
    <n v="85"/>
    <x v="12"/>
    <s v="EVCS-270007"/>
    <x v="64"/>
    <s v="ETO"/>
    <s v="Public-Paid"/>
    <s v="3.3kW"/>
    <s v="OCPP"/>
    <n v="3"/>
    <x v="1"/>
    <n v="0"/>
    <n v="0"/>
    <n v="0"/>
    <n v="0"/>
    <n v="0"/>
    <n v="0"/>
    <n v="0"/>
    <n v="0"/>
    <n v="0"/>
    <n v="1.05"/>
    <n v="18.209000000000003"/>
    <n v="8.5850000000000009"/>
    <n v="13.183999999999999"/>
    <n v="34.131"/>
    <n v="27.015999999999998"/>
    <n v="14.315999999999999"/>
    <n v="26.952000000000002"/>
    <n v="20.857999999999997"/>
    <n v="27.905000000000005"/>
    <n v="28.218000000000004"/>
    <n v="40.155999999999999"/>
    <n v="42.583999999999996"/>
    <n v="8.3650000000000002"/>
    <n v="29.407000000000004"/>
    <n v="30.052000000000003"/>
    <n v="23.395000000000003"/>
    <n v="21.850999999999999"/>
    <n v="14.382"/>
    <n v="14.815999999999999"/>
    <n v="20.896000000000001"/>
    <n v="39.796999999999997"/>
    <n v="15.544266666666667"/>
    <n v="5.1814222222222224"/>
  </r>
  <r>
    <n v="86"/>
    <x v="13"/>
    <s v="EVCS-100003"/>
    <x v="65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4"/>
    <s v="EVCS-080001"/>
    <x v="66"/>
    <s v="Trinity"/>
    <s v="Public-Paid"/>
    <s v="15 kw"/>
    <s v="DC Charger"/>
    <n v="1"/>
    <x v="0"/>
    <n v="0"/>
    <n v="0"/>
    <n v="0"/>
    <n v="0"/>
    <n v="0"/>
    <n v="1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5366666666666663"/>
    <n v="0.35366666666666663"/>
  </r>
  <r>
    <n v="88"/>
    <x v="15"/>
    <s v="EVCS-270008"/>
    <x v="67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16"/>
    <s v="EVCS-180001"/>
    <x v="68"/>
    <s v="Trinity"/>
    <s v="Public-Paid"/>
    <s v="15 kw"/>
    <s v="DC Charger"/>
    <n v="1"/>
    <x v="0"/>
    <n v="0"/>
    <n v="0"/>
    <n v="0"/>
    <n v="0"/>
    <n v="38.079000000000001"/>
    <n v="38.180000000000007"/>
    <n v="0"/>
    <n v="0"/>
    <n v="19.626999999999999"/>
    <n v="0"/>
    <n v="19.817"/>
    <n v="0"/>
    <n v="18.71"/>
    <n v="30.806000000000004"/>
    <n v="0"/>
    <n v="0"/>
    <n v="39.768999999999998"/>
    <n v="0"/>
    <n v="0"/>
    <n v="37.589999999999996"/>
    <n v="20.733000000000001"/>
    <n v="0"/>
    <n v="0"/>
    <n v="0"/>
    <n v="0"/>
    <n v="0"/>
    <n v="0"/>
    <n v="0"/>
    <n v="0"/>
    <n v="0"/>
    <n v="0"/>
    <n v="8.7770333333333337"/>
    <n v="8.7770333333333337"/>
  </r>
  <r>
    <n v="90"/>
    <x v="17"/>
    <s v="EVCS-190001"/>
    <x v="69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18"/>
    <s v="EVCS-190002"/>
    <x v="70"/>
    <s v="Trinity"/>
    <s v="Public-Paid"/>
    <s v="15 kw"/>
    <s v="DC Charger"/>
    <n v="1"/>
    <x v="0"/>
    <m/>
    <m/>
    <m/>
    <m/>
    <m/>
    <m/>
    <m/>
    <m/>
    <m/>
    <m/>
    <m/>
    <m/>
    <m/>
    <m/>
    <m/>
    <m/>
    <n v="0"/>
    <n v="2.78"/>
    <n v="0"/>
    <n v="0"/>
    <n v="0"/>
    <n v="0"/>
    <n v="0"/>
    <n v="0"/>
    <n v="0"/>
    <n v="0"/>
    <n v="0"/>
    <n v="0"/>
    <n v="0"/>
    <n v="0"/>
    <n v="0"/>
    <n v="0.19857142857142857"/>
    <n v="0.19857142857142857"/>
  </r>
  <r>
    <n v="92"/>
    <x v="19"/>
    <s v="EVCS-270010"/>
    <x v="71"/>
    <s v="Trinity"/>
    <s v="Public-Paid"/>
    <s v="15 kw"/>
    <s v="DC Charger"/>
    <n v="1"/>
    <x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20"/>
    <s v="EVCS-240004"/>
    <x v="72"/>
    <s v="Trinity"/>
    <s v="Public-Paid"/>
    <s v="15 kw"/>
    <s v="DC Charger"/>
    <n v="1"/>
    <x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"/>
    <x v="21"/>
    <s v="EVCS-230001"/>
    <x v="73"/>
    <s v="Trinity"/>
    <s v="Public-Paid"/>
    <s v="15 kw"/>
    <s v="DC Charger"/>
    <n v="1"/>
    <x v="0"/>
    <m/>
    <m/>
    <m/>
    <m/>
    <m/>
    <n v="0.742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72E-2"/>
    <n v="2.972E-2"/>
  </r>
  <r>
    <n v="95"/>
    <x v="22"/>
    <s v="EVCS-320002"/>
    <x v="74"/>
    <s v="Trinity"/>
    <s v="Public-Paid"/>
    <s v="15 kw"/>
    <s v="DC Charger"/>
    <n v="1"/>
    <x v="0"/>
    <m/>
    <m/>
    <m/>
    <m/>
    <m/>
    <m/>
    <m/>
    <m/>
    <m/>
    <m/>
    <m/>
    <m/>
    <n v="0"/>
    <n v="0"/>
    <n v="0"/>
    <n v="0"/>
    <n v="0"/>
    <n v="0"/>
    <n v="0"/>
    <n v="0"/>
    <n v="9.41"/>
    <n v="0"/>
    <n v="0"/>
    <n v="0"/>
    <n v="0"/>
    <n v="0"/>
    <n v="0"/>
    <n v="0"/>
    <n v="0"/>
    <n v="0"/>
    <n v="0"/>
    <n v="0.52277777777777779"/>
    <n v="0.52277777777777779"/>
  </r>
  <r>
    <n v="96"/>
    <x v="23"/>
    <s v="EVCS-240003"/>
    <x v="75"/>
    <s v="SOU"/>
    <s v="Public-Paid"/>
    <s v="3.3 kW"/>
    <s v="OCPP"/>
    <n v="40"/>
    <x v="1"/>
    <n v="543.32099999999991"/>
    <n v="250.92800000000003"/>
    <n v="309.95299999999997"/>
    <n v="318.26999999999987"/>
    <n v="364.92200000000003"/>
    <n v="286.08899999999988"/>
    <n v="384.61099999999999"/>
    <n v="543.81999999999994"/>
    <n v="302.28500000000003"/>
    <n v="225.23099999999999"/>
    <n v="416.63399999999996"/>
    <n v="371.86799999999999"/>
    <n v="436.35500000000013"/>
    <n v="387.50199999999995"/>
    <n v="434.79600000000005"/>
    <n v="310.85499999999996"/>
    <n v="222.00999999999996"/>
    <n v="434.70100000000002"/>
    <n v="561.28699999999992"/>
    <n v="507.32400000000013"/>
    <n v="607.99499999999989"/>
    <n v="699.47200000000021"/>
    <n v="462.54100000000017"/>
    <n v="204.20199999999997"/>
    <n v="683.346"/>
    <n v="666.36199999999974"/>
    <n v="682.16499999999996"/>
    <n v="662.11099999999988"/>
    <n v="704.9649999999998"/>
    <n v="478.55600000000004"/>
    <n v="184.749"/>
    <n v="448.81589999999994"/>
    <n v="11.220397499999999"/>
  </r>
  <r>
    <n v="97"/>
    <x v="24"/>
    <s v="EVCS-090001"/>
    <x v="76"/>
    <s v="ETO"/>
    <s v="Public-Paid"/>
    <s v="3.3 kW"/>
    <s v="OCPP"/>
    <n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25"/>
    <s v="EVCS-090003"/>
    <x v="77"/>
    <s v="Mahagun Hotel"/>
    <s v="Public-Paid"/>
    <s v="7.4 kW"/>
    <s v="OCPP"/>
    <n v="2"/>
    <x v="0"/>
    <n v="0"/>
    <n v="0"/>
    <n v="0"/>
    <n v="2.8250000000000002"/>
    <n v="3.016"/>
    <n v="31.556000000000001"/>
    <n v="0"/>
    <n v="0"/>
    <n v="0"/>
    <n v="0"/>
    <n v="0"/>
    <n v="4.6239999999999997"/>
    <n v="10.367000000000001"/>
    <n v="0"/>
    <n v="17.471"/>
    <n v="0"/>
    <n v="0"/>
    <n v="0"/>
    <n v="0"/>
    <n v="0"/>
    <n v="0"/>
    <n v="25.808999999999997"/>
    <n v="0.626"/>
    <n v="0"/>
    <n v="0"/>
    <n v="37.773000000000003"/>
    <n v="0"/>
    <n v="8.8580000000000005"/>
    <n v="34.56"/>
    <n v="0"/>
    <n v="0"/>
    <n v="5.9161666666666672"/>
    <n v="2.9580833333333336"/>
  </r>
  <r>
    <n v="99"/>
    <x v="26"/>
    <s v="EVCS-090005"/>
    <x v="78"/>
    <s v="Trinity"/>
    <s v="Public-Paid"/>
    <s v="3.3kW"/>
    <s v="OCPP"/>
    <n v="6"/>
    <x v="1"/>
    <n v="166.636"/>
    <n v="177.21100000000001"/>
    <n v="112.633"/>
    <n v="164.75200000000001"/>
    <n v="69.275000000000006"/>
    <n v="70.779999999999973"/>
    <n v="97.786000000000016"/>
    <n v="147.73600000000008"/>
    <n v="177.38200000000012"/>
    <n v="144.37200000000001"/>
    <n v="139.91700000000006"/>
    <n v="140.08499999999998"/>
    <n v="151.84500000000003"/>
    <n v="159.22999999999996"/>
    <n v="69.600000000000009"/>
    <n v="36.155000000000008"/>
    <n v="14.564999999999998"/>
    <n v="4.7850000000000001"/>
    <n v="119.84599999999999"/>
    <n v="39.563000000000009"/>
    <n v="0"/>
    <n v="7.6590000000000007"/>
    <n v="5.0939999999999994"/>
    <n v="208.28799999999993"/>
    <n v="142.149"/>
    <n v="161.654"/>
    <n v="154.36899999999997"/>
    <n v="175.38199999999998"/>
    <n v="173.27299999999997"/>
    <n v="181.13099999999997"/>
    <n v="179.19000000000003"/>
    <n v="113.77176666666669"/>
    <n v="18.961961111111115"/>
  </r>
  <r>
    <n v="100"/>
    <x v="26"/>
    <s v="EVCS-090006"/>
    <x v="7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26"/>
    <s v="EVCS-090007"/>
    <x v="80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x v="26"/>
    <s v="EVCS-090008"/>
    <x v="81"/>
    <s v="Trinity"/>
    <s v="Public-Paid"/>
    <s v="12kW"/>
    <s v="DC Charger"/>
    <n v="1"/>
    <x v="0"/>
    <n v="0"/>
    <n v="0"/>
    <n v="0"/>
    <n v="0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33333333333332E-4"/>
    <n v="3.3333333333333332E-4"/>
  </r>
  <r>
    <n v="103"/>
    <x v="27"/>
    <s v="EVCS-090009"/>
    <x v="82"/>
    <s v="Trinity"/>
    <s v="Public-Paid"/>
    <s v="3.3kW"/>
    <s v="OCPP"/>
    <n v="15"/>
    <x v="2"/>
    <n v="126.26599999999999"/>
    <n v="125.65300000000002"/>
    <n v="106.18899999999998"/>
    <n v="90.298000000000002"/>
    <n v="88.546999999999997"/>
    <n v="57.332999999999977"/>
    <n v="103.1660000000001"/>
    <n v="61.451999999999984"/>
    <n v="79.411000000000001"/>
    <n v="59.994000000000007"/>
    <n v="94.282999999999973"/>
    <n v="129.61400000000006"/>
    <n v="106.709"/>
    <n v="114.59300000000002"/>
    <n v="108.29899999999999"/>
    <n v="112.89900000000007"/>
    <n v="105.28100000000001"/>
    <n v="96.975999999999999"/>
    <n v="111.77700000000007"/>
    <n v="112.19100000000006"/>
    <n v="107.29200000000003"/>
    <n v="148.358"/>
    <n v="147.678"/>
    <n v="242.87799999999999"/>
    <n v="234.21500000000009"/>
    <n v="283.69599999999991"/>
    <n v="346.88499999999993"/>
    <n v="363.51399999999995"/>
    <n v="310.64999999999986"/>
    <n v="372.05500000000001"/>
    <n v="339.45600000000013"/>
    <n v="151.60506666666669"/>
    <n v="10.107004444444446"/>
  </r>
  <r>
    <n v="104"/>
    <x v="27"/>
    <s v="EVCS-090009"/>
    <x v="82"/>
    <s v="Trinity"/>
    <s v="Public-Paid"/>
    <s v="12kW"/>
    <s v="DC Charger"/>
    <n v="1"/>
    <x v="2"/>
    <n v="0"/>
    <n v="23.9"/>
    <n v="27.910000000000004"/>
    <n v="34.22"/>
    <n v="0"/>
    <n v="0"/>
    <n v="31.720000000000002"/>
    <n v="34.158999999999999"/>
    <n v="47.970000000000006"/>
    <n v="55.28"/>
    <n v="17.380000000000003"/>
    <n v="0"/>
    <n v="0"/>
    <n v="0"/>
    <n v="0"/>
    <n v="0"/>
    <n v="0"/>
    <n v="0"/>
    <n v="0"/>
    <n v="0"/>
    <n v="0"/>
    <n v="0"/>
    <n v="0"/>
    <n v="12.290000000000001"/>
    <n v="0"/>
    <n v="21.35"/>
    <n v="8.0799999999999983"/>
    <n v="11.41"/>
    <n v="4.8"/>
    <n v="5.64"/>
    <n v="7.8900000000000006"/>
    <n v="11.203633333333334"/>
    <n v="11.203633333333334"/>
  </r>
  <r>
    <n v="105"/>
    <x v="28"/>
    <s v="EVCS-070004"/>
    <x v="83"/>
    <s v="ETO"/>
    <s v="Public-Paid"/>
    <s v="3.3 kW"/>
    <s v="OCPP"/>
    <n v="5"/>
    <x v="1"/>
    <n v="35.78"/>
    <n v="27.265999999999998"/>
    <n v="39.913999999999994"/>
    <n v="38.176999999999992"/>
    <n v="41.076999999999998"/>
    <n v="49.779999999999994"/>
    <n v="43.022999999999996"/>
    <n v="48.925999999999988"/>
    <n v="32.088000000000001"/>
    <n v="49.203000000000003"/>
    <n v="28.206000000000003"/>
    <n v="41.923000000000002"/>
    <n v="39.006"/>
    <n v="31.195"/>
    <n v="37.176000000000009"/>
    <n v="54.048999999999999"/>
    <n v="48.01100000000001"/>
    <n v="41.233000000000004"/>
    <n v="43.583999999999996"/>
    <n v="38.730999999999995"/>
    <n v="47.419999999999995"/>
    <n v="35.285000000000004"/>
    <n v="48.134999999999991"/>
    <n v="20.404000000000003"/>
    <n v="29.976000000000003"/>
    <n v="36.402000000000001"/>
    <n v="37.805999999999997"/>
    <n v="42.573999999999991"/>
    <n v="45.198999999999998"/>
    <n v="39.452999999999989"/>
    <n v="30.759999999999998"/>
    <n v="39.700066666666672"/>
    <n v="7.9400133333333347"/>
  </r>
  <r>
    <n v="106"/>
    <x v="28"/>
    <s v="EVCS-070007"/>
    <x v="84"/>
    <s v="ETO"/>
    <s v="Public-Paid"/>
    <s v="3.3 kW"/>
    <s v="OCPP"/>
    <n v="16"/>
    <x v="1"/>
    <n v="59.491000000000007"/>
    <n v="46.403000000000006"/>
    <n v="35.134"/>
    <n v="50.375999999999998"/>
    <n v="27.546999999999997"/>
    <n v="52.292000000000002"/>
    <n v="41.4"/>
    <n v="73.007000000000005"/>
    <n v="23.775000000000002"/>
    <n v="69.068999999999988"/>
    <n v="41.099999999999994"/>
    <n v="59.012"/>
    <n v="80.875000000000014"/>
    <n v="62.634000000000007"/>
    <n v="28.225000000000001"/>
    <n v="37.457999999999998"/>
    <n v="40.545999999999992"/>
    <n v="40.503999999999998"/>
    <n v="53.567999999999998"/>
    <n v="29.145999999999997"/>
    <n v="63.936999999999998"/>
    <n v="74.547999999999988"/>
    <n v="72.438999999999993"/>
    <n v="72.873999999999995"/>
    <n v="76.486999999999995"/>
    <n v="85.293999999999997"/>
    <n v="48.738"/>
    <n v="29.22"/>
    <n v="43.838999999999999"/>
    <n v="32.905000000000001"/>
    <n v="65.251999999999995"/>
    <n v="51.728100000000012"/>
    <n v="3.2330062500000007"/>
  </r>
  <r>
    <n v="107"/>
    <x v="28"/>
    <s v="EVCS-070008"/>
    <x v="85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x v="28"/>
    <s v="EVCS-070009"/>
    <x v="86"/>
    <s v="ETO"/>
    <s v="Public-Paid"/>
    <s v="3.3 kW"/>
    <s v="OCPP"/>
    <n v="13"/>
    <x v="1"/>
    <n v="23.920999999999999"/>
    <n v="47.36"/>
    <n v="28.133999999999997"/>
    <n v="21.337"/>
    <n v="27.443999999999999"/>
    <n v="24.215000000000003"/>
    <n v="32.874000000000002"/>
    <n v="28.123000000000001"/>
    <n v="23.379000000000001"/>
    <n v="28.369"/>
    <n v="37.766999999999996"/>
    <n v="24.813000000000002"/>
    <n v="38.123000000000005"/>
    <n v="38.744999999999997"/>
    <n v="14.367000000000001"/>
    <n v="24.199000000000002"/>
    <n v="13.135"/>
    <n v="15.667"/>
    <n v="73.527000000000001"/>
    <n v="50.27"/>
    <n v="62.856000000000002"/>
    <n v="40.177999999999997"/>
    <n v="78.83499999999998"/>
    <n v="56.839999999999996"/>
    <n v="77.566000000000003"/>
    <n v="63.859000000000002"/>
    <n v="24.272000000000002"/>
    <n v="28.993000000000002"/>
    <n v="36.344999999999999"/>
    <n v="54.164999999999999"/>
    <n v="55.47"/>
    <n v="37.989266666666673"/>
    <n v="2.9222512820512825"/>
  </r>
  <r>
    <n v="109"/>
    <x v="28"/>
    <s v="EVCS-070010"/>
    <x v="87"/>
    <s v="ETO"/>
    <s v="Public-Paid"/>
    <s v="3.3 kW"/>
    <s v="OCPP"/>
    <n v="20"/>
    <x v="1"/>
    <n v="333.45800000000003"/>
    <n v="322.15700000000004"/>
    <n v="354.23699999999991"/>
    <n v="348.22600000000006"/>
    <n v="379.95400000000006"/>
    <n v="342.13500000000005"/>
    <n v="399.95100000000008"/>
    <n v="394.04799999999983"/>
    <n v="274.26900000000006"/>
    <n v="319.31599999999992"/>
    <n v="366.87700000000001"/>
    <n v="368.83700000000022"/>
    <n v="350.96800000000007"/>
    <n v="363.017"/>
    <n v="384.46400000000017"/>
    <n v="328.28199999999998"/>
    <n v="352.10100000000028"/>
    <n v="372.26599999999996"/>
    <n v="295.17200000000014"/>
    <n v="348.24600000000004"/>
    <n v="404.82199999999989"/>
    <n v="411.46199999999993"/>
    <n v="307.87700000000018"/>
    <n v="328.62800000000004"/>
    <n v="338.60499999999996"/>
    <n v="445.77699999999999"/>
    <n v="318.09100000000001"/>
    <n v="261.97000000000003"/>
    <n v="380.49399999999991"/>
    <n v="476.37700000000001"/>
    <n v="404.15599999999989"/>
    <n v="355.73613333333338"/>
    <n v="17.786806666666671"/>
  </r>
  <r>
    <n v="110"/>
    <x v="28"/>
    <s v="EVCS-070010"/>
    <x v="87"/>
    <s v="ETO"/>
    <s v="Public-Paid"/>
    <s v="12kW"/>
    <s v="DC Charger"/>
    <n v="2"/>
    <x v="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"/>
    <x v="28"/>
    <s v="EVCS-070011"/>
    <x v="88"/>
    <s v="ETO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"/>
    <x v="28"/>
    <s v="EVCS-070012"/>
    <x v="89"/>
    <s v="ETO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28"/>
    <s v="EVCS-070013"/>
    <x v="90"/>
    <s v="Trinity"/>
    <s v="Public-Paid"/>
    <s v="7.4 kW"/>
    <s v="OCPP"/>
    <n v="2"/>
    <x v="0"/>
    <n v="36.006999999999998"/>
    <n v="19.919"/>
    <n v="0"/>
    <n v="0"/>
    <n v="8.5630000000000006"/>
    <n v="0"/>
    <n v="13.623000000000001"/>
    <n v="27.559000000000001"/>
    <n v="0"/>
    <n v="0"/>
    <n v="0"/>
    <n v="7.7539999999999996"/>
    <n v="0"/>
    <n v="38.686"/>
    <n v="0"/>
    <n v="0"/>
    <n v="31.047000000000001"/>
    <n v="0"/>
    <n v="0"/>
    <n v="35.811999999999998"/>
    <n v="36.56"/>
    <n v="0"/>
    <n v="0"/>
    <n v="37.023000000000003"/>
    <n v="0"/>
    <n v="0"/>
    <n v="0"/>
    <n v="0"/>
    <n v="0"/>
    <n v="35.874000000000002"/>
    <n v="0"/>
    <n v="10.947566666666669"/>
    <n v="5.4737833333333343"/>
  </r>
  <r>
    <n v="114"/>
    <x v="28"/>
    <s v="EVCS-070014"/>
    <x v="91"/>
    <m/>
    <s v="Private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x v="28"/>
    <s v="EVCS-070015"/>
    <x v="92"/>
    <s v="Trinity"/>
    <s v="Public-Free"/>
    <s v="3.3 kW"/>
    <s v="OCPP"/>
    <n v="6"/>
    <x v="3"/>
    <n v="30.277999999999999"/>
    <n v="44.634"/>
    <n v="60.613999999999997"/>
    <n v="72.936000000000007"/>
    <n v="65.456000000000003"/>
    <n v="52.442999999999991"/>
    <n v="11.116999999999999"/>
    <n v="14.377000000000001"/>
    <n v="104.40699999999998"/>
    <n v="47.919000000000004"/>
    <n v="83.328000000000003"/>
    <n v="63.438999999999986"/>
    <n v="66.156999999999996"/>
    <n v="0"/>
    <n v="0"/>
    <n v="48.453000000000003"/>
    <n v="85.644999999999996"/>
    <n v="61.143000000000008"/>
    <n v="54.222999999999999"/>
    <n v="73.117999999999995"/>
    <n v="4.9180000000000001"/>
    <n v="0"/>
    <n v="56.689"/>
    <n v="52.197999999999993"/>
    <n v="0"/>
    <n v="21.104999999999997"/>
    <n v="46.962000000000003"/>
    <n v="31.267000000000003"/>
    <n v="10.433999999999999"/>
    <n v="30.959000000000003"/>
    <n v="32.569000000000003"/>
    <n v="43.140633333333334"/>
    <n v="7.1901055555555553"/>
  </r>
  <r>
    <n v="116"/>
    <x v="28"/>
    <s v="EVCS-070016"/>
    <x v="93"/>
    <s v="Trinity"/>
    <s v="Public-Paid"/>
    <s v="3.3kW"/>
    <s v="OCPP"/>
    <n v="20"/>
    <x v="2"/>
    <n v="88.989000000000004"/>
    <n v="87.801000000000002"/>
    <n v="143.52500000000001"/>
    <n v="142.04099999999997"/>
    <n v="133.44000000000003"/>
    <n v="150.48400000000001"/>
    <n v="131.09499999999997"/>
    <n v="97.405000000000015"/>
    <n v="95.916000000000025"/>
    <n v="164.04800000000003"/>
    <n v="139.06100000000004"/>
    <n v="153.935"/>
    <n v="157.83599999999998"/>
    <n v="110.08600000000001"/>
    <n v="159.268"/>
    <n v="199.25799999999998"/>
    <n v="153.51200000000003"/>
    <n v="212.25400000000002"/>
    <n v="158.98699999999999"/>
    <n v="186.7950000000001"/>
    <n v="156.14499999999995"/>
    <n v="170.083"/>
    <n v="176.04900000000006"/>
    <n v="210.68700000000001"/>
    <n v="216.21899999999999"/>
    <n v="207.40299999999996"/>
    <n v="188.59700000000007"/>
    <n v="114.65799999999997"/>
    <n v="168.19200000000004"/>
    <n v="179.05499999999998"/>
    <n v="159.88499999999999"/>
    <n v="155.09413333333336"/>
    <n v="7.7547066666666682"/>
  </r>
  <r>
    <n v="117"/>
    <x v="28"/>
    <s v="EVCS-070016"/>
    <x v="93"/>
    <s v="Trinity"/>
    <s v="Public-Paid"/>
    <s v="7.4 kW"/>
    <s v="OCPP"/>
    <n v="1"/>
    <x v="0"/>
    <m/>
    <m/>
    <m/>
    <m/>
    <m/>
    <m/>
    <m/>
    <m/>
    <m/>
    <m/>
    <m/>
    <m/>
    <m/>
    <m/>
    <m/>
    <m/>
    <m/>
    <m/>
    <n v="0"/>
    <n v="0"/>
    <n v="0"/>
    <n v="0.28999999999999998"/>
    <n v="0"/>
    <n v="0"/>
    <n v="0"/>
    <n v="0"/>
    <n v="0"/>
    <n v="0"/>
    <n v="0"/>
    <n v="0"/>
    <n v="13.281000000000001"/>
    <n v="2.4166666666666666E-2"/>
    <n v="2.4166666666666666E-2"/>
  </r>
  <r>
    <n v="118"/>
    <x v="28"/>
    <s v="EVCS-070016"/>
    <x v="93"/>
    <s v="Trinity"/>
    <s v="Public-Paid"/>
    <s v="12kW"/>
    <s v="DC Charger"/>
    <n v="1"/>
    <x v="1"/>
    <m/>
    <m/>
    <m/>
    <m/>
    <m/>
    <n v="0"/>
    <n v="0.09"/>
    <n v="5.92"/>
    <n v="7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4720000000000002"/>
    <n v="0.54720000000000002"/>
  </r>
  <r>
    <n v="119"/>
    <x v="28"/>
    <s v="EVCS-070063"/>
    <x v="94"/>
    <s v="Trinity"/>
    <s v="Public-Paid"/>
    <s v="3.3kW"/>
    <s v="OCPP"/>
    <n v="5"/>
    <x v="1"/>
    <n v="0"/>
    <n v="0"/>
    <n v="0"/>
    <n v="3.9E-2"/>
    <n v="0"/>
    <n v="2.900000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66666666666668E-3"/>
    <n v="4.5333333333333337E-4"/>
  </r>
  <r>
    <n v="120"/>
    <x v="28"/>
    <s v="EVCS-070017"/>
    <x v="95"/>
    <s v="Trinity"/>
    <s v="Public-Paid"/>
    <s v="3.3kW"/>
    <s v="OCPP"/>
    <n v="15"/>
    <x v="2"/>
    <n v="207.94899999999996"/>
    <n v="203.43799999999999"/>
    <n v="226.55000000000007"/>
    <n v="244.75000000000006"/>
    <n v="292.31999999999994"/>
    <n v="290.79600000000005"/>
    <n v="258.78100000000001"/>
    <n v="297.61599999999999"/>
    <n v="271.99"/>
    <n v="257.26600000000002"/>
    <n v="256.93900000000008"/>
    <n v="319.59900000000005"/>
    <n v="243.07300000000004"/>
    <n v="259.56900000000007"/>
    <n v="255.69000000000003"/>
    <n v="252.11099999999999"/>
    <n v="235.89699999999996"/>
    <n v="237.89599999999999"/>
    <n v="259.64000000000004"/>
    <n v="242.41000000000003"/>
    <n v="266.68599999999992"/>
    <n v="276.23400000000004"/>
    <n v="251.41999999999996"/>
    <n v="261.18400000000003"/>
    <n v="209.98000000000002"/>
    <n v="261.24400000000003"/>
    <n v="214.81900000000005"/>
    <n v="211.95700000000002"/>
    <n v="217.018"/>
    <n v="235.50299999999996"/>
    <n v="213.70999999999998"/>
    <n v="250.67750000000007"/>
    <n v="16.711833333333338"/>
  </r>
  <r>
    <n v="121"/>
    <x v="28"/>
    <s v="EVCS-070017"/>
    <x v="95"/>
    <s v="Trinity"/>
    <s v="Public-Paid"/>
    <s v="12kW"/>
    <s v="DC Charger"/>
    <n v="1"/>
    <x v="2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2"/>
    <x v="28"/>
    <s v="EVCS-070020"/>
    <x v="96"/>
    <s v="Trinity"/>
    <s v="Public-Paid"/>
    <s v="3.3kW"/>
    <s v="OCPP"/>
    <n v="4"/>
    <x v="0"/>
    <n v="0"/>
    <n v="0"/>
    <n v="0"/>
    <n v="0"/>
    <n v="0"/>
    <n v="0"/>
    <n v="0"/>
    <n v="1.847"/>
    <n v="0"/>
    <n v="0.91"/>
    <n v="2.2789999999999999"/>
    <n v="0"/>
    <n v="0"/>
    <n v="0.92800000000000005"/>
    <n v="0.92600000000000005"/>
    <n v="0"/>
    <n v="0"/>
    <n v="0"/>
    <n v="0.33800000000000002"/>
    <n v="1.502"/>
    <n v="0"/>
    <n v="0"/>
    <n v="0"/>
    <n v="0"/>
    <n v="0"/>
    <n v="0"/>
    <n v="0"/>
    <n v="0"/>
    <n v="0"/>
    <n v="0"/>
    <n v="0"/>
    <n v="0.29100000000000004"/>
    <n v="7.2750000000000009E-2"/>
  </r>
  <r>
    <n v="123"/>
    <x v="28"/>
    <s v="EVCS-070020"/>
    <x v="96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x v="28"/>
    <s v="EVCS-070002"/>
    <x v="97"/>
    <s v="BYPL MCD Parking"/>
    <s v="Public-Paid"/>
    <s v="3.3kW"/>
    <s v="OCPP"/>
    <n v="2"/>
    <x v="0"/>
    <n v="0.92200000000000004"/>
    <n v="12.303999999999998"/>
    <n v="0"/>
    <n v="8.7100000000000009"/>
    <n v="10.615"/>
    <n v="2.5440000000000005"/>
    <n v="1.5620000000000001"/>
    <n v="0"/>
    <n v="0"/>
    <n v="25.388999999999999"/>
    <n v="29.798999999999999"/>
    <n v="26.216000000000001"/>
    <n v="26.108999999999998"/>
    <n v="24.393000000000011"/>
    <n v="8.94"/>
    <n v="8.052999999999999"/>
    <n v="26.410999999999998"/>
    <n v="17.213999999999999"/>
    <n v="18.722000000000001"/>
    <n v="25.240000000000002"/>
    <n v="18.062999999999999"/>
    <n v="33.132000000000005"/>
    <n v="9.1169999999999991"/>
    <n v="21.384"/>
    <n v="28.304000000000002"/>
    <n v="25.638999999999999"/>
    <n v="18.579000000000001"/>
    <n v="16.527999999999999"/>
    <n v="29.238"/>
    <n v="0.99399999999999999"/>
    <n v="18.007000000000001"/>
    <n v="15.804033333333336"/>
    <n v="7.9020166666666682"/>
  </r>
  <r>
    <n v="125"/>
    <x v="28"/>
    <s v="EVCS-070022"/>
    <x v="9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x v="28"/>
    <s v="EVCS-070023"/>
    <x v="99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x v="28"/>
    <s v="EVCS-070023"/>
    <x v="99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x v="28"/>
    <s v="EVCS-070025"/>
    <x v="100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x v="28"/>
    <s v="EVCS-070042"/>
    <x v="101"/>
    <s v="BYPL MCD Parking"/>
    <s v="Public-Paid"/>
    <s v="3.3kW"/>
    <s v="OCPP"/>
    <n v="3"/>
    <x v="0"/>
    <n v="28.151"/>
    <n v="5.19"/>
    <n v="17.999000000000002"/>
    <n v="15.465"/>
    <n v="13.942"/>
    <n v="8.8309999999999995"/>
    <n v="17.061"/>
    <n v="23.356999999999999"/>
    <n v="1.5069999999999999"/>
    <n v="13.055"/>
    <n v="20.6"/>
    <n v="20.581"/>
    <n v="12.302999999999999"/>
    <n v="8.7929999999999993"/>
    <n v="5.7859999999999996"/>
    <n v="3.266"/>
    <n v="9.359"/>
    <n v="8.5590000000000011"/>
    <n v="9.4269999999999996"/>
    <n v="16.937999999999999"/>
    <n v="16.401"/>
    <n v="11.144"/>
    <n v="12.038"/>
    <n v="16.282"/>
    <n v="16.366"/>
    <n v="8.9740000000000002"/>
    <n v="22.666999999999998"/>
    <n v="6.2720000000000002"/>
    <n v="24.754999999999999"/>
    <n v="8.4719999999999995"/>
    <n v="21.920999999999999"/>
    <n v="13.451366666666665"/>
    <n v="4.4837888888888884"/>
  </r>
  <r>
    <n v="130"/>
    <x v="28"/>
    <s v="EVCS-070049"/>
    <x v="102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"/>
    <x v="28"/>
    <s v="EVCS-070054"/>
    <x v="103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2"/>
    <x v="28"/>
    <s v="EVCS-070055"/>
    <x v="104"/>
    <s v="ETO"/>
    <s v="Public-Paid"/>
    <s v="3.3kW"/>
    <s v="OCPP"/>
    <n v="4"/>
    <x v="3"/>
    <n v="0"/>
    <n v="0"/>
    <n v="0"/>
    <n v="0"/>
    <n v="0"/>
    <n v="0"/>
    <n v="0"/>
    <n v="0"/>
    <n v="0"/>
    <n v="0"/>
    <n v="0"/>
    <n v="0"/>
    <n v="0"/>
    <n v="6.056"/>
    <n v="0"/>
    <n v="0"/>
    <n v="0"/>
    <n v="0"/>
    <n v="0"/>
    <n v="0"/>
    <n v="0"/>
    <n v="0"/>
    <n v="0"/>
    <n v="0"/>
    <n v="0"/>
    <n v="0"/>
    <n v="0"/>
    <n v="0"/>
    <n v="0"/>
    <n v="0.60899999999999999"/>
    <n v="0"/>
    <n v="0.22216666666666668"/>
    <n v="5.554166666666667E-2"/>
  </r>
  <r>
    <n v="133"/>
    <x v="28"/>
    <s v="EVCS-070056"/>
    <x v="105"/>
    <s v="Trinity"/>
    <s v="Public-Paid"/>
    <s v="3.3kW"/>
    <s v="OCPP"/>
    <n v="15"/>
    <x v="2"/>
    <n v="64.912999999999997"/>
    <n v="58.683"/>
    <n v="70.965999999999994"/>
    <n v="60.777999999999992"/>
    <n v="58.036999999999999"/>
    <n v="64.641000000000005"/>
    <n v="71.611000000000004"/>
    <n v="84.45999999999998"/>
    <n v="52.169000000000011"/>
    <n v="50.265000000000001"/>
    <n v="59.619000000000007"/>
    <n v="99.105999999999995"/>
    <n v="87.137999999999991"/>
    <n v="90.846000000000004"/>
    <n v="116.14700000000002"/>
    <n v="103.85599999999999"/>
    <n v="90.488"/>
    <n v="78.72799999999998"/>
    <n v="84.308000000000007"/>
    <n v="84.524000000000015"/>
    <n v="67.597999999999999"/>
    <n v="63.55"/>
    <n v="70.381"/>
    <n v="78.661000000000001"/>
    <n v="68.547000000000011"/>
    <n v="89.426000000000002"/>
    <n v="76.081999999999994"/>
    <n v="36.183000000000007"/>
    <n v="77.876999999999995"/>
    <n v="62.208999999999996"/>
    <n v="57.122999999999998"/>
    <n v="74.059899999999999"/>
    <n v="4.9373266666666664"/>
  </r>
  <r>
    <n v="134"/>
    <x v="28"/>
    <s v="EVCS-070056"/>
    <x v="105"/>
    <s v="Trinity"/>
    <s v="Public-Paid"/>
    <s v="12 kW"/>
    <s v="DC Charger"/>
    <n v="1"/>
    <x v="0"/>
    <m/>
    <m/>
    <m/>
    <m/>
    <m/>
    <m/>
    <m/>
    <m/>
    <m/>
    <m/>
    <m/>
    <m/>
    <m/>
    <m/>
    <m/>
    <m/>
    <m/>
    <n v="7.88"/>
    <n v="0"/>
    <n v="12.190000000000001"/>
    <n v="0"/>
    <n v="0"/>
    <n v="0"/>
    <n v="0"/>
    <n v="0"/>
    <n v="0"/>
    <n v="0"/>
    <n v="0"/>
    <n v="0"/>
    <n v="0"/>
    <n v="0"/>
    <n v="1.5438461538461539"/>
    <n v="1.5438461538461539"/>
  </r>
  <r>
    <n v="135"/>
    <x v="28"/>
    <s v="EVCS-070057"/>
    <x v="106"/>
    <s v="BRPL MCD Parking"/>
    <s v="Public-Free"/>
    <s v="3.3kW"/>
    <s v="OCPP"/>
    <n v="2"/>
    <x v="3"/>
    <n v="0"/>
    <n v="12.163"/>
    <n v="0"/>
    <n v="8.9239999999999995"/>
    <n v="22.969000000000001"/>
    <n v="0"/>
    <n v="0"/>
    <n v="0"/>
    <n v="9.0969999999999995"/>
    <n v="11.604000000000001"/>
    <n v="0"/>
    <n v="0"/>
    <n v="0"/>
    <n v="7.274"/>
    <n v="0"/>
    <n v="8.8810000000000002"/>
    <n v="8.6150000000000002"/>
    <n v="8.0350000000000001"/>
    <n v="0"/>
    <n v="0"/>
    <n v="0"/>
    <n v="2.68"/>
    <n v="7.08"/>
    <n v="0"/>
    <n v="0"/>
    <n v="14.146999999999998"/>
    <n v="0"/>
    <n v="0"/>
    <n v="0"/>
    <n v="6.18"/>
    <n v="0"/>
    <n v="4.2549666666666663"/>
    <n v="2.1274833333333332"/>
  </r>
  <r>
    <n v="136"/>
    <x v="28"/>
    <s v="EVCS-070058"/>
    <x v="107"/>
    <s v="Sold"/>
    <s v="Public-Free"/>
    <s v="3.3kW"/>
    <s v="OCPP"/>
    <n v="2"/>
    <x v="3"/>
    <n v="0"/>
    <n v="13.030999999999999"/>
    <n v="0"/>
    <n v="6.61"/>
    <n v="0"/>
    <n v="0"/>
    <n v="0"/>
    <n v="0"/>
    <n v="15.228999999999999"/>
    <n v="0"/>
    <n v="15.055"/>
    <n v="0"/>
    <n v="8.5670000000000002"/>
    <n v="0"/>
    <n v="0"/>
    <n v="3.0000000000000001E-3"/>
    <n v="21.764000000000003"/>
    <n v="7.032"/>
    <n v="6.9260000000000002"/>
    <n v="7.5839999999999996"/>
    <n v="0"/>
    <n v="0"/>
    <n v="3.4319999999999999"/>
    <n v="0"/>
    <n v="0"/>
    <n v="7.4630000000000001"/>
    <n v="0"/>
    <n v="0"/>
    <n v="0"/>
    <n v="10.8"/>
    <n v="0"/>
    <n v="4.1165333333333329"/>
    <n v="2.0582666666666665"/>
  </r>
  <r>
    <n v="137"/>
    <x v="28"/>
    <s v="EVCS-070059"/>
    <x v="108"/>
    <s v="BRPL MCD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8"/>
    <x v="28"/>
    <s v="EVCS-070060"/>
    <x v="109"/>
    <s v="Sold"/>
    <s v="Public-Free"/>
    <s v="3.3kW"/>
    <s v="OCPP"/>
    <n v="2"/>
    <x v="3"/>
    <n v="0"/>
    <n v="0"/>
    <n v="0"/>
    <n v="0"/>
    <n v="2E-3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1E-4"/>
    <n v="5.0000000000000002E-5"/>
  </r>
  <r>
    <n v="139"/>
    <x v="28"/>
    <s v="EVCS-070061"/>
    <x v="110"/>
    <s v="BSES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0"/>
    <x v="28"/>
    <s v="EVCS-070070"/>
    <x v="111"/>
    <s v="BSES Parking"/>
    <s v="Public-Free"/>
    <s v="3.3kW"/>
    <s v="OCPP"/>
    <n v="2"/>
    <x v="3"/>
    <m/>
    <m/>
    <m/>
    <m/>
    <m/>
    <m/>
    <m/>
    <m/>
    <m/>
    <m/>
    <m/>
    <m/>
    <m/>
    <m/>
    <m/>
    <m/>
    <m/>
    <m/>
    <m/>
    <m/>
    <m/>
    <n v="0"/>
    <n v="3.0630000000000002"/>
    <n v="0.57599999999999996"/>
    <n v="0"/>
    <n v="0"/>
    <n v="4.01"/>
    <n v="0"/>
    <n v="0"/>
    <n v="6.5830000000000002"/>
    <n v="1.1479999999999999"/>
    <n v="1.5813333333333333"/>
    <n v="0.79066666666666663"/>
  </r>
  <r>
    <n v="141"/>
    <x v="28"/>
    <s v="EVCS-070062"/>
    <x v="112"/>
    <s v="Trinity"/>
    <s v="Public-Paid"/>
    <s v="3.3kW"/>
    <s v="OCPP"/>
    <n v="15"/>
    <x v="2"/>
    <n v="0"/>
    <n v="0"/>
    <n v="0"/>
    <n v="0"/>
    <n v="8.0000000000000002E-3"/>
    <n v="0"/>
    <n v="0"/>
    <n v="0"/>
    <n v="0"/>
    <n v="0"/>
    <n v="0"/>
    <n v="0"/>
    <n v="0"/>
    <n v="0"/>
    <n v="0"/>
    <n v="21.359000000000005"/>
    <n v="22.246000000000002"/>
    <n v="37.325000000000003"/>
    <n v="40.298999999999999"/>
    <n v="19.432000000000002"/>
    <n v="47.515999999999998"/>
    <n v="35.994"/>
    <n v="23.595000000000002"/>
    <n v="42.11"/>
    <n v="40.847999999999999"/>
    <n v="62.433000000000007"/>
    <n v="18.387"/>
    <n v="52.305999999999997"/>
    <n v="49.165999999999997"/>
    <n v="42.314999999999998"/>
    <n v="32.151999999999994"/>
    <n v="18.511299999999999"/>
    <n v="1.2340866666666666"/>
  </r>
  <r>
    <n v="142"/>
    <x v="28"/>
    <s v="EVCS-070062"/>
    <x v="112"/>
    <s v="Trinity"/>
    <s v="Public-Paid"/>
    <s v="12 kW"/>
    <s v="DC Charger"/>
    <n v="2"/>
    <x v="2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3"/>
    <n v="0"/>
    <n v="0"/>
  </r>
  <r>
    <n v="143"/>
    <x v="28"/>
    <m/>
    <x v="113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4"/>
    <x v="28"/>
    <m/>
    <x v="114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5"/>
    <x v="28"/>
    <m/>
    <x v="115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6"/>
    <x v="28"/>
    <m/>
    <x v="116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7"/>
    <x v="28"/>
    <m/>
    <x v="117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8"/>
    <x v="28"/>
    <m/>
    <x v="118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9"/>
    <x v="29"/>
    <s v="EVCS-100002"/>
    <x v="119"/>
    <s v="Flipkart"/>
    <s v="Public-Paid"/>
    <s v="3.3kW"/>
    <s v="OCPP"/>
    <n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0"/>
    <x v="29"/>
    <s v="EVCS-100003"/>
    <x v="120"/>
    <s v="Flipkart"/>
    <s v="Public-Paid"/>
    <s v="3.3kW"/>
    <s v="OCPP"/>
    <n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n v="1"/>
    <x v="0"/>
    <x v="0"/>
    <s v="Amazon"/>
    <s v="Public-Paid"/>
    <s v="3.3 kW"/>
    <s v="OCPP"/>
    <n v="6"/>
    <x v="0"/>
    <n v="17.493000000000002"/>
    <n v="9.0310000000000006"/>
    <n v="39.680000000000007"/>
    <n v="53.546999999999997"/>
    <n v="74.527999999999992"/>
    <n v="55.170999999999999"/>
    <n v="15.037000000000001"/>
    <n v="45.107999999999997"/>
    <n v="32.305999999999997"/>
    <n v="59.98"/>
    <n v="78.569999999999993"/>
    <n v="68.775999999999996"/>
    <n v="62.641999999999996"/>
    <n v="83.132000000000005"/>
    <n v="63.533999999999999"/>
    <n v="67.235000000000014"/>
    <n v="50.039000000000009"/>
    <n v="57.518999999999998"/>
    <n v="37.283999999999999"/>
    <n v="94.371000000000009"/>
    <n v="61.542000000000002"/>
    <n v="49.262999999999998"/>
    <n v="82.143000000000001"/>
    <n v="31.68"/>
    <n v="47.970999999999989"/>
    <n v="68.527000000000015"/>
    <n v="65.775000000000006"/>
    <n v="51.025999999999996"/>
    <n v="50.78"/>
    <n v="74.141999999999996"/>
    <n v="61.56545454545455"/>
    <n v="10.260909090909092"/>
  </r>
  <r>
    <n v="2"/>
    <x v="0"/>
    <x v="1"/>
    <s v="Amazon"/>
    <s v="Public-Paid"/>
    <s v="3.3 kW"/>
    <s v="OCPP"/>
    <n v="9"/>
    <x v="0"/>
    <n v="112.28200000000002"/>
    <n v="106.35600000000002"/>
    <n v="155.68100000000001"/>
    <n v="147.91500000000002"/>
    <n v="115.18800000000002"/>
    <n v="186.98100000000005"/>
    <n v="162.25699999999998"/>
    <n v="134.61599999999996"/>
    <n v="164.87500000000006"/>
    <n v="148.273"/>
    <n v="139.12099999999998"/>
    <n v="149.20599999999999"/>
    <n v="114.74800000000002"/>
    <n v="141.83300000000003"/>
    <n v="145.49199999999999"/>
    <n v="150.14499999999998"/>
    <n v="170.72499999999999"/>
    <n v="115.373"/>
    <n v="160.17399999999998"/>
    <n v="176.07599999999996"/>
    <n v="171.63199999999995"/>
    <n v="160.53999999999996"/>
    <n v="154.60099999999997"/>
    <n v="164.2290000000001"/>
    <n v="149.83799999999997"/>
    <n v="180.291"/>
    <n v="162.22"/>
    <n v="183.94800000000001"/>
    <n v="170.28100000000001"/>
    <n v="176.42399999999992"/>
    <n v="168.18909090909091"/>
    <n v="18.687676767676766"/>
  </r>
  <r>
    <n v="3"/>
    <x v="0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s v="ETO"/>
    <s v="Public-Paid"/>
    <s v="3.3 kW"/>
    <s v="OCPP"/>
    <n v="8"/>
    <x v="1"/>
    <n v="46.025999999999996"/>
    <n v="76.105000000000004"/>
    <n v="109.02800000000002"/>
    <n v="82.161000000000001"/>
    <n v="101.908"/>
    <n v="126.36700000000002"/>
    <n v="124.27999999999999"/>
    <n v="92.167000000000002"/>
    <n v="119.27300000000002"/>
    <n v="109.18099999999998"/>
    <n v="99.554000000000002"/>
    <n v="109.18"/>
    <n v="116.46100000000001"/>
    <n v="88.481999999999985"/>
    <n v="128.316"/>
    <n v="89.060000000000016"/>
    <n v="100.34"/>
    <n v="93.983000000000004"/>
    <n v="110.598"/>
    <n v="105.63"/>
    <n v="45.773999999999994"/>
    <n v="74.106999999999999"/>
    <n v="84.046999999999997"/>
    <n v="126.97099999999999"/>
    <n v="91.291999999999987"/>
    <n v="64.055000000000007"/>
    <n v="99.39500000000001"/>
    <n v="82.277999999999992"/>
    <n v="98.373999999999995"/>
    <n v="76.316999999999993"/>
    <n v="86.203636363636363"/>
    <n v="10.775454545454545"/>
  </r>
  <r>
    <n v="5"/>
    <x v="0"/>
    <x v="4"/>
    <s v="Trinity"/>
    <s v="Public-Paid"/>
    <s v="3.3 kW"/>
    <s v="OCPP"/>
    <n v="54"/>
    <x v="2"/>
    <n v="647.69000000000005"/>
    <n v="478.30699999999996"/>
    <n v="771.04900000000021"/>
    <n v="750.8929999999998"/>
    <n v="650.27399999999966"/>
    <n v="655.23099999999988"/>
    <n v="902.39600000000019"/>
    <n v="732.90600000000006"/>
    <n v="813.47800000000018"/>
    <n v="694.91399999999987"/>
    <n v="612.73900000000003"/>
    <n v="886.05"/>
    <n v="715.07800000000009"/>
    <n v="788.12600000000009"/>
    <n v="939.59100000000012"/>
    <n v="816.67700000000013"/>
    <n v="754.0799999999997"/>
    <n v="866.26799999999992"/>
    <n v="704.14599999999984"/>
    <n v="850.42200000000014"/>
    <n v="456.642"/>
    <n v="959.06299999999965"/>
    <n v="1068.453"/>
    <n v="789.87999999999988"/>
    <n v="787.31299999999987"/>
    <n v="1084.086"/>
    <n v="767.827"/>
    <n v="911.32900000000029"/>
    <n v="784.28899999999999"/>
    <n v="1045.9069999999997"/>
    <n v="864.1100909090909"/>
    <n v="16.002038720538721"/>
  </r>
  <r>
    <n v="6"/>
    <x v="0"/>
    <x v="4"/>
    <s v="Trinity"/>
    <s v="Public-Paid"/>
    <s v="3 kW"/>
    <s v="DC Charger"/>
    <n v="1"/>
    <x v="2"/>
    <n v="0"/>
    <n v="0"/>
    <n v="6.1"/>
    <n v="7.51"/>
    <n v="5.24"/>
    <n v="0"/>
    <n v="0"/>
    <n v="0"/>
    <n v="0"/>
    <n v="8.35"/>
    <n v="8.1300000000000008"/>
    <n v="8.22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x v="4"/>
    <s v="Trinity"/>
    <s v="Public-Paid"/>
    <s v="6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4"/>
    <s v="Trinity"/>
    <s v="Public-Paid"/>
    <s v="12kW"/>
    <s v="DC Charger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5"/>
    <s v="Trinity"/>
    <s v="Public-Paid"/>
    <s v="3.3 kW"/>
    <s v="OCPP"/>
    <n v="6"/>
    <x v="2"/>
    <n v="9.8060000000000009"/>
    <n v="32.398000000000003"/>
    <n v="18.484999999999999"/>
    <n v="36.260999999999996"/>
    <n v="29.992999999999999"/>
    <n v="38.786000000000001"/>
    <n v="32.706000000000003"/>
    <n v="18.117999999999999"/>
    <n v="44.620000000000005"/>
    <n v="26.347999999999999"/>
    <n v="31.072999999999997"/>
    <n v="33.735999999999997"/>
    <n v="39.225000000000001"/>
    <n v="33.511000000000003"/>
    <n v="43.697000000000003"/>
    <n v="29.539000000000001"/>
    <n v="39.81600000000001"/>
    <n v="39.055"/>
    <n v="41.54"/>
    <n v="35.407999999999994"/>
    <n v="36.476999999999997"/>
    <n v="27.864999999999998"/>
    <n v="22.683"/>
    <n v="35.723999999999997"/>
    <n v="19.640999999999998"/>
    <n v="48.756"/>
    <n v="38.274000000000001"/>
    <n v="41.951000000000008"/>
    <n v="22.565999999999999"/>
    <n v="33.099999999999994"/>
    <n v="32.949545454545451"/>
    <n v="5.4915909090909087"/>
  </r>
  <r>
    <n v="10"/>
    <x v="0"/>
    <x v="6"/>
    <s v="ETO"/>
    <s v="Public-Paid"/>
    <s v="3.3 kW"/>
    <s v="OCPP"/>
    <n v="3"/>
    <x v="1"/>
    <n v="53.935000000000002"/>
    <n v="88.72499999999998"/>
    <n v="92.418000000000006"/>
    <n v="128.50300000000001"/>
    <n v="133.13499999999999"/>
    <n v="49.350999999999999"/>
    <n v="132.459"/>
    <n v="79.910000000000011"/>
    <n v="60.588999999999999"/>
    <n v="97.123000000000019"/>
    <n v="84.349000000000004"/>
    <n v="113.77899999999998"/>
    <n v="97.148999999999987"/>
    <n v="66.159000000000006"/>
    <n v="48.784999999999997"/>
    <n v="93.751999999999995"/>
    <n v="85.826999999999998"/>
    <n v="87.13"/>
    <n v="103.345"/>
    <n v="56.811"/>
    <n v="51.753"/>
    <n v="112.66500000000001"/>
    <n v="76.013000000000005"/>
    <n v="92.319000000000003"/>
    <n v="83.935000000000002"/>
    <n v="115.59399999999999"/>
    <n v="80.024999999999991"/>
    <n v="87.646999999999991"/>
    <n v="53.220000000000006"/>
    <n v="86.206999999999994"/>
    <n v="81.471727272727264"/>
    <n v="27.157242424242423"/>
  </r>
  <r>
    <n v="11"/>
    <x v="0"/>
    <x v="7"/>
    <s v="Trinity"/>
    <s v="Public-Free"/>
    <s v="3.3 kW"/>
    <s v="OCPP"/>
    <n v="1"/>
    <x v="3"/>
    <n v="0"/>
    <n v="0"/>
    <n v="0"/>
    <n v="0"/>
    <n v="0"/>
    <n v="0"/>
    <n v="0"/>
    <n v="3.3879999999999999"/>
    <n v="0"/>
    <n v="0"/>
    <n v="0"/>
    <n v="0"/>
    <n v="0"/>
    <n v="3.395"/>
    <n v="0"/>
    <n v="0"/>
    <n v="0"/>
    <n v="0"/>
    <n v="0"/>
    <n v="0"/>
    <n v="0"/>
    <n v="0"/>
    <n v="3.41"/>
    <n v="0"/>
    <n v="0"/>
    <n v="0"/>
    <n v="0"/>
    <n v="0"/>
    <n v="0"/>
    <n v="0"/>
    <n v="0.31"/>
    <n v="0.31"/>
  </r>
  <r>
    <n v="12"/>
    <x v="0"/>
    <x v="8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5.0979999999999999"/>
    <n v="0"/>
    <n v="48.072000000000003"/>
    <n v="0"/>
    <n v="0"/>
    <n v="0"/>
    <n v="0"/>
    <n v="0"/>
    <n v="0"/>
    <n v="0"/>
    <n v="0"/>
    <n v="2.5670000000000002"/>
    <n v="0"/>
    <n v="0"/>
    <n v="0"/>
    <n v="0.23336363636363638"/>
    <n v="0.11668181818181819"/>
  </r>
  <r>
    <n v="13"/>
    <x v="0"/>
    <x v="8"/>
    <s v="Trinity"/>
    <s v="Public-Paid"/>
    <s v="15 kw"/>
    <s v="DC Charger"/>
    <n v="2"/>
    <x v="0"/>
    <n v="87.75"/>
    <n v="51.03"/>
    <n v="78.900000000000006"/>
    <n v="54.440000000000005"/>
    <n v="110.80000000000001"/>
    <n v="27.169999999999998"/>
    <n v="55.690000000000005"/>
    <n v="122.05999999999997"/>
    <n v="143.47"/>
    <n v="21.86"/>
    <n v="28.16"/>
    <n v="68.109999999999985"/>
    <n v="87.800000000000011"/>
    <n v="46.720000000000006"/>
    <n v="96.329999999999984"/>
    <n v="23.02"/>
    <n v="31.380000000000003"/>
    <n v="57.11"/>
    <n v="32.590000000000003"/>
    <n v="86.139999999999986"/>
    <n v="33.21"/>
    <n v="27.89"/>
    <n v="38.39"/>
    <n v="41.53"/>
    <n v="30.28"/>
    <n v="0"/>
    <n v="24.42"/>
    <n v="44.95"/>
    <n v="31.53"/>
    <n v="16.57"/>
    <n v="34.082727272727276"/>
    <n v="17.041363636363638"/>
  </r>
  <r>
    <n v="14"/>
    <x v="0"/>
    <x v="9"/>
    <s v="Trinity"/>
    <s v="Public-Paid"/>
    <s v="3.3 kW"/>
    <s v="OCPP"/>
    <n v="10"/>
    <x v="2"/>
    <n v="137.18799999999999"/>
    <n v="315.69799999999998"/>
    <n v="84.024000000000001"/>
    <n v="169.81200000000001"/>
    <n v="154.79600000000002"/>
    <n v="204.37299999999999"/>
    <n v="162.66499999999999"/>
    <n v="138.01599999999999"/>
    <n v="39.551000000000002"/>
    <n v="276.87200000000001"/>
    <n v="123.364"/>
    <n v="104.283"/>
    <n v="38.484999999999999"/>
    <n v="361.63500000000005"/>
    <n v="238.02600000000001"/>
    <n v="32.583999999999996"/>
    <n v="43.86"/>
    <n v="323.46899999999999"/>
    <n v="156.64200000000002"/>
    <n v="156.41400000000002"/>
    <n v="112.029"/>
    <n v="83.031000000000006"/>
    <n v="23.547999999999998"/>
    <n v="70.968000000000004"/>
    <n v="217.54599999999999"/>
    <n v="104.18100000000001"/>
    <n v="106.38100000000001"/>
    <n v="119.58499999999999"/>
    <n v="183.21899999999999"/>
    <n v="133.58099999999999"/>
    <n v="119.13481818181818"/>
    <n v="11.913481818181818"/>
  </r>
  <r>
    <n v="15"/>
    <x v="0"/>
    <x v="9"/>
    <s v="Trinity"/>
    <s v="Public-Paid"/>
    <s v="12kW"/>
    <s v="DC Charger"/>
    <n v="1"/>
    <x v="2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</r>
  <r>
    <n v="16"/>
    <x v="0"/>
    <x v="10"/>
    <s v="Trinity"/>
    <s v="Public-Paid"/>
    <s v="3.3 kW"/>
    <s v="OCPP"/>
    <n v="4"/>
    <x v="0"/>
    <n v="8.8819999999999997"/>
    <n v="15.027000000000001"/>
    <n v="12.14"/>
    <n v="15.959"/>
    <n v="28.797000000000001"/>
    <n v="12.645999999999997"/>
    <n v="21.305"/>
    <n v="10.65"/>
    <n v="22.341000000000001"/>
    <n v="51.171000000000006"/>
    <n v="10.411999999999999"/>
    <n v="18.290000000000003"/>
    <n v="20.536999999999995"/>
    <n v="30.706"/>
    <n v="15.01"/>
    <n v="20.709"/>
    <n v="23.317"/>
    <n v="23.138999999999999"/>
    <n v="28.032"/>
    <n v="23.272000000000002"/>
    <n v="30.857000000000006"/>
    <n v="19.366"/>
    <n v="20.098000000000003"/>
    <n v="26.840000000000003"/>
    <n v="26.688000000000006"/>
    <n v="16.358999999999998"/>
    <n v="28.450000000000003"/>
    <n v="16.346000000000004"/>
    <n v="6.7039999999999997"/>
    <n v="5.633"/>
    <n v="20.055727272727275"/>
    <n v="5.0139318181818187"/>
  </r>
  <r>
    <n v="17"/>
    <x v="0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x v="0"/>
    <x v="11"/>
    <s v="Trinity"/>
    <s v="Public-Paid"/>
    <s v="3.3 kW"/>
    <s v="OCPP"/>
    <n v="19"/>
    <x v="2"/>
    <n v="187.92599999999999"/>
    <n v="161.09399999999999"/>
    <n v="144.12600000000003"/>
    <n v="206.285"/>
    <n v="180.51199999999997"/>
    <n v="186.89000000000004"/>
    <n v="172.88"/>
    <n v="175.501"/>
    <n v="145.399"/>
    <n v="126.80200000000001"/>
    <n v="190.54399999999995"/>
    <n v="229.82099999999997"/>
    <n v="174.78"/>
    <n v="160.87"/>
    <n v="202.67599999999999"/>
    <n v="189.697"/>
    <n v="208.93499999999997"/>
    <n v="155.744"/>
    <n v="192.74499999999998"/>
    <n v="182.691"/>
    <n v="184.66299999999995"/>
    <n v="169.75900000000001"/>
    <n v="179.52899999999997"/>
    <n v="131.85099999999997"/>
    <n v="92.751000000000005"/>
    <n v="190.77899999999994"/>
    <n v="140.523"/>
    <n v="177.74599999999998"/>
    <n v="147.96799999999999"/>
    <n v="125.33899999999998"/>
    <n v="156.69081818181817"/>
    <n v="8.2468851674641144"/>
  </r>
  <r>
    <n v="19"/>
    <x v="0"/>
    <x v="11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1"/>
    <s v="Trinity"/>
    <s v="Public-Paid"/>
    <s v="15kw"/>
    <s v="DC Charger"/>
    <n v="1"/>
    <x v="2"/>
    <n v="30.26"/>
    <n v="23.54"/>
    <n v="0.29000000000000004"/>
    <n v="17.310000000000002"/>
    <n v="0.25"/>
    <n v="6.5099999999999989"/>
    <n v="6.7700000000000005"/>
    <n v="0.22999999999999998"/>
    <n v="2.25"/>
    <n v="0"/>
    <n v="0"/>
    <n v="0"/>
    <n v="0"/>
    <n v="0"/>
    <n v="0"/>
    <n v="0"/>
    <n v="0"/>
    <n v="0"/>
    <n v="0"/>
    <n v="0"/>
    <n v="0"/>
    <n v="0"/>
    <n v="0"/>
    <n v="0"/>
    <n v="0"/>
    <n v="13.92"/>
    <n v="21.15"/>
    <n v="43.56"/>
    <n v="58.370000000000005"/>
    <n v="34.290000000000006"/>
    <n v="15.571818181818184"/>
    <n v="15.571818181818184"/>
  </r>
  <r>
    <n v="21"/>
    <x v="0"/>
    <x v="12"/>
    <s v="Trinity"/>
    <s v="Public-Paid"/>
    <s v="3.3 kW"/>
    <s v="OCPP"/>
    <n v="8"/>
    <x v="2"/>
    <n v="162.39500000000004"/>
    <n v="127.00900000000003"/>
    <n v="212.35900000000004"/>
    <n v="121.598"/>
    <n v="151.45000000000002"/>
    <n v="182.96599999999995"/>
    <n v="148.48600000000002"/>
    <n v="192.45999999999995"/>
    <n v="155.36199999999999"/>
    <n v="143.44200000000001"/>
    <n v="210.36000000000007"/>
    <n v="166.685"/>
    <n v="137.44100000000006"/>
    <n v="158.24799999999993"/>
    <n v="256.36600000000004"/>
    <n v="217.626"/>
    <n v="169.20700000000002"/>
    <n v="201.14999999999998"/>
    <n v="181.38800000000009"/>
    <n v="202.00800000000004"/>
    <n v="168.697"/>
    <n v="209.52600000000001"/>
    <n v="140.19300000000004"/>
    <n v="137.49"/>
    <n v="149.346"/>
    <n v="110.63399999999999"/>
    <n v="282.32599999999991"/>
    <n v="197.27100000000007"/>
    <n v="225.17700000000002"/>
    <n v="253.94400000000002"/>
    <n v="188.7829090909091"/>
    <n v="23.597863636363638"/>
  </r>
  <r>
    <n v="22"/>
    <x v="0"/>
    <x v="13"/>
    <s v="Trinity"/>
    <s v="Public-Paid"/>
    <s v="7.4 kW"/>
    <s v="OCPP"/>
    <n v="2"/>
    <x v="0"/>
    <n v="8.17"/>
    <n v="2.621"/>
    <n v="0"/>
    <n v="0"/>
    <n v="0"/>
    <n v="0"/>
    <n v="0"/>
    <n v="0"/>
    <n v="0"/>
    <n v="0"/>
    <n v="0"/>
    <n v="0"/>
    <n v="0"/>
    <n v="0"/>
    <n v="0"/>
    <n v="0"/>
    <n v="0"/>
    <n v="0"/>
    <n v="0"/>
    <n v="3.5870000000000002"/>
    <n v="0"/>
    <n v="0"/>
    <n v="0"/>
    <n v="0"/>
    <n v="0"/>
    <n v="0"/>
    <n v="0"/>
    <n v="0"/>
    <n v="0"/>
    <n v="0"/>
    <n v="0.3260909090909091"/>
    <n v="0.16304545454545455"/>
  </r>
  <r>
    <n v="23"/>
    <x v="0"/>
    <x v="13"/>
    <s v="Trinity"/>
    <s v="Public-Paid"/>
    <s v="12 kW"/>
    <s v="DC Charger"/>
    <n v="1"/>
    <x v="0"/>
    <n v="0"/>
    <n v="0"/>
    <n v="0"/>
    <n v="0"/>
    <n v="8.82"/>
    <n v="17.7"/>
    <n v="0"/>
    <n v="11.1"/>
    <n v="0"/>
    <n v="0"/>
    <n v="0"/>
    <n v="10.16"/>
    <n v="10.32"/>
    <n v="0"/>
    <n v="24.11"/>
    <n v="14.530000000000001"/>
    <n v="46.67"/>
    <n v="0"/>
    <n v="0"/>
    <n v="0"/>
    <n v="0"/>
    <n v="9.16"/>
    <n v="18.22"/>
    <n v="21.73"/>
    <n v="18.229999999999997"/>
    <n v="0"/>
    <n v="0"/>
    <n v="0"/>
    <n v="1.95"/>
    <n v="0.36"/>
    <n v="6.331818181818182"/>
    <n v="6.331818181818182"/>
  </r>
  <r>
    <n v="24"/>
    <x v="0"/>
    <x v="13"/>
    <s v="Trinity"/>
    <s v="Public-Paid"/>
    <s v="15 kw"/>
    <s v="DC Charger"/>
    <n v="1"/>
    <x v="0"/>
    <n v="12.88"/>
    <n v="10.130000000000001"/>
    <n v="1.98"/>
    <n v="49.099999999999994"/>
    <n v="30.44"/>
    <n v="38.409999999999997"/>
    <n v="54.029999999999994"/>
    <n v="38.770000000000003"/>
    <n v="14.16"/>
    <n v="0.67"/>
    <n v="34.870000000000005"/>
    <n v="32.67"/>
    <n v="43.63"/>
    <n v="37.700000000000003"/>
    <n v="25.57"/>
    <n v="0"/>
    <n v="2.2899999999999996"/>
    <n v="40.730000000000004"/>
    <n v="45.05"/>
    <n v="52.49"/>
    <n v="33.56"/>
    <n v="42.17"/>
    <n v="5.33"/>
    <n v="0"/>
    <n v="34.510000000000005"/>
    <n v="37.39"/>
    <n v="27.54"/>
    <n v="29.99"/>
    <n v="24.500999999999998"/>
    <n v="19.09"/>
    <n v="27.870090909090905"/>
    <n v="27.870090909090905"/>
  </r>
  <r>
    <n v="25"/>
    <x v="0"/>
    <x v="13"/>
    <s v="Trinity"/>
    <s v="Public-Paid"/>
    <s v="60 kw"/>
    <s v="DC Charger"/>
    <n v="1"/>
    <x v="0"/>
    <n v="50.649000000000001"/>
    <n v="58.025999999999996"/>
    <n v="108.14999999999999"/>
    <n v="133.97499999999999"/>
    <n v="172.55000000000004"/>
    <n v="113.74999999999999"/>
    <n v="102.499"/>
    <n v="175.45100000000002"/>
    <n v="66.3"/>
    <n v="11.074999999999999"/>
    <n v="144.75"/>
    <n v="154.14999999999998"/>
    <n v="139.29999999999998"/>
    <n v="133.92500000000001"/>
    <n v="155.30000000000004"/>
    <n v="119.05"/>
    <n v="19.649999999999999"/>
    <n v="79.574999999999989"/>
    <n v="172.47500000000002"/>
    <n v="123.54999999999997"/>
    <n v="122.52499999999999"/>
    <n v="197.47500000000002"/>
    <n v="71.400000000000006"/>
    <n v="34.35"/>
    <n v="135.14999999999998"/>
    <n v="166.5"/>
    <n v="151.27500000000001"/>
    <n v="160.6"/>
    <n v="240.875"/>
    <n v="68.75"/>
    <n v="133.8590909090909"/>
    <n v="133.8590909090909"/>
  </r>
  <r>
    <n v="26"/>
    <x v="0"/>
    <x v="13"/>
    <s v="Trinity"/>
    <s v="Public-Paid"/>
    <s v="120 kw"/>
    <s v="DC Charger"/>
    <n v="1"/>
    <x v="0"/>
    <n v="62.76"/>
    <n v="78.09"/>
    <n v="95.030000000000015"/>
    <n v="232.77000000000004"/>
    <n v="301.72000000000003"/>
    <n v="255.10999999999999"/>
    <n v="200.07"/>
    <n v="274.47999999999996"/>
    <n v="110.23"/>
    <n v="136.86999999999998"/>
    <n v="221.51000000000002"/>
    <n v="256.68"/>
    <n v="236.70000000000005"/>
    <n v="212.26000000000002"/>
    <n v="240.22"/>
    <n v="166.37"/>
    <n v="101.22"/>
    <n v="157.81"/>
    <n v="230.87999999999994"/>
    <n v="256.87"/>
    <n v="223.82"/>
    <n v="207.54999999999998"/>
    <n v="102.49000000000001"/>
    <n v="144.6"/>
    <n v="229.83999999999995"/>
    <n v="178.76999999999998"/>
    <n v="295.21999999999997"/>
    <n v="266.45999999999998"/>
    <n v="228.47"/>
    <n v="88.809999999999988"/>
    <n v="202.08181818181819"/>
    <n v="202.08181818181819"/>
  </r>
  <r>
    <n v="27"/>
    <x v="0"/>
    <x v="14"/>
    <s v="Trinity"/>
    <s v="Public-Paid"/>
    <s v="3.3 kW"/>
    <s v="OCPP"/>
    <n v="7"/>
    <x v="2"/>
    <n v="97.300999999999988"/>
    <n v="52.137"/>
    <n v="73.968999999999994"/>
    <n v="122.45"/>
    <n v="116.139"/>
    <n v="139.96699999999998"/>
    <n v="158.05599999999998"/>
    <n v="140.078"/>
    <n v="151.041"/>
    <n v="70.407000000000011"/>
    <n v="142.83099999999999"/>
    <n v="110.96499999999999"/>
    <n v="130.536"/>
    <n v="122.572"/>
    <n v="108.538"/>
    <n v="132.57499999999999"/>
    <n v="86.103000000000009"/>
    <n v="117.17400000000001"/>
    <n v="88.706000000000003"/>
    <n v="77.950000000000017"/>
    <n v="57.076000000000001"/>
    <n v="65.840999999999994"/>
    <n v="107.508"/>
    <n v="79.668999999999997"/>
    <n v="117.53799999999998"/>
    <n v="77.081000000000003"/>
    <n v="114.88100000000001"/>
    <n v="93.98599999999999"/>
    <n v="135.51999999999998"/>
    <n v="144.084"/>
    <n v="97.37581818181819"/>
    <n v="13.910831168831169"/>
  </r>
  <r>
    <n v="28"/>
    <x v="0"/>
    <x v="15"/>
    <s v="Trinity"/>
    <s v="Public-Paid"/>
    <s v="3.3 kW"/>
    <s v="OCPP"/>
    <n v="1"/>
    <x v="0"/>
    <n v="4.8840000000000003"/>
    <n v="0"/>
    <n v="9.141"/>
    <n v="5.4459999999999997"/>
    <n v="3.8460000000000001"/>
    <n v="6.41"/>
    <n v="0"/>
    <n v="0"/>
    <n v="2.4460000000000002"/>
    <n v="0"/>
    <n v="0"/>
    <n v="3.4540000000000002"/>
    <n v="0"/>
    <n v="1.391"/>
    <n v="1.014"/>
    <n v="5.2639999999999993"/>
    <n v="0"/>
    <n v="0"/>
    <n v="0"/>
    <n v="6.7610000000000001"/>
    <n v="0"/>
    <n v="7.8460000000000001"/>
    <n v="3.1720000000000002"/>
    <n v="5.0069999999999997"/>
    <n v="1.8559999999999999"/>
    <n v="3.6669999999999998"/>
    <n v="10.064"/>
    <n v="0.54700000000000004"/>
    <n v="0.49399999999999999"/>
    <n v="0"/>
    <n v="3.5830909090909091"/>
    <n v="3.5830909090909091"/>
  </r>
  <r>
    <n v="29"/>
    <x v="0"/>
    <x v="15"/>
    <s v="Trinity"/>
    <s v="Public-Paid"/>
    <s v="7.4 kW"/>
    <s v="OCPP"/>
    <n v="1"/>
    <x v="0"/>
    <n v="0"/>
    <n v="10.629"/>
    <n v="0"/>
    <n v="0"/>
    <n v="1.268"/>
    <n v="0"/>
    <n v="0"/>
    <n v="0"/>
    <n v="10.828999999999999"/>
    <n v="24.838000000000001"/>
    <n v="0"/>
    <n v="0.92200000000000004"/>
    <n v="11.996"/>
    <n v="21.707999999999998"/>
    <n v="11.146000000000001"/>
    <n v="11.185"/>
    <n v="0"/>
    <n v="4.5439999999999996"/>
    <n v="24.17"/>
    <n v="0.77100000000000002"/>
    <n v="0"/>
    <n v="8.3140000000000001"/>
    <n v="0"/>
    <n v="0"/>
    <n v="20.567"/>
    <n v="29.145"/>
    <n v="13.16"/>
    <n v="25.587"/>
    <n v="38.417000000000002"/>
    <n v="0"/>
    <n v="12.360090909090911"/>
    <n v="12.360090909090911"/>
  </r>
  <r>
    <n v="30"/>
    <x v="0"/>
    <x v="15"/>
    <s v="Trinity"/>
    <s v="Public-Paid"/>
    <s v="12kW"/>
    <s v="DC Charger"/>
    <n v="1"/>
    <x v="0"/>
    <n v="22.21"/>
    <n v="2.31"/>
    <n v="0"/>
    <n v="0"/>
    <n v="0"/>
    <n v="0"/>
    <n v="0"/>
    <n v="0"/>
    <n v="0"/>
    <n v="0"/>
    <n v="0"/>
    <n v="0"/>
    <n v="0"/>
    <n v="0"/>
    <n v="0"/>
    <n v="0"/>
    <n v="0"/>
    <n v="0.47"/>
    <n v="8.58"/>
    <n v="14.850000000000001"/>
    <n v="19.420000000000002"/>
    <n v="28.52"/>
    <n v="17.54"/>
    <n v="25.369999999999997"/>
    <n v="0"/>
    <n v="0"/>
    <n v="0"/>
    <n v="0"/>
    <n v="12.85"/>
    <n v="23.159999999999997"/>
    <n v="12.882727272727273"/>
    <n v="12.882727272727273"/>
  </r>
  <r>
    <n v="31"/>
    <x v="0"/>
    <x v="15"/>
    <s v="Trinity"/>
    <s v="Public-Paid"/>
    <s v="25 kW"/>
    <s v="DC Charger"/>
    <n v="1"/>
    <x v="0"/>
    <n v="46.690999999999995"/>
    <n v="69.76400000000001"/>
    <n v="43.097999999999999"/>
    <n v="52.401000000000003"/>
    <n v="11.635999999999999"/>
    <n v="82.558999999999983"/>
    <n v="93.792000000000002"/>
    <n v="24.016000000000002"/>
    <n v="138.80599999999998"/>
    <n v="4.1959999999999997"/>
    <n v="53.338999999999999"/>
    <n v="140.988"/>
    <n v="158.42800000000003"/>
    <n v="66.949999999999989"/>
    <n v="137.80099999999999"/>
    <n v="34.069000000000003"/>
    <n v="76.015000000000001"/>
    <n v="55.939"/>
    <n v="126.31300000000002"/>
    <n v="70.85499999999999"/>
    <n v="107.203"/>
    <n v="130.16899999999998"/>
    <n v="68.453000000000003"/>
    <n v="59.979000000000006"/>
    <n v="103.27100000000002"/>
    <n v="137.45800000000003"/>
    <n v="60.939"/>
    <n v="114.27100000000002"/>
    <n v="129.352"/>
    <n v="63.477000000000004"/>
    <n v="95.038818181818172"/>
    <n v="95.038818181818172"/>
  </r>
  <r>
    <n v="32"/>
    <x v="0"/>
    <x v="16"/>
    <s v="Trinity"/>
    <s v="Public-Paid"/>
    <s v="3.3 kW"/>
    <s v="OCPP"/>
    <n v="9"/>
    <x v="2"/>
    <n v="58.289000000000001"/>
    <n v="77.190000000000012"/>
    <n v="90.889999999999986"/>
    <n v="100.83399999999999"/>
    <n v="145.64000000000001"/>
    <n v="183.79500000000002"/>
    <n v="162.58600000000004"/>
    <n v="173.404"/>
    <n v="103.38600000000001"/>
    <n v="175.19400000000005"/>
    <n v="118.386"/>
    <n v="115.438"/>
    <n v="135.59799999999998"/>
    <n v="151.21200000000002"/>
    <n v="131.82599999999999"/>
    <n v="84.387"/>
    <n v="153.251"/>
    <n v="124.94800000000002"/>
    <n v="138.822"/>
    <n v="148.97999999999999"/>
    <n v="168.40100000000004"/>
    <n v="146.33599999999998"/>
    <n v="168.524"/>
    <n v="114.327"/>
    <n v="195.13900000000004"/>
    <n v="110.75799999999997"/>
    <n v="151.89399999999998"/>
    <n v="158"/>
    <n v="150.89900000000003"/>
    <n v="132.27500000000001"/>
    <n v="149.59390909090911"/>
    <n v="16.621545454545455"/>
  </r>
  <r>
    <n v="33"/>
    <x v="0"/>
    <x v="16"/>
    <s v="Trinity"/>
    <s v="Public-Paid"/>
    <s v="15 kw"/>
    <s v="DC Charger"/>
    <n v="1"/>
    <x v="2"/>
    <n v="5.71"/>
    <n v="12.4"/>
    <n v="22.96"/>
    <n v="6.53"/>
    <n v="35.369999999999997"/>
    <n v="57.78"/>
    <n v="49.459999999999994"/>
    <n v="47.870000000000005"/>
    <n v="14.460000000000003"/>
    <n v="65.990000000000009"/>
    <n v="37.83"/>
    <n v="38.58"/>
    <n v="28.67"/>
    <n v="50.27"/>
    <n v="28.529999999999998"/>
    <n v="28.91"/>
    <n v="29.57"/>
    <n v="13.82"/>
    <n v="37.71"/>
    <n v="30.89"/>
    <n v="27.010000000000005"/>
    <n v="23.73"/>
    <n v="18.95"/>
    <n v="23.14"/>
    <n v="22.87"/>
    <n v="20.81"/>
    <n v="20.059999999999999"/>
    <n v="35.629999999999995"/>
    <n v="21.27"/>
    <n v="16.369999999999997"/>
    <n v="23.702727272727273"/>
    <n v="23.702727272727273"/>
  </r>
  <r>
    <n v="34"/>
    <x v="0"/>
    <x v="17"/>
    <s v="Trinity"/>
    <s v="Public-Paid"/>
    <s v="3.3 kW"/>
    <s v="OCPP"/>
    <n v="8"/>
    <x v="2"/>
    <n v="84.382000000000005"/>
    <n v="69.179000000000016"/>
    <n v="64.518999999999991"/>
    <n v="115.232"/>
    <n v="99.649000000000001"/>
    <n v="164.53100000000001"/>
    <n v="120.44"/>
    <n v="117.16"/>
    <n v="97.903999999999996"/>
    <n v="78.792000000000002"/>
    <n v="104.27200000000001"/>
    <n v="87.098000000000013"/>
    <n v="94.416999999999987"/>
    <n v="81.796999999999969"/>
    <n v="101.10100000000001"/>
    <n v="99.817999999999998"/>
    <n v="70.894999999999982"/>
    <n v="108.42599999999997"/>
    <n v="96.046999999999983"/>
    <n v="80.281000000000006"/>
    <n v="121.89100000000001"/>
    <n v="110.53699999999999"/>
    <n v="126.56"/>
    <n v="88.34"/>
    <n v="99.201999999999998"/>
    <n v="100.90599999999999"/>
    <n v="102.40299999999999"/>
    <n v="102.46700000000001"/>
    <n v="121.93500000000002"/>
    <n v="106.49199999999999"/>
    <n v="105.54672727272727"/>
    <n v="13.193340909090908"/>
  </r>
  <r>
    <n v="35"/>
    <x v="0"/>
    <x v="17"/>
    <s v="Trinity"/>
    <s v="Public-Paid"/>
    <s v="7.4 kW"/>
    <s v="OCPP"/>
    <n v="2"/>
    <x v="2"/>
    <n v="36.477999999999994"/>
    <n v="16.183"/>
    <n v="0"/>
    <n v="58.393000000000001"/>
    <n v="22.603000000000002"/>
    <n v="29.779999999999998"/>
    <n v="37.256999999999998"/>
    <n v="40.822000000000003"/>
    <n v="39.347000000000001"/>
    <n v="30.475999999999999"/>
    <n v="0"/>
    <n v="30.392000000000003"/>
    <n v="43.051000000000002"/>
    <n v="23.122"/>
    <n v="42.26"/>
    <n v="16.033000000000001"/>
    <n v="34.47"/>
    <n v="16.621000000000002"/>
    <n v="42.391000000000005"/>
    <n v="13.315999999999999"/>
    <n v="37.783000000000001"/>
    <n v="6.0280000000000005"/>
    <n v="73.077999999999989"/>
    <n v="50.215000000000003"/>
    <n v="48.538000000000004"/>
    <n v="34.107999999999997"/>
    <n v="86.915000000000006"/>
    <n v="39.100000000000009"/>
    <n v="43.788000000000004"/>
    <n v="74.701999999999998"/>
    <n v="46.142818181818186"/>
    <n v="23.071409090909093"/>
  </r>
  <r>
    <n v="36"/>
    <x v="0"/>
    <x v="18"/>
    <s v="Trinity"/>
    <s v="Public-Paid"/>
    <s v="3.3 kW"/>
    <s v="OCPP"/>
    <n v="1"/>
    <x v="1"/>
    <n v="20.070999999999998"/>
    <n v="26.198999999999998"/>
    <n v="14.568999999999999"/>
    <n v="10.029999999999999"/>
    <n v="23.502000000000002"/>
    <n v="21.391999999999999"/>
    <n v="12.506"/>
    <n v="15.147"/>
    <n v="16.287000000000003"/>
    <n v="8.3339999999999996"/>
    <n v="11.541"/>
    <n v="17.899000000000001"/>
    <n v="24.645000000000003"/>
    <n v="17.2"/>
    <n v="9.86"/>
    <n v="20.588000000000001"/>
    <n v="12.264999999999999"/>
    <n v="9.9610000000000003"/>
    <n v="11.538"/>
    <n v="16.419"/>
    <n v="15.641999999999999"/>
    <n v="14.506"/>
    <n v="7.9540000000000006"/>
    <n v="18.093"/>
    <n v="12.683999999999999"/>
    <n v="15.727000000000002"/>
    <n v="21.838999999999999"/>
    <n v="10.255000000000001"/>
    <n v="6.9939999999999998"/>
    <n v="32.326999999999998"/>
    <n v="15.676363636363636"/>
    <n v="15.676363636363636"/>
  </r>
  <r>
    <n v="37"/>
    <x v="0"/>
    <x v="19"/>
    <s v="Trinity"/>
    <s v="Public-Paid"/>
    <s v="3.3 kW"/>
    <s v="OCPP"/>
    <n v="11"/>
    <x v="2"/>
    <n v="53.821999999999989"/>
    <n v="186.21200000000005"/>
    <n v="166.80700000000002"/>
    <n v="102.04299999999999"/>
    <n v="213.61"/>
    <n v="213.45700000000011"/>
    <n v="185.92700000000002"/>
    <n v="217.12700000000004"/>
    <n v="186.30300000000003"/>
    <n v="198.06899999999996"/>
    <n v="67.33"/>
    <n v="183.58"/>
    <n v="180.02799999999996"/>
    <n v="255.94799999999995"/>
    <n v="236.46700000000001"/>
    <n v="199.68199999999999"/>
    <n v="176.46099999999996"/>
    <n v="99.773000000000025"/>
    <n v="235.65099999999998"/>
    <n v="140.441"/>
    <n v="261.36999999999995"/>
    <n v="185.19"/>
    <n v="196.96899999999999"/>
    <n v="183.785"/>
    <n v="63.598999999999997"/>
    <n v="180.13100000000003"/>
    <n v="193.53299999999999"/>
    <n v="217.18599999999998"/>
    <n v="193.84199999999996"/>
    <n v="232.94099999999997"/>
    <n v="186.27154545454542"/>
    <n v="16.933776859504128"/>
  </r>
  <r>
    <n v="38"/>
    <x v="0"/>
    <x v="19"/>
    <s v="Trinity"/>
    <s v="Public-Paid"/>
    <s v="12kW"/>
    <s v="DC Charger"/>
    <n v="1"/>
    <x v="2"/>
    <n v="0"/>
    <n v="1.99"/>
    <n v="6.81"/>
    <n v="0"/>
    <n v="7"/>
    <n v="0"/>
    <n v="9.1499999999999986"/>
    <n v="0"/>
    <n v="6.94"/>
    <n v="0"/>
    <n v="3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"/>
    <x v="0"/>
    <x v="20"/>
    <s v="Trinity"/>
    <s v="Public-Paid"/>
    <s v="3.3 kW"/>
    <s v="OCPP"/>
    <n v="1"/>
    <x v="3"/>
    <n v="0"/>
    <n v="0"/>
    <n v="0"/>
    <n v="1.6839999999999999"/>
    <n v="0"/>
    <n v="2.3820000000000001"/>
    <n v="0"/>
    <n v="0.112"/>
    <n v="0"/>
    <n v="0"/>
    <n v="0"/>
    <n v="0"/>
    <n v="0"/>
    <n v="0"/>
    <n v="0"/>
    <n v="0"/>
    <n v="0"/>
    <n v="0.17499999999999999"/>
    <n v="2.9729999999999999"/>
    <n v="0"/>
    <n v="0"/>
    <n v="2.7440000000000002"/>
    <n v="0"/>
    <n v="0"/>
    <n v="1.4990000000000001"/>
    <n v="0"/>
    <n v="1.37"/>
    <n v="0"/>
    <n v="0"/>
    <n v="0"/>
    <n v="0.51027272727272732"/>
    <n v="0.51027272727272732"/>
  </r>
  <r>
    <n v="40"/>
    <x v="0"/>
    <x v="21"/>
    <s v="Trinity"/>
    <s v="Public-Paid"/>
    <s v="3.3 kW"/>
    <s v="OCPP"/>
    <n v="6"/>
    <x v="2"/>
    <n v="39.880000000000003"/>
    <n v="71.146999999999991"/>
    <n v="84.647999999999996"/>
    <n v="72.316000000000003"/>
    <n v="74.519000000000005"/>
    <n v="82.112999999999985"/>
    <n v="79.920999999999992"/>
    <n v="81.076999999999998"/>
    <n v="70.02"/>
    <n v="59.549000000000007"/>
    <n v="45.142999999999994"/>
    <n v="98.867000000000019"/>
    <n v="81.490000000000009"/>
    <n v="75.355999999999995"/>
    <n v="59.160999999999994"/>
    <n v="101.85600000000001"/>
    <n v="75.709000000000003"/>
    <n v="82.629000000000005"/>
    <n v="83.471999999999994"/>
    <n v="101.88300000000001"/>
    <n v="69.203999999999994"/>
    <n v="60.449999999999996"/>
    <n v="81.136999999999986"/>
    <n v="114.096"/>
    <n v="45.748999999999995"/>
    <n v="112.40199999999997"/>
    <n v="76.783000000000001"/>
    <n v="110.15999999999998"/>
    <n v="78.199000000000012"/>
    <n v="102.152"/>
    <n v="86.564999999999998"/>
    <n v="14.4275"/>
  </r>
  <r>
    <n v="41"/>
    <x v="0"/>
    <x v="22"/>
    <s v="Trinity"/>
    <s v="Public-Paid"/>
    <s v="3.3 kW"/>
    <s v="OCPP"/>
    <n v="13"/>
    <x v="2"/>
    <n v="74.234000000000009"/>
    <n v="26.997"/>
    <n v="80.421999999999997"/>
    <n v="122.846"/>
    <n v="103.47899999999998"/>
    <n v="124.47300000000004"/>
    <n v="132.31100000000006"/>
    <n v="175.393"/>
    <n v="147.99700000000001"/>
    <n v="86.578000000000003"/>
    <n v="167.99400000000009"/>
    <n v="134.92199999999997"/>
    <n v="96.53600000000003"/>
    <n v="131.077"/>
    <n v="172.34699999999998"/>
    <n v="94.644000000000005"/>
    <n v="121.81199999999995"/>
    <n v="112.74099999999999"/>
    <n v="151.90799999999999"/>
    <n v="115.49299999999999"/>
    <n v="121.70700000000002"/>
    <n v="136.34200000000001"/>
    <n v="146.60999999999999"/>
    <n v="129.85900000000001"/>
    <n v="101.90900000000002"/>
    <n v="146.892"/>
    <n v="129.536"/>
    <n v="114.13599999999998"/>
    <n v="133.91199999999998"/>
    <n v="85.302000000000007"/>
    <n v="123.79072727272728"/>
    <n v="9.5223636363636377"/>
  </r>
  <r>
    <n v="42"/>
    <x v="0"/>
    <x v="23"/>
    <s v="Trinity"/>
    <s v="Public-Paid"/>
    <s v="22 kw"/>
    <s v="OCPP"/>
    <n v="1"/>
    <x v="3"/>
    <n v="0"/>
    <n v="0"/>
    <n v="0"/>
    <n v="16.259"/>
    <n v="0"/>
    <n v="0"/>
    <n v="0"/>
    <n v="0"/>
    <n v="0"/>
    <n v="0"/>
    <n v="0"/>
    <n v="0"/>
    <n v="0"/>
    <n v="0"/>
    <n v="0"/>
    <n v="0"/>
    <n v="13.51"/>
    <n v="0"/>
    <n v="0"/>
    <n v="0"/>
    <n v="0"/>
    <n v="0"/>
    <n v="0"/>
    <n v="0"/>
    <n v="0"/>
    <n v="0"/>
    <n v="0"/>
    <n v="0"/>
    <n v="0"/>
    <n v="1.1279999999999999"/>
    <n v="0.10254545454545454"/>
    <n v="0.10254545454545454"/>
  </r>
  <r>
    <n v="43"/>
    <x v="0"/>
    <x v="24"/>
    <s v="Trinity"/>
    <s v="Public-Paid"/>
    <s v="3.3 kW"/>
    <s v="OCPP"/>
    <n v="5"/>
    <x v="2"/>
    <n v="7.5840000000000005"/>
    <n v="3.9950000000000001"/>
    <n v="2.6949999999999998"/>
    <n v="3.16"/>
    <n v="6.484"/>
    <n v="7.8389999999999995"/>
    <n v="6.2229999999999999"/>
    <n v="8.9689999999999994"/>
    <n v="27.35"/>
    <n v="17.204999999999998"/>
    <n v="25.452999999999999"/>
    <n v="53.518999999999998"/>
    <n v="16.952999999999999"/>
    <n v="54.003"/>
    <n v="36.956000000000003"/>
    <n v="31.966000000000001"/>
    <n v="27.762000000000004"/>
    <n v="11.153999999999998"/>
    <n v="32.221000000000004"/>
    <n v="20.704000000000001"/>
    <n v="30.235999999999997"/>
    <n v="23.065000000000005"/>
    <n v="13.950999999999999"/>
    <n v="12.782999999999999"/>
    <n v="8.2199999999999989"/>
    <n v="20.494999999999997"/>
    <n v="20.380999999999997"/>
    <n v="36.487000000000002"/>
    <n v="20.901"/>
    <n v="26.306000000000001"/>
    <n v="21.229909090909089"/>
    <n v="4.2459818181818179"/>
  </r>
  <r>
    <n v="44"/>
    <x v="0"/>
    <x v="25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x v="26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0"/>
    <x v="27"/>
    <s v="ETO"/>
    <s v="Public-Paid"/>
    <s v="3.3 kW"/>
    <s v="OCPP"/>
    <n v="1"/>
    <x v="1"/>
    <n v="0"/>
    <n v="4.2030000000000012"/>
    <n v="0"/>
    <n v="0"/>
    <n v="1.2000000000000002E-2"/>
    <n v="4.8340000000000005"/>
    <n v="0"/>
    <n v="0"/>
    <n v="0"/>
    <n v="0"/>
    <n v="0"/>
    <n v="0"/>
    <n v="3.13"/>
    <n v="0"/>
    <n v="0"/>
    <n v="0"/>
    <n v="0"/>
    <n v="1.3069999999999999"/>
    <n v="6.0239999999999991"/>
    <n v="0"/>
    <n v="2.7199999999999998"/>
    <n v="0"/>
    <n v="2.367"/>
    <n v="0"/>
    <n v="0"/>
    <n v="0"/>
    <n v="0"/>
    <n v="0"/>
    <n v="0"/>
    <n v="0.80900000000000005"/>
    <n v="0.53600000000000003"/>
    <n v="0.53600000000000003"/>
  </r>
  <r>
    <n v="47"/>
    <x v="0"/>
    <x v="28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469999999999997"/>
    <n v="0"/>
    <n v="0"/>
    <n v="0.41336363636363632"/>
    <n v="0.41336363636363632"/>
  </r>
  <r>
    <n v="48"/>
    <x v="0"/>
    <x v="29"/>
    <s v="Trinity"/>
    <s v="Public-Paid"/>
    <s v="25 kW"/>
    <s v="DC Charger"/>
    <n v="2"/>
    <x v="0"/>
    <n v="102.98"/>
    <n v="33.747"/>
    <n v="24.268000000000001"/>
    <n v="82.448000000000008"/>
    <n v="171.77299999999997"/>
    <n v="186.94900000000001"/>
    <n v="135.12200000000001"/>
    <n v="119.55800000000002"/>
    <n v="86.26"/>
    <n v="28.473999999999997"/>
    <n v="110.10899999999998"/>
    <n v="229.41700000000003"/>
    <n v="276.13399999999996"/>
    <n v="326.63700000000006"/>
    <n v="228.97399999999999"/>
    <n v="159.87400000000002"/>
    <n v="39.608999999999995"/>
    <n v="143.10999999999999"/>
    <n v="261.13099999999997"/>
    <n v="319.22199999999998"/>
    <n v="298.15899999999993"/>
    <n v="295.57900000000001"/>
    <n v="129.16399999999999"/>
    <n v="42.048000000000002"/>
    <n v="184.07199999999997"/>
    <n v="259.46199999999999"/>
    <n v="350.95499999999998"/>
    <n v="325.34300000000007"/>
    <n v="268.10899999999998"/>
    <n v="251.50899999999996"/>
    <n v="247.60199999999998"/>
    <n v="123.80099999999999"/>
  </r>
  <r>
    <n v="49"/>
    <x v="0"/>
    <x v="30"/>
    <s v="Trinity"/>
    <s v="Public-Paid"/>
    <s v="3.3 kW"/>
    <s v="OCPP"/>
    <n v="5"/>
    <x v="3"/>
    <n v="23.445999999999998"/>
    <n v="25.230000000000004"/>
    <n v="11.934000000000001"/>
    <n v="28.800999999999998"/>
    <n v="30.785"/>
    <n v="29.126999999999999"/>
    <n v="22.858000000000001"/>
    <n v="4.8249999999999993"/>
    <n v="16.756"/>
    <n v="13.347999999999999"/>
    <n v="11.748999999999999"/>
    <n v="23.09"/>
    <n v="32.552999999999997"/>
    <n v="37.56"/>
    <n v="7.5890000000000004"/>
    <n v="22.029"/>
    <n v="40.019000000000005"/>
    <n v="14.117000000000001"/>
    <n v="10.456"/>
    <n v="11.35"/>
    <n v="12.822999999999999"/>
    <n v="29.143999999999998"/>
    <n v="6.4649999999999999"/>
    <n v="34.222000000000001"/>
    <n v="4.8100000000000005"/>
    <n v="0"/>
    <n v="16.526"/>
    <n v="32.085000000000001"/>
    <n v="65.186999999999998"/>
    <n v="43.768000000000001"/>
    <n v="23.307272727272728"/>
    <n v="4.6614545454545455"/>
  </r>
  <r>
    <n v="50"/>
    <x v="0"/>
    <x v="31"/>
    <s v="Trinity"/>
    <s v="Public-Paid"/>
    <s v="3.3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0"/>
    <x v="31"/>
    <s v="Trinity"/>
    <s v="Public-Paid"/>
    <s v="22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641"/>
    <n v="0"/>
    <n v="0"/>
    <n v="0"/>
    <n v="0"/>
    <n v="1.1491818181818181"/>
    <n v="0.57459090909090904"/>
  </r>
  <r>
    <n v="52"/>
    <x v="0"/>
    <x v="32"/>
    <s v="Trinity"/>
    <s v="Public-Paid"/>
    <s v="3.3 kW"/>
    <s v="OCPP"/>
    <n v="1"/>
    <x v="0"/>
    <n v="0"/>
    <n v="3.2519999999999998"/>
    <n v="0"/>
    <n v="0"/>
    <n v="0"/>
    <n v="0"/>
    <n v="0"/>
    <n v="0"/>
    <n v="0"/>
    <n v="0"/>
    <n v="2.4289999999999998"/>
    <n v="0"/>
    <n v="0"/>
    <n v="0"/>
    <n v="0"/>
    <n v="0"/>
    <n v="5.8470000000000004"/>
    <n v="0"/>
    <n v="0"/>
    <n v="0"/>
    <n v="0"/>
    <n v="0"/>
    <n v="0.72"/>
    <n v="0"/>
    <n v="0"/>
    <n v="0"/>
    <n v="0.96099999999999997"/>
    <n v="0"/>
    <n v="0"/>
    <n v="0"/>
    <n v="0.15281818181818183"/>
    <n v="0.15281818181818183"/>
  </r>
  <r>
    <n v="53"/>
    <x v="0"/>
    <x v="32"/>
    <s v="Trinity"/>
    <s v="Public-Paid"/>
    <s v="7.4 kW"/>
    <s v="OCPP"/>
    <n v="1"/>
    <x v="0"/>
    <n v="0"/>
    <n v="0"/>
    <n v="0"/>
    <n v="2.7440000000000002"/>
    <n v="0"/>
    <n v="0"/>
    <n v="0"/>
    <n v="0"/>
    <n v="0"/>
    <n v="0"/>
    <n v="0"/>
    <n v="0"/>
    <n v="0"/>
    <n v="0"/>
    <n v="5.5010000000000003"/>
    <n v="2.7480000000000002"/>
    <n v="0"/>
    <n v="0"/>
    <n v="0"/>
    <n v="2.7210000000000001"/>
    <n v="6.0139999999999993"/>
    <n v="0"/>
    <n v="0"/>
    <n v="0"/>
    <n v="2.72"/>
    <n v="0"/>
    <n v="4.3289999999999997"/>
    <n v="0.23499999999999999"/>
    <n v="5.742"/>
    <n v="0"/>
    <n v="1.9782727272727272"/>
    <n v="1.9782727272727272"/>
  </r>
  <r>
    <n v="54"/>
    <x v="0"/>
    <x v="32"/>
    <s v="Trinity"/>
    <s v="Public-Paid"/>
    <s v="12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</r>
  <r>
    <n v="55"/>
    <x v="0"/>
    <x v="33"/>
    <s v="Trinity"/>
    <s v="Public-Paid"/>
    <s v="3.3 kW"/>
    <s v="OCPP"/>
    <n v="8"/>
    <x v="3"/>
    <n v="145.44899999999998"/>
    <n v="52.97399999999999"/>
    <n v="72.813000000000002"/>
    <n v="77.025999999999996"/>
    <n v="181.67499999999998"/>
    <n v="84.408999999999992"/>
    <n v="6.7429999999999994"/>
    <n v="190.13600000000002"/>
    <n v="89.558999999999997"/>
    <n v="111.83500000000001"/>
    <n v="50.564999999999998"/>
    <n v="164.48200000000003"/>
    <n v="115.42699999999999"/>
    <n v="190.20100000000002"/>
    <n v="133.94299999999998"/>
    <n v="154.315"/>
    <n v="95.827999999999989"/>
    <n v="93.132000000000005"/>
    <n v="200.66800000000001"/>
    <n v="66.266999999999996"/>
    <n v="145.81100000000001"/>
    <n v="82.96"/>
    <n v="91.606999999999999"/>
    <n v="95.835999999999999"/>
    <n v="102.73599999999999"/>
    <n v="90.203000000000003"/>
    <n v="191.80099999999999"/>
    <n v="155.38799999999998"/>
    <n v="100.36999999999999"/>
    <n v="89.463999999999999"/>
    <n v="110.22209090909088"/>
    <n v="13.77776136363636"/>
  </r>
  <r>
    <n v="56"/>
    <x v="0"/>
    <x v="34"/>
    <s v="Trinity"/>
    <s v="Public-Paid"/>
    <s v="3.3 kW"/>
    <s v="OCPP"/>
    <n v="1"/>
    <x v="3"/>
    <n v="0"/>
    <n v="0"/>
    <n v="0"/>
    <n v="5.1350000000000007"/>
    <n v="0"/>
    <n v="0"/>
    <n v="0"/>
    <n v="0"/>
    <n v="0"/>
    <n v="0"/>
    <n v="0"/>
    <n v="0"/>
    <n v="0"/>
    <n v="2.3650000000000002"/>
    <n v="2.11"/>
    <n v="0"/>
    <n v="0"/>
    <n v="3.0819999999999999"/>
    <n v="2.4859999999999998"/>
    <n v="8.0000000000000002E-3"/>
    <n v="0"/>
    <n v="0"/>
    <n v="0"/>
    <n v="0"/>
    <n v="0"/>
    <n v="0"/>
    <n v="3.0310000000000001"/>
    <n v="0"/>
    <n v="0"/>
    <n v="0"/>
    <n v="0.27627272727272728"/>
    <n v="0.27627272727272728"/>
  </r>
  <r>
    <n v="57"/>
    <x v="1"/>
    <x v="35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0"/>
    <x v="36"/>
    <s v="Trinity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769999999999992"/>
    <n v="1.2350000000000001"/>
    <n v="4.9809999999999999"/>
    <n v="4.5060000000000002"/>
    <n v="0"/>
    <n v="2.3109999999999999"/>
    <n v="3.0000000000000001E-3"/>
    <n v="7.0440000000000005"/>
    <n v="0"/>
    <n v="0"/>
    <n v="0"/>
    <n v="2.3506363636363634"/>
    <n v="2.3506363636363634"/>
  </r>
  <r>
    <n v="59"/>
    <x v="0"/>
    <x v="37"/>
    <s v="Trinity"/>
    <s v="Public-Paid"/>
    <s v="3.3 kW"/>
    <s v="OCPP"/>
    <n v="10"/>
    <x v="2"/>
    <n v="8.072000000000001"/>
    <n v="4.5979999999999999"/>
    <n v="9.5739999999999998"/>
    <n v="1.9430000000000001"/>
    <n v="0"/>
    <n v="8.8019999999999996"/>
    <n v="13.66"/>
    <n v="2.758"/>
    <n v="18.053999999999998"/>
    <n v="22.526"/>
    <n v="13.808"/>
    <n v="16.297999999999998"/>
    <n v="10.605"/>
    <n v="24.694000000000003"/>
    <n v="16.661999999999999"/>
    <n v="18.523"/>
    <n v="26.122"/>
    <n v="16.503"/>
    <n v="16.058"/>
    <n v="17.201000000000001"/>
    <n v="2.7570000000000001"/>
    <n v="21.577999999999999"/>
    <n v="16.052"/>
    <n v="44.187999999999995"/>
    <n v="22.728000000000002"/>
    <n v="9.9910000000000014"/>
    <n v="6.581999999999999"/>
    <n v="26.921999999999997"/>
    <n v="8.8580000000000005"/>
    <n v="16.585000000000001"/>
    <n v="17.585636363636365"/>
    <n v="1.7585636363636366"/>
  </r>
  <r>
    <n v="60"/>
    <x v="0"/>
    <x v="38"/>
    <s v="Trinity"/>
    <s v="Public-Paid"/>
    <s v="3.3 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.175"/>
    <n v="0"/>
    <n v="4.5220000000000002"/>
    <n v="2.7909999999999999"/>
    <n v="0.80600000000000005"/>
    <n v="8.5999999999999993E-2"/>
    <n v="5.5270000000000001"/>
    <n v="7.3460000000000001"/>
    <n v="14.973999999999997"/>
    <n v="3.73"/>
    <n v="19.038999999999998"/>
    <n v="9.5869999999999997"/>
    <n v="16.770000000000003"/>
    <n v="7.7434545454545454"/>
    <n v="3.8717272727272727"/>
  </r>
  <r>
    <n v="61"/>
    <x v="0"/>
    <x v="39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0"/>
    <x v="40"/>
    <s v="Trinity"/>
    <s v="Public-Paid"/>
    <s v="3.3 kW"/>
    <s v="OCPP"/>
    <n v="5"/>
    <x v="2"/>
    <m/>
    <m/>
    <m/>
    <m/>
    <m/>
    <m/>
    <m/>
    <m/>
    <m/>
    <m/>
    <m/>
    <m/>
    <m/>
    <m/>
    <m/>
    <n v="11.861000000000001"/>
    <n v="23.612000000000002"/>
    <n v="12.009999999999998"/>
    <n v="27.911999999999999"/>
    <n v="33.65"/>
    <n v="25.435000000000002"/>
    <n v="29.085000000000001"/>
    <n v="30.632000000000005"/>
    <n v="15.611000000000001"/>
    <n v="38.254000000000005"/>
    <n v="23.404"/>
    <n v="46.122999999999998"/>
    <n v="18.465999999999998"/>
    <n v="44.857999999999997"/>
    <n v="22.634999999999998"/>
    <n v="29.832090909090912"/>
    <n v="5.9664181818181827"/>
  </r>
  <r>
    <n v="63"/>
    <x v="2"/>
    <x v="41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"/>
    <x v="0"/>
    <x v="42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0"/>
    <x v="43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x v="3"/>
    <x v="44"/>
    <s v="Trinity"/>
    <s v="Public-Paid"/>
    <s v="3.3 kW"/>
    <s v="OCPP"/>
    <n v="5"/>
    <x v="1"/>
    <n v="7.2960000000000003"/>
    <n v="17.012"/>
    <n v="0"/>
    <n v="9.5180000000000007"/>
    <n v="6.2749999999999995"/>
    <n v="0.96299999999999997"/>
    <n v="16.606000000000002"/>
    <n v="1E-3"/>
    <n v="10.893999999999998"/>
    <n v="1.29"/>
    <n v="14.32"/>
    <n v="13.168999999999999"/>
    <n v="13.012"/>
    <n v="5.3010000000000002"/>
    <n v="2.927"/>
    <n v="5.625"/>
    <n v="0"/>
    <n v="7.456999999999999"/>
    <n v="2.7899999999999996"/>
    <n v="12.774999999999999"/>
    <n v="5.3559999999999999"/>
    <n v="5.9749999999999996"/>
    <n v="5.5790000000000006"/>
    <n v="0"/>
    <n v="11.547000000000002"/>
    <n v="10.550999999999998"/>
    <n v="11.348000000000001"/>
    <n v="5.5519999999999996"/>
    <n v="11.087"/>
    <n v="9.8439999999999994"/>
    <n v="8.1467272727272722"/>
    <n v="1.6293454545454544"/>
  </r>
  <r>
    <n v="67"/>
    <x v="3"/>
    <x v="45"/>
    <s v="Trinity"/>
    <s v="Public-Paid"/>
    <s v="3.3 kW"/>
    <s v="OCPP"/>
    <n v="10"/>
    <x v="1"/>
    <n v="89.76900000000002"/>
    <n v="60.861999999999995"/>
    <n v="100.97"/>
    <n v="83.602999999999994"/>
    <n v="79.696999999999989"/>
    <n v="77.780999999999977"/>
    <n v="89.603999999999999"/>
    <n v="75.224999999999994"/>
    <n v="89.995000000000005"/>
    <n v="84.342000000000013"/>
    <n v="88.242999999999995"/>
    <n v="90.106999999999999"/>
    <n v="70.990999999999985"/>
    <n v="98.546000000000021"/>
    <n v="52.826999999999998"/>
    <n v="103.41000000000001"/>
    <n v="81.071999999999989"/>
    <n v="87.318999999999988"/>
    <n v="79.813999999999993"/>
    <n v="109.26099999999998"/>
    <n v="87.091000000000008"/>
    <n v="90.185999999999993"/>
    <n v="90.192000000000021"/>
    <n v="81.272000000000006"/>
    <n v="67.281999999999996"/>
    <n v="84.819000000000003"/>
    <n v="84.395999999999987"/>
    <n v="92.442999999999998"/>
    <n v="78.060000000000016"/>
    <n v="60.460999999999991"/>
    <n v="84.132999999999996"/>
    <n v="8.4132999999999996"/>
  </r>
  <r>
    <n v="68"/>
    <x v="4"/>
    <x v="46"/>
    <s v="Trinity"/>
    <s v="Public-Paid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x v="4"/>
    <x v="47"/>
    <s v="Trinity"/>
    <s v="Public-Paid"/>
    <s v="3.3 kW"/>
    <s v="OCPP"/>
    <n v="7"/>
    <x v="2"/>
    <n v="105.066"/>
    <n v="76.692999999999998"/>
    <n v="102.16699999999999"/>
    <n v="130.52499999999998"/>
    <n v="85.278000000000006"/>
    <n v="96.097000000000008"/>
    <n v="84.896000000000001"/>
    <n v="96.495999999999995"/>
    <n v="145.50899999999999"/>
    <n v="77.254999999999995"/>
    <n v="152.00500000000002"/>
    <n v="73.292999999999992"/>
    <n v="100.84500000000001"/>
    <n v="118.41999999999997"/>
    <n v="72.057000000000002"/>
    <n v="127.73200000000001"/>
    <n v="109.73300000000002"/>
    <n v="115.57399999999997"/>
    <n v="84.847999999999999"/>
    <n v="98.855999999999995"/>
    <n v="118.68000000000004"/>
    <n v="125.27700000000002"/>
    <n v="102.72499999999998"/>
    <n v="122.36500000000001"/>
    <n v="93.745999999999981"/>
    <n v="82.062000000000012"/>
    <n v="156.28100000000001"/>
    <n v="107.005"/>
    <n v="87.65"/>
    <n v="93.146999999999991"/>
    <n v="107.98127272727271"/>
    <n v="15.425896103896102"/>
  </r>
  <r>
    <n v="70"/>
    <x v="5"/>
    <x v="48"/>
    <s v="Trinity"/>
    <s v="Public-Paid"/>
    <s v="3.3 kW"/>
    <s v="OCPP"/>
    <n v="7"/>
    <x v="2"/>
    <n v="33.792000000000002"/>
    <n v="67.42"/>
    <n v="43.146999999999998"/>
    <n v="31.066000000000003"/>
    <n v="43.396999999999998"/>
    <n v="50.121000000000002"/>
    <n v="57.01"/>
    <n v="26.614000000000004"/>
    <n v="33.649000000000001"/>
    <n v="48.697999999999993"/>
    <n v="55.952999999999996"/>
    <n v="45.619"/>
    <n v="40.193000000000005"/>
    <n v="43.939"/>
    <n v="49.81600000000001"/>
    <n v="58.075000000000003"/>
    <n v="43.055000000000007"/>
    <n v="41.427"/>
    <n v="31.447000000000003"/>
    <n v="52.886999999999986"/>
    <n v="38.442999999999998"/>
    <n v="27.642000000000003"/>
    <n v="44.740999999999993"/>
    <n v="41.943999999999996"/>
    <n v="42.108000000000004"/>
    <n v="34.039000000000001"/>
    <n v="40.214999999999996"/>
    <n v="36.066999999999986"/>
    <n v="42.634999999999998"/>
    <n v="25.673999999999996"/>
    <n v="38.763181818181813"/>
    <n v="5.5375974025974015"/>
  </r>
  <r>
    <n v="71"/>
    <x v="6"/>
    <x v="49"/>
    <s v="Trinity"/>
    <s v="Public-Paid"/>
    <s v="3.3 kW"/>
    <s v="OCPP"/>
    <n v="5"/>
    <x v="2"/>
    <n v="23.132999999999999"/>
    <n v="35.357999999999997"/>
    <n v="31.808"/>
    <n v="19.542999999999999"/>
    <n v="48.875"/>
    <n v="27.076999999999998"/>
    <n v="25.331000000000003"/>
    <n v="27.509"/>
    <n v="44.205000000000005"/>
    <n v="24.793999999999997"/>
    <n v="33.337999999999994"/>
    <n v="47.954999999999998"/>
    <n v="50.529000000000003"/>
    <n v="17.161999999999999"/>
    <n v="54.081999999999994"/>
    <n v="25.654"/>
    <n v="26.925000000000001"/>
    <n v="49.415000000000006"/>
    <n v="19.559000000000001"/>
    <n v="31.046999999999997"/>
    <n v="29.976000000000003"/>
    <n v="49.268999999999998"/>
    <n v="27.978000000000002"/>
    <n v="35.073999999999998"/>
    <n v="25.295000000000002"/>
    <n v="15.239000000000001"/>
    <n v="41.280999999999999"/>
    <n v="31.934000000000001"/>
    <n v="30.127000000000002"/>
    <n v="22.869"/>
    <n v="30.917181818181824"/>
    <n v="6.183436363636365"/>
  </r>
  <r>
    <n v="72"/>
    <x v="7"/>
    <x v="50"/>
    <s v="Flipkart"/>
    <s v="Public-Paid"/>
    <s v="3.3 kW"/>
    <s v="OCPP"/>
    <n v="4"/>
    <x v="1"/>
    <n v="17.353999999999999"/>
    <n v="71.836999999999975"/>
    <n v="51.792999999999992"/>
    <n v="98.748000000000033"/>
    <n v="76.87"/>
    <n v="84.493999999999986"/>
    <n v="95.39400000000002"/>
    <n v="93.58"/>
    <n v="95.254999999999995"/>
    <n v="77.778999999999996"/>
    <n v="98.946999999999989"/>
    <n v="88.22499999999998"/>
    <n v="96.266999999999996"/>
    <n v="81.180999999999997"/>
    <n v="89.119"/>
    <n v="94.724999999999994"/>
    <n v="108.85300000000002"/>
    <n v="88.405000000000001"/>
    <n v="80.588999999999999"/>
    <n v="80.335999999999999"/>
    <n v="86.614999999999981"/>
    <n v="93.258999999999986"/>
    <n v="83.13"/>
    <n v="96.218999999999994"/>
    <n v="78.173000000000002"/>
    <n v="101.53400000000003"/>
    <n v="79.336000000000013"/>
    <n v="97.261999999999986"/>
    <n v="83.996999999999986"/>
    <n v="83.437999999999988"/>
    <n v="87.572636363636349"/>
    <n v="21.893159090909087"/>
  </r>
  <r>
    <n v="73"/>
    <x v="7"/>
    <x v="51"/>
    <s v="Flipkart"/>
    <s v="Public-Paid"/>
    <s v="3.3 kW"/>
    <s v="OCPP"/>
    <n v="9"/>
    <x v="1"/>
    <n v="67.129000000000005"/>
    <n v="53.446999999999989"/>
    <n v="65.188000000000002"/>
    <n v="161.95500000000001"/>
    <n v="132.82600000000002"/>
    <n v="131.48700000000005"/>
    <n v="132.57100000000005"/>
    <n v="78.911999999999992"/>
    <n v="118.48499999999999"/>
    <n v="102.39499999999998"/>
    <n v="110.94800000000001"/>
    <n v="149.96200000000002"/>
    <n v="121.76000000000002"/>
    <n v="151.01200000000003"/>
    <n v="132.45699999999999"/>
    <n v="98.165999999999983"/>
    <n v="120.10300000000002"/>
    <n v="115.41200000000003"/>
    <n v="102.76300000000001"/>
    <n v="79.676999999999992"/>
    <n v="104.741"/>
    <n v="102.71400000000001"/>
    <n v="107.98399999999999"/>
    <n v="134.56099999999998"/>
    <n v="127.59900000000005"/>
    <n v="109.49000000000001"/>
    <n v="187.15600000000001"/>
    <n v="114.16199999999999"/>
    <n v="140.27400000000003"/>
    <n v="132.85400000000001"/>
    <n v="121.92836363636366"/>
    <n v="13.547595959595961"/>
  </r>
  <r>
    <n v="74"/>
    <x v="7"/>
    <x v="52"/>
    <s v="EFL"/>
    <s v="Public-Free"/>
    <s v="3.3 kW"/>
    <s v="OCPP"/>
    <n v="8"/>
    <x v="2"/>
    <n v="16.292999999999999"/>
    <n v="4.3370000000000006"/>
    <n v="17.927"/>
    <n v="6.0000000000000001E-3"/>
    <n v="41.753"/>
    <n v="36.424999999999997"/>
    <n v="35.171999999999997"/>
    <n v="41.902999999999999"/>
    <n v="36.655999999999999"/>
    <n v="63.685000000000002"/>
    <n v="35.158000000000001"/>
    <n v="7.8339999999999996"/>
    <n v="53.736000000000004"/>
    <n v="11.477"/>
    <n v="41.344000000000008"/>
    <n v="18.434999999999999"/>
    <n v="45.877000000000002"/>
    <n v="18.283999999999999"/>
    <n v="34.64"/>
    <n v="34.594000000000001"/>
    <n v="33.937999999999995"/>
    <n v="37.940999999999995"/>
    <n v="43.963999999999999"/>
    <n v="20.016000000000002"/>
    <n v="49.454000000000008"/>
    <n v="14.316000000000001"/>
    <n v="34.478999999999999"/>
    <n v="31.776000000000003"/>
    <n v="31.172000000000001"/>
    <n v="43.030999999999999"/>
    <n v="34.061909090909097"/>
    <n v="4.2577386363636371"/>
  </r>
  <r>
    <n v="75"/>
    <x v="7"/>
    <x v="52"/>
    <s v="EFL"/>
    <s v="Public-Free"/>
    <s v="6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7"/>
    <x v="53"/>
    <s v="Trinity"/>
    <s v="Public-Paid"/>
    <s v="3.3 kW"/>
    <s v="OCPP"/>
    <n v="7"/>
    <x v="2"/>
    <n v="12.324999999999999"/>
    <n v="72.247"/>
    <n v="141.99300000000002"/>
    <n v="133.959"/>
    <n v="172.36700000000002"/>
    <n v="182.93399999999997"/>
    <n v="169.59599999999998"/>
    <n v="148.80599999999998"/>
    <n v="184.72800000000001"/>
    <n v="209.34400000000005"/>
    <n v="176.80899999999997"/>
    <n v="171.13800000000003"/>
    <n v="143.441"/>
    <n v="153.87400000000002"/>
    <n v="167.95499999999998"/>
    <n v="155.67900000000003"/>
    <n v="146.54900000000001"/>
    <n v="123.59100000000001"/>
    <n v="139.34300000000002"/>
    <n v="123.92299999999999"/>
    <n v="142.696"/>
    <n v="135.66200000000001"/>
    <n v="119.857"/>
    <n v="109.92800000000003"/>
    <n v="106.015"/>
    <n v="125.199"/>
    <n v="125.486"/>
    <n v="137.761"/>
    <n v="116.849"/>
    <n v="122.85000000000001"/>
    <n v="124.2023636363636"/>
    <n v="17.743194805194801"/>
  </r>
  <r>
    <n v="77"/>
    <x v="7"/>
    <x v="54"/>
    <s v="Trinity"/>
    <s v="Public-Paid"/>
    <s v="3.3 kW"/>
    <s v="OCPP"/>
    <n v="10"/>
    <x v="2"/>
    <n v="93.392000000000024"/>
    <n v="132.553"/>
    <n v="179.126"/>
    <n v="157.76600000000005"/>
    <n v="167.89699999999999"/>
    <n v="162.83299999999997"/>
    <n v="166.37300000000005"/>
    <n v="186.40200000000004"/>
    <n v="183.40799999999999"/>
    <n v="207.36699999999993"/>
    <n v="193.68500000000003"/>
    <n v="156.923"/>
    <n v="161.44399999999996"/>
    <n v="152.56600000000003"/>
    <n v="168.82000000000005"/>
    <n v="170.74899999999994"/>
    <n v="163.81300000000002"/>
    <n v="168.47899999999996"/>
    <n v="182.78100000000006"/>
    <n v="137.09399999999999"/>
    <n v="174.91400000000004"/>
    <n v="165.12199999999999"/>
    <n v="173.989"/>
    <n v="167.14800000000008"/>
    <n v="190.995"/>
    <n v="166.25"/>
    <n v="182.399"/>
    <n v="171.63600000000002"/>
    <n v="159.52300000000002"/>
    <n v="203.58299999999991"/>
    <n v="172.05936363636363"/>
    <n v="17.205936363636361"/>
  </r>
  <r>
    <n v="78"/>
    <x v="7"/>
    <x v="55"/>
    <s v="Trinity"/>
    <s v="Public-Paid"/>
    <s v="3.3 kW"/>
    <s v="OCPP"/>
    <n v="8"/>
    <x v="2"/>
    <n v="27.846999999999998"/>
    <n v="61.317999999999991"/>
    <n v="53.647000000000006"/>
    <n v="76.965000000000003"/>
    <n v="104.60199999999998"/>
    <n v="78.545000000000016"/>
    <n v="64.444000000000003"/>
    <n v="80.406999999999996"/>
    <n v="81.61699999999999"/>
    <n v="71.201999999999998"/>
    <n v="35.975000000000001"/>
    <n v="86.749000000000009"/>
    <n v="60.286999999999992"/>
    <n v="69.850999999999985"/>
    <n v="55.055000000000007"/>
    <n v="68.933999999999983"/>
    <n v="76.13"/>
    <n v="55.588999999999999"/>
    <n v="55.471999999999994"/>
    <n v="74.173000000000002"/>
    <n v="59.600999999999999"/>
    <n v="51.442"/>
    <n v="65.088000000000008"/>
    <n v="37.570999999999998"/>
    <n v="75.204000000000008"/>
    <n v="43.333000000000006"/>
    <n v="63.623000000000005"/>
    <n v="77.863000000000014"/>
    <n v="72.621999999999986"/>
    <n v="72.266999999999996"/>
    <n v="62.980636363636364"/>
    <n v="7.8725795454545455"/>
  </r>
  <r>
    <n v="79"/>
    <x v="7"/>
    <x v="56"/>
    <s v="Trinity"/>
    <s v="Public-Paid"/>
    <s v="3.3 kW"/>
    <s v="OCPP"/>
    <n v="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040000000000003"/>
    <n v="0"/>
    <n v="0"/>
    <n v="1E-3"/>
    <n v="0"/>
    <n v="0"/>
    <n v="0"/>
    <n v="0"/>
    <n v="0"/>
    <n v="0.66409090909090918"/>
    <n v="0.1106818181818182"/>
  </r>
  <r>
    <n v="80"/>
    <x v="7"/>
    <x v="57"/>
    <s v="Trinity"/>
    <s v="Public-Paid"/>
    <s v="3.3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8"/>
    <x v="58"/>
    <s v="Trinity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9"/>
    <x v="59"/>
    <s v="Flipkart"/>
    <s v="Public-Paid"/>
    <s v="3.3 kW"/>
    <s v="OCPP"/>
    <n v="14"/>
    <x v="0"/>
    <m/>
    <m/>
    <m/>
    <m/>
    <m/>
    <m/>
    <m/>
    <m/>
    <m/>
    <m/>
    <m/>
    <m/>
    <m/>
    <m/>
    <n v="0"/>
    <n v="0"/>
    <n v="0"/>
    <n v="0.14099999999999999"/>
    <n v="1.0310000000000001"/>
    <n v="0"/>
    <n v="0"/>
    <n v="0"/>
    <n v="0"/>
    <n v="0"/>
    <n v="0"/>
    <n v="0"/>
    <n v="0"/>
    <n v="0"/>
    <n v="0"/>
    <n v="0"/>
    <n v="0"/>
    <n v="0"/>
  </r>
  <r>
    <n v="83"/>
    <x v="10"/>
    <x v="60"/>
    <s v="ETO"/>
    <s v="Public-Paid"/>
    <s v="3.3kW"/>
    <s v="OCPP"/>
    <n v="20"/>
    <x v="1"/>
    <n v="0"/>
    <n v="0"/>
    <n v="0"/>
    <n v="2.145"/>
    <n v="2.71"/>
    <n v="34.673999999999999"/>
    <n v="27.372999999999998"/>
    <n v="7.0090000000000003"/>
    <n v="0"/>
    <n v="0"/>
    <n v="0"/>
    <n v="0"/>
    <n v="5.9499999999999993"/>
    <n v="0"/>
    <n v="0.438"/>
    <n v="0"/>
    <n v="0"/>
    <n v="0"/>
    <n v="6.2629999999999999"/>
    <n v="15.599999999999998"/>
    <n v="4.4320000000000004"/>
    <n v="4.8410000000000002"/>
    <n v="9.3049999999999997"/>
    <n v="2.7730000000000001"/>
    <n v="0"/>
    <n v="1.5309999999999999"/>
    <n v="10.780999999999999"/>
    <n v="3.8779999999999997"/>
    <n v="19.803000000000004"/>
    <n v="11.154"/>
    <n v="7.6452727272727268"/>
    <n v="0.38226363636363636"/>
  </r>
  <r>
    <n v="84"/>
    <x v="10"/>
    <x v="61"/>
    <s v="ETO"/>
    <s v="Public-Paid"/>
    <s v="3.3kW"/>
    <s v="OCPP"/>
    <n v="3"/>
    <x v="1"/>
    <n v="0"/>
    <n v="0"/>
    <n v="24.835999999999999"/>
    <n v="31.029000000000003"/>
    <n v="42.809000000000005"/>
    <n v="10.388999999999999"/>
    <n v="41.106999999999999"/>
    <n v="20.364999999999998"/>
    <n v="32.853000000000002"/>
    <n v="14.852"/>
    <n v="51.063000000000002"/>
    <n v="26.486999999999995"/>
    <n v="59.868000000000002"/>
    <n v="49.411999999999999"/>
    <n v="6.2859999999999996"/>
    <n v="33.299000000000007"/>
    <n v="0"/>
    <n v="30.396999999999998"/>
    <n v="45.552000000000007"/>
    <n v="37.72"/>
    <n v="32.036999999999999"/>
    <n v="40.960999999999999"/>
    <n v="32.555"/>
    <n v="19.718"/>
    <n v="0"/>
    <n v="0"/>
    <n v="0"/>
    <n v="0"/>
    <n v="0"/>
    <n v="0"/>
    <n v="14.817363636363636"/>
    <n v="4.9391212121212122"/>
  </r>
  <r>
    <n v="85"/>
    <x v="11"/>
    <x v="62"/>
    <s v="Trinity"/>
    <s v="Public-Paid"/>
    <s v="15 kw"/>
    <s v="DC Charger"/>
    <n v="1"/>
    <x v="0"/>
    <m/>
    <m/>
    <m/>
    <m/>
    <m/>
    <m/>
    <m/>
    <m/>
    <m/>
    <m/>
    <m/>
    <m/>
    <m/>
    <m/>
    <m/>
    <n v="0.13300000000000001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2"/>
    <x v="63"/>
    <s v="Trinity"/>
    <s v="Public-Paid"/>
    <s v="15 kw"/>
    <s v="DC Charger"/>
    <n v="1"/>
    <x v="0"/>
    <m/>
    <m/>
    <m/>
    <m/>
    <m/>
    <m/>
    <m/>
    <m/>
    <m/>
    <m/>
    <m/>
    <m/>
    <m/>
    <m/>
    <m/>
    <n v="2.87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3"/>
    <x v="64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1.192"/>
    <n v="0"/>
    <n v="0"/>
    <n v="0"/>
    <n v="6.7830000000000004"/>
    <n v="0"/>
    <n v="0"/>
    <n v="0"/>
    <n v="0"/>
    <n v="0"/>
    <n v="0"/>
    <n v="0"/>
    <n v="0"/>
    <n v="0.61663636363636365"/>
    <n v="0.61663636363636365"/>
  </r>
  <r>
    <n v="88"/>
    <x v="14"/>
    <x v="65"/>
    <s v="Trinity"/>
    <s v="Public-Paid"/>
    <s v="15 kw"/>
    <s v="DC Charger"/>
    <n v="1"/>
    <x v="0"/>
    <m/>
    <m/>
    <m/>
    <m/>
    <m/>
    <m/>
    <m/>
    <m/>
    <m/>
    <m/>
    <m/>
    <n v="3.9950000000000001"/>
    <n v="0"/>
    <n v="0"/>
    <n v="20.852"/>
    <n v="0"/>
    <n v="0"/>
    <n v="0"/>
    <n v="21.391999999999999"/>
    <n v="18.068999999999999"/>
    <n v="41.508000000000003"/>
    <n v="20.766999999999999"/>
    <n v="15.659000000000001"/>
    <n v="0"/>
    <n v="0"/>
    <n v="19.977"/>
    <n v="18.694000000000003"/>
    <n v="0"/>
    <n v="29.734999999999999"/>
    <n v="27.416000000000004"/>
    <n v="17.438636363636363"/>
    <n v="17.438636363636363"/>
  </r>
  <r>
    <n v="89"/>
    <x v="15"/>
    <x v="66"/>
    <s v="Trinity"/>
    <s v="Public-Paid"/>
    <s v="15 kw"/>
    <s v="DC Charger"/>
    <n v="1"/>
    <x v="0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16"/>
    <x v="67"/>
    <s v="SOU"/>
    <s v="Public-Paid"/>
    <s v="3.3 kW"/>
    <s v="OCPP"/>
    <n v="40"/>
    <x v="1"/>
    <n v="198.98499999999996"/>
    <n v="610.73600000000022"/>
    <n v="618.49800000000005"/>
    <n v="329.03999999999996"/>
    <n v="407.78"/>
    <n v="653.66599999999983"/>
    <n v="627.40299999999979"/>
    <n v="611.98599999999988"/>
    <n v="668.29900000000009"/>
    <n v="625.77799999999991"/>
    <n v="263.49999999999994"/>
    <n v="361.66300000000007"/>
    <n v="577.25099999999998"/>
    <n v="499.84900000000033"/>
    <n v="523.61900000000003"/>
    <n v="566.50199999999984"/>
    <n v="552.60299999999984"/>
    <n v="248.05099999999999"/>
    <n v="267.7589999999999"/>
    <n v="405.31499999999988"/>
    <n v="289.1040000000001"/>
    <n v="415.50899999999996"/>
    <n v="408.65699999999987"/>
    <n v="520.17300000000012"/>
    <n v="257.173"/>
    <n v="284.18299999999999"/>
    <n v="440.9260000000001"/>
    <n v="313.82400000000001"/>
    <n v="464.5659999999998"/>
    <n v="428.99599999999992"/>
    <n v="384.40236363636359"/>
    <n v="9.6100590909090897"/>
  </r>
  <r>
    <n v="91"/>
    <x v="17"/>
    <x v="68"/>
    <s v="ETO"/>
    <s v="Public-Paid"/>
    <s v="3.3 kW"/>
    <s v="OCPP"/>
    <n v="19"/>
    <x v="1"/>
    <n v="7.8E-2"/>
    <n v="3.9E-2"/>
    <n v="0"/>
    <n v="0"/>
    <n v="0"/>
    <n v="0"/>
    <n v="0"/>
    <n v="0"/>
    <n v="2.5379999999999998"/>
    <n v="0"/>
    <n v="3.6719999999999997"/>
    <n v="2.7440000000000002"/>
    <n v="0"/>
    <n v="3.58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8"/>
    <x v="69"/>
    <s v="Mahagun Hotel"/>
    <s v="Public-Paid"/>
    <s v="7.4 kW"/>
    <s v="OCPP"/>
    <n v="2"/>
    <x v="0"/>
    <n v="0"/>
    <n v="0"/>
    <n v="0"/>
    <n v="0"/>
    <n v="0"/>
    <n v="1.7090000000000001"/>
    <n v="0"/>
    <n v="0"/>
    <n v="0"/>
    <n v="0"/>
    <n v="0"/>
    <n v="50.010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19"/>
    <x v="70"/>
    <s v="Trinity"/>
    <s v="Public-Paid"/>
    <s v="3.3kW"/>
    <s v="OCPP"/>
    <n v="10"/>
    <x v="1"/>
    <n v="0"/>
    <n v="57.981000000000002"/>
    <n v="88.330000000000013"/>
    <n v="57.144999999999996"/>
    <n v="102.21700000000001"/>
    <n v="84.888000000000019"/>
    <n v="115.50700000000001"/>
    <n v="92.378999999999991"/>
    <n v="70.289999999999992"/>
    <n v="0"/>
    <n v="0"/>
    <n v="0"/>
    <n v="0"/>
    <n v="0"/>
    <n v="0"/>
    <n v="16.669"/>
    <n v="126.81599999999999"/>
    <n v="106.05200000000002"/>
    <n v="96.296999999999983"/>
    <n v="58.818000000000005"/>
    <n v="69.331000000000017"/>
    <n v="156.35800000000009"/>
    <n v="139.02099999999999"/>
    <n v="162.12600000000003"/>
    <n v="153.42399999999998"/>
    <n v="140.30100000000002"/>
    <n v="159.51300000000001"/>
    <n v="143.03"/>
    <n v="155.01000000000005"/>
    <n v="136.88600000000002"/>
    <n v="133.98345454545458"/>
    <n v="13.398345454545458"/>
  </r>
  <r>
    <n v="94"/>
    <x v="19"/>
    <x v="70"/>
    <s v="Trinity"/>
    <s v="Public-Paid"/>
    <s v="7.4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5"/>
    <x v="19"/>
    <x v="71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6"/>
    <x v="19"/>
    <x v="72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19"/>
    <x v="73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20"/>
    <x v="74"/>
    <s v="Trinity"/>
    <s v="Public-Paid"/>
    <s v="3.3kW"/>
    <s v="OCPP"/>
    <n v="15"/>
    <x v="2"/>
    <m/>
    <m/>
    <m/>
    <m/>
    <m/>
    <m/>
    <m/>
    <m/>
    <m/>
    <m/>
    <m/>
    <n v="13.891999999999996"/>
    <n v="36.472000000000008"/>
    <n v="38.995000000000005"/>
    <n v="53.855000000000004"/>
    <n v="53.554000000000009"/>
    <n v="49.085000000000001"/>
    <n v="69.263000000000005"/>
    <n v="62.172999999999981"/>
    <n v="70.414999999999992"/>
    <n v="80.920999999999978"/>
    <n v="90.150999999999982"/>
    <n v="120.99999999999999"/>
    <n v="86.83799999999998"/>
    <n v="88.24499999999999"/>
    <n v="88.260999999999981"/>
    <n v="89.27000000000001"/>
    <n v="100.99299999999999"/>
    <n v="83.410000000000025"/>
    <n v="120.33200000000001"/>
    <n v="92.712363636363634"/>
    <n v="6.1808242424242419"/>
  </r>
  <r>
    <n v="99"/>
    <x v="20"/>
    <x v="74"/>
    <s v="Trinity"/>
    <s v="Public-Paid"/>
    <s v="12kW"/>
    <s v="DC Charger"/>
    <n v="1"/>
    <x v="2"/>
    <m/>
    <m/>
    <m/>
    <m/>
    <m/>
    <m/>
    <m/>
    <m/>
    <m/>
    <m/>
    <m/>
    <n v="0"/>
    <n v="0"/>
    <n v="3.83"/>
    <n v="12.59"/>
    <n v="28.830000000000002"/>
    <n v="19.880000000000003"/>
    <n v="4.29"/>
    <n v="17.02"/>
    <n v="15.4"/>
    <n v="0"/>
    <n v="1.1100000000000001"/>
    <n v="1.96"/>
    <n v="8.7199999999999989"/>
    <n v="27.19"/>
    <n v="5.64"/>
    <n v="0"/>
    <n v="0"/>
    <n v="17.79"/>
    <n v="0.66"/>
    <n v="7.1336363636363638"/>
    <n v="7.1336363636363638"/>
  </r>
  <r>
    <n v="100"/>
    <x v="21"/>
    <x v="75"/>
    <s v="ETO"/>
    <s v="Public-Paid"/>
    <s v="3.3 kW"/>
    <s v="OCPP"/>
    <n v="5"/>
    <x v="1"/>
    <n v="6.4790000000000001"/>
    <n v="21.673999999999999"/>
    <n v="24.681999999999995"/>
    <n v="29.866000000000003"/>
    <n v="30.312999999999999"/>
    <n v="33.969000000000001"/>
    <n v="40.021000000000001"/>
    <n v="20.628"/>
    <n v="35.151999999999994"/>
    <n v="27.451999999999998"/>
    <n v="39.574000000000005"/>
    <n v="40.386999999999993"/>
    <n v="32.741"/>
    <n v="39.652000000000001"/>
    <n v="25.292999999999999"/>
    <n v="47.589000000000006"/>
    <n v="30.13"/>
    <n v="38.17"/>
    <n v="31.170999999999999"/>
    <n v="31.529"/>
    <n v="43.988999999999997"/>
    <n v="36.567999999999998"/>
    <n v="34.728000000000002"/>
    <n v="41.302999999999997"/>
    <n v="34.051000000000002"/>
    <n v="41.651000000000003"/>
    <n v="27.18"/>
    <n v="50.438999999999993"/>
    <n v="36.683999999999997"/>
    <n v="41.953999999999994"/>
    <n v="38.18872727272727"/>
    <n v="7.6377454545454544"/>
  </r>
  <r>
    <n v="101"/>
    <x v="21"/>
    <x v="76"/>
    <s v="ETO"/>
    <s v="Public-Paid"/>
    <s v="3.3 kW"/>
    <s v="OCPP"/>
    <n v="16"/>
    <x v="1"/>
    <n v="0"/>
    <n v="13.391"/>
    <n v="13.214"/>
    <n v="10.600000000000001"/>
    <n v="19.590999999999998"/>
    <n v="2.355"/>
    <n v="12.526"/>
    <n v="7.1790000000000003"/>
    <n v="11.138000000000002"/>
    <n v="5.343"/>
    <n v="9.7809999999999988"/>
    <n v="13.183"/>
    <n v="20.152000000000001"/>
    <n v="15.536999999999999"/>
    <n v="0"/>
    <n v="0"/>
    <n v="0"/>
    <n v="0"/>
    <n v="0"/>
    <n v="0"/>
    <n v="13.814"/>
    <n v="20.622"/>
    <n v="10.106999999999999"/>
    <n v="5.8079999999999998"/>
    <n v="0"/>
    <n v="30.942999999999998"/>
    <n v="24.275999999999996"/>
    <n v="45.924000000000007"/>
    <n v="79.921999999999997"/>
    <n v="117.15900000000001"/>
    <n v="31.688636363636363"/>
    <n v="1.9805397727272727"/>
  </r>
  <r>
    <n v="102"/>
    <x v="21"/>
    <x v="77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"/>
    <x v="21"/>
    <x v="78"/>
    <s v="ETO"/>
    <s v="Public-Paid"/>
    <s v="3.3 kW"/>
    <s v="OCPP"/>
    <n v="13"/>
    <x v="1"/>
    <n v="5.7430000000000003"/>
    <n v="14.786"/>
    <n v="8.7759999999999998"/>
    <n v="22.046999999999997"/>
    <n v="35.991999999999997"/>
    <n v="28.503999999999998"/>
    <n v="32.975999999999999"/>
    <n v="37.161000000000001"/>
    <n v="21.242000000000001"/>
    <n v="13.779999999999996"/>
    <n v="17.243000000000002"/>
    <n v="27.64"/>
    <n v="63.137999999999998"/>
    <n v="19.428000000000001"/>
    <n v="52.214999999999996"/>
    <n v="26.161999999999999"/>
    <n v="21.887"/>
    <n v="32.487000000000002"/>
    <n v="4.915"/>
    <n v="35.988"/>
    <n v="26.645"/>
    <n v="34.945"/>
    <n v="14.91"/>
    <n v="14.488"/>
    <n v="44.379000000000005"/>
    <n v="16.79"/>
    <n v="48.691000000000003"/>
    <n v="48.076999999999998"/>
    <n v="40.637999999999991"/>
    <n v="39.376000000000005"/>
    <n v="33.175181818181819"/>
    <n v="2.5519370629370632"/>
  </r>
  <r>
    <n v="104"/>
    <x v="21"/>
    <x v="79"/>
    <s v="ETO"/>
    <s v="Public-Paid"/>
    <s v="3.3 kW"/>
    <s v="OCPP"/>
    <n v="20"/>
    <x v="1"/>
    <n v="219.374"/>
    <n v="263.85199999999998"/>
    <n v="308.61100000000005"/>
    <n v="309.48500000000007"/>
    <n v="318.77199999999988"/>
    <n v="306.06000000000006"/>
    <n v="352.59500000000008"/>
    <n v="373.33199999999988"/>
    <n v="391.024"/>
    <n v="404.73199999999991"/>
    <n v="367.19299999999998"/>
    <n v="342.9140000000001"/>
    <n v="377.4079999999999"/>
    <n v="369.33699999999993"/>
    <n v="360.68399999999986"/>
    <n v="383.3370000000001"/>
    <n v="333.28"/>
    <n v="356.92500000000001"/>
    <n v="292.23600000000005"/>
    <n v="107.32900000000001"/>
    <n v="217.14100000000005"/>
    <n v="252.46400000000003"/>
    <n v="338.88699999999994"/>
    <n v="284.98600000000005"/>
    <n v="331.36699999999996"/>
    <n v="324.83700000000005"/>
    <n v="327.91100000000012"/>
    <n v="345.959"/>
    <n v="344.35799999999995"/>
    <n v="379.60900000000015"/>
    <n v="295.8952727272727"/>
    <n v="14.794763636363635"/>
  </r>
  <r>
    <n v="105"/>
    <x v="21"/>
    <x v="80"/>
    <s v="ETO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x v="21"/>
    <x v="81"/>
    <s v="ETO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x v="21"/>
    <x v="82"/>
    <s v="Trinity"/>
    <s v="Public-Paid"/>
    <s v="7.4 kW"/>
    <s v="OCPP"/>
    <n v="2"/>
    <x v="0"/>
    <n v="0"/>
    <n v="0"/>
    <n v="13.510999999999999"/>
    <n v="0"/>
    <n v="0"/>
    <n v="0"/>
    <n v="15.199"/>
    <n v="0"/>
    <n v="0"/>
    <n v="27.056000000000001"/>
    <n v="0"/>
    <n v="18.064"/>
    <n v="0"/>
    <n v="0"/>
    <n v="0"/>
    <n v="0"/>
    <n v="0"/>
    <n v="33.511000000000003"/>
    <n v="0"/>
    <n v="0"/>
    <n v="22.544"/>
    <n v="0"/>
    <n v="22.571999999999999"/>
    <n v="6.3129999999999997"/>
    <n v="0"/>
    <n v="0"/>
    <n v="16.257999999999999"/>
    <n v="0"/>
    <n v="0"/>
    <n v="25.94"/>
    <n v="8.5115454545454536"/>
    <n v="4.2557727272727268"/>
  </r>
  <r>
    <n v="108"/>
    <x v="21"/>
    <x v="83"/>
    <m/>
    <s v="Private-Paid"/>
    <s v="3.3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9"/>
    <x v="21"/>
    <x v="84"/>
    <s v="Trinity"/>
    <s v="Public-Free"/>
    <s v="3.3 kW"/>
    <s v="OCPP"/>
    <n v="6"/>
    <x v="3"/>
    <n v="66.915999999999997"/>
    <n v="4.6059999999999999"/>
    <n v="3.26"/>
    <n v="73.531000000000006"/>
    <n v="73.185999999999993"/>
    <n v="55.351999999999983"/>
    <n v="17.493000000000002"/>
    <n v="42.935000000000002"/>
    <n v="21.341000000000001"/>
    <n v="0"/>
    <n v="56.401999999999994"/>
    <n v="56.822000000000003"/>
    <n v="62.608999999999995"/>
    <n v="48.213000000000008"/>
    <n v="15.48"/>
    <n v="10.397"/>
    <n v="3.5489999999999999"/>
    <n v="74.375"/>
    <n v="71.213999999999999"/>
    <n v="73.747"/>
    <n v="59.61"/>
    <n v="81.375999999999991"/>
    <n v="14.936"/>
    <n v="9.9979999999999993"/>
    <n v="56.070000000000007"/>
    <n v="81.087000000000003"/>
    <n v="49.635999999999996"/>
    <n v="70.466999999999985"/>
    <n v="60.442000000000007"/>
    <n v="24.476000000000003"/>
    <n v="52.895000000000003"/>
    <n v="8.8158333333333339"/>
  </r>
  <r>
    <n v="110"/>
    <x v="21"/>
    <x v="85"/>
    <s v="Trinity"/>
    <s v="Public-Paid"/>
    <s v="3.3kW"/>
    <s v="OCPP"/>
    <n v="20"/>
    <x v="2"/>
    <n v="40.253999999999998"/>
    <n v="113.45899999999999"/>
    <n v="80.596000000000004"/>
    <n v="149.15099999999998"/>
    <n v="151.33899999999997"/>
    <n v="166.482"/>
    <n v="123.09800000000001"/>
    <n v="95.278999999999996"/>
    <n v="131.38200000000001"/>
    <n v="169.11199999999997"/>
    <n v="144.94899999999996"/>
    <n v="147.29900000000001"/>
    <n v="138.16799999999998"/>
    <n v="174.39400000000001"/>
    <n v="127.316"/>
    <n v="135.90299999999996"/>
    <n v="150.39999999999995"/>
    <n v="127.05500000000001"/>
    <n v="146.48899999999998"/>
    <n v="161.93199999999999"/>
    <n v="141.19"/>
    <n v="122.85699999999999"/>
    <n v="118.73700000000001"/>
    <n v="108.03500000000001"/>
    <n v="99.277000000000001"/>
    <n v="118.748"/>
    <n v="113.31100000000002"/>
    <n v="117.45800000000004"/>
    <n v="138.459"/>
    <n v="107.45199999999998"/>
    <n v="122.49600000000001"/>
    <n v="6.1248000000000005"/>
  </r>
  <r>
    <n v="111"/>
    <x v="21"/>
    <x v="86"/>
    <s v="Trinity"/>
    <s v="Public-Paid"/>
    <s v="3.3kW"/>
    <s v="OCPP"/>
    <n v="5"/>
    <x v="2"/>
    <m/>
    <m/>
    <m/>
    <m/>
    <m/>
    <m/>
    <m/>
    <m/>
    <m/>
    <m/>
    <m/>
    <m/>
    <m/>
    <m/>
    <m/>
    <m/>
    <m/>
    <m/>
    <m/>
    <m/>
    <m/>
    <m/>
    <m/>
    <m/>
    <n v="0"/>
    <n v="3.0000000000000001E-3"/>
    <n v="0"/>
    <n v="0"/>
    <n v="0"/>
    <n v="0"/>
    <n v="5.0000000000000001E-4"/>
    <n v="1E-4"/>
  </r>
  <r>
    <n v="112"/>
    <x v="21"/>
    <x v="87"/>
    <s v="Trinity"/>
    <s v="Public-Paid"/>
    <s v="3.3kW"/>
    <s v="OCPP"/>
    <n v="15"/>
    <x v="2"/>
    <n v="167.511"/>
    <n v="186.375"/>
    <n v="220.38799999999998"/>
    <n v="218.24599999999998"/>
    <n v="221.75499999999997"/>
    <n v="242.85599999999999"/>
    <n v="265.74400000000003"/>
    <n v="207.36400000000003"/>
    <n v="169.49100000000001"/>
    <n v="204.06199999999995"/>
    <n v="182.32600000000002"/>
    <n v="264.01599999999996"/>
    <n v="246.08799999999999"/>
    <n v="222.61199999999997"/>
    <n v="188.44499999999999"/>
    <n v="253.08799999999997"/>
    <n v="245.03599999999997"/>
    <n v="270.36800000000005"/>
    <n v="213.42499999999998"/>
    <n v="207.59500000000003"/>
    <n v="317.42900000000003"/>
    <n v="220.12300000000005"/>
    <n v="245.226"/>
    <n v="229.02700000000002"/>
    <n v="218.81700000000004"/>
    <n v="213.39899999999997"/>
    <n v="220.934"/>
    <n v="200.773"/>
    <n v="182.63000000000002"/>
    <n v="171.12700000000004"/>
    <n v="220.64363636363635"/>
    <n v="14.709575757575756"/>
  </r>
  <r>
    <n v="113"/>
    <x v="21"/>
    <x v="88"/>
    <s v="Trinity"/>
    <s v="Public-Paid"/>
    <s v="3.3kW"/>
    <s v="OCPP"/>
    <n v="4"/>
    <x v="0"/>
    <n v="0"/>
    <n v="0"/>
    <n v="0"/>
    <n v="0"/>
    <n v="0"/>
    <n v="0"/>
    <n v="0"/>
    <n v="0"/>
    <n v="0"/>
    <n v="0"/>
    <n v="0"/>
    <n v="0"/>
    <n v="0"/>
    <n v="2.78"/>
    <n v="0"/>
    <n v="0"/>
    <n v="0"/>
    <n v="0"/>
    <n v="0"/>
    <n v="0"/>
    <n v="2.73"/>
    <n v="0"/>
    <n v="3.3839999999999999"/>
    <n v="0"/>
    <n v="0"/>
    <n v="4.5030000000000001"/>
    <n v="0"/>
    <n v="0"/>
    <n v="0"/>
    <n v="0"/>
    <n v="0.96518181818181825"/>
    <n v="0.24129545454545456"/>
  </r>
  <r>
    <n v="114"/>
    <x v="21"/>
    <x v="88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x v="21"/>
    <x v="89"/>
    <s v="BYPL MCD Parking"/>
    <s v="Public-Paid"/>
    <s v="3.3kW"/>
    <s v="OCPP"/>
    <n v="2"/>
    <x v="0"/>
    <n v="0"/>
    <n v="2.948"/>
    <n v="0"/>
    <n v="0"/>
    <n v="0"/>
    <n v="17.329000000000001"/>
    <n v="8.9459999999999997"/>
    <n v="2.569"/>
    <n v="7.03"/>
    <n v="0"/>
    <n v="2E-3"/>
    <n v="7.2460000000000004"/>
    <n v="9.66"/>
    <n v="10.77"/>
    <n v="12.545"/>
    <n v="6.9930000000000003"/>
    <n v="1.845"/>
    <n v="5.931"/>
    <n v="0"/>
    <n v="8.4749999999999996"/>
    <n v="11.648999999999999"/>
    <n v="0"/>
    <n v="9.3390000000000004"/>
    <n v="11.816000000000001"/>
    <n v="1.1240000000000001"/>
    <n v="7.2039999999999997"/>
    <n v="0"/>
    <n v="15.057"/>
    <n v="2.94"/>
    <n v="4.6189999999999998"/>
    <n v="6.5657272727272726"/>
    <n v="3.2828636363636363"/>
  </r>
  <r>
    <n v="116"/>
    <x v="21"/>
    <x v="90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"/>
    <x v="21"/>
    <x v="91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8"/>
    <x v="21"/>
    <x v="91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9"/>
    <x v="21"/>
    <x v="92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0"/>
    <x v="21"/>
    <x v="93"/>
    <s v="BYPL MCD Parking"/>
    <s v="Public-Paid"/>
    <s v="3.3kW"/>
    <s v="OCPP"/>
    <n v="3"/>
    <x v="0"/>
    <n v="7.6080000000000005"/>
    <n v="4.3579999999999997"/>
    <n v="1.232"/>
    <n v="1.696"/>
    <n v="13.143000000000001"/>
    <n v="12.282999999999999"/>
    <n v="19.225999999999999"/>
    <n v="15.343"/>
    <n v="10.493"/>
    <n v="21.894999999999996"/>
    <n v="15.997"/>
    <n v="13"/>
    <n v="8.0910000000000011"/>
    <n v="22.058999999999997"/>
    <n v="7.0110000000000001"/>
    <n v="20.535"/>
    <n v="27.225000000000001"/>
    <n v="12.859000000000002"/>
    <n v="13.848000000000001"/>
    <n v="13.385999999999999"/>
    <n v="21.436"/>
    <n v="12.817"/>
    <n v="18.150000000000002"/>
    <n v="0"/>
    <n v="20.192999999999998"/>
    <n v="16.454999999999998"/>
    <n v="9.7449999999999992"/>
    <n v="12.623999999999999"/>
    <n v="16.133000000000003"/>
    <n v="9.8610000000000007"/>
    <n v="13.709090909090907"/>
    <n v="4.5696969696969694"/>
  </r>
  <r>
    <n v="121"/>
    <x v="21"/>
    <x v="9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2"/>
    <x v="21"/>
    <x v="9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21"/>
    <x v="96"/>
    <s v="BYPL MCD Parking"/>
    <s v="Public-Paid"/>
    <s v="3.3kW"/>
    <s v="OCPP"/>
    <n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x v="21"/>
    <x v="97"/>
    <s v="ETO"/>
    <s v="Public-Paid"/>
    <s v="3.3kW"/>
    <s v="OCPP"/>
    <n v="4"/>
    <x v="3"/>
    <n v="0"/>
    <n v="1.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"/>
    <x v="21"/>
    <x v="98"/>
    <s v="Trinity"/>
    <s v="Public-Paid"/>
    <s v="3.3kW"/>
    <s v="OCPP"/>
    <n v="15"/>
    <x v="2"/>
    <n v="38.626000000000005"/>
    <n v="48.071999999999996"/>
    <n v="61.023000000000003"/>
    <n v="47.850999999999999"/>
    <n v="49.228000000000002"/>
    <n v="56.357999999999997"/>
    <n v="46.908000000000001"/>
    <n v="45.295000000000002"/>
    <n v="57.080999999999996"/>
    <n v="49.733999999999995"/>
    <n v="71.516000000000005"/>
    <n v="62.125"/>
    <n v="60.42499999999999"/>
    <n v="79.338999999999999"/>
    <n v="71.98599999999999"/>
    <n v="72.86"/>
    <n v="61.669000000000004"/>
    <n v="67.878"/>
    <n v="64.108000000000004"/>
    <n v="57.652000000000015"/>
    <n v="60.610999999999997"/>
    <n v="59.42"/>
    <n v="63.112000000000009"/>
    <n v="63.64"/>
    <n v="77.870999999999995"/>
    <n v="54.79"/>
    <n v="45.763999999999996"/>
    <n v="63.294999999999995"/>
    <n v="43.617999999999995"/>
    <n v="59.287999999999997"/>
    <n v="59.005545454545448"/>
    <n v="3.9337030303030298"/>
  </r>
  <r>
    <n v="126"/>
    <x v="21"/>
    <x v="99"/>
    <s v="BRPL MCD Parking"/>
    <s v="Public-Free"/>
    <s v="3.3kW"/>
    <s v="OCPP"/>
    <n v="2"/>
    <x v="3"/>
    <n v="0"/>
    <n v="0"/>
    <n v="0"/>
    <n v="13.123000000000001"/>
    <n v="7.3490000000000002"/>
    <n v="6.8419999999999996"/>
    <n v="0"/>
    <n v="0"/>
    <n v="0"/>
    <n v="0"/>
    <n v="18.942"/>
    <n v="5.8559999999999999"/>
    <n v="1.089"/>
    <n v="5.7590000000000003"/>
    <n v="0"/>
    <n v="0"/>
    <n v="0"/>
    <n v="0"/>
    <n v="5.5289999999999999"/>
    <n v="0"/>
    <n v="11.73"/>
    <n v="4.4820000000000002"/>
    <n v="0"/>
    <n v="0"/>
    <n v="9.9"/>
    <n v="0"/>
    <n v="7.8719999999999999"/>
    <n v="9.5739999999999998"/>
    <n v="6.8479999999999999"/>
    <n v="0"/>
    <n v="4.5823636363636364"/>
    <n v="2.2911818181818182"/>
  </r>
  <r>
    <n v="127"/>
    <x v="21"/>
    <x v="100"/>
    <s v="Sold"/>
    <s v="Public-Free"/>
    <s v="3.3kW"/>
    <s v="OCPP"/>
    <n v="2"/>
    <x v="3"/>
    <n v="0"/>
    <n v="0"/>
    <n v="0"/>
    <n v="0"/>
    <n v="0"/>
    <n v="0"/>
    <n v="0"/>
    <n v="0"/>
    <n v="0"/>
    <n v="0"/>
    <n v="0"/>
    <n v="14.012"/>
    <n v="13.662000000000001"/>
    <n v="7.5460000000000003"/>
    <n v="0"/>
    <n v="0"/>
    <n v="0"/>
    <n v="0"/>
    <n v="13.609"/>
    <n v="7.1310000000000002"/>
    <n v="0"/>
    <n v="14.425000000000001"/>
    <n v="0"/>
    <n v="0"/>
    <n v="6.101"/>
    <n v="0"/>
    <n v="0"/>
    <n v="0"/>
    <n v="17.801000000000002"/>
    <n v="0"/>
    <n v="4.1325454545454541"/>
    <n v="2.066272727272727"/>
  </r>
  <r>
    <n v="128"/>
    <x v="21"/>
    <x v="101"/>
    <s v="BRPL MCD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x v="21"/>
    <x v="102"/>
    <s v="Sold"/>
    <s v="Public-Free"/>
    <s v="3.3kW"/>
    <s v="OCPP"/>
    <n v="2"/>
    <x v="3"/>
    <n v="3.0449999999999999"/>
    <n v="0"/>
    <n v="0"/>
    <n v="0"/>
    <n v="1.9219999999999999"/>
    <n v="9.5849999999999991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x v="21"/>
    <x v="103"/>
    <s v="BSES Parking"/>
    <s v="Public-Free"/>
    <s v="3.3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"/>
    <x v="21"/>
    <x v="104"/>
    <s v="Trinity"/>
    <s v="Public-Paid"/>
    <s v="3.3kW"/>
    <s v="OCPP"/>
    <n v="15"/>
    <x v="2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2"/>
    <x v="21"/>
    <x v="105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3"/>
    <x v="21"/>
    <x v="106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4"/>
    <x v="21"/>
    <x v="107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5"/>
    <x v="21"/>
    <x v="108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6"/>
    <x v="21"/>
    <x v="109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"/>
    <x v="21"/>
    <x v="110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8"/>
    <x v="22"/>
    <x v="111"/>
    <s v="Flipkart"/>
    <s v="Public-Paid"/>
    <s v="3.3kW"/>
    <s v="OCPP"/>
    <n v="7"/>
    <x v="0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9"/>
    <x v="22"/>
    <x v="112"/>
    <s v="Flipkart"/>
    <m/>
    <m/>
    <m/>
    <n v="12"/>
    <x v="0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x v="0"/>
    <x v="0"/>
    <s v="Amazon"/>
    <s v="Public-Paid"/>
    <s v="3.3 kW"/>
    <s v="OCPP"/>
    <n v="6"/>
    <x v="0"/>
    <n v="80.347999999999999"/>
    <n v="55.890000000000008"/>
    <n v="59.735000000000007"/>
    <n v="100.965"/>
    <n v="56.719000000000001"/>
    <n v="74.616"/>
    <n v="72.445999999999998"/>
    <n v="29.077999999999999"/>
    <n v="6.9240000000000004"/>
    <n v="22.281000000000002"/>
    <n v="60.192"/>
    <n v="41.669000000000004"/>
    <n v="35.220999999999997"/>
    <n v="85.551000000000016"/>
    <n v="85.001000000000005"/>
    <n v="72.48899999999999"/>
    <n v="75.914000000000001"/>
    <n v="51.580000000000005"/>
    <n v="60.686"/>
    <n v="53.802999999999997"/>
    <n v="57.232000000000006"/>
    <n v="71.557000000000002"/>
    <n v="83.641999999999996"/>
    <n v="61.826000000000001"/>
    <n v="75.914999999999992"/>
    <n v="62.647999999999996"/>
    <n v="60.997"/>
    <n v="49.31"/>
    <n v="51.714000000000006"/>
    <n v="62.699000000000005"/>
    <n v="24.425000000000001"/>
    <n v="61.027312499999994"/>
    <n v="10.17121875"/>
  </r>
  <r>
    <n v="2"/>
    <x v="0"/>
    <x v="1"/>
    <s v="Amazon"/>
    <s v="Public-Paid"/>
    <s v="3.3 kW"/>
    <s v="OCPP"/>
    <n v="9"/>
    <x v="0"/>
    <n v="194.38699999999997"/>
    <n v="208.05299999999994"/>
    <n v="178.43199999999999"/>
    <n v="188.87099999999992"/>
    <n v="230.16900000000001"/>
    <n v="219.30899999999997"/>
    <n v="182.161"/>
    <n v="202.52500000000006"/>
    <n v="203.25699999999995"/>
    <n v="191.56500000000003"/>
    <n v="125.604"/>
    <n v="161.13000000000002"/>
    <n v="66.925999999999988"/>
    <n v="119.58400000000002"/>
    <n v="135.01400000000004"/>
    <n v="191.69200000000004"/>
    <n v="196.19499999999994"/>
    <n v="187.66"/>
    <n v="178.21699999999998"/>
    <n v="171.81799999999998"/>
    <n v="183.39099999999996"/>
    <n v="157.92500000000001"/>
    <n v="204.63500000000002"/>
    <n v="195.959"/>
    <n v="191.11799999999999"/>
    <n v="216.107"/>
    <n v="180.387"/>
    <n v="153.54500000000002"/>
    <n v="189.49199999999996"/>
    <n v="207.45200000000003"/>
    <n v="152.601"/>
    <n v="184.88712500000005"/>
    <n v="20.543013888888893"/>
  </r>
  <r>
    <n v="3"/>
    <x v="0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s v="ETO"/>
    <s v="Public-Paid"/>
    <s v="3.3 kW"/>
    <s v="OCPP"/>
    <n v="8"/>
    <x v="1"/>
    <n v="92.018000000000001"/>
    <n v="77.843999999999994"/>
    <n v="104.883"/>
    <n v="59.243999999999993"/>
    <n v="82.591000000000008"/>
    <n v="74.325000000000003"/>
    <n v="64.927000000000007"/>
    <n v="64.87"/>
    <n v="65.515999999999991"/>
    <n v="113.99300000000001"/>
    <n v="166.79299999999998"/>
    <n v="65.055999999999997"/>
    <n v="128.376"/>
    <n v="100.45300000000002"/>
    <n v="118.65900000000001"/>
    <n v="162.44900000000001"/>
    <n v="116.108"/>
    <n v="106.63399999999999"/>
    <n v="116.06099999999999"/>
    <n v="103.173"/>
    <n v="124.893"/>
    <n v="122.292"/>
    <n v="101"/>
    <n v="130.69300000000001"/>
    <n v="105.56099999999999"/>
    <n v="89.278999999999996"/>
    <n v="113.03100000000001"/>
    <n v="94.466999999999999"/>
    <n v="101.08900000000001"/>
    <n v="141.04599999999999"/>
    <n v="93.543999999999997"/>
    <n v="113.83250000000001"/>
    <n v="14.229062500000001"/>
  </r>
  <r>
    <n v="5"/>
    <x v="0"/>
    <x v="4"/>
    <s v="Trinity"/>
    <s v="Public-Paid"/>
    <s v="3.3 kW"/>
    <s v="OCPP"/>
    <n v="26"/>
    <x v="1"/>
    <n v="949.726"/>
    <n v="1132.5609999999995"/>
    <n v="546.60400000000016"/>
    <n v="962.82100000000003"/>
    <n v="632.69700000000012"/>
    <n v="692.45199999999988"/>
    <n v="883.15500000000009"/>
    <n v="840.63700000000006"/>
    <n v="749.44399999999985"/>
    <n v="651.23"/>
    <n v="714.54899999999998"/>
    <n v="749.77300000000014"/>
    <n v="481.012"/>
    <n v="670.40099999999984"/>
    <n v="800.46399999999994"/>
    <n v="835.78600000000006"/>
    <n v="722.09800000000007"/>
    <n v="863.15100000000007"/>
    <n v="847.2299999999999"/>
    <n v="643.73400000000004"/>
    <n v="954.86299999999994"/>
    <n v="773.47800000000029"/>
    <n v="870.72499999999991"/>
    <n v="744.10599999999988"/>
    <n v="716.50699999999995"/>
    <n v="930.22900000000027"/>
    <n v="879.31099999999992"/>
    <n v="772.39"/>
    <n v="774.86800000000005"/>
    <n v="644.9250000000003"/>
    <n v="810.9200000000003"/>
    <n v="799.02006249999999"/>
    <n v="30.731540865384616"/>
  </r>
  <r>
    <n v="6"/>
    <x v="0"/>
    <x v="4"/>
    <s v="Trinity"/>
    <s v="Public-Paid"/>
    <s v="3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.11"/>
    <n v="0"/>
    <n v="0"/>
    <n v="0"/>
    <n v="0"/>
    <n v="0"/>
    <n v="0"/>
    <n v="0"/>
    <n v="0"/>
    <n v="8.25"/>
    <n v="1.1000000000000001"/>
    <n v="16.77"/>
    <n v="0"/>
    <n v="5.92"/>
    <n v="6.37"/>
    <n v="2.4074999999999998"/>
    <n v="2.4074999999999998"/>
  </r>
  <r>
    <n v="7"/>
    <x v="0"/>
    <x v="4"/>
    <s v="Trinity"/>
    <s v="Public-Paid"/>
    <s v="6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4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5"/>
    <s v="Trinity"/>
    <s v="Public-Paid"/>
    <s v="3.3 kW"/>
    <s v="OCPP"/>
    <n v="6"/>
    <x v="1"/>
    <n v="48.968000000000004"/>
    <n v="45.116"/>
    <n v="47.61"/>
    <n v="48.957999999999998"/>
    <n v="37.856000000000002"/>
    <n v="41.77"/>
    <n v="52.234999999999999"/>
    <n v="45.677999999999997"/>
    <n v="38.936999999999998"/>
    <n v="29.722000000000001"/>
    <n v="23.149000000000004"/>
    <n v="34.433000000000007"/>
    <n v="23.321999999999999"/>
    <n v="18.803999999999998"/>
    <n v="41.789000000000001"/>
    <n v="39.22"/>
    <n v="34.542000000000002"/>
    <n v="48.351999999999997"/>
    <n v="35.424000000000007"/>
    <n v="31.827999999999999"/>
    <n v="33.585999999999991"/>
    <n v="49.198000000000008"/>
    <n v="37.048000000000002"/>
    <n v="24.563000000000002"/>
    <n v="35.262999999999998"/>
    <n v="37.615000000000002"/>
    <n v="24.405000000000001"/>
    <n v="41.378999999999998"/>
    <n v="30.933999999999997"/>
    <n v="38.088999999999999"/>
    <n v="32.146000000000001"/>
    <n v="35.849499999999992"/>
    <n v="5.9749166666666653"/>
  </r>
  <r>
    <n v="10"/>
    <x v="0"/>
    <x v="6"/>
    <s v="ETO"/>
    <s v="Public-Paid"/>
    <s v="3.3 kW"/>
    <s v="OCPP"/>
    <n v="3"/>
    <x v="1"/>
    <n v="57.736000000000004"/>
    <n v="73.293999999999997"/>
    <n v="64.099000000000004"/>
    <n v="67.182999999999993"/>
    <n v="77.584000000000003"/>
    <n v="58.751999999999995"/>
    <n v="81.397999999999996"/>
    <n v="104.62700000000001"/>
    <n v="83.091000000000008"/>
    <n v="60.461000000000006"/>
    <n v="57.906999999999996"/>
    <n v="92.771999999999991"/>
    <n v="63.942999999999998"/>
    <n v="91.191000000000003"/>
    <n v="89.316000000000017"/>
    <n v="92.925999999999988"/>
    <n v="73.656000000000006"/>
    <n v="83.846999999999994"/>
    <n v="80.537999999999997"/>
    <n v="97.478000000000009"/>
    <n v="92.928999999999988"/>
    <n v="103.902"/>
    <n v="92.567000000000007"/>
    <n v="111.12400000000004"/>
    <n v="68.159000000000006"/>
    <n v="93.915000000000006"/>
    <n v="71.839999999999989"/>
    <n v="103.53100000000001"/>
    <n v="72.38900000000001"/>
    <n v="95.104000000000013"/>
    <n v="57.723999999999997"/>
    <n v="86.976812499999994"/>
    <n v="28.992270833333333"/>
  </r>
  <r>
    <n v="11"/>
    <x v="0"/>
    <x v="7"/>
    <s v="Trinity"/>
    <s v="Public-Free"/>
    <s v="3.3 kW"/>
    <s v="OCPP"/>
    <n v="1"/>
    <x v="0"/>
    <n v="3.411"/>
    <n v="0"/>
    <n v="0"/>
    <n v="0"/>
    <n v="0"/>
    <n v="0"/>
    <n v="3.411"/>
    <n v="0"/>
    <n v="0"/>
    <n v="0"/>
    <n v="0"/>
    <n v="0"/>
    <n v="0"/>
    <n v="0"/>
    <n v="3.3969999999999998"/>
    <n v="0"/>
    <n v="0"/>
    <n v="0"/>
    <n v="0"/>
    <n v="0"/>
    <n v="0"/>
    <n v="0"/>
    <n v="0"/>
    <n v="3.3809999999999998"/>
    <n v="0"/>
    <n v="0"/>
    <n v="0"/>
    <n v="0"/>
    <n v="0"/>
    <n v="3.3860000000000001"/>
    <n v="0"/>
    <n v="0.42293749999999997"/>
    <n v="0.42293749999999997"/>
  </r>
  <r>
    <n v="12"/>
    <x v="0"/>
    <x v="8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9.5559999999999992"/>
    <n v="0"/>
    <n v="0"/>
    <n v="0"/>
    <n v="0"/>
    <n v="0"/>
    <n v="0"/>
    <n v="0"/>
    <n v="0"/>
    <n v="0"/>
    <n v="0"/>
    <n v="0"/>
    <n v="0"/>
    <n v="0"/>
    <n v="0"/>
    <n v="0.59724999999999995"/>
    <n v="0.29862499999999997"/>
  </r>
  <r>
    <n v="13"/>
    <x v="0"/>
    <x v="8"/>
    <s v="Trinity"/>
    <s v="Public-Paid"/>
    <s v="15 kw"/>
    <s v="DC Charger"/>
    <n v="2"/>
    <x v="0"/>
    <n v="101.67999999999999"/>
    <n v="104.08999999999999"/>
    <n v="41.540000000000006"/>
    <n v="79.010000000000005"/>
    <n v="137.69000000000003"/>
    <n v="86.56"/>
    <n v="128.28"/>
    <n v="75.059999999999988"/>
    <n v="138.36999999999998"/>
    <n v="157.52000000000001"/>
    <n v="122.64999999999998"/>
    <n v="151.25"/>
    <n v="135.20000000000002"/>
    <n v="109.92000000000002"/>
    <n v="171.49000000000004"/>
    <n v="82.260000000000019"/>
    <n v="108.83"/>
    <n v="89.070000000000007"/>
    <n v="178.86999999999998"/>
    <n v="123.02"/>
    <n v="140.18"/>
    <n v="128.72999999999999"/>
    <n v="190.11100000000002"/>
    <n v="109.38"/>
    <n v="88.85"/>
    <n v="66.299999999999983"/>
    <n v="79.11"/>
    <n v="38.660000000000004"/>
    <n v="91.33"/>
    <n v="34.07"/>
    <n v="81"/>
    <n v="101.86068749999998"/>
    <n v="50.930343749999992"/>
  </r>
  <r>
    <n v="14"/>
    <x v="0"/>
    <x v="9"/>
    <s v="Trinity"/>
    <s v="Public-Paid"/>
    <s v="3.3 kW"/>
    <s v="OCPP"/>
    <n v="10"/>
    <x v="1"/>
    <n v="201.053"/>
    <n v="143.06200000000001"/>
    <n v="216.47199999999998"/>
    <n v="128.339"/>
    <n v="148.471"/>
    <n v="223.58100000000002"/>
    <n v="129.94999999999999"/>
    <n v="220.37899999999996"/>
    <n v="56.878"/>
    <n v="245.81800000000004"/>
    <n v="127.565"/>
    <n v="120.95499999999998"/>
    <n v="9.277000000000001"/>
    <n v="29.927000000000003"/>
    <n v="128.16"/>
    <n v="58.072000000000003"/>
    <n v="63.298000000000002"/>
    <n v="827.74900000000002"/>
    <n v="201.94"/>
    <n v="65.734999999999999"/>
    <n v="56.667999999999999"/>
    <n v="317.43200000000002"/>
    <n v="119.59600000000002"/>
    <n v="137.876"/>
    <n v="184.92600000000002"/>
    <n v="143.22999999999999"/>
    <n v="174.45600000000002"/>
    <n v="139.6"/>
    <n v="166.607"/>
    <n v="130.56500000000003"/>
    <n v="34.838999999999999"/>
    <n v="176.41181249999997"/>
    <n v="17.641181249999995"/>
  </r>
  <r>
    <n v="15"/>
    <x v="0"/>
    <x v="10"/>
    <s v="Trinity"/>
    <s v="Public-Paid"/>
    <s v="3.3 kW"/>
    <s v="OCPP"/>
    <n v="4"/>
    <x v="0"/>
    <n v="6.9019999999999992"/>
    <n v="18.350999999999999"/>
    <n v="28.332999999999998"/>
    <n v="16.354999999999997"/>
    <n v="30.348999999999997"/>
    <n v="24.436"/>
    <n v="14.855"/>
    <n v="10.215"/>
    <n v="10.129000000000001"/>
    <n v="39.840999999999994"/>
    <n v="9.141"/>
    <n v="19.989000000000001"/>
    <n v="5.8319999999999999"/>
    <n v="19.378"/>
    <n v="7.03"/>
    <n v="0"/>
    <n v="14.248000000000001"/>
    <n v="3.0579999999999998"/>
    <n v="29.373000000000005"/>
    <n v="13.474999999999998"/>
    <n v="12.371"/>
    <n v="10.028999999999998"/>
    <n v="19.528000000000002"/>
    <n v="11.393000000000001"/>
    <n v="23.068000000000001"/>
    <n v="20.224999999999998"/>
    <n v="8.8970000000000002"/>
    <n v="9.1549999999999994"/>
    <n v="35.363"/>
    <n v="17.315999999999999"/>
    <n v="35.217999999999996"/>
    <n v="16.419812499999999"/>
    <n v="4.1049531249999998"/>
  </r>
  <r>
    <n v="16"/>
    <x v="0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1"/>
    <s v="Trinity"/>
    <s v="Public-Paid"/>
    <s v="3.3 kW"/>
    <s v="OCPP"/>
    <n v="19"/>
    <x v="1"/>
    <n v="223.2229999999999"/>
    <n v="226.58099999999999"/>
    <n v="221.76"/>
    <n v="248.12"/>
    <n v="217.81899999999996"/>
    <n v="221.77500000000003"/>
    <n v="223.08700000000005"/>
    <n v="248.26899999999995"/>
    <n v="286.59899999999993"/>
    <n v="310.36000000000007"/>
    <n v="274.98199999999991"/>
    <n v="208.95800000000003"/>
    <n v="238.53899999999987"/>
    <n v="187.02100000000002"/>
    <n v="235.904"/>
    <n v="210.04599999999999"/>
    <n v="127.15999999999998"/>
    <n v="181.70699999999999"/>
    <n v="211.72699999999998"/>
    <n v="195.43299999999996"/>
    <n v="216.56299999999996"/>
    <n v="190.86000000000004"/>
    <n v="166.05"/>
    <n v="203.29400000000004"/>
    <n v="212.79399999999998"/>
    <n v="240.96299999999997"/>
    <n v="203.13199999999998"/>
    <n v="185.27699999999999"/>
    <n v="217.93100000000001"/>
    <n v="167.34800000000004"/>
    <n v="210.70699999999999"/>
    <n v="196.31199999999998"/>
    <n v="10.332210526315789"/>
  </r>
  <r>
    <n v="18"/>
    <x v="0"/>
    <x v="11"/>
    <s v="Trinity"/>
    <s v="Public-Paid"/>
    <s v="12kW"/>
    <s v="DC Charger"/>
    <n v="1"/>
    <x v="1"/>
    <n v="10.66"/>
    <n v="0"/>
    <n v="0"/>
    <n v="1.79"/>
    <n v="6.91"/>
    <n v="16.540000000000003"/>
    <n v="8.4600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"/>
    <x v="0"/>
    <x v="11"/>
    <s v="Trinity"/>
    <s v="Public-Paid"/>
    <s v="15kw"/>
    <s v="DC Charger"/>
    <n v="1"/>
    <x v="1"/>
    <m/>
    <m/>
    <m/>
    <m/>
    <m/>
    <m/>
    <m/>
    <m/>
    <m/>
    <m/>
    <m/>
    <m/>
    <m/>
    <n v="23.76"/>
    <n v="76.52"/>
    <n v="63.59999999999998"/>
    <n v="74.72999999999999"/>
    <n v="63.760000000000005"/>
    <n v="89.710000000000008"/>
    <n v="73.809999999999988"/>
    <n v="51.47"/>
    <n v="102.851"/>
    <n v="97.38900000000001"/>
    <n v="87.690000000000012"/>
    <n v="57.71"/>
    <n v="34.370000000000012"/>
    <n v="36.830000000000005"/>
    <n v="35.170000000000009"/>
    <n v="13.319999999999999"/>
    <n v="24.630000000000003"/>
    <n v="16.420000000000002"/>
    <n v="57.716250000000002"/>
    <n v="57.716250000000002"/>
  </r>
  <r>
    <n v="20"/>
    <x v="0"/>
    <x v="12"/>
    <s v="Trinity"/>
    <s v="Public-Paid"/>
    <s v="3.3 kW"/>
    <s v="OCPP"/>
    <n v="5"/>
    <x v="1"/>
    <n v="124.26799999999999"/>
    <n v="72.644000000000005"/>
    <n v="118.14200000000001"/>
    <n v="132.51"/>
    <n v="115.29599999999999"/>
    <n v="131.185"/>
    <n v="178.53600000000003"/>
    <n v="82.174000000000007"/>
    <n v="191.726"/>
    <n v="97.405999999999977"/>
    <n v="185.88899999999998"/>
    <n v="131.38900000000001"/>
    <n v="178.98000000000002"/>
    <n v="190.101"/>
    <n v="187.17800000000003"/>
    <n v="147.971"/>
    <n v="185.904"/>
    <n v="173.77900000000002"/>
    <n v="135.43300000000005"/>
    <n v="164.57499999999999"/>
    <n v="109.60599999999998"/>
    <n v="225.41499999999999"/>
    <n v="183.84399999999997"/>
    <n v="161.75900000000004"/>
    <n v="173.58300000000003"/>
    <n v="178.63500000000002"/>
    <n v="174.77199999999996"/>
    <n v="136.346"/>
    <n v="201.46100000000004"/>
    <n v="232.23500000000001"/>
    <n v="150.91600000000003"/>
    <n v="171.01462500000005"/>
    <n v="34.202925000000008"/>
  </r>
  <r>
    <n v="21"/>
    <x v="0"/>
    <x v="13"/>
    <s v="Trinity"/>
    <s v="Public-Paid"/>
    <s v="7.4 kW"/>
    <s v="OCPP"/>
    <n v="2"/>
    <x v="0"/>
    <n v="0"/>
    <n v="0"/>
    <n v="0"/>
    <n v="14.78"/>
    <n v="0"/>
    <n v="0"/>
    <n v="16.798999999999999"/>
    <n v="0"/>
    <n v="0"/>
    <n v="5.327"/>
    <n v="2.903"/>
    <n v="0"/>
    <n v="0"/>
    <n v="17.157"/>
    <n v="0"/>
    <n v="2.1"/>
    <n v="0.13400000000000001"/>
    <n v="16.321999999999999"/>
    <n v="0"/>
    <n v="3.99"/>
    <n v="4.1150000000000002"/>
    <n v="2.3E-2"/>
    <n v="2.7E-2"/>
    <n v="3.0000000000000001E-3"/>
    <n v="0"/>
    <n v="0"/>
    <n v="0"/>
    <n v="0"/>
    <n v="0"/>
    <n v="0"/>
    <n v="0"/>
    <n v="1.6696250000000001"/>
    <n v="0.83481250000000007"/>
  </r>
  <r>
    <n v="22"/>
    <x v="0"/>
    <x v="13"/>
    <s v="Trinity"/>
    <s v="Public-Paid"/>
    <s v="12 kW"/>
    <s v="DC Charger"/>
    <n v="1"/>
    <x v="0"/>
    <n v="0"/>
    <n v="0"/>
    <n v="0"/>
    <n v="17.469000000000001"/>
    <n v="40.94"/>
    <n v="36.92"/>
    <n v="8.91"/>
    <n v="33.21"/>
    <n v="32.47"/>
    <n v="14.07"/>
    <n v="0"/>
    <n v="108.9"/>
    <n v="5.17"/>
    <n v="0.05"/>
    <n v="0.02"/>
    <n v="0.04"/>
    <n v="19.5"/>
    <n v="29.260000000000005"/>
    <n v="60.58"/>
    <n v="29.090000000000003"/>
    <n v="18.520000000000003"/>
    <n v="39.74"/>
    <n v="55.000000000000007"/>
    <n v="31.15"/>
    <n v="24.4"/>
    <n v="1.23"/>
    <n v="0"/>
    <n v="8.65"/>
    <n v="10.54"/>
    <n v="15"/>
    <n v="0"/>
    <n v="21.418749999999999"/>
    <n v="21.418749999999999"/>
  </r>
  <r>
    <n v="23"/>
    <x v="0"/>
    <x v="13"/>
    <s v="Trinity"/>
    <s v="Public-Paid"/>
    <s v="15 kw"/>
    <s v="DC Charger"/>
    <n v="1"/>
    <x v="0"/>
    <n v="38.78"/>
    <n v="1.27"/>
    <n v="18.399999999999999"/>
    <n v="0"/>
    <n v="1.9790000000000001"/>
    <n v="1.5310000000000001"/>
    <n v="14.33"/>
    <n v="13.379"/>
    <n v="15.590999999999999"/>
    <n v="6.49"/>
    <n v="11.048999999999999"/>
    <n v="1.33"/>
    <n v="5.8409999999999993"/>
    <n v="29.73"/>
    <n v="37.309999999999995"/>
    <n v="30.29"/>
    <n v="37.799999999999997"/>
    <n v="25.088999999999999"/>
    <n v="0"/>
    <n v="2.2610000000000001"/>
    <n v="31.330000000000002"/>
    <n v="46.42"/>
    <n v="60.768999999999998"/>
    <n v="48.79"/>
    <n v="52.809999999999988"/>
    <n v="24.61"/>
    <n v="16.84"/>
    <n v="53.35"/>
    <n v="56.800000000000004"/>
    <n v="12.129999999999999"/>
    <n v="1.67"/>
    <n v="31.309937500000004"/>
    <n v="31.309937500000004"/>
  </r>
  <r>
    <n v="24"/>
    <x v="0"/>
    <x v="13"/>
    <s v="Trinity"/>
    <s v="Public-Paid"/>
    <s v="60 kw"/>
    <s v="DC Charger"/>
    <n v="1"/>
    <x v="0"/>
    <n v="272.89999999999998"/>
    <n v="178.89999999999998"/>
    <n v="200.25"/>
    <n v="202.95000000000005"/>
    <n v="35.174999999999997"/>
    <n v="109.7"/>
    <n v="178.02499999999998"/>
    <n v="172.14999999999998"/>
    <n v="215.05"/>
    <n v="236.9"/>
    <n v="119.55"/>
    <n v="116.15"/>
    <n v="68.775999999999996"/>
    <n v="152.27399999999997"/>
    <n v="205.44999999999996"/>
    <n v="244.74999999999997"/>
    <n v="192.50000000000003"/>
    <n v="176.67400000000004"/>
    <n v="18.451000000000001"/>
    <n v="11.075000000000001"/>
    <n v="171.02500000000001"/>
    <n v="169.6"/>
    <n v="255.97599999999997"/>
    <n v="178.2"/>
    <n v="79.3"/>
    <n v="96.95"/>
    <n v="31.25"/>
    <n v="137"/>
    <n v="189.37500000000003"/>
    <n v="186.9"/>
    <n v="93.124999999999986"/>
    <n v="139.50943749999999"/>
    <n v="139.50943749999999"/>
  </r>
  <r>
    <n v="25"/>
    <x v="0"/>
    <x v="13"/>
    <s v="Trinity"/>
    <s v="Public-Paid"/>
    <s v="120 kw"/>
    <s v="DC Charger"/>
    <n v="1"/>
    <x v="0"/>
    <n v="359.20999999999992"/>
    <n v="182.10999999999999"/>
    <n v="263.55999999999995"/>
    <n v="221.14"/>
    <n v="176.58"/>
    <n v="100.62"/>
    <n v="183.36999999999998"/>
    <n v="320.13000000000005"/>
    <n v="203.57999999999998"/>
    <n v="256.64"/>
    <n v="190.32"/>
    <n v="105.56"/>
    <n v="129.48999999999998"/>
    <n v="215.39000000000001"/>
    <n v="317.52"/>
    <n v="352.21000000000004"/>
    <n v="279.14999999999998"/>
    <n v="289.68999999999994"/>
    <n v="220.6"/>
    <n v="128.72999999999999"/>
    <n v="226.41"/>
    <n v="334.14999999999992"/>
    <n v="282.56"/>
    <n v="285.32"/>
    <n v="326.34999999999991"/>
    <n v="264.3"/>
    <n v="97.69"/>
    <n v="185.79"/>
    <n v="258.98"/>
    <n v="237.22000000000003"/>
    <n v="205.04000000000005"/>
    <n v="248.38687500000003"/>
    <n v="248.38687500000003"/>
  </r>
  <r>
    <n v="26"/>
    <x v="0"/>
    <x v="14"/>
    <s v="Trinity"/>
    <s v="Public-Paid"/>
    <s v="3.3 kW"/>
    <s v="OCPP"/>
    <n v="7"/>
    <x v="1"/>
    <n v="190.14999999999992"/>
    <n v="141.44500000000002"/>
    <n v="143.75899999999996"/>
    <n v="144.64700000000002"/>
    <n v="116.38099999999996"/>
    <n v="123.70400000000005"/>
    <n v="112.712"/>
    <n v="136.52799999999999"/>
    <n v="136.18999999999997"/>
    <n v="145.63200000000001"/>
    <n v="119.38099999999999"/>
    <n v="102.29100000000001"/>
    <n v="100.75500000000002"/>
    <n v="140.673"/>
    <n v="131.38499999999999"/>
    <n v="117.79700000000004"/>
    <n v="170.64699999999996"/>
    <n v="161.72899999999998"/>
    <n v="110.37200000000001"/>
    <n v="188.01299999999998"/>
    <n v="75.071999999999989"/>
    <n v="102.245"/>
    <n v="94.122000000000014"/>
    <n v="74.864999999999995"/>
    <n v="156.334"/>
    <n v="130.95099999999999"/>
    <n v="116.93600000000001"/>
    <n v="128.06800000000001"/>
    <n v="103.37"/>
    <n v="164.18099999999998"/>
    <n v="126.94500000000002"/>
    <n v="126.35293750000001"/>
    <n v="18.050419642857143"/>
  </r>
  <r>
    <n v="27"/>
    <x v="0"/>
    <x v="15"/>
    <s v="Trinity"/>
    <s v="Public-Paid"/>
    <s v="3.3 kW"/>
    <s v="OCPP"/>
    <n v="1"/>
    <x v="0"/>
    <n v="4.0650000000000004"/>
    <n v="0"/>
    <n v="6.3550000000000004"/>
    <n v="5.6669999999999998"/>
    <n v="6.085"/>
    <n v="6.6559999999999988"/>
    <n v="9.7009999999999987"/>
    <n v="8.2919999999999998"/>
    <n v="7.8949999999999996"/>
    <n v="14.870999999999999"/>
    <n v="6.665"/>
    <n v="3.0229999999999997"/>
    <n v="6.4259999999999993"/>
    <n v="9.2920000000000016"/>
    <n v="12.384000000000002"/>
    <n v="7.0999999999999994E-2"/>
    <n v="1.944"/>
    <n v="2.74"/>
    <n v="3.3889999999999998"/>
    <n v="2.69"/>
    <n v="0"/>
    <n v="1.5450000000000002"/>
    <n v="5.0609999999999999"/>
    <n v="5.1750000000000007"/>
    <n v="0"/>
    <n v="0"/>
    <n v="3.3410000000000002"/>
    <n v="3.2440000000000002"/>
    <n v="3.9619999999999997"/>
    <n v="8.3529999999999998"/>
    <n v="5.3620000000000001"/>
    <n v="2.9298125000000002"/>
    <n v="2.9298125000000002"/>
  </r>
  <r>
    <n v="28"/>
    <x v="0"/>
    <x v="15"/>
    <s v="Trinity"/>
    <s v="Public-Paid"/>
    <s v="7.4 kW"/>
    <s v="OCPP"/>
    <n v="1"/>
    <x v="0"/>
    <n v="15.43"/>
    <n v="44.042000000000002"/>
    <n v="0"/>
    <n v="16.542000000000002"/>
    <n v="9.1310000000000002"/>
    <n v="0"/>
    <n v="0"/>
    <n v="13.438000000000001"/>
    <n v="9.7409999999999997"/>
    <n v="25.521000000000001"/>
    <n v="0"/>
    <n v="0"/>
    <n v="0"/>
    <n v="9.49"/>
    <n v="13.23"/>
    <n v="38.69"/>
    <n v="11.738"/>
    <n v="20.192"/>
    <n v="10.803000000000001"/>
    <n v="0"/>
    <n v="15.411000000000001"/>
    <n v="1.2030000000000001"/>
    <n v="8.6739999999999995"/>
    <n v="3.4060000000000001"/>
    <n v="0"/>
    <n v="10.795999999999999"/>
    <n v="14.702999999999999"/>
    <n v="18.411999999999999"/>
    <n v="13.971"/>
    <n v="12.179"/>
    <n v="14.754"/>
    <n v="12.183250000000001"/>
    <n v="12.183250000000001"/>
  </r>
  <r>
    <n v="29"/>
    <x v="0"/>
    <x v="15"/>
    <s v="Trinity"/>
    <s v="Public-Paid"/>
    <s v="12kW"/>
    <s v="DC Charger"/>
    <n v="1"/>
    <x v="0"/>
    <n v="0"/>
    <n v="22.189999999999998"/>
    <n v="9.98"/>
    <n v="15.32"/>
    <n v="20.16"/>
    <n v="8.61"/>
    <n v="25.32"/>
    <n v="29.130000000000003"/>
    <n v="8.2799999999999994"/>
    <n v="0.02"/>
    <n v="0"/>
    <n v="0"/>
    <n v="0"/>
    <n v="0.05"/>
    <n v="0.01"/>
    <n v="0"/>
    <n v="0"/>
    <n v="0"/>
    <n v="0"/>
    <n v="0"/>
    <n v="4.8800000000000008"/>
    <n v="20.34"/>
    <n v="23.541000000000004"/>
    <n v="11.1"/>
    <n v="21.119999999999997"/>
    <n v="14.16"/>
    <n v="0"/>
    <n v="0"/>
    <n v="0"/>
    <n v="0"/>
    <n v="0"/>
    <n v="5.9463124999999994"/>
    <n v="5.9463124999999994"/>
  </r>
  <r>
    <n v="30"/>
    <x v="0"/>
    <x v="15"/>
    <s v="Trinity"/>
    <s v="Public-Paid"/>
    <s v="25 kW"/>
    <s v="DC Charger"/>
    <n v="1"/>
    <x v="0"/>
    <n v="78.536000000000001"/>
    <n v="119.03399999999999"/>
    <n v="72.137000000000015"/>
    <n v="50.150000000000006"/>
    <n v="140.83000000000001"/>
    <n v="49.809999999999995"/>
    <n v="75.092000000000013"/>
    <n v="127.358"/>
    <n v="134.74099999999999"/>
    <n v="114.03099999999999"/>
    <n v="55.526000000000003"/>
    <n v="78.440999999999988"/>
    <n v="9.0619999999999994"/>
    <n v="43.192999999999998"/>
    <n v="79.668000000000006"/>
    <n v="73.947999999999993"/>
    <n v="101.633"/>
    <n v="116.334"/>
    <n v="23.829000000000001"/>
    <n v="7.4470000000000001"/>
    <n v="159.25299999999999"/>
    <n v="36.412999999999997"/>
    <n v="95.021999999999991"/>
    <n v="81.096000000000004"/>
    <n v="96.72999999999999"/>
    <n v="83.652000000000001"/>
    <n v="21.350999999999999"/>
    <n v="69.838000000000008"/>
    <n v="81.52000000000001"/>
    <n v="85.492000000000004"/>
    <n v="57.914999999999992"/>
    <n v="74.467062499999997"/>
    <n v="74.467062499999997"/>
  </r>
  <r>
    <n v="31"/>
    <x v="0"/>
    <x v="16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"/>
    <x v="0"/>
    <x v="17"/>
    <s v="Trinity"/>
    <s v="Public-Paid"/>
    <s v="3.3 kW"/>
    <s v="OCPP"/>
    <n v="9"/>
    <x v="1"/>
    <n v="142.24999999999997"/>
    <n v="154.15099999999998"/>
    <n v="127.54300000000002"/>
    <n v="154.06600000000009"/>
    <n v="164.95599999999999"/>
    <n v="149.98300000000003"/>
    <n v="137.20900000000003"/>
    <n v="141.495"/>
    <n v="110.84799999999998"/>
    <n v="143.52500000000001"/>
    <n v="99.073000000000008"/>
    <n v="107.69600000000001"/>
    <n v="57.696999999999989"/>
    <n v="103.33300000000001"/>
    <n v="102.10000000000001"/>
    <n v="155.55800000000002"/>
    <n v="151.56000000000003"/>
    <n v="98.857000000000014"/>
    <n v="125.364"/>
    <n v="137.97400000000002"/>
    <n v="123.01500000000003"/>
    <n v="110.42800000000001"/>
    <n v="155.32399999999998"/>
    <n v="148.00799999999998"/>
    <n v="130.59500000000006"/>
    <n v="149.78800000000001"/>
    <n v="139.35"/>
    <n v="144.16"/>
    <n v="156.49699999999996"/>
    <n v="107.35799999999999"/>
    <n v="133.595"/>
    <n v="135.4644375"/>
    <n v="15.051604166666667"/>
  </r>
  <r>
    <n v="33"/>
    <x v="0"/>
    <x v="17"/>
    <s v="Trinity"/>
    <s v="Public-Paid"/>
    <s v="15 kw"/>
    <s v="DC Charger"/>
    <n v="1"/>
    <x v="1"/>
    <n v="52.96"/>
    <n v="43.220000000000006"/>
    <n v="39.58"/>
    <n v="32.11"/>
    <n v="44.740000000000009"/>
    <n v="34.43"/>
    <n v="40.31"/>
    <n v="27.060000000000002"/>
    <n v="25.23"/>
    <n v="25.37"/>
    <n v="35.46"/>
    <n v="13.99"/>
    <n v="17.520000000000003"/>
    <n v="30.9"/>
    <n v="26.790000000000003"/>
    <n v="33.789999999999992"/>
    <n v="53.05"/>
    <n v="45.94"/>
    <n v="30.319999999999997"/>
    <n v="39.18"/>
    <n v="36.19"/>
    <n v="40.28"/>
    <n v="35.28"/>
    <n v="35.17"/>
    <n v="33.699999999999996"/>
    <n v="31.26"/>
    <n v="25.69"/>
    <n v="27.150000000000002"/>
    <n v="33.68"/>
    <n v="30.92"/>
    <n v="14.92"/>
    <n v="34.157499999999992"/>
    <n v="34.157499999999992"/>
  </r>
  <r>
    <n v="34"/>
    <x v="0"/>
    <x v="18"/>
    <s v="Trinity"/>
    <s v="Public-Paid"/>
    <s v="3.3 kW"/>
    <s v="OCPP"/>
    <n v="8"/>
    <x v="1"/>
    <n v="161.86100000000002"/>
    <n v="73.173000000000016"/>
    <n v="134.804"/>
    <n v="121.15400000000001"/>
    <n v="172.55700000000002"/>
    <n v="99.794999999999987"/>
    <n v="113.28"/>
    <n v="146.50299999999999"/>
    <n v="84.36999999999999"/>
    <n v="135.29199999999997"/>
    <n v="55.874000000000002"/>
    <n v="141.94300000000001"/>
    <n v="71.419999999999987"/>
    <n v="132.53799999999998"/>
    <n v="132.48999999999998"/>
    <n v="132.67500000000001"/>
    <n v="109.50699999999999"/>
    <n v="125.63899999999997"/>
    <n v="122.89099999999996"/>
    <n v="143.62299999999999"/>
    <n v="108.146"/>
    <n v="150.17899999999997"/>
    <n v="102.259"/>
    <n v="126.47900000000001"/>
    <n v="96.894000000000005"/>
    <n v="111.82599999999998"/>
    <n v="82.228999999999999"/>
    <n v="102.83800000000001"/>
    <n v="97.036000000000001"/>
    <n v="82.847000000000037"/>
    <n v="114.50800000000001"/>
    <n v="113.0985"/>
    <n v="14.1373125"/>
  </r>
  <r>
    <n v="35"/>
    <x v="0"/>
    <x v="18"/>
    <s v="Trinity"/>
    <s v="Public-Paid"/>
    <s v="7.4 kW"/>
    <s v="OCPP"/>
    <n v="2"/>
    <x v="1"/>
    <n v="42.944000000000003"/>
    <n v="12.16"/>
    <n v="60.812999999999995"/>
    <n v="53.606999999999999"/>
    <n v="45.3"/>
    <n v="15.494999999999999"/>
    <n v="35.011000000000003"/>
    <n v="40.631"/>
    <n v="0"/>
    <n v="62.776999999999994"/>
    <n v="42.152000000000001"/>
    <n v="38.543999999999997"/>
    <n v="25.658999999999999"/>
    <n v="36.17"/>
    <n v="32.221000000000004"/>
    <n v="55.228000000000002"/>
    <n v="18.777000000000001"/>
    <n v="34.999000000000002"/>
    <n v="32.496000000000002"/>
    <n v="28.975000000000001"/>
    <n v="46.484000000000002"/>
    <n v="41.277000000000001"/>
    <n v="26.356999999999999"/>
    <n v="64.772999999999996"/>
    <n v="31.161999999999999"/>
    <n v="30.189"/>
    <n v="44.257000000000005"/>
    <n v="68.713999999999999"/>
    <n v="21.407"/>
    <n v="13.637"/>
    <n v="23.177"/>
    <n v="36.369312499999999"/>
    <n v="18.18465625"/>
  </r>
  <r>
    <n v="36"/>
    <x v="0"/>
    <x v="19"/>
    <s v="Trinity"/>
    <s v="Public-Paid"/>
    <s v="3.3 kW"/>
    <s v="OCPP"/>
    <n v="1"/>
    <x v="1"/>
    <n v="18.782"/>
    <n v="24.361999999999998"/>
    <n v="21.398999999999997"/>
    <n v="16.748000000000001"/>
    <n v="16.625"/>
    <n v="10.850999999999999"/>
    <n v="21.164000000000001"/>
    <n v="11.275"/>
    <n v="14.809000000000001"/>
    <n v="16.411000000000001"/>
    <n v="14.062000000000001"/>
    <n v="2.5859999999999999"/>
    <n v="12.474"/>
    <n v="10.045"/>
    <n v="10.805000000000001"/>
    <n v="21.332999999999998"/>
    <n v="4.8579999999999997"/>
    <n v="13.286000000000001"/>
    <n v="7.3239999999999998"/>
    <n v="10.962"/>
    <n v="16.262"/>
    <n v="8.4469999999999992"/>
    <n v="16.549999999999997"/>
    <n v="14.832000000000001"/>
    <n v="21.701000000000001"/>
    <n v="17.758999999999997"/>
    <n v="19.586000000000002"/>
    <n v="12.46"/>
    <n v="11.026"/>
    <n v="19.147000000000002"/>
    <n v="17.423999999999999"/>
    <n v="14.559812500000001"/>
    <n v="14.559812500000001"/>
  </r>
  <r>
    <n v="37"/>
    <x v="0"/>
    <x v="20"/>
    <s v="Trinity"/>
    <s v="Public-Paid"/>
    <s v="3.3 kW"/>
    <s v="OCPP"/>
    <n v="11"/>
    <x v="1"/>
    <n v="87.875999999999991"/>
    <n v="79.198000000000008"/>
    <n v="157.94499999999999"/>
    <n v="104.92099999999999"/>
    <n v="81.835999999999999"/>
    <n v="79.489999999999995"/>
    <n v="72.617999999999995"/>
    <n v="81.199000000000012"/>
    <n v="84.354000000000013"/>
    <n v="78.228999999999985"/>
    <n v="80.454000000000022"/>
    <n v="45.640000000000008"/>
    <n v="29.517000000000007"/>
    <n v="28.561"/>
    <n v="83.652000000000015"/>
    <n v="75.837000000000003"/>
    <n v="97.670999999999992"/>
    <n v="86.282999999999973"/>
    <n v="121.92500000000001"/>
    <n v="108.97200000000001"/>
    <n v="74.540000000000006"/>
    <n v="125.03100000000001"/>
    <n v="136.22799999999998"/>
    <n v="162.73500000000004"/>
    <n v="209.41800000000003"/>
    <n v="161.89000000000001"/>
    <n v="184.35499999999996"/>
    <n v="160.47700000000003"/>
    <n v="173.01500000000007"/>
    <n v="211.51199999999997"/>
    <n v="196.03899999999999"/>
    <n v="142.87050000000005"/>
    <n v="12.988227272727277"/>
  </r>
  <r>
    <n v="38"/>
    <x v="0"/>
    <x v="20"/>
    <s v="Trinity"/>
    <s v="Public-Paid"/>
    <s v="12kW"/>
    <s v="DC Charger"/>
    <n v="1"/>
    <x v="1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"/>
    <x v="0"/>
    <x v="21"/>
    <s v="Trinity"/>
    <s v="Public-Paid"/>
    <s v="3.3 kW"/>
    <s v="OCPP"/>
    <n v="1"/>
    <x v="2"/>
    <n v="0"/>
    <n v="0"/>
    <n v="2.698"/>
    <n v="0"/>
    <n v="0"/>
    <n v="0"/>
    <n v="0"/>
    <n v="0"/>
    <n v="0"/>
    <n v="0"/>
    <n v="0"/>
    <n v="0"/>
    <n v="0"/>
    <n v="0"/>
    <n v="2.504"/>
    <n v="0"/>
    <n v="0"/>
    <n v="0"/>
    <n v="0"/>
    <n v="0"/>
    <n v="0"/>
    <n v="0"/>
    <n v="0"/>
    <n v="0"/>
    <n v="0"/>
    <n v="0"/>
    <n v="0"/>
    <n v="0"/>
    <n v="0"/>
    <n v="0.95099999999999996"/>
    <n v="0"/>
    <n v="5.9437499999999997E-2"/>
    <n v="5.9437499999999997E-2"/>
  </r>
  <r>
    <n v="40"/>
    <x v="0"/>
    <x v="22"/>
    <s v="Trinity"/>
    <s v="Public-Paid"/>
    <s v="3.3 kW"/>
    <s v="OCPP"/>
    <n v="6"/>
    <x v="1"/>
    <n v="47.499000000000002"/>
    <n v="55.803999999999995"/>
    <n v="40.106999999999999"/>
    <n v="43.293999999999997"/>
    <n v="90.724000000000018"/>
    <n v="86.599000000000004"/>
    <n v="107.49700000000001"/>
    <n v="119.15600000000002"/>
    <n v="92.681000000000026"/>
    <n v="79.084000000000003"/>
    <n v="87.831000000000017"/>
    <n v="65.493000000000009"/>
    <n v="69.620999999999995"/>
    <n v="64.704999999999998"/>
    <n v="66.786000000000001"/>
    <n v="59.762999999999998"/>
    <n v="92.692000000000007"/>
    <n v="102.14399999999999"/>
    <n v="75.426000000000002"/>
    <n v="108.408"/>
    <n v="88.808999999999997"/>
    <n v="93.709000000000003"/>
    <n v="99.808000000000007"/>
    <n v="96.212000000000018"/>
    <n v="77.155000000000001"/>
    <n v="109.095"/>
    <n v="103.74999999999999"/>
    <n v="84.635999999999996"/>
    <n v="71.870000000000019"/>
    <n v="65.206999999999979"/>
    <n v="44.156000000000006"/>
    <n v="85.802499999999995"/>
    <n v="14.300416666666665"/>
  </r>
  <r>
    <n v="41"/>
    <x v="0"/>
    <x v="23"/>
    <s v="Trinity"/>
    <s v="Public-Paid"/>
    <s v="3.3 kW"/>
    <s v="OCPP"/>
    <n v="13"/>
    <x v="1"/>
    <n v="102.71300000000001"/>
    <n v="97.739000000000004"/>
    <n v="133.976"/>
    <n v="153.892"/>
    <n v="136.60599999999997"/>
    <n v="91.628999999999991"/>
    <n v="112.111"/>
    <n v="127.19999999999999"/>
    <n v="118.65600000000002"/>
    <n v="111.86600000000001"/>
    <n v="121.88600000000001"/>
    <n v="44.180999999999997"/>
    <n v="92.919000000000011"/>
    <n v="53.007999999999996"/>
    <n v="62.413000000000011"/>
    <n v="145.75700000000001"/>
    <n v="120.63999999999999"/>
    <n v="99.324000000000012"/>
    <n v="67.622"/>
    <n v="100.96300000000002"/>
    <n v="98.016999999999996"/>
    <n v="117.84499999999997"/>
    <n v="135.50900000000004"/>
    <n v="127.14299999999999"/>
    <n v="88.278999999999982"/>
    <n v="117.72700000000003"/>
    <n v="115.40600000000001"/>
    <n v="89.638000000000005"/>
    <n v="96.257000000000005"/>
    <n v="108.327"/>
    <n v="117.29299999999999"/>
    <n v="109.1091875"/>
    <n v="8.3930144230769237"/>
  </r>
  <r>
    <n v="42"/>
    <x v="0"/>
    <x v="24"/>
    <s v="Trinity"/>
    <s v="Public-Paid"/>
    <s v="22 kw"/>
    <s v="OCPP"/>
    <n v="1"/>
    <x v="2"/>
    <n v="0"/>
    <n v="0"/>
    <n v="0"/>
    <n v="0"/>
    <n v="0"/>
    <n v="0"/>
    <n v="0"/>
    <n v="0"/>
    <n v="0"/>
    <n v="0"/>
    <n v="10.907999999999999"/>
    <n v="2.642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25"/>
    <s v="Trinity"/>
    <s v="Public-Paid"/>
    <s v="3.3 kW"/>
    <s v="OCPP"/>
    <n v="5"/>
    <x v="1"/>
    <n v="2.6909999999999998"/>
    <n v="2.8439999999999999"/>
    <n v="0"/>
    <n v="7.04"/>
    <n v="2.9390000000000001"/>
    <n v="1.2469999999999999"/>
    <n v="0"/>
    <n v="2.9159999999999999"/>
    <n v="6.117"/>
    <n v="5.7829999999999995"/>
    <n v="0.78100000000000003"/>
    <n v="5.7939999999999996"/>
    <n v="2.8540000000000001"/>
    <n v="1.925"/>
    <n v="5.08"/>
    <n v="3.6980000000000004"/>
    <n v="12.372"/>
    <n v="10.748000000000001"/>
    <n v="6.7409999999999997"/>
    <n v="7.8149999999999995"/>
    <n v="5.7149999999999999"/>
    <n v="7.2899999999999991"/>
    <n v="4.8220000000000001"/>
    <n v="9.3529999999999998"/>
    <n v="10.581"/>
    <n v="1E-3"/>
    <n v="4.2069999999999999"/>
    <n v="11.283999999999999"/>
    <n v="7.1219999999999999"/>
    <n v="3.528"/>
    <n v="3.6509999999999998"/>
    <n v="6.8080000000000007"/>
    <n v="1.3616000000000001"/>
  </r>
  <r>
    <n v="44"/>
    <x v="0"/>
    <x v="26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x v="27"/>
    <s v="Trinity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0"/>
    <x v="28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0"/>
    <x v="29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x v="0"/>
    <x v="30"/>
    <s v="Trinity"/>
    <s v="Public-Paid"/>
    <s v="25 kW"/>
    <s v="DC Charger"/>
    <n v="2"/>
    <x v="0"/>
    <n v="217.34"/>
    <n v="198.33500000000001"/>
    <n v="163.43"/>
    <n v="142.07799999999997"/>
    <n v="172.12800000000001"/>
    <n v="17.541"/>
    <n v="96.268000000000001"/>
    <n v="198.09100000000001"/>
    <n v="221.07100000000003"/>
    <n v="148.44999999999999"/>
    <n v="111.13700000000001"/>
    <n v="17.125999999999998"/>
    <n v="55.082000000000008"/>
    <n v="110.27200000000001"/>
    <n v="135.17500000000001"/>
    <n v="133.673"/>
    <n v="200.69400000000002"/>
    <n v="231.15499999999997"/>
    <n v="122.881"/>
    <n v="0"/>
    <n v="190.86599999999999"/>
    <n v="168.32300000000001"/>
    <n v="229.27199999999999"/>
    <n v="140.76600000000002"/>
    <n v="188.077"/>
    <n v="65.040999999999997"/>
    <n v="22.341999999999999"/>
    <n v="134.09200000000001"/>
    <n v="214.94"/>
    <n v="132.12"/>
    <n v="78.567000000000007"/>
    <n v="140.80056250000001"/>
    <n v="70.400281250000006"/>
  </r>
  <r>
    <n v="49"/>
    <x v="0"/>
    <x v="31"/>
    <s v="Trinity"/>
    <s v="Public-Paid"/>
    <s v="3.3 kW"/>
    <s v="OCPP"/>
    <n v="5"/>
    <x v="0"/>
    <n v="5.1110000000000007"/>
    <n v="2.6909999999999998"/>
    <n v="6.0020000000000007"/>
    <n v="19.110000000000003"/>
    <n v="8.3309999999999995"/>
    <n v="16.914999999999999"/>
    <n v="17.810000000000002"/>
    <n v="15.766999999999999"/>
    <n v="6.09"/>
    <n v="22.584"/>
    <n v="12.754999999999999"/>
    <n v="16.753"/>
    <n v="3.2509999999999999"/>
    <n v="3.0680000000000001"/>
    <n v="5.4420000000000002"/>
    <n v="33.929000000000002"/>
    <n v="41.047999999999995"/>
    <n v="6.008"/>
    <n v="14.743"/>
    <n v="29.558999999999997"/>
    <n v="9.3990000000000009"/>
    <n v="2.9429999999999996"/>
    <n v="14.683"/>
    <n v="27.649000000000001"/>
    <n v="9.097999999999999"/>
    <n v="14.974000000000002"/>
    <n v="20.326000000000001"/>
    <n v="15.202999999999999"/>
    <n v="7.995000000000001"/>
    <n v="45.027999999999999"/>
    <n v="14.981"/>
    <n v="19.222874999999998"/>
    <n v="3.8445749999999999"/>
  </r>
  <r>
    <n v="50"/>
    <x v="0"/>
    <x v="32"/>
    <s v="Trinity"/>
    <s v="Public-Paid"/>
    <s v="3.3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0"/>
    <x v="32"/>
    <s v="Trinity"/>
    <s v="Public-Paid"/>
    <s v="22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0"/>
    <x v="33"/>
    <s v="Trinity"/>
    <s v="Public-Paid"/>
    <s v="3.3 kW"/>
    <s v="OCPP"/>
    <n v="1"/>
    <x v="0"/>
    <m/>
    <m/>
    <m/>
    <m/>
    <m/>
    <m/>
    <m/>
    <m/>
    <m/>
    <m/>
    <m/>
    <m/>
    <m/>
    <m/>
    <m/>
    <m/>
    <n v="0.81899999999999995"/>
    <n v="1.3640000000000001"/>
    <n v="0"/>
    <n v="0"/>
    <n v="0"/>
    <n v="0"/>
    <n v="0"/>
    <n v="2.306"/>
    <n v="0"/>
    <n v="0"/>
    <n v="0"/>
    <n v="0"/>
    <n v="0"/>
    <n v="1.633"/>
    <n v="1.6240000000000001"/>
    <n v="0.51640000000000008"/>
    <n v="0.51640000000000008"/>
  </r>
  <r>
    <n v="53"/>
    <x v="0"/>
    <x v="33"/>
    <s v="Trinity"/>
    <s v="Public-Paid"/>
    <s v="7.4 kW"/>
    <s v="OCPP"/>
    <n v="1"/>
    <x v="0"/>
    <m/>
    <m/>
    <m/>
    <m/>
    <m/>
    <m/>
    <m/>
    <m/>
    <m/>
    <m/>
    <m/>
    <m/>
    <m/>
    <m/>
    <m/>
    <m/>
    <n v="0"/>
    <n v="0"/>
    <n v="0"/>
    <n v="0"/>
    <n v="0"/>
    <n v="28.811999999999998"/>
    <n v="18.532999999999998"/>
    <n v="0"/>
    <n v="0"/>
    <n v="0"/>
    <n v="0"/>
    <n v="0"/>
    <n v="0"/>
    <n v="0"/>
    <n v="0"/>
    <n v="3.1563333333333334"/>
    <n v="3.1563333333333334"/>
  </r>
  <r>
    <n v="54"/>
    <x v="0"/>
    <x v="34"/>
    <s v="Trinity"/>
    <s v="Public-Paid"/>
    <s v="3.3 kW"/>
    <s v="OCPP"/>
    <n v="8"/>
    <x v="0"/>
    <n v="71.908999999999992"/>
    <n v="44.817"/>
    <n v="65.545999999999992"/>
    <n v="108.89900000000003"/>
    <n v="90.472000000000008"/>
    <n v="41.948"/>
    <n v="157.90700000000004"/>
    <n v="82.100999999999999"/>
    <n v="36.899000000000001"/>
    <n v="58.315999999999995"/>
    <n v="152.53000000000003"/>
    <n v="37.760000000000005"/>
    <n v="50.00500000000001"/>
    <n v="40.844999999999999"/>
    <n v="74.141999999999996"/>
    <n v="141.97200000000004"/>
    <n v="88.47399999999999"/>
    <n v="35.876999999999995"/>
    <n v="96.216000000000008"/>
    <n v="70.933999999999997"/>
    <n v="33.653000000000006"/>
    <n v="155.82500000000002"/>
    <n v="199.55700000000004"/>
    <n v="118.14900000000003"/>
    <n v="148.34100000000001"/>
    <n v="56.417000000000002"/>
    <n v="104.41100000000002"/>
    <n v="88.718000000000004"/>
    <n v="131.90300000000002"/>
    <n v="155.17099999999999"/>
    <n v="96.718000000000004"/>
    <n v="107.64600000000002"/>
    <n v="13.455750000000002"/>
  </r>
  <r>
    <n v="55"/>
    <x v="0"/>
    <x v="35"/>
    <s v="Trinity"/>
    <s v="Public-Paid"/>
    <s v="3.3 kW"/>
    <s v="OCPP"/>
    <n v="1"/>
    <x v="0"/>
    <n v="0.32600000000000001"/>
    <n v="0"/>
    <n v="0.17699999999999999"/>
    <n v="0"/>
    <n v="0"/>
    <n v="0"/>
    <n v="0"/>
    <n v="0"/>
    <n v="0"/>
    <n v="0"/>
    <n v="0"/>
    <n v="0"/>
    <n v="0"/>
    <n v="0"/>
    <n v="0"/>
    <n v="0"/>
    <n v="2.7360000000000002"/>
    <n v="0"/>
    <n v="0"/>
    <n v="0"/>
    <n v="0"/>
    <n v="0"/>
    <n v="0"/>
    <n v="0"/>
    <n v="0"/>
    <n v="0"/>
    <n v="0"/>
    <n v="0"/>
    <n v="0"/>
    <n v="0"/>
    <n v="0"/>
    <n v="0.17100000000000001"/>
    <n v="0.17100000000000001"/>
  </r>
  <r>
    <n v="56"/>
    <x v="1"/>
    <x v="36"/>
    <s v="Trinity"/>
    <s v="Public-Paid"/>
    <s v="15 kw"/>
    <s v="DC Charger"/>
    <n v="1"/>
    <x v="0"/>
    <n v="2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x v="0"/>
    <x v="37"/>
    <s v="Trinity"/>
    <s v="Public-Paid"/>
    <s v="3.3 kW"/>
    <s v="OCPP"/>
    <n v="1"/>
    <x v="1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0"/>
    <x v="38"/>
    <s v="Trinity"/>
    <s v="Public-Paid"/>
    <s v="3.3 kW"/>
    <s v="OCPP"/>
    <n v="10"/>
    <x v="1"/>
    <m/>
    <m/>
    <m/>
    <m/>
    <m/>
    <m/>
    <m/>
    <m/>
    <m/>
    <m/>
    <m/>
    <m/>
    <m/>
    <n v="0"/>
    <n v="0.48"/>
    <n v="0"/>
    <n v="4.9589999999999996"/>
    <n v="0"/>
    <n v="0"/>
    <n v="0"/>
    <n v="1.974"/>
    <n v="0"/>
    <n v="0"/>
    <n v="4.6579999999999995"/>
    <n v="9.7149999999999999"/>
    <n v="2.52"/>
    <n v="3.7640000000000002"/>
    <n v="0"/>
    <n v="8.3090000000000011"/>
    <n v="12.530000000000001"/>
    <n v="4.867"/>
    <n v="3.331"/>
    <n v="0.33310000000000001"/>
  </r>
  <r>
    <n v="59"/>
    <x v="0"/>
    <x v="39"/>
    <s v="Trinity"/>
    <s v="Public-Paid"/>
    <s v="3.3 kW"/>
    <s v="OCPP"/>
    <n v="2"/>
    <x v="1"/>
    <m/>
    <m/>
    <m/>
    <m/>
    <m/>
    <m/>
    <m/>
    <m/>
    <m/>
    <m/>
    <m/>
    <m/>
    <m/>
    <m/>
    <m/>
    <m/>
    <m/>
    <n v="0"/>
    <n v="0"/>
    <n v="0"/>
    <n v="0"/>
    <n v="0"/>
    <n v="2.585"/>
    <n v="1.946"/>
    <n v="0"/>
    <n v="3.1669999999999998"/>
    <n v="0"/>
    <n v="0"/>
    <n v="0"/>
    <n v="0"/>
    <n v="0"/>
    <n v="0.54985714285714282"/>
    <n v="0.27492857142857141"/>
  </r>
  <r>
    <n v="60"/>
    <x v="0"/>
    <x v="40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x v="2"/>
    <x v="41"/>
    <s v="Trinity"/>
    <s v="Public-Paid"/>
    <s v="15 kw"/>
    <s v="DC Charger"/>
    <n v="1"/>
    <x v="0"/>
    <m/>
    <m/>
    <m/>
    <m/>
    <m/>
    <m/>
    <m/>
    <m/>
    <m/>
    <m/>
    <m/>
    <m/>
    <m/>
    <m/>
    <m/>
    <m/>
    <m/>
    <m/>
    <m/>
    <m/>
    <m/>
    <m/>
    <n v="0"/>
    <n v="0"/>
    <n v="6.3760000000000003"/>
    <n v="0"/>
    <n v="0"/>
    <n v="0"/>
    <n v="0"/>
    <n v="0"/>
    <n v="0"/>
    <n v="0.70844444444444443"/>
    <n v="0.70844444444444443"/>
  </r>
  <r>
    <n v="62"/>
    <x v="0"/>
    <x v="42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"/>
    <x v="0"/>
    <x v="43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"/>
    <x v="3"/>
    <x v="44"/>
    <s v="Trinity"/>
    <s v="Public-Paid"/>
    <s v="3.3 kW"/>
    <s v="OCPP"/>
    <n v="5"/>
    <x v="1"/>
    <n v="2.4660000000000002"/>
    <n v="0"/>
    <n v="7.9119999999999999"/>
    <n v="9.1909999999999989"/>
    <n v="2.1970000000000001"/>
    <n v="6.73"/>
    <n v="9.5459999999999994"/>
    <n v="13.806999999999999"/>
    <n v="4.641"/>
    <n v="20.747"/>
    <n v="8.7859999999999996"/>
    <n v="0"/>
    <n v="0"/>
    <n v="7.0780000000000003"/>
    <n v="14.713000000000001"/>
    <n v="8.1340000000000003"/>
    <n v="13.763999999999999"/>
    <n v="6.4820000000000002"/>
    <n v="4.306"/>
    <n v="4.9379999999999997"/>
    <n v="4.6100000000000003"/>
    <n v="3.4660000000000002"/>
    <n v="25.542999999999999"/>
    <n v="12.829000000000001"/>
    <n v="6.4"/>
    <n v="12.327"/>
    <n v="0"/>
    <n v="14.649999999999999"/>
    <n v="7.9979999999999993"/>
    <n v="0"/>
    <n v="8.6869999999999994"/>
    <n v="8.3833750000000009"/>
    <n v="1.6766750000000001"/>
  </r>
  <r>
    <n v="65"/>
    <x v="3"/>
    <x v="45"/>
    <s v="Trinity"/>
    <s v="Public-Paid"/>
    <s v="3.3 kW"/>
    <s v="OCPP"/>
    <n v="10"/>
    <x v="1"/>
    <n v="60.507000000000005"/>
    <n v="68.583999999999989"/>
    <n v="95.626000000000005"/>
    <n v="105.28100000000001"/>
    <n v="72.333999999999989"/>
    <n v="78.055000000000007"/>
    <n v="44.69"/>
    <n v="89.927999999999997"/>
    <n v="74.661000000000001"/>
    <n v="98.38000000000001"/>
    <n v="74.433999999999997"/>
    <n v="45.600000000000009"/>
    <n v="71.22499999999998"/>
    <n v="68.426999999999992"/>
    <n v="67.638999999999996"/>
    <n v="94.978999999999999"/>
    <n v="84.073999999999998"/>
    <n v="82.160000000000011"/>
    <n v="76.19"/>
    <n v="84.934999999999988"/>
    <n v="77.535999999999987"/>
    <n v="88.248999999999995"/>
    <n v="85.448000000000008"/>
    <n v="73.308999999999997"/>
    <n v="74.271000000000001"/>
    <n v="82.194999999999979"/>
    <n v="105.65"/>
    <n v="76.367000000000004"/>
    <n v="58.478999999999999"/>
    <n v="100.542"/>
    <n v="106.95599999999999"/>
    <n v="84.458749999999981"/>
    <n v="8.4458749999999974"/>
  </r>
  <r>
    <n v="66"/>
    <x v="4"/>
    <x v="46"/>
    <s v="Trinity"/>
    <s v="Public-Paid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x v="4"/>
    <x v="47"/>
    <s v="Trinity"/>
    <s v="Public-Paid"/>
    <s v="3.3 kW"/>
    <s v="OCPP"/>
    <n v="7"/>
    <x v="1"/>
    <n v="93.259000000000015"/>
    <n v="124.342"/>
    <n v="110.706"/>
    <n v="102.03899999999999"/>
    <n v="120.87299999999999"/>
    <n v="104.08899999999998"/>
    <n v="105.285"/>
    <n v="119.37699999999998"/>
    <n v="110.44"/>
    <n v="132.38199999999998"/>
    <n v="98.295000000000002"/>
    <n v="60.556000000000004"/>
    <n v="85.909000000000006"/>
    <n v="67.647000000000006"/>
    <n v="114.69"/>
    <n v="121.15100000000002"/>
    <n v="81.348000000000013"/>
    <n v="109.01800000000001"/>
    <n v="80.899000000000001"/>
    <n v="94.311999999999983"/>
    <n v="120.00600000000001"/>
    <n v="108.90900000000001"/>
    <n v="109.19999999999999"/>
    <n v="95.854000000000013"/>
    <n v="116.84900000000002"/>
    <n v="103.67699999999999"/>
    <n v="99.370000000000019"/>
    <n v="107.08900000000001"/>
    <n v="128.45099999999999"/>
    <n v="114.72900000000001"/>
    <n v="69.941000000000003"/>
    <n v="103.80018750000001"/>
    <n v="14.828598214285716"/>
  </r>
  <r>
    <n v="68"/>
    <x v="5"/>
    <x v="48"/>
    <s v="Trinity"/>
    <s v="Public-Paid"/>
    <s v="3.3 kW"/>
    <s v="OCPP"/>
    <n v="7"/>
    <x v="1"/>
    <n v="0"/>
    <n v="98.739000000000004"/>
    <n v="44.350999999999992"/>
    <n v="52.42"/>
    <n v="62.845999999999997"/>
    <n v="70.605999999999995"/>
    <n v="54.041999999999994"/>
    <n v="55.117999999999988"/>
    <n v="40.300000000000004"/>
    <n v="43.088000000000001"/>
    <n v="72.59899999999999"/>
    <n v="26.632999999999999"/>
    <n v="37.112000000000002"/>
    <n v="51.442000000000007"/>
    <n v="63.027999999999999"/>
    <n v="54.933"/>
    <n v="61.384999999999998"/>
    <n v="44.853000000000002"/>
    <n v="43.519000000000005"/>
    <n v="47.311"/>
    <n v="36.447000000000003"/>
    <n v="38.463999999999999"/>
    <n v="56.414000000000001"/>
    <n v="39.302"/>
    <n v="47.939"/>
    <n v="70.030999999999992"/>
    <n v="38.891000000000005"/>
    <n v="54.920999999999999"/>
    <n v="26.713000000000001"/>
    <n v="35.471000000000004"/>
    <n v="48.195"/>
    <n v="46.549312499999999"/>
    <n v="6.6499017857142855"/>
  </r>
  <r>
    <n v="69"/>
    <x v="6"/>
    <x v="49"/>
    <s v="Trinity"/>
    <s v="Public-Paid"/>
    <s v="3.3 kW"/>
    <s v="OCPP"/>
    <n v="5"/>
    <x v="1"/>
    <n v="35.565999999999995"/>
    <n v="20.564"/>
    <n v="30.068999999999999"/>
    <n v="17.898"/>
    <n v="38.399000000000001"/>
    <n v="29.337999999999997"/>
    <n v="21.631999999999998"/>
    <n v="33.461999999999996"/>
    <n v="21.302000000000003"/>
    <n v="22.514000000000003"/>
    <n v="27.140999999999998"/>
    <n v="32.411999999999999"/>
    <n v="22.960999999999999"/>
    <n v="19.866"/>
    <n v="20.733000000000001"/>
    <n v="36.22"/>
    <n v="39.230999999999995"/>
    <n v="29.168999999999997"/>
    <n v="9.3529999999999998"/>
    <n v="46.082999999999998"/>
    <n v="19.785999999999998"/>
    <n v="37.418000000000006"/>
    <n v="31.581"/>
    <n v="28.065000000000001"/>
    <n v="20.603000000000002"/>
    <n v="43.762"/>
    <n v="18.245000000000001"/>
    <n v="27.412999999999997"/>
    <n v="38.120000000000005"/>
    <n v="35.832999999999998"/>
    <n v="28.995999999999999"/>
    <n v="30.617375000000003"/>
    <n v="6.1234750000000009"/>
  </r>
  <r>
    <n v="70"/>
    <x v="7"/>
    <x v="50"/>
    <s v="Flipkart"/>
    <s v="Public-Paid"/>
    <s v="3.3 kW"/>
    <s v="OCPP"/>
    <n v="4"/>
    <x v="1"/>
    <n v="89.583000000000013"/>
    <n v="82.271000000000001"/>
    <n v="82.548000000000002"/>
    <n v="93.088000000000008"/>
    <n v="97.110000000000028"/>
    <n v="91.463999999999999"/>
    <n v="80.73899999999999"/>
    <n v="70.181999999999988"/>
    <n v="90.236000000000004"/>
    <n v="80.772999999999996"/>
    <n v="48.75200000000001"/>
    <n v="50.966999999999999"/>
    <n v="54.061999999999991"/>
    <n v="54.527999999999999"/>
    <n v="81.724000000000004"/>
    <n v="94.228000000000023"/>
    <n v="81.105000000000004"/>
    <n v="81.016999999999996"/>
    <n v="83.517999999999986"/>
    <n v="88.843999999999994"/>
    <n v="81.227000000000004"/>
    <n v="80.200999999999993"/>
    <n v="93.081999999999994"/>
    <n v="88.36999999999999"/>
    <n v="68.329000000000008"/>
    <n v="83.13000000000001"/>
    <n v="76.787999999999997"/>
    <n v="101.15600000000001"/>
    <n v="77.816999999999993"/>
    <n v="106.477"/>
    <n v="82.549000000000007"/>
    <n v="85.489875000000012"/>
    <n v="21.372468750000003"/>
  </r>
  <r>
    <n v="71"/>
    <x v="7"/>
    <x v="51"/>
    <s v="Flipkart"/>
    <s v="Public-Paid"/>
    <s v="3.3 kW"/>
    <s v="OCPP"/>
    <n v="9"/>
    <x v="1"/>
    <n v="191.31900000000002"/>
    <n v="162.93800000000002"/>
    <n v="134.86500000000001"/>
    <n v="190.547"/>
    <n v="155.43099999999995"/>
    <n v="139.14499999999998"/>
    <n v="146.98099999999999"/>
    <n v="190.49500000000003"/>
    <n v="182.63499999999996"/>
    <n v="139.75300000000001"/>
    <n v="112.45800000000001"/>
    <n v="76.742999999999995"/>
    <n v="49.191000000000003"/>
    <n v="70.890000000000015"/>
    <n v="116.42800000000001"/>
    <n v="105.97799999999998"/>
    <n v="134.21699999999998"/>
    <n v="103.27200000000001"/>
    <n v="110.264"/>
    <n v="153.542"/>
    <n v="140.00899999999999"/>
    <n v="99.165000000000006"/>
    <n v="140.36200000000005"/>
    <n v="133.03899999999999"/>
    <n v="143.23100000000002"/>
    <n v="151.63900000000001"/>
    <n v="122.20399999999999"/>
    <n v="82.882999999999996"/>
    <n v="165.5390000000001"/>
    <n v="139.39399999999998"/>
    <n v="135.57399999999998"/>
    <n v="128.76949999999999"/>
    <n v="14.307722222222221"/>
  </r>
  <r>
    <n v="72"/>
    <x v="7"/>
    <x v="52"/>
    <s v="EFL"/>
    <s v="Public-Free"/>
    <s v="3.3 kW"/>
    <s v="OCPP"/>
    <n v="8"/>
    <x v="1"/>
    <n v="42.359999999999992"/>
    <n v="41.665999999999997"/>
    <n v="25.044999999999998"/>
    <n v="35.593000000000004"/>
    <n v="19.643999999999998"/>
    <n v="42.287000000000006"/>
    <n v="11.56"/>
    <n v="22.385000000000002"/>
    <n v="44.198999999999998"/>
    <n v="15.515999999999998"/>
    <n v="28.962999999999997"/>
    <n v="19.974000000000004"/>
    <n v="23.28"/>
    <n v="32.510999999999996"/>
    <n v="56.677"/>
    <n v="27.008000000000003"/>
    <n v="60.033999999999999"/>
    <n v="39.024999999999999"/>
    <n v="47.998000000000005"/>
    <n v="35.567999999999998"/>
    <n v="23.530999999999999"/>
    <n v="38.103000000000009"/>
    <n v="74.594999999999999"/>
    <n v="40.53"/>
    <n v="52.056999999999995"/>
    <n v="23.554000000000002"/>
    <n v="64.798999999999992"/>
    <n v="38.072000000000003"/>
    <n v="23.536999999999999"/>
    <n v="16.907"/>
    <n v="21.551000000000002"/>
    <n v="39.179312500000002"/>
    <n v="4.8974140625000002"/>
  </r>
  <r>
    <n v="73"/>
    <x v="7"/>
    <x v="52"/>
    <s v="EFL"/>
    <s v="Public-Free"/>
    <s v="6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7"/>
    <x v="53"/>
    <s v="Trinity"/>
    <s v="Public-Paid"/>
    <s v="3.3 kW"/>
    <s v="OCPP"/>
    <n v="7"/>
    <x v="1"/>
    <n v="202.941"/>
    <n v="201.762"/>
    <n v="187.60699999999997"/>
    <n v="196.20499999999998"/>
    <n v="203.79499999999999"/>
    <n v="182.29000000000002"/>
    <n v="157.83200000000002"/>
    <n v="198.108"/>
    <n v="128.09900000000002"/>
    <n v="137.453"/>
    <n v="123.395"/>
    <n v="21.251999999999999"/>
    <n v="103.267"/>
    <n v="138.58800000000002"/>
    <n v="207.36799999999991"/>
    <n v="181.55"/>
    <n v="155.96799999999999"/>
    <n v="187.86099999999999"/>
    <n v="114.37100000000004"/>
    <n v="145.48200000000003"/>
    <n v="145.75999999999996"/>
    <n v="156.239"/>
    <n v="148.393"/>
    <n v="169.24999999999997"/>
    <n v="172.34199999999993"/>
    <n v="173.65400000000002"/>
    <n v="125.45900000000002"/>
    <n v="126.229"/>
    <n v="178.346"/>
    <n v="153.554"/>
    <n v="147.84400000000002"/>
    <n v="155.14387500000001"/>
    <n v="22.163410714285714"/>
  </r>
  <r>
    <n v="75"/>
    <x v="7"/>
    <x v="54"/>
    <s v="Trinity"/>
    <s v="Public-Paid"/>
    <s v="3.3 kW"/>
    <s v="OCPP"/>
    <n v="10"/>
    <x v="1"/>
    <n v="168.38"/>
    <n v="213.29900000000004"/>
    <n v="198.203"/>
    <n v="183.42599999999999"/>
    <n v="190.50300000000001"/>
    <n v="202.08600000000001"/>
    <n v="212.51100000000002"/>
    <n v="190.179"/>
    <n v="174.221"/>
    <n v="161.17500000000004"/>
    <n v="103.71199999999999"/>
    <n v="44.156000000000006"/>
    <n v="60.351000000000006"/>
    <n v="128.94800000000004"/>
    <n v="141.18200000000002"/>
    <n v="151.09900000000002"/>
    <n v="150.66999999999999"/>
    <n v="189.624"/>
    <n v="149.91800000000001"/>
    <n v="163.19800000000001"/>
    <n v="145.68900000000002"/>
    <n v="169.88099999999997"/>
    <n v="177.09700000000004"/>
    <n v="187.203"/>
    <n v="157.52099999999999"/>
    <n v="196.27600000000004"/>
    <n v="198.65600000000001"/>
    <n v="179.65200000000002"/>
    <n v="174.07500000000002"/>
    <n v="190.392"/>
    <n v="48.042000000000002"/>
    <n v="164.31206249999997"/>
    <n v="16.431206249999995"/>
  </r>
  <r>
    <n v="76"/>
    <x v="7"/>
    <x v="55"/>
    <s v="Trinity"/>
    <s v="Public-Paid"/>
    <s v="3.3 kW"/>
    <s v="OCPP"/>
    <n v="8"/>
    <x v="1"/>
    <n v="112.58600000000001"/>
    <n v="88.103999999999999"/>
    <n v="74.580000000000013"/>
    <n v="104.11100000000002"/>
    <n v="93.820999999999998"/>
    <n v="61.613999999999997"/>
    <n v="105.64700000000001"/>
    <n v="53.585999999999991"/>
    <n v="85.4"/>
    <n v="72.768999999999977"/>
    <n v="89.614000000000019"/>
    <n v="35.845999999999997"/>
    <n v="38.822000000000003"/>
    <n v="80.435000000000002"/>
    <n v="77.562000000000012"/>
    <n v="96.015000000000015"/>
    <n v="67.570000000000007"/>
    <n v="94.833000000000041"/>
    <n v="54.118000000000002"/>
    <n v="75.210999999999999"/>
    <n v="85.361999999999995"/>
    <n v="46.156999999999996"/>
    <n v="95.072999999999993"/>
    <n v="99.90100000000001"/>
    <n v="67.013000000000005"/>
    <n v="46.457999999999998"/>
    <n v="71.033000000000001"/>
    <n v="75.596000000000004"/>
    <n v="85.567999999999998"/>
    <n v="78.385000000000005"/>
    <n v="32.045999999999999"/>
    <n v="73.146187500000011"/>
    <n v="9.1432734375000013"/>
  </r>
  <r>
    <n v="77"/>
    <x v="7"/>
    <x v="56"/>
    <s v="Trinity"/>
    <s v="Public-Paid"/>
    <s v="3.3 kW"/>
    <s v="OCPP"/>
    <n v="6"/>
    <x v="1"/>
    <n v="3.0259999999999998"/>
    <n v="1.7050000000000001"/>
    <n v="2.08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7"/>
    <x v="57"/>
    <s v="Trinity"/>
    <s v="Public-Paid"/>
    <s v="3.3 kW"/>
    <s v="OCPP"/>
    <n v="2"/>
    <x v="1"/>
    <n v="29.602"/>
    <n v="15.451000000000001"/>
    <n v="21.57"/>
    <n v="17.286000000000001"/>
    <n v="11.216000000000001"/>
    <n v="1.034"/>
    <n v="18.834"/>
    <n v="5.4489999999999998"/>
    <n v="7.1019999999999994"/>
    <n v="2E-3"/>
    <n v="19.184999999999999"/>
    <n v="0.754"/>
    <n v="0"/>
    <n v="4.1609999999999996"/>
    <n v="4.6610000000000005"/>
    <n v="2E-3"/>
    <n v="5.1550000000000002"/>
    <n v="0"/>
    <n v="0"/>
    <n v="0"/>
    <n v="0"/>
    <n v="0"/>
    <n v="0"/>
    <n v="0"/>
    <n v="0"/>
    <n v="0"/>
    <n v="0"/>
    <n v="0"/>
    <n v="0"/>
    <n v="0"/>
    <n v="0"/>
    <n v="0.3223125"/>
    <n v="0.16115625"/>
  </r>
  <r>
    <n v="79"/>
    <x v="8"/>
    <x v="58"/>
    <s v="Trinity"/>
    <s v="Public-Paid"/>
    <s v="3.3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9"/>
    <x v="59"/>
    <s v="ETO"/>
    <s v="Public-Paid"/>
    <s v="3.3kW"/>
    <s v="OCPP"/>
    <n v="20"/>
    <x v="1"/>
    <n v="9.3060000000000009"/>
    <n v="5.7949999999999999"/>
    <n v="18.297000000000004"/>
    <n v="18.251999999999999"/>
    <n v="8.968"/>
    <n v="12.288"/>
    <n v="23.073999999999998"/>
    <n v="18.189"/>
    <n v="16.376000000000001"/>
    <n v="17.535"/>
    <n v="14.8"/>
    <n v="9.4760000000000009"/>
    <n v="0"/>
    <n v="6.5280000000000005"/>
    <n v="4.9980000000000002"/>
    <n v="8.2729999999999997"/>
    <n v="10.403"/>
    <n v="5.0760000000000005"/>
    <n v="4.9320000000000004"/>
    <n v="5.1649999999999991"/>
    <n v="1.819"/>
    <n v="2.42"/>
    <n v="4.8860000000000001"/>
    <n v="22.301000000000002"/>
    <n v="1.7470000000000001"/>
    <n v="6.8090000000000002"/>
    <n v="2.2120000000000002"/>
    <n v="5.2140000000000004"/>
    <n v="7.0280000000000005"/>
    <n v="10.131"/>
    <n v="0"/>
    <n v="6.1510000000000007"/>
    <n v="0.30755000000000005"/>
  </r>
  <r>
    <n v="81"/>
    <x v="9"/>
    <x v="60"/>
    <s v="Trinity"/>
    <s v="Public-Paid"/>
    <s v="3.3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9"/>
    <x v="61"/>
    <s v="ETO"/>
    <s v="Public-Paid"/>
    <s v="3.3kW"/>
    <s v="OCPP"/>
    <n v="3"/>
    <x v="1"/>
    <n v="12.587999999999999"/>
    <n v="42.41"/>
    <n v="14.237000000000002"/>
    <n v="35.654000000000003"/>
    <n v="31.858999999999998"/>
    <n v="29.047000000000001"/>
    <n v="19.439"/>
    <n v="43.698"/>
    <n v="31.959000000000003"/>
    <n v="25.87"/>
    <n v="19.134999999999998"/>
    <n v="0"/>
    <n v="26.225000000000001"/>
    <n v="37.887"/>
    <n v="17.094999999999999"/>
    <n v="27.564999999999998"/>
    <n v="16.39"/>
    <n v="31.940999999999995"/>
    <n v="29.833000000000002"/>
    <n v="33.332000000000001"/>
    <n v="20.108000000000001"/>
    <n v="22.970999999999997"/>
    <n v="37.803999999999995"/>
    <n v="22.924999999999997"/>
    <n v="30.834"/>
    <n v="36.243000000000002"/>
    <n v="18.096"/>
    <n v="52.634999999999998"/>
    <n v="32.388999999999996"/>
    <n v="57.056000000000004"/>
    <n v="35.724000000000004"/>
    <n v="31.615374999999997"/>
    <n v="10.538458333333333"/>
  </r>
  <r>
    <n v="83"/>
    <x v="10"/>
    <x v="62"/>
    <s v="Trinity"/>
    <s v="Public-Paid"/>
    <s v="15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055"/>
    <n v="7.8769999999999998"/>
    <n v="0"/>
    <n v="0"/>
    <n v="0"/>
    <n v="8.4920000000000009"/>
    <n v="0"/>
    <n v="1.6515"/>
    <n v="1.6515"/>
  </r>
  <r>
    <n v="84"/>
    <x v="11"/>
    <x v="63"/>
    <s v="SOU"/>
    <s v="Public-Paid"/>
    <s v="3.3 kW"/>
    <s v="OCPP"/>
    <n v="40"/>
    <x v="1"/>
    <n v="132.73400000000001"/>
    <n v="393.72099999999995"/>
    <n v="343.20199999999994"/>
    <n v="289.80700000000002"/>
    <n v="326.99099999999987"/>
    <n v="379.80100000000004"/>
    <n v="334.04500000000013"/>
    <n v="145.97199999999998"/>
    <n v="308.21599999999995"/>
    <n v="326.5209999999999"/>
    <n v="347.55499999999989"/>
    <n v="370.37400000000002"/>
    <n v="467.40000000000015"/>
    <n v="349.28099999999989"/>
    <n v="168.13399999999999"/>
    <n v="332.08699999999988"/>
    <n v="306.87099999999998"/>
    <n v="290.20799999999997"/>
    <n v="347.94800000000009"/>
    <n v="392.77300000000002"/>
    <n v="200.94300000000004"/>
    <n v="193.553"/>
    <n v="280.66999999999996"/>
    <n v="204.33999999999997"/>
    <n v="298.27899999999988"/>
    <n v="323.15299999999991"/>
    <n v="490.88399999999973"/>
    <n v="446.46500000000003"/>
    <n v="206.82500000000002"/>
    <n v="278.31499999999994"/>
    <n v="36.939"/>
    <n v="289.39081249999998"/>
    <n v="7.2347703124999994"/>
  </r>
  <r>
    <n v="85"/>
    <x v="12"/>
    <x v="64"/>
    <s v="ETO"/>
    <s v="Public-Paid"/>
    <s v="3.3 kW"/>
    <s v="OCPP"/>
    <n v="19"/>
    <x v="1"/>
    <n v="2.306"/>
    <n v="2.2829999999999999"/>
    <n v="3.2519999999999998"/>
    <n v="4.194"/>
    <n v="2.8860000000000001"/>
    <n v="3.9169999999999998"/>
    <n v="3.6420000000000003"/>
    <n v="1.994"/>
    <n v="2.3119999999999998"/>
    <n v="3.198"/>
    <n v="0"/>
    <n v="2.427"/>
    <n v="2.0699999999999998"/>
    <n v="2.101"/>
    <n v="2.4209999999999998"/>
    <n v="2.2749999999999999"/>
    <n v="2.4009999999999998"/>
    <n v="3.2069999999999999"/>
    <n v="3.3839999999999999"/>
    <n v="2.29"/>
    <n v="3.891"/>
    <n v="2.1659999999999999"/>
    <n v="2.0390000000000001"/>
    <n v="2.323"/>
    <n v="2.137"/>
    <n v="2.419"/>
    <n v="2.806"/>
    <n v="2.2789999999999999"/>
    <n v="1.86"/>
    <n v="1.337"/>
    <n v="0"/>
    <n v="2.3008750000000004"/>
    <n v="0.12109868421052634"/>
  </r>
  <r>
    <n v="86"/>
    <x v="13"/>
    <x v="65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4"/>
    <x v="66"/>
    <s v="Trinity"/>
    <s v="Public-Paid"/>
    <s v="3.3kW"/>
    <s v="OCPP"/>
    <n v="10"/>
    <x v="1"/>
    <n v="136.98200000000003"/>
    <n v="136.66500000000002"/>
    <n v="131.43499999999997"/>
    <n v="131.46000000000004"/>
    <n v="106.40900000000001"/>
    <n v="142.37400000000002"/>
    <n v="82.444000000000045"/>
    <n v="132.30800000000002"/>
    <n v="123.34700000000005"/>
    <n v="155.66100000000006"/>
    <n v="126.50700000000001"/>
    <n v="142.06600000000006"/>
    <n v="114.176"/>
    <n v="101.922"/>
    <n v="66.820999999999984"/>
    <n v="81.780000000000015"/>
    <n v="61.334000000000003"/>
    <n v="104.63800000000002"/>
    <n v="102.19799999999999"/>
    <n v="59.793999999999997"/>
    <n v="79.023000000000025"/>
    <n v="81.08"/>
    <n v="104.18600000000002"/>
    <n v="119.35600000000004"/>
    <n v="98.120000000000033"/>
    <n v="102.77199999999999"/>
    <n v="115.11000000000003"/>
    <n v="111.827"/>
    <n v="63.661999999999992"/>
    <n v="0"/>
    <n v="0"/>
    <n v="80.305000000000021"/>
    <n v="8.0305000000000017"/>
  </r>
  <r>
    <n v="88"/>
    <x v="14"/>
    <x v="66"/>
    <s v="Trinity"/>
    <s v="Public-Paid"/>
    <s v="7.4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14"/>
    <x v="6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14"/>
    <x v="68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14"/>
    <x v="6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5"/>
    <x v="70"/>
    <s v="ETO"/>
    <s v="Public-Paid"/>
    <s v="3.3 kW"/>
    <s v="OCPP"/>
    <n v="5"/>
    <x v="1"/>
    <n v="31.354999999999997"/>
    <n v="23.914999999999999"/>
    <n v="35.563000000000002"/>
    <n v="34.366"/>
    <n v="33.619999999999997"/>
    <n v="18.38"/>
    <n v="41.082000000000001"/>
    <n v="31.588000000000005"/>
    <n v="29.413000000000004"/>
    <n v="40.523000000000003"/>
    <n v="27.212"/>
    <n v="33.650999999999996"/>
    <n v="16.051000000000002"/>
    <n v="34.875"/>
    <n v="32.073999999999998"/>
    <n v="33.468000000000004"/>
    <n v="43.198"/>
    <n v="35.943999999999996"/>
    <n v="39.515000000000001"/>
    <n v="36.917000000000002"/>
    <n v="24.005000000000003"/>
    <n v="32.192000000000007"/>
    <n v="37.353999999999999"/>
    <n v="31.217000000000002"/>
    <n v="27.962"/>
    <n v="22.835000000000001"/>
    <n v="29.048000000000002"/>
    <n v="31.943000000000001"/>
    <n v="37.491999999999997"/>
    <n v="37.593000000000004"/>
    <n v="40.172000000000004"/>
    <n v="33.803437500000001"/>
    <n v="6.7606875000000004"/>
  </r>
  <r>
    <n v="93"/>
    <x v="15"/>
    <x v="71"/>
    <s v="ETO"/>
    <s v="Public-Paid"/>
    <s v="3.3 kW"/>
    <s v="OCPP"/>
    <n v="16"/>
    <x v="1"/>
    <n v="8.2509999999999994"/>
    <n v="12.860000000000001"/>
    <n v="3.3969999999999998"/>
    <n v="1.752"/>
    <n v="15.079000000000001"/>
    <n v="0.48899999999999999"/>
    <n v="0"/>
    <n v="1.147"/>
    <n v="6.23"/>
    <n v="8.391"/>
    <n v="0"/>
    <n v="14.99"/>
    <n v="0.63700000000000001"/>
    <n v="28.732999999999997"/>
    <n v="11.225"/>
    <n v="7.61"/>
    <n v="16.962"/>
    <n v="10.480999999999998"/>
    <n v="12.377999999999998"/>
    <n v="5.6349999999999998"/>
    <n v="9.9320000000000022"/>
    <n v="17.122"/>
    <n v="10.707000000000001"/>
    <n v="8.3529999999999998"/>
    <n v="3.7839999999999998"/>
    <n v="17.451000000000001"/>
    <n v="8.5009999999999994"/>
    <n v="11.079000000000001"/>
    <n v="4.3330000000000002"/>
    <n v="0"/>
    <n v="0"/>
    <n v="9.0205000000000002"/>
    <n v="0.56378125000000001"/>
  </r>
  <r>
    <n v="94"/>
    <x v="15"/>
    <x v="72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5"/>
    <x v="15"/>
    <x v="73"/>
    <s v="ETO"/>
    <s v="Public-Paid"/>
    <s v="3.3 kW"/>
    <s v="OCPP"/>
    <n v="13"/>
    <x v="1"/>
    <n v="12.563000000000001"/>
    <n v="52.170999999999999"/>
    <n v="35.173000000000002"/>
    <n v="30.756999999999998"/>
    <n v="35.301000000000002"/>
    <n v="44.812000000000005"/>
    <n v="31.510999999999996"/>
    <n v="45.036000000000001"/>
    <n v="28.926000000000002"/>
    <n v="48.942"/>
    <n v="55.802000000000007"/>
    <n v="37.814999999999998"/>
    <n v="39.864999999999995"/>
    <n v="28.964000000000002"/>
    <n v="49.51100000000001"/>
    <n v="29.622999999999998"/>
    <n v="53.302999999999997"/>
    <n v="24.82"/>
    <n v="43.521000000000001"/>
    <n v="20.164000000000001"/>
    <n v="40.849000000000004"/>
    <n v="21.5"/>
    <n v="50.852000000000004"/>
    <n v="18.891999999999999"/>
    <n v="51.856999999999999"/>
    <n v="23.687000000000001"/>
    <n v="27.564"/>
    <n v="43.809000000000012"/>
    <n v="29.479999999999997"/>
    <n v="20.447000000000003"/>
    <n v="13.712"/>
    <n v="32.130000000000003"/>
    <n v="2.4715384615384619"/>
  </r>
  <r>
    <n v="96"/>
    <x v="15"/>
    <x v="74"/>
    <s v="ETO"/>
    <s v="Public-Paid"/>
    <s v="3.3 kW"/>
    <s v="OCPP"/>
    <n v="20"/>
    <x v="1"/>
    <n v="318.34800000000007"/>
    <n v="362.71500000000009"/>
    <n v="323.74200000000002"/>
    <n v="333.81100000000004"/>
    <n v="296.63900000000001"/>
    <n v="359.98400000000004"/>
    <n v="264.1520000000001"/>
    <n v="329.37300000000005"/>
    <n v="344.48500000000001"/>
    <n v="321.95200000000006"/>
    <n v="348.14899999999989"/>
    <n v="345.19400000000002"/>
    <n v="278.24300000000005"/>
    <n v="340.1690000000001"/>
    <n v="368.44299999999987"/>
    <n v="368.43800000000022"/>
    <n v="376.97799999999989"/>
    <n v="392.34"/>
    <n v="409.4430000000001"/>
    <n v="362.27"/>
    <n v="306.44800000000004"/>
    <n v="319.40900000000005"/>
    <n v="391.04100000000017"/>
    <n v="387.17099999999999"/>
    <n v="350.01900000000012"/>
    <n v="380.77600000000001"/>
    <n v="394.82"/>
    <n v="339.7829999999999"/>
    <n v="339.00399999999996"/>
    <n v="375.19900000000001"/>
    <n v="327.91099999999994"/>
    <n v="363.81562499999995"/>
    <n v="18.190781249999997"/>
  </r>
  <r>
    <n v="97"/>
    <x v="15"/>
    <x v="75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15"/>
    <x v="76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x v="15"/>
    <x v="77"/>
    <s v="Trinity"/>
    <s v="Public-Paid"/>
    <s v="7.4 kW"/>
    <s v="OCPP"/>
    <n v="2"/>
    <x v="0"/>
    <n v="0"/>
    <n v="0"/>
    <n v="4.9800000000000004"/>
    <n v="0"/>
    <n v="0"/>
    <n v="0"/>
    <n v="0"/>
    <n v="0"/>
    <n v="12.57"/>
    <n v="0"/>
    <n v="0"/>
    <n v="0"/>
    <n v="0"/>
    <n v="0"/>
    <n v="0"/>
    <n v="0"/>
    <n v="0"/>
    <n v="0"/>
    <n v="0"/>
    <n v="0"/>
    <n v="13.114000000000001"/>
    <n v="0"/>
    <n v="0"/>
    <n v="0"/>
    <n v="0"/>
    <n v="0"/>
    <n v="0"/>
    <n v="0"/>
    <n v="0"/>
    <n v="0"/>
    <n v="0"/>
    <n v="0.81962500000000005"/>
    <n v="0.40981250000000002"/>
  </r>
  <r>
    <n v="100"/>
    <x v="15"/>
    <x v="78"/>
    <m/>
    <s v="Private-Paid"/>
    <s v="3.3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15"/>
    <x v="79"/>
    <s v="Trinity"/>
    <s v="Public-Free"/>
    <s v="3.3 kW"/>
    <s v="OCPP"/>
    <n v="6"/>
    <x v="0"/>
    <n v="60.225000000000001"/>
    <n v="20.376999999999999"/>
    <n v="89.435000000000016"/>
    <n v="56.647999999999996"/>
    <n v="2.95"/>
    <n v="10.917999999999999"/>
    <n v="58.176000000000002"/>
    <n v="68.3"/>
    <n v="55.833999999999996"/>
    <n v="59.872"/>
    <n v="59.494999999999997"/>
    <n v="0"/>
    <n v="0"/>
    <n v="66.390999999999991"/>
    <n v="56.678999999999988"/>
    <n v="66.876999999999995"/>
    <n v="26.764000000000003"/>
    <n v="54.353000000000009"/>
    <n v="19.562000000000001"/>
    <n v="14.891999999999999"/>
    <n v="61.972000000000001"/>
    <n v="91.234000000000009"/>
    <n v="71.954999999999998"/>
    <n v="65.158999999999992"/>
    <n v="92.345000000000013"/>
    <n v="7.7569999999999997"/>
    <n v="5.8330000000000002"/>
    <n v="26.980999999999995"/>
    <n v="75.662000000000006"/>
    <n v="75.19"/>
    <n v="12.909000000000001"/>
    <n v="48.090312499999989"/>
    <n v="8.0150520833333321"/>
  </r>
  <r>
    <n v="102"/>
    <x v="15"/>
    <x v="79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"/>
    <x v="15"/>
    <x v="80"/>
    <s v="Trinity"/>
    <s v="Public-Paid"/>
    <s v="3.3kW"/>
    <s v="OCPP"/>
    <n v="20"/>
    <x v="1"/>
    <n v="242.95400000000006"/>
    <n v="106.01500000000001"/>
    <n v="154.45100000000002"/>
    <n v="158.17099999999999"/>
    <n v="198.25300000000001"/>
    <n v="152.81100000000001"/>
    <n v="167.70400000000006"/>
    <n v="144.87400000000005"/>
    <n v="145.71099999999998"/>
    <n v="140.80499999999998"/>
    <n v="131.268"/>
    <n v="94.076999999999998"/>
    <n v="92.689000000000007"/>
    <n v="122.68299999999999"/>
    <n v="108.11499999999998"/>
    <n v="129.499"/>
    <n v="157.45700000000005"/>
    <n v="156.07600000000002"/>
    <n v="160.83499999999998"/>
    <n v="128.30899999999997"/>
    <n v="90.472999999999985"/>
    <n v="119.146"/>
    <n v="139.96099999999998"/>
    <n v="122.73000000000002"/>
    <n v="126.26100000000001"/>
    <n v="160.16000000000005"/>
    <n v="102.136"/>
    <n v="132.048"/>
    <n v="148.47099999999998"/>
    <n v="137.80199999999999"/>
    <n v="122.008"/>
    <n v="133.33574999999999"/>
    <n v="6.6667874999999999"/>
  </r>
  <r>
    <n v="104"/>
    <x v="15"/>
    <x v="81"/>
    <s v="Trinity"/>
    <s v="Public-Paid"/>
    <s v="3.3kW"/>
    <s v="OCPP"/>
    <n v="15"/>
    <x v="1"/>
    <n v="215.40799999999999"/>
    <n v="206.73400000000004"/>
    <n v="192.94800000000001"/>
    <n v="203.55999999999997"/>
    <n v="204.51899999999998"/>
    <n v="158.06100000000001"/>
    <n v="213.869"/>
    <n v="235.69"/>
    <n v="189.40899999999999"/>
    <n v="240.09699999999995"/>
    <n v="168.952"/>
    <n v="227.65599999999995"/>
    <n v="189.28699999999995"/>
    <n v="171.34899999999996"/>
    <n v="219.53700000000003"/>
    <n v="204.29300000000001"/>
    <n v="219.78400000000005"/>
    <n v="171.13600000000002"/>
    <n v="208.04600000000005"/>
    <n v="187.54600000000002"/>
    <n v="218.49999999999994"/>
    <n v="222.21099999999998"/>
    <n v="227.33700000000002"/>
    <n v="239.65999999999997"/>
    <n v="261.5"/>
    <n v="262.21499999999997"/>
    <n v="184.19000000000003"/>
    <n v="200.92399999999989"/>
    <n v="258.23799999999994"/>
    <n v="154.62800000000004"/>
    <n v="206.14"/>
    <n v="214.14675"/>
    <n v="14.276450000000001"/>
  </r>
  <r>
    <n v="105"/>
    <x v="15"/>
    <x v="82"/>
    <s v="Trinity"/>
    <s v="Public-Paid"/>
    <s v="3.3kW"/>
    <s v="OCPP"/>
    <n v="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x v="15"/>
    <x v="82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x v="15"/>
    <x v="83"/>
    <s v="BYPL MCD Parking"/>
    <s v="Public-Paid"/>
    <s v="3.3kW"/>
    <s v="OCPP"/>
    <n v="2"/>
    <x v="0"/>
    <n v="0"/>
    <n v="9.7729999999999997"/>
    <n v="0"/>
    <n v="9.8800000000000008"/>
    <n v="17.823"/>
    <n v="4.5049999999999999"/>
    <n v="0"/>
    <n v="10.464"/>
    <n v="19"/>
    <n v="0"/>
    <n v="10.782999999999999"/>
    <n v="11.949"/>
    <n v="8.4060000000000006"/>
    <n v="0"/>
    <n v="10.254"/>
    <n v="0"/>
    <n v="0"/>
    <n v="11.957000000000001"/>
    <n v="23.402999999999999"/>
    <n v="4.702"/>
    <n v="0"/>
    <n v="11.504"/>
    <n v="10.827999999999999"/>
    <n v="7.2720000000000002"/>
    <n v="0"/>
    <n v="10.848000000000001"/>
    <n v="12.608000000000001"/>
    <n v="2E-3"/>
    <n v="7.78"/>
    <n v="9.077"/>
    <n v="8.9570000000000007"/>
    <n v="7.4336249999999993"/>
    <n v="3.7168124999999996"/>
  </r>
  <r>
    <n v="108"/>
    <x v="15"/>
    <x v="8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9"/>
    <x v="15"/>
    <x v="8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15"/>
    <x v="85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"/>
    <x v="15"/>
    <x v="86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"/>
    <x v="15"/>
    <x v="87"/>
    <s v="BYPL MCD Parking"/>
    <s v="Public-Paid"/>
    <s v="3.3kW"/>
    <s v="OCPP"/>
    <n v="3"/>
    <x v="0"/>
    <n v="10.706"/>
    <n v="10.804"/>
    <n v="4.6029999999999998"/>
    <n v="12.929"/>
    <n v="7.72"/>
    <n v="5.5960000000000001"/>
    <n v="10.474"/>
    <n v="9.2379999999999995"/>
    <n v="8.3919999999999995"/>
    <n v="27.434999999999999"/>
    <n v="5.26"/>
    <n v="24.085000000000001"/>
    <n v="0"/>
    <n v="16.355999999999998"/>
    <n v="18.91"/>
    <n v="24.686"/>
    <n v="11.689"/>
    <n v="18.858000000000001"/>
    <n v="14.457000000000001"/>
    <n v="28.427999999999997"/>
    <n v="2.7750000000000004"/>
    <n v="17.734000000000002"/>
    <n v="17.863"/>
    <n v="17.585000000000001"/>
    <n v="21.18"/>
    <n v="23.819000000000003"/>
    <n v="8.2759999999999998"/>
    <n v="14.643000000000001"/>
    <n v="23.539000000000001"/>
    <n v="19.070999999999998"/>
    <n v="20.925999999999998"/>
    <n v="17.845562500000003"/>
    <n v="5.9485208333333341"/>
  </r>
  <r>
    <n v="113"/>
    <x v="15"/>
    <x v="8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"/>
    <x v="15"/>
    <x v="89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x v="15"/>
    <x v="90"/>
    <s v="BYPL MCD Parking"/>
    <s v="Public-Paid"/>
    <s v="3.3kW"/>
    <s v="OCPP"/>
    <n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"/>
    <x v="15"/>
    <x v="91"/>
    <s v="ETO"/>
    <s v="Public-Paid"/>
    <s v="3.3kW"/>
    <s v="OCPP"/>
    <n v="4"/>
    <x v="1"/>
    <n v="1.0660000000000001"/>
    <n v="0"/>
    <n v="1.8009999999999999"/>
    <n v="0"/>
    <n v="0"/>
    <n v="0"/>
    <n v="0"/>
    <n v="0"/>
    <n v="0"/>
    <n v="0"/>
    <n v="0.85899999999999999"/>
    <n v="1.9850000000000001"/>
    <n v="0"/>
    <n v="0"/>
    <n v="0"/>
    <n v="0"/>
    <n v="0"/>
    <n v="0"/>
    <n v="0"/>
    <n v="0"/>
    <n v="0"/>
    <n v="0"/>
    <n v="8.2899999999999991"/>
    <n v="0"/>
    <n v="0"/>
    <n v="0"/>
    <n v="0"/>
    <n v="0"/>
    <n v="0"/>
    <n v="0"/>
    <n v="0"/>
    <n v="0.51812499999999995"/>
    <n v="0.12953124999999999"/>
  </r>
  <r>
    <n v="117"/>
    <x v="15"/>
    <x v="92"/>
    <s v="Trinity"/>
    <s v="Public-Paid"/>
    <s v="3.3kW"/>
    <s v="OCPP"/>
    <n v="15"/>
    <x v="1"/>
    <n v="66.031000000000006"/>
    <n v="76.016000000000005"/>
    <n v="40.158000000000001"/>
    <n v="48.79"/>
    <n v="54.682000000000002"/>
    <n v="81.52"/>
    <n v="69.721999999999994"/>
    <n v="40.673999999999999"/>
    <n v="61.228999999999992"/>
    <n v="52.273999999999994"/>
    <n v="84.885999999999981"/>
    <n v="61.472000000000001"/>
    <n v="73.335999999999999"/>
    <n v="69.043999999999997"/>
    <n v="58.631"/>
    <n v="59.678999999999988"/>
    <n v="53.47"/>
    <n v="64.191999999999993"/>
    <n v="77.813000000000002"/>
    <n v="70.275000000000006"/>
    <n v="63.755000000000003"/>
    <n v="68.945000000000007"/>
    <n v="42.773000000000003"/>
    <n v="55.155000000000001"/>
    <n v="79.938999999999993"/>
    <n v="57.238"/>
    <n v="78.411999999999992"/>
    <n v="63.137"/>
    <n v="81.23"/>
    <n v="62.385999999999996"/>
    <n v="69.885000000000005"/>
    <n v="65.517749999999992"/>
    <n v="4.3678499999999998"/>
  </r>
  <r>
    <n v="118"/>
    <x v="15"/>
    <x v="93"/>
    <s v="BRPL MCD Parking"/>
    <s v="Public-Free"/>
    <s v="3.3kW"/>
    <s v="OCPP"/>
    <n v="2"/>
    <x v="0"/>
    <n v="6.1859999999999999"/>
    <n v="0"/>
    <n v="0"/>
    <n v="3.798"/>
    <n v="0"/>
    <n v="0"/>
    <n v="10.031000000000001"/>
    <n v="0"/>
    <n v="10.417999999999999"/>
    <n v="10.888"/>
    <n v="0"/>
    <n v="0"/>
    <n v="0"/>
    <n v="0"/>
    <n v="0"/>
    <n v="11.067"/>
    <n v="0"/>
    <n v="0"/>
    <n v="0"/>
    <n v="0"/>
    <n v="0"/>
    <n v="0"/>
    <n v="0"/>
    <n v="0"/>
    <n v="0"/>
    <n v="0"/>
    <n v="0"/>
    <n v="1.97"/>
    <n v="19.667999999999999"/>
    <n v="9.1170000000000009"/>
    <n v="0"/>
    <n v="2.6138750000000002"/>
    <n v="1.3069375000000001"/>
  </r>
  <r>
    <n v="119"/>
    <x v="15"/>
    <x v="94"/>
    <s v="Sold"/>
    <s v="Public-Free"/>
    <s v="3.3kW"/>
    <s v="OCPP"/>
    <n v="2"/>
    <x v="0"/>
    <n v="0"/>
    <n v="0"/>
    <n v="0"/>
    <n v="0"/>
    <n v="0"/>
    <n v="0"/>
    <n v="17.908999999999999"/>
    <n v="9.0879999999999992"/>
    <n v="4.1539999999999999"/>
    <n v="0"/>
    <n v="15.831"/>
    <n v="0"/>
    <n v="0"/>
    <n v="0"/>
    <n v="0"/>
    <n v="0"/>
    <n v="16.782"/>
    <n v="8.8119999999999994"/>
    <n v="0"/>
    <n v="0"/>
    <n v="0"/>
    <n v="22.952999999999999"/>
    <n v="2.5509999999999997"/>
    <n v="8.2590000000000003"/>
    <n v="0"/>
    <n v="0"/>
    <n v="0"/>
    <n v="0"/>
    <n v="14.816000000000001"/>
    <n v="0"/>
    <n v="0"/>
    <n v="4.6358125000000001"/>
    <n v="2.3179062500000001"/>
  </r>
  <r>
    <n v="120"/>
    <x v="15"/>
    <x v="95"/>
    <s v="BRPL MCD Parking"/>
    <s v="Public-Free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"/>
    <x v="15"/>
    <x v="96"/>
    <s v="Sold"/>
    <s v="Public-Free"/>
    <s v="3.3kW"/>
    <s v="OCPP"/>
    <n v="2"/>
    <x v="0"/>
    <n v="0"/>
    <n v="0"/>
    <n v="0"/>
    <n v="5.3780000000000001"/>
    <n v="0"/>
    <n v="0"/>
    <n v="5.3579999999999997"/>
    <n v="2.4470000000000001"/>
    <n v="0"/>
    <n v="0"/>
    <n v="0"/>
    <n v="0"/>
    <n v="0"/>
    <n v="0"/>
    <n v="0"/>
    <n v="0"/>
    <n v="0"/>
    <n v="4.694"/>
    <n v="0"/>
    <n v="0"/>
    <n v="5.375"/>
    <n v="5.75"/>
    <n v="2.8360000000000003"/>
    <n v="2.141"/>
    <n v="12.190000000000001"/>
    <n v="0.72799999999999998"/>
    <n v="0"/>
    <n v="0.40600000000000003"/>
    <n v="0"/>
    <n v="0"/>
    <n v="0"/>
    <n v="2.1325000000000003"/>
    <n v="1.0662500000000001"/>
  </r>
  <r>
    <n v="122"/>
    <x v="15"/>
    <x v="97"/>
    <s v="BSES Parking"/>
    <s v="Public-Free"/>
    <s v="3.3kW"/>
    <s v="OCPP"/>
    <n v="1"/>
    <x v="0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15"/>
    <x v="98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x v="15"/>
    <x v="99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"/>
    <x v="15"/>
    <x v="100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x v="15"/>
    <x v="101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x v="15"/>
    <x v="102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x v="15"/>
    <x v="103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329000000000001"/>
    <n v="47.629999999999995"/>
    <n v="88.439000000000007"/>
    <n v="75.812999999999988"/>
    <n v="7.4736999999999991"/>
    <n v="1.2456166666666666"/>
  </r>
  <r>
    <n v="2"/>
    <x v="0"/>
    <x v="1"/>
    <s v="Amazon"/>
    <s v="Public-Paid"/>
    <s v="3.3 kW"/>
    <s v="OCPP"/>
    <n v="9"/>
    <x v="0"/>
    <n v="82.861999999999995"/>
    <n v="78.40100000000001"/>
    <n v="137.48400000000001"/>
    <n v="98.559000000000012"/>
    <n v="110.47200000000002"/>
    <n v="110.02700000000002"/>
    <n v="141.27500000000003"/>
    <n v="92.790999999999983"/>
    <n v="121.93000000000004"/>
    <n v="106.16800000000001"/>
    <n v="123.88499999999999"/>
    <n v="98.313000000000002"/>
    <n v="115.44199999999999"/>
    <n v="108.94400000000002"/>
    <n v="118.26099999999998"/>
    <n v="51.86"/>
    <n v="135.76899999999998"/>
    <n v="112.05599999999998"/>
    <n v="131.67599999999999"/>
    <n v="122.53100000000001"/>
    <n v="141.03"/>
    <n v="134.56800000000001"/>
    <n v="123.71000000000001"/>
    <n v="113.39599999999999"/>
    <n v="175.61200000000002"/>
    <n v="159.51300000000001"/>
    <n v="165.89400000000003"/>
    <n v="209.77899999999991"/>
    <n v="195.42800000000003"/>
    <n v="206.78199999999995"/>
    <n v="127.48060000000004"/>
    <n v="14.164511111111116"/>
  </r>
  <r>
    <n v="3"/>
    <x v="0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s v="ETO"/>
    <s v="Public-Paid"/>
    <s v="3.3 kW"/>
    <s v="OCPP"/>
    <n v="8"/>
    <x v="1"/>
    <n v="105.88600000000002"/>
    <n v="71.031999999999996"/>
    <n v="101.642"/>
    <n v="116.98000000000002"/>
    <n v="70.117999999999995"/>
    <n v="89.394000000000005"/>
    <n v="112.349"/>
    <n v="53.173999999999999"/>
    <n v="63.512"/>
    <n v="111.345"/>
    <n v="111.63500000000001"/>
    <n v="126.438"/>
    <n v="68.08"/>
    <n v="67.572999999999993"/>
    <n v="73.364999999999995"/>
    <n v="77.538000000000011"/>
    <n v="88.927999999999997"/>
    <n v="64.706999999999994"/>
    <n v="94.528000000000006"/>
    <n v="83.897000000000006"/>
    <n v="85.278000000000006"/>
    <n v="73.37299999999999"/>
    <n v="76.323999999999998"/>
    <n v="72.707999999999998"/>
    <n v="79.814999999999998"/>
    <n v="107.34399999999999"/>
    <n v="50.237000000000002"/>
    <n v="107.85400000000001"/>
    <n v="91.044000000000011"/>
    <n v="54.093000000000004"/>
    <n v="85.006366666666665"/>
    <n v="10.625795833333333"/>
  </r>
  <r>
    <n v="5"/>
    <x v="0"/>
    <x v="4"/>
    <s v="Trinity"/>
    <s v="Public-Paid"/>
    <s v="3.3 kW"/>
    <s v="OCPP"/>
    <n v="26"/>
    <x v="1"/>
    <n v="820.61599999999976"/>
    <n v="858.53300000000002"/>
    <n v="806.96900000000005"/>
    <n v="671.14400000000001"/>
    <n v="855.40299999999968"/>
    <n v="811.47500000000025"/>
    <n v="751.35300000000007"/>
    <n v="518.221"/>
    <n v="762.76300000000015"/>
    <n v="961.9369999999999"/>
    <n v="517.82099999999991"/>
    <n v="602.327"/>
    <n v="682.95200000000034"/>
    <n v="746.02399999999966"/>
    <n v="851.23"/>
    <n v="858.32100000000003"/>
    <n v="819.2679999999998"/>
    <n v="800.83299999999986"/>
    <n v="725.66599999999983"/>
    <n v="941.43299999999977"/>
    <n v="826.31700000000046"/>
    <n v="1045.7010000000002"/>
    <n v="808.29200000000026"/>
    <n v="856.13299999999981"/>
    <n v="876.03100000000018"/>
    <n v="927.14599999999939"/>
    <n v="1019.2670000000001"/>
    <n v="775.4879999999996"/>
    <n v="825.1579999999999"/>
    <n v="806.22699999999998"/>
    <n v="804.33496666666679"/>
    <n v="30.935960256410262"/>
  </r>
  <r>
    <n v="6"/>
    <x v="0"/>
    <x v="4"/>
    <s v="Trinity"/>
    <s v="Public-Paid"/>
    <s v="3 kW"/>
    <s v="DC Charger"/>
    <n v="1"/>
    <x v="1"/>
    <n v="0"/>
    <n v="0"/>
    <n v="0"/>
    <n v="0"/>
    <n v="0"/>
    <n v="4.38"/>
    <n v="9.98"/>
    <n v="5.26"/>
    <n v="6.66"/>
    <n v="8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1.1599999999999999"/>
  </r>
  <r>
    <n v="7"/>
    <x v="0"/>
    <x v="4"/>
    <s v="Trinity"/>
    <s v="Public-Paid"/>
    <s v="6 kW"/>
    <s v="DC Charger"/>
    <n v="1"/>
    <x v="1"/>
    <n v="0"/>
    <n v="0"/>
    <n v="0"/>
    <n v="0"/>
    <n v="0"/>
    <n v="7.23"/>
    <n v="0"/>
    <n v="0"/>
    <n v="5.7900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3400000000000005"/>
    <n v="0.43400000000000005"/>
  </r>
  <r>
    <n v="8"/>
    <x v="0"/>
    <x v="4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5"/>
    <s v="Trinity"/>
    <s v="Public-Paid"/>
    <s v="3.3 kW"/>
    <s v="OCPP"/>
    <n v="6"/>
    <x v="1"/>
    <n v="28.773999999999997"/>
    <n v="29.403000000000002"/>
    <n v="16.571999999999999"/>
    <n v="43.639000000000003"/>
    <n v="25.585999999999999"/>
    <n v="43.534999999999997"/>
    <n v="27.425000000000001"/>
    <n v="25.255000000000003"/>
    <n v="38.897999999999996"/>
    <n v="29.588000000000001"/>
    <n v="25.082000000000001"/>
    <n v="32.894000000000005"/>
    <n v="41.135999999999996"/>
    <n v="18.449000000000002"/>
    <n v="19.498999999999999"/>
    <n v="26.145000000000003"/>
    <n v="23.296000000000003"/>
    <n v="16.126000000000001"/>
    <n v="21.763999999999999"/>
    <n v="25.972999999999999"/>
    <n v="27.048000000000002"/>
    <n v="29.239000000000001"/>
    <n v="10.783000000000001"/>
    <n v="16.795999999999999"/>
    <n v="21.242000000000001"/>
    <n v="59.057000000000002"/>
    <n v="35.067999999999998"/>
    <n v="43.368000000000002"/>
    <n v="55.948999999999991"/>
    <n v="49.062000000000005"/>
    <n v="30.221700000000002"/>
    <n v="5.03695"/>
  </r>
  <r>
    <n v="10"/>
    <x v="0"/>
    <x v="6"/>
    <s v="ETO"/>
    <s v="Public-Paid"/>
    <s v="3.3 kW"/>
    <s v="OCPP"/>
    <n v="3"/>
    <x v="1"/>
    <n v="70.894000000000005"/>
    <n v="66.03"/>
    <n v="81.38"/>
    <n v="81.305000000000007"/>
    <n v="103.61599999999999"/>
    <n v="65.518999999999991"/>
    <n v="87.97"/>
    <n v="67.511999999999986"/>
    <n v="98.179000000000002"/>
    <n v="92.665000000000006"/>
    <n v="82.147999999999996"/>
    <n v="92.034999999999997"/>
    <n v="87.423000000000016"/>
    <n v="87.950999999999993"/>
    <n v="85.415999999999997"/>
    <n v="87.556000000000012"/>
    <n v="57.101999999999997"/>
    <n v="67.992000000000004"/>
    <n v="97.128"/>
    <n v="54.677000000000007"/>
    <n v="95.718000000000018"/>
    <n v="52.926000000000002"/>
    <n v="59.43"/>
    <n v="99.557999999999993"/>
    <n v="83.951999999999998"/>
    <n v="97.887999999999991"/>
    <n v="77.483000000000004"/>
    <n v="80.336000000000013"/>
    <n v="79.322999999999993"/>
    <n v="58.675000000000004"/>
    <n v="79.992899999999992"/>
    <n v="26.664299999999997"/>
  </r>
  <r>
    <n v="11"/>
    <x v="0"/>
    <x v="7"/>
    <s v="Trinity"/>
    <s v="Public-Free"/>
    <s v="3.3 kW"/>
    <s v="OCPP"/>
    <n v="1"/>
    <x v="0"/>
    <n v="0"/>
    <n v="0"/>
    <n v="1.671"/>
    <n v="4.5209999999999999"/>
    <n v="0"/>
    <n v="0"/>
    <n v="0"/>
    <n v="0"/>
    <n v="3.3940000000000001"/>
    <n v="0"/>
    <n v="0"/>
    <n v="0"/>
    <n v="0"/>
    <n v="3.39"/>
    <n v="0"/>
    <n v="3.407"/>
    <n v="0"/>
    <n v="0"/>
    <n v="0"/>
    <n v="3.363"/>
    <n v="0"/>
    <n v="0"/>
    <n v="0"/>
    <n v="3.3969999999999998"/>
    <n v="0"/>
    <n v="0"/>
    <n v="0"/>
    <n v="0"/>
    <n v="0"/>
    <n v="0"/>
    <n v="0.7714333333333333"/>
    <n v="0.7714333333333333"/>
  </r>
  <r>
    <n v="12"/>
    <x v="0"/>
    <x v="8"/>
    <s v="Trinity"/>
    <s v="Public-Paid"/>
    <s v="7.4 kW"/>
    <s v="OCPP"/>
    <n v="2"/>
    <x v="0"/>
    <n v="0"/>
    <n v="0"/>
    <n v="0"/>
    <n v="12.798"/>
    <n v="34.487000000000002"/>
    <n v="14.154"/>
    <n v="0"/>
    <n v="24.44"/>
    <n v="0"/>
    <n v="0"/>
    <n v="3.5470000000000002"/>
    <n v="0"/>
    <n v="0"/>
    <n v="0"/>
    <n v="0"/>
    <n v="0"/>
    <n v="0"/>
    <n v="0"/>
    <n v="0"/>
    <n v="0"/>
    <n v="0"/>
    <n v="0"/>
    <n v="0"/>
    <n v="0"/>
    <n v="0"/>
    <n v="0"/>
    <n v="4.4580000000000002"/>
    <n v="0"/>
    <n v="20.004999999999999"/>
    <n v="10.717000000000001"/>
    <n v="4.1535333333333329"/>
    <n v="2.0767666666666664"/>
  </r>
  <r>
    <n v="13"/>
    <x v="0"/>
    <x v="8"/>
    <s v="Trinity"/>
    <s v="Public-Paid"/>
    <s v="15 kw"/>
    <s v="DC Charger"/>
    <n v="2"/>
    <x v="0"/>
    <n v="41.396999999999998"/>
    <n v="36.023000000000003"/>
    <n v="75.021000000000001"/>
    <n v="125.00999999999999"/>
    <n v="109.51300000000002"/>
    <n v="76.322000000000003"/>
    <n v="56.683"/>
    <n v="14.822999999999999"/>
    <n v="55.631"/>
    <n v="118.80300000000001"/>
    <n v="59.42"/>
    <n v="121.24400000000001"/>
    <n v="94.904999999999987"/>
    <n v="47.55899999999999"/>
    <n v="45.575000000000003"/>
    <n v="88.885000000000005"/>
    <n v="74.802999999999997"/>
    <n v="123.36399999999999"/>
    <n v="17.902999999999999"/>
    <n v="56.379000000000005"/>
    <n v="45.899000000000008"/>
    <n v="133.05999999999997"/>
    <n v="123.24000000000002"/>
    <n v="40.379999999999995"/>
    <n v="44.489999999999995"/>
    <n v="29.25"/>
    <n v="66.25"/>
    <n v="83.08"/>
    <n v="51.370000000000005"/>
    <n v="64.92"/>
    <n v="70.706733333333347"/>
    <n v="35.353366666666673"/>
  </r>
  <r>
    <n v="14"/>
    <x v="0"/>
    <x v="9"/>
    <s v="Trinity"/>
    <s v="Public-Paid"/>
    <s v="3.3 kW"/>
    <s v="OCPP"/>
    <n v="10"/>
    <x v="1"/>
    <n v="89.941000000000003"/>
    <n v="223.11699999999999"/>
    <n v="164.61499999999998"/>
    <n v="202.12799999999999"/>
    <n v="207.39500000000001"/>
    <n v="179.79000000000002"/>
    <n v="125.77700000000002"/>
    <n v="229.39600000000002"/>
    <n v="177.46"/>
    <n v="140.29"/>
    <n v="194.18800000000002"/>
    <n v="154.52599999999998"/>
    <n v="215.44499999999999"/>
    <n v="167.334"/>
    <n v="198.77599999999998"/>
    <n v="169.64699999999999"/>
    <n v="173.37799999999999"/>
    <n v="182.33499999999998"/>
    <n v="184.98400000000001"/>
    <n v="138.01300000000001"/>
    <n v="111.572"/>
    <n v="230.56100000000001"/>
    <n v="151.34399999999999"/>
    <n v="149.41200000000001"/>
    <n v="185.42600000000002"/>
    <n v="162.16"/>
    <n v="179.37399999999997"/>
    <n v="167.92599999999999"/>
    <n v="155.51400000000001"/>
    <n v="172.79099999999997"/>
    <n v="172.82050000000001"/>
    <n v="17.282050000000002"/>
  </r>
  <r>
    <n v="15"/>
    <x v="0"/>
    <x v="10"/>
    <s v="Trinity"/>
    <s v="Public-Paid"/>
    <s v="3.3 kW"/>
    <s v="OCPP"/>
    <n v="4"/>
    <x v="0"/>
    <n v="16.847000000000001"/>
    <n v="31.118999999999996"/>
    <n v="24.811999999999994"/>
    <n v="20.804000000000002"/>
    <n v="33.994999999999997"/>
    <n v="23.337999999999997"/>
    <n v="20.692999999999998"/>
    <n v="15.941999999999998"/>
    <n v="29.269000000000002"/>
    <n v="51.414999999999999"/>
    <n v="50.63"/>
    <n v="33.533000000000001"/>
    <n v="22.273"/>
    <n v="37.128"/>
    <n v="74.365000000000009"/>
    <n v="24.960000000000004"/>
    <n v="3.6190000000000002"/>
    <n v="54.040000000000006"/>
    <n v="33.130000000000003"/>
    <n v="43.823"/>
    <n v="25.902000000000001"/>
    <n v="26.484000000000002"/>
    <n v="19.96"/>
    <n v="41.989000000000004"/>
    <n v="12.244999999999999"/>
    <n v="35.701000000000001"/>
    <n v="37.169999999999995"/>
    <n v="26.760999999999999"/>
    <n v="12.479000000000001"/>
    <n v="14.492999999999999"/>
    <n v="29.963966666666675"/>
    <n v="7.4909916666666687"/>
  </r>
  <r>
    <n v="16"/>
    <x v="0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1"/>
    <s v="Trinity"/>
    <s v="Public-Paid"/>
    <s v="3.3 kW"/>
    <s v="OCPP"/>
    <n v="19"/>
    <x v="1"/>
    <n v="234.91600000000003"/>
    <n v="187.881"/>
    <n v="145.94199999999998"/>
    <n v="165.04499999999999"/>
    <n v="125.03000000000002"/>
    <n v="183.70400000000001"/>
    <n v="195.77200000000005"/>
    <n v="201.82699999999997"/>
    <n v="178.66399999999999"/>
    <n v="217.601"/>
    <n v="188.68800000000002"/>
    <n v="222.91100000000003"/>
    <n v="217.62500000000006"/>
    <n v="210.74499999999998"/>
    <n v="209.23"/>
    <n v="224.87199999999999"/>
    <n v="181.892"/>
    <n v="173.02899999999997"/>
    <n v="182.38700000000003"/>
    <n v="221.58600000000004"/>
    <n v="208.023"/>
    <n v="214.172"/>
    <n v="184.13900000000001"/>
    <n v="148.62800000000001"/>
    <n v="188.87300000000002"/>
    <n v="279.83000000000004"/>
    <n v="257.74599999999998"/>
    <n v="246.07099999999997"/>
    <n v="241.68100000000001"/>
    <n v="171.49600000000004"/>
    <n v="200.33353333333332"/>
    <n v="10.543870175438595"/>
  </r>
  <r>
    <n v="18"/>
    <x v="0"/>
    <x v="12"/>
    <s v="Trinity"/>
    <s v="Public-Paid"/>
    <s v="3.3 kW"/>
    <s v="OCPP"/>
    <n v="5"/>
    <x v="1"/>
    <n v="172.50900000000001"/>
    <n v="178.30999999999997"/>
    <n v="153.14099999999999"/>
    <n v="185.119"/>
    <n v="176.50100000000003"/>
    <n v="137.94200000000001"/>
    <n v="95.591000000000008"/>
    <n v="129.12400000000002"/>
    <n v="151.358"/>
    <n v="113.36800000000002"/>
    <n v="158.48700000000002"/>
    <n v="148.24699999999996"/>
    <n v="134.21000000000004"/>
    <n v="140.21300000000002"/>
    <n v="149.571"/>
    <n v="148.90100000000001"/>
    <n v="133.55100000000002"/>
    <n v="94.064000000000007"/>
    <n v="143.33000000000001"/>
    <n v="152.82300000000004"/>
    <n v="153.09700000000001"/>
    <n v="117.502"/>
    <n v="129.899"/>
    <n v="126.44100000000002"/>
    <n v="145.77199999999996"/>
    <n v="141.29299999999995"/>
    <n v="157.51300000000001"/>
    <n v="76.774999999999991"/>
    <n v="138.51799999999997"/>
    <n v="86.74499999999999"/>
    <n v="138.99716666666663"/>
    <n v="27.799433333333326"/>
  </r>
  <r>
    <n v="19"/>
    <x v="0"/>
    <x v="13"/>
    <s v="Trinity"/>
    <s v="Public-Paid"/>
    <s v="7.4 kW"/>
    <s v="OCPP"/>
    <n v="2"/>
    <x v="0"/>
    <n v="2.738"/>
    <n v="53.885999999999996"/>
    <n v="41.473999999999997"/>
    <n v="43.968000000000004"/>
    <n v="19.245999999999999"/>
    <n v="40.804000000000002"/>
    <n v="10.004999999999999"/>
    <n v="0"/>
    <n v="15.686999999999999"/>
    <n v="15.57"/>
    <n v="41.202000000000005"/>
    <n v="41.861000000000004"/>
    <n v="19.177"/>
    <n v="18.658999999999999"/>
    <n v="30.002000000000002"/>
    <n v="2.2309999999999999"/>
    <n v="2.4849999999999999"/>
    <n v="0"/>
    <n v="0"/>
    <n v="19.96"/>
    <n v="2.0299999999999998"/>
    <n v="12.132999999999999"/>
    <n v="0"/>
    <n v="19.39"/>
    <n v="0"/>
    <n v="0"/>
    <n v="0"/>
    <n v="19.975000000000001"/>
    <n v="0"/>
    <n v="0"/>
    <n v="15.749433333333332"/>
    <n v="7.8747166666666661"/>
  </r>
  <r>
    <n v="20"/>
    <x v="0"/>
    <x v="13"/>
    <s v="Trinity"/>
    <s v="Public-Paid"/>
    <s v="12 kW"/>
    <s v="DC Charger"/>
    <n v="1"/>
    <x v="0"/>
    <n v="0"/>
    <n v="0"/>
    <n v="0"/>
    <n v="0"/>
    <n v="0"/>
    <n v="0"/>
    <n v="6.16"/>
    <n v="7.42"/>
    <n v="8.81"/>
    <n v="32.18"/>
    <n v="37.570999999999998"/>
    <n v="0"/>
    <n v="0"/>
    <n v="0"/>
    <n v="0"/>
    <n v="0"/>
    <n v="0"/>
    <n v="15.24"/>
    <n v="18.460999999999999"/>
    <n v="0"/>
    <n v="14.88"/>
    <n v="47.07"/>
    <n v="38.910000000000004"/>
    <n v="1.96"/>
    <n v="0"/>
    <n v="0"/>
    <n v="0"/>
    <n v="0"/>
    <n v="0"/>
    <n v="0"/>
    <n v="7.6220666666666661"/>
    <n v="7.6220666666666661"/>
  </r>
  <r>
    <n v="21"/>
    <x v="0"/>
    <x v="13"/>
    <s v="Trinity"/>
    <s v="Public-Paid"/>
    <s v="15 kw"/>
    <s v="DC Charger"/>
    <n v="1"/>
    <x v="0"/>
    <n v="1.7"/>
    <n v="12.41"/>
    <n v="15.06"/>
    <n v="36.939000000000007"/>
    <n v="23.770000000000003"/>
    <n v="24.299999999999997"/>
    <n v="1"/>
    <n v="0.79"/>
    <n v="21.91"/>
    <n v="47.640000000000008"/>
    <n v="53.05"/>
    <n v="30.159999999999997"/>
    <n v="23.299000000000003"/>
    <n v="1.5409999999999999"/>
    <n v="1.37"/>
    <n v="12.959999999999999"/>
    <n v="10.49"/>
    <n v="48.649000000000008"/>
    <n v="16.021000000000001"/>
    <n v="24.77"/>
    <n v="16.838999999999999"/>
    <n v="0"/>
    <n v="29.161000000000001"/>
    <n v="35.168999999999997"/>
    <n v="0.3010000000000001"/>
    <n v="0.01"/>
    <n v="0"/>
    <n v="1.55"/>
    <n v="0"/>
    <n v="31.48"/>
    <n v="17.411299999999997"/>
    <n v="17.411299999999997"/>
  </r>
  <r>
    <n v="22"/>
    <x v="0"/>
    <x v="13"/>
    <s v="Trinity"/>
    <s v="Public-Paid"/>
    <s v="60 kw"/>
    <s v="DC Charger"/>
    <n v="1"/>
    <x v="0"/>
    <n v="116.624"/>
    <n v="57.474999999999994"/>
    <n v="132.34900000000002"/>
    <n v="107.6"/>
    <n v="182.67499999999998"/>
    <n v="188.75"/>
    <n v="54.125999999999998"/>
    <n v="88.275000000000006"/>
    <n v="116.74899999999998"/>
    <n v="141.12500000000003"/>
    <n v="193.60000000000002"/>
    <n v="200.02499999999998"/>
    <n v="173.79999999999998"/>
    <n v="67.349999999999994"/>
    <n v="120.85000000000001"/>
    <n v="139.72499999999999"/>
    <n v="192.85000000000002"/>
    <n v="148.82499999999999"/>
    <n v="224.80000000000004"/>
    <n v="199.65000000000003"/>
    <n v="118.10000000000001"/>
    <n v="57.875"/>
    <n v="164.79999999999998"/>
    <n v="232.52499999999998"/>
    <n v="189.05"/>
    <n v="200.875"/>
    <n v="158.72499999999999"/>
    <n v="61.95"/>
    <n v="63.1"/>
    <n v="142.27499999999998"/>
    <n v="141.2166"/>
    <n v="141.2166"/>
  </r>
  <r>
    <n v="23"/>
    <x v="0"/>
    <x v="13"/>
    <s v="Trinity"/>
    <s v="Public-Paid"/>
    <s v="120 kw"/>
    <s v="DC Charger"/>
    <n v="1"/>
    <x v="0"/>
    <n v="95.41"/>
    <n v="176.83999999999997"/>
    <n v="202.99"/>
    <n v="323.2"/>
    <n v="258.27"/>
    <n v="242.85"/>
    <n v="138.93"/>
    <n v="127.58"/>
    <n v="226.67"/>
    <n v="324.09999999999991"/>
    <n v="362.19"/>
    <n v="351.16999999999996"/>
    <n v="255.43999999999997"/>
    <n v="152.07"/>
    <n v="64.66"/>
    <n v="255.13999999999996"/>
    <n v="215.10999999999999"/>
    <n v="221.29000000000005"/>
    <n v="244.48000000000002"/>
    <n v="317.53999999999996"/>
    <n v="116.66000000000001"/>
    <n v="65.11999999999999"/>
    <n v="224.16000000000005"/>
    <n v="273.87000000000006"/>
    <n v="307.87999999999994"/>
    <n v="292.16999999999996"/>
    <n v="269.38"/>
    <n v="100.49000000000001"/>
    <n v="106.63999999999999"/>
    <n v="254.32"/>
    <n v="218.88733333333332"/>
    <n v="218.88733333333332"/>
  </r>
  <r>
    <n v="24"/>
    <x v="0"/>
    <x v="14"/>
    <s v="Trinity"/>
    <s v="Public-Paid"/>
    <s v="3.3 kW"/>
    <s v="OCPP"/>
    <n v="7"/>
    <x v="1"/>
    <n v="84.175000000000011"/>
    <n v="155.58500000000001"/>
    <n v="157.91099999999997"/>
    <n v="128.95700000000002"/>
    <n v="114.18200000000002"/>
    <n v="109.288"/>
    <n v="92.544000000000011"/>
    <n v="173.66100000000003"/>
    <n v="173.78100000000001"/>
    <n v="154.625"/>
    <n v="186.97800000000001"/>
    <n v="170.953"/>
    <n v="170.86100000000005"/>
    <n v="234.47499999999997"/>
    <n v="189.09300000000002"/>
    <n v="137.65700000000001"/>
    <n v="156.55500000000004"/>
    <n v="108.61099999999998"/>
    <n v="130.13800000000003"/>
    <n v="110.99000000000001"/>
    <n v="208.29899999999998"/>
    <n v="171.90800000000004"/>
    <n v="140.11699999999999"/>
    <n v="228.98099999999997"/>
    <n v="203.48600000000002"/>
    <n v="122.42099999999998"/>
    <n v="163.66999999999999"/>
    <n v="142.80899999999997"/>
    <n v="195.87200000000001"/>
    <n v="161.86399999999998"/>
    <n v="156.01489999999998"/>
    <n v="22.287842857142856"/>
  </r>
  <r>
    <n v="25"/>
    <x v="0"/>
    <x v="15"/>
    <s v="Trinity"/>
    <s v="Public-Paid"/>
    <s v="3.3 kW"/>
    <s v="OCPP"/>
    <n v="1"/>
    <x v="0"/>
    <n v="3.1729999999999996"/>
    <n v="7.0949999999999998"/>
    <n v="12.760000000000002"/>
    <n v="5.4610000000000003"/>
    <n v="5.9080000000000004"/>
    <n v="7.2159999999999993"/>
    <n v="13.145"/>
    <n v="8.7530000000000001"/>
    <n v="10.422000000000001"/>
    <n v="5.9570000000000007"/>
    <n v="11.151"/>
    <n v="18.779999999999998"/>
    <n v="18.615000000000006"/>
    <n v="15.062000000000001"/>
    <n v="6.9810000000000008"/>
    <n v="19.343"/>
    <n v="6.4729999999999999"/>
    <n v="4.0540000000000003"/>
    <n v="0"/>
    <n v="0"/>
    <n v="5.1149999999999993"/>
    <n v="0"/>
    <n v="19.504999999999999"/>
    <n v="0"/>
    <n v="2.8000000000000001E-2"/>
    <n v="5.9619999999999997"/>
    <n v="16.242000000000001"/>
    <n v="1.9370000000000001"/>
    <n v="0.96099999999999997"/>
    <n v="2.984"/>
    <n v="7.7694333333333336"/>
    <n v="7.7694333333333336"/>
  </r>
  <r>
    <n v="26"/>
    <x v="0"/>
    <x v="15"/>
    <s v="Trinity"/>
    <s v="Public-Paid"/>
    <s v="7.4 kW"/>
    <s v="OCPP"/>
    <n v="1"/>
    <x v="0"/>
    <n v="0"/>
    <n v="0"/>
    <n v="16.079000000000001"/>
    <n v="0"/>
    <n v="2.7639999999999998"/>
    <n v="0"/>
    <n v="20.001999999999999"/>
    <n v="13.978"/>
    <n v="7.6159999999999997"/>
    <n v="10.093999999999999"/>
    <n v="5.4859999999999998"/>
    <n v="0"/>
    <n v="0"/>
    <n v="11.42"/>
    <n v="26.66"/>
    <n v="0"/>
    <n v="18.397000000000002"/>
    <n v="0"/>
    <n v="28.582999999999998"/>
    <n v="4.3129999999999997"/>
    <n v="16.332000000000001"/>
    <n v="0"/>
    <n v="1.333"/>
    <n v="9.3859999999999992"/>
    <n v="6.516"/>
    <n v="47.716999999999999"/>
    <n v="10.75"/>
    <n v="12.305"/>
    <n v="18.111000000000001"/>
    <n v="0"/>
    <n v="9.5947333333333322"/>
    <n v="9.5947333333333322"/>
  </r>
  <r>
    <n v="27"/>
    <x v="0"/>
    <x v="15"/>
    <s v="Trinity"/>
    <s v="Public-Paid"/>
    <s v="12kW"/>
    <s v="DC Charger"/>
    <n v="1"/>
    <x v="0"/>
    <n v="0"/>
    <n v="24.02"/>
    <n v="23.099999999999998"/>
    <n v="58.319999999999993"/>
    <n v="33.660000000000004"/>
    <n v="56.09"/>
    <n v="35.809999999999995"/>
    <n v="19.410000000000004"/>
    <n v="51.37"/>
    <n v="30.359999999999996"/>
    <n v="51.6"/>
    <n v="25.660000000000004"/>
    <n v="27.409999999999997"/>
    <n v="10.870000000000001"/>
    <n v="21.73"/>
    <n v="10.07"/>
    <n v="11.34"/>
    <n v="13.5"/>
    <n v="37.93"/>
    <n v="35.790000000000006"/>
    <n v="30"/>
    <n v="32.67"/>
    <n v="42.03"/>
    <n v="24.32"/>
    <n v="6.72"/>
    <n v="28.61"/>
    <n v="20.41"/>
    <n v="0"/>
    <n v="0"/>
    <n v="0"/>
    <n v="25.426666666666666"/>
    <n v="25.426666666666666"/>
  </r>
  <r>
    <n v="28"/>
    <x v="0"/>
    <x v="15"/>
    <s v="Trinity"/>
    <s v="Public-Paid"/>
    <s v="25 kW"/>
    <s v="DC Charger"/>
    <n v="1"/>
    <x v="0"/>
    <n v="1.8260000000000001"/>
    <n v="44.635999999999996"/>
    <n v="54.412000000000006"/>
    <n v="28.058"/>
    <n v="75.171999999999997"/>
    <n v="54.424999999999997"/>
    <n v="77.212999999999994"/>
    <n v="37.402000000000001"/>
    <n v="39.783999999999999"/>
    <n v="30.948999999999998"/>
    <n v="82.718999999999994"/>
    <n v="23.939999999999998"/>
    <n v="46.469000000000001"/>
    <n v="57.795000000000002"/>
    <n v="0"/>
    <n v="53.061999999999998"/>
    <n v="46.908999999999992"/>
    <n v="118.78099999999999"/>
    <n v="73.355999999999995"/>
    <n v="112.919"/>
    <n v="32.47"/>
    <n v="0"/>
    <n v="91.180999999999997"/>
    <n v="55.756999999999998"/>
    <n v="113.542"/>
    <n v="94.269000000000005"/>
    <n v="64.605000000000004"/>
    <n v="100.276"/>
    <n v="48.713000000000001"/>
    <n v="44.253999999999998"/>
    <n v="56.829799999999999"/>
    <n v="56.829799999999999"/>
  </r>
  <r>
    <n v="29"/>
    <x v="0"/>
    <x v="16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x v="17"/>
    <s v="Trinity"/>
    <s v="Public-Paid"/>
    <s v="3.3 kW"/>
    <s v="OCPP"/>
    <n v="9"/>
    <x v="1"/>
    <n v="91.094000000000008"/>
    <n v="180.14500000000004"/>
    <n v="177.67100000000008"/>
    <n v="187.85399999999996"/>
    <n v="161.67000000000004"/>
    <n v="108.12400000000001"/>
    <n v="148.15199999999999"/>
    <n v="80.921000000000021"/>
    <n v="89.32900000000005"/>
    <n v="165.447"/>
    <n v="189.35400000000007"/>
    <n v="103.991"/>
    <n v="126.75899999999997"/>
    <n v="108.96000000000004"/>
    <n v="130.95799999999997"/>
    <n v="109.27700000000002"/>
    <n v="91.868000000000023"/>
    <n v="120.42300000000004"/>
    <n v="114.15100000000001"/>
    <n v="120.851"/>
    <n v="147.48500000000004"/>
    <n v="142.518"/>
    <n v="151.13"/>
    <n v="118.28800000000001"/>
    <n v="119.01800000000003"/>
    <n v="160.24399999999997"/>
    <n v="118.13300000000002"/>
    <n v="151.76600000000002"/>
    <n v="173.25400000000005"/>
    <n v="118.797"/>
    <n v="133.58773333333335"/>
    <n v="14.843081481481484"/>
  </r>
  <r>
    <n v="31"/>
    <x v="0"/>
    <x v="17"/>
    <s v="Trinity"/>
    <s v="Public-Paid"/>
    <s v="15 kw"/>
    <s v="DC Charger"/>
    <n v="1"/>
    <x v="1"/>
    <n v="35.29"/>
    <n v="60.75"/>
    <n v="30.15"/>
    <n v="30.79"/>
    <n v="36.450000000000003"/>
    <n v="29.36"/>
    <n v="22.81"/>
    <n v="15.59"/>
    <n v="16.14"/>
    <n v="20.720000000000002"/>
    <n v="48.59"/>
    <n v="40.54"/>
    <n v="41.970000000000006"/>
    <n v="34.659999999999997"/>
    <n v="53.819999999999993"/>
    <n v="40.630000000000003"/>
    <n v="34.169999999999995"/>
    <n v="49.820000000000007"/>
    <n v="46.15"/>
    <n v="28.43"/>
    <n v="56.38"/>
    <n v="59.53"/>
    <n v="55.209999999999994"/>
    <n v="45.53"/>
    <n v="39.260000000000005"/>
    <n v="32.410000000000004"/>
    <n v="24.14"/>
    <n v="44.829999999999991"/>
    <n v="43.199999999999989"/>
    <n v="32.369999999999997"/>
    <n v="38.322999999999993"/>
    <n v="38.322999999999993"/>
  </r>
  <r>
    <n v="32"/>
    <x v="0"/>
    <x v="18"/>
    <s v="Trinity"/>
    <s v="Public-Paid"/>
    <s v="3.3 kW"/>
    <s v="OCPP"/>
    <n v="8"/>
    <x v="1"/>
    <n v="126.589"/>
    <n v="155.797"/>
    <n v="132.59700000000001"/>
    <n v="152.07099999999997"/>
    <n v="135.50999999999996"/>
    <n v="149.87500000000003"/>
    <n v="153.25500000000002"/>
    <n v="112.905"/>
    <n v="143.03300000000004"/>
    <n v="125.52100000000002"/>
    <n v="127.49899999999998"/>
    <n v="112.88200000000003"/>
    <n v="108.611"/>
    <n v="120.60500000000002"/>
    <n v="146.46900000000002"/>
    <n v="94.76700000000001"/>
    <n v="77.829000000000008"/>
    <n v="81.250000000000014"/>
    <n v="108.06799999999998"/>
    <n v="136.995"/>
    <n v="96.436000000000007"/>
    <n v="170.20899999999997"/>
    <n v="124.126"/>
    <n v="159.761"/>
    <n v="165.15200000000002"/>
    <n v="95.583999999999989"/>
    <n v="159.16499999999999"/>
    <n v="116.57200000000002"/>
    <n v="130.78000000000003"/>
    <n v="129.642"/>
    <n v="128.31850000000003"/>
    <n v="16.039812500000004"/>
  </r>
  <r>
    <n v="33"/>
    <x v="0"/>
    <x v="18"/>
    <s v="Trinity"/>
    <s v="Public-Paid"/>
    <s v="7.4 kW"/>
    <s v="OCPP"/>
    <n v="2"/>
    <x v="1"/>
    <n v="19.034999999999997"/>
    <n v="42.224000000000004"/>
    <n v="73.644000000000005"/>
    <n v="57.296000000000006"/>
    <n v="73.123999999999995"/>
    <n v="36.601999999999997"/>
    <n v="48.818999999999996"/>
    <n v="24.158999999999999"/>
    <n v="68.447000000000003"/>
    <n v="34.121000000000002"/>
    <n v="53.23"/>
    <n v="36.739000000000004"/>
    <n v="44.052999999999997"/>
    <n v="74.154999999999987"/>
    <n v="20.850999999999999"/>
    <n v="14.667000000000002"/>
    <n v="16.93"/>
    <n v="12.427999999999999"/>
    <n v="34.918999999999997"/>
    <n v="37.875"/>
    <n v="22.244999999999997"/>
    <n v="41.772999999999996"/>
    <n v="50.212000000000003"/>
    <n v="34.015000000000001"/>
    <n v="76.284999999999997"/>
    <n v="25.823999999999998"/>
    <n v="85.823999999999998"/>
    <n v="23.439999999999998"/>
    <n v="62.326000000000001"/>
    <n v="63.27"/>
    <n v="43.617733333333341"/>
    <n v="21.80886666666667"/>
  </r>
  <r>
    <n v="34"/>
    <x v="0"/>
    <x v="19"/>
    <s v="Trinity"/>
    <s v="Public-Paid"/>
    <s v="3.3 kW"/>
    <s v="OCPP"/>
    <n v="1"/>
    <x v="1"/>
    <n v="5.1319999999999997"/>
    <n v="16.789000000000001"/>
    <n v="12.795999999999999"/>
    <n v="20.312000000000001"/>
    <n v="4.4889999999999999"/>
    <n v="19.715"/>
    <n v="17.866"/>
    <n v="5.2910000000000004"/>
    <n v="21.555999999999997"/>
    <n v="8.1829999999999998"/>
    <n v="14.565"/>
    <n v="6.3520000000000003"/>
    <n v="4.1680000000000001"/>
    <n v="19.916999999999998"/>
    <n v="18.306999999999999"/>
    <n v="11.907"/>
    <n v="8.9169999999999998"/>
    <n v="15.326000000000001"/>
    <n v="23.895999999999997"/>
    <n v="10.871"/>
    <n v="15.235999999999999"/>
    <n v="13.137"/>
    <n v="15.762"/>
    <n v="19.887999999999998"/>
    <n v="17.634"/>
    <n v="10.573"/>
    <n v="16.829999999999998"/>
    <n v="12.231999999999999"/>
    <n v="2.2000000000000002E-2"/>
    <n v="19.853999999999999"/>
    <n v="13.584099999999998"/>
    <n v="13.584099999999998"/>
  </r>
  <r>
    <n v="35"/>
    <x v="0"/>
    <x v="20"/>
    <s v="Trinity"/>
    <s v="Public-Paid"/>
    <s v="3.3 kW"/>
    <s v="OCPP"/>
    <n v="11"/>
    <x v="1"/>
    <n v="48.14200000000001"/>
    <n v="69.692999999999998"/>
    <n v="74.492999999999981"/>
    <n v="83.315999999999988"/>
    <n v="83.465999999999994"/>
    <n v="94.283000000000001"/>
    <n v="98.764999999999986"/>
    <n v="35.889000000000003"/>
    <n v="51.100999999999992"/>
    <n v="66.004999999999981"/>
    <n v="85.300000000000011"/>
    <n v="83.935999999999993"/>
    <n v="60.75"/>
    <n v="66.775000000000006"/>
    <n v="54.682000000000002"/>
    <n v="53.575999999999993"/>
    <n v="73.201999999999998"/>
    <n v="70.847999999999999"/>
    <n v="72.221000000000004"/>
    <n v="54.978000000000009"/>
    <n v="67.013999999999996"/>
    <n v="53.688000000000002"/>
    <n v="45.417000000000009"/>
    <n v="62.415000000000006"/>
    <n v="89.965000000000003"/>
    <n v="65.872"/>
    <n v="71.371000000000009"/>
    <n v="73.098000000000013"/>
    <n v="63.147000000000006"/>
    <n v="73.991000000000014"/>
    <n v="68.246633333333335"/>
    <n v="6.2042393939393943"/>
  </r>
  <r>
    <n v="36"/>
    <x v="0"/>
    <x v="21"/>
    <s v="Trinity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7399999999999998"/>
    <n v="0"/>
    <n v="0"/>
    <n v="0"/>
    <n v="3.2466666666666665E-2"/>
    <n v="3.2466666666666665E-2"/>
  </r>
  <r>
    <n v="37"/>
    <x v="0"/>
    <x v="22"/>
    <s v="Trinity"/>
    <s v="Public-Paid"/>
    <s v="3.3 kW"/>
    <s v="OCPP"/>
    <n v="6"/>
    <x v="1"/>
    <n v="6.1389999999999993"/>
    <n v="19.858999999999998"/>
    <n v="13.694999999999999"/>
    <n v="7.2780000000000005"/>
    <n v="16.777999999999999"/>
    <n v="25.353999999999999"/>
    <n v="24.957000000000001"/>
    <n v="24.571999999999999"/>
    <n v="0"/>
    <n v="14.350999999999999"/>
    <n v="42.4"/>
    <n v="21.716999999999999"/>
    <n v="15.754999999999999"/>
    <n v="27.446999999999996"/>
    <n v="20.027999999999999"/>
    <n v="0"/>
    <n v="26.505000000000003"/>
    <n v="23.368999999999996"/>
    <n v="21.007999999999999"/>
    <n v="53.169999999999995"/>
    <n v="26.303999999999998"/>
    <n v="34.658999999999999"/>
    <n v="5.8759999999999994"/>
    <n v="32.955000000000005"/>
    <n v="25.134"/>
    <n v="40.411000000000001"/>
    <n v="46.288000000000004"/>
    <n v="31.742000000000004"/>
    <n v="57.190000000000005"/>
    <n v="11.65"/>
    <n v="23.886366666666667"/>
    <n v="3.9810611111111114"/>
  </r>
  <r>
    <n v="38"/>
    <x v="0"/>
    <x v="23"/>
    <s v="Trinity"/>
    <s v="Public-Paid"/>
    <s v="3.3 kW"/>
    <s v="OCPP"/>
    <n v="11"/>
    <x v="1"/>
    <n v="152.27500000000003"/>
    <n v="91.631"/>
    <n v="147.13900000000004"/>
    <n v="133.39500000000004"/>
    <n v="92.875"/>
    <n v="63.451000000000001"/>
    <n v="140.88200000000001"/>
    <n v="62.64"/>
    <n v="67.534999999999997"/>
    <n v="63.375000000000007"/>
    <n v="143.15400000000002"/>
    <n v="93.668999999999997"/>
    <n v="137.50700000000001"/>
    <n v="66.081999999999994"/>
    <n v="73.218000000000004"/>
    <n v="81.749999999999986"/>
    <n v="43.688000000000002"/>
    <n v="65.28"/>
    <n v="112.21799999999999"/>
    <n v="139.44199999999998"/>
    <n v="111.57899999999999"/>
    <n v="86.15000000000002"/>
    <n v="135.63899999999998"/>
    <n v="154.80500000000004"/>
    <n v="110.42999999999999"/>
    <n v="131.32699999999997"/>
    <n v="147.624"/>
    <n v="79.662999999999997"/>
    <n v="146.27999999999997"/>
    <n v="115.88400000000001"/>
    <n v="106.35289999999999"/>
    <n v="9.6684454545454539"/>
  </r>
  <r>
    <n v="39"/>
    <x v="0"/>
    <x v="24"/>
    <s v="Trinity"/>
    <s v="Public-Paid"/>
    <s v="22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"/>
    <x v="0"/>
    <x v="25"/>
    <s v="Trinity"/>
    <s v="Public-Paid"/>
    <s v="3.3 kW"/>
    <s v="OCPP"/>
    <n v="5"/>
    <x v="1"/>
    <n v="8.6000000000000007E-2"/>
    <n v="3.0729999999999995"/>
    <n v="20.143000000000001"/>
    <n v="14.247999999999999"/>
    <n v="88.571000000000012"/>
    <n v="25.055"/>
    <n v="35.860999999999997"/>
    <n v="35.327999999999996"/>
    <n v="6.6130000000000004"/>
    <n v="12.558"/>
    <n v="40.415999999999997"/>
    <n v="49.501000000000005"/>
    <n v="35.922000000000004"/>
    <n v="12.280000000000001"/>
    <n v="9.6359999999999992"/>
    <n v="0"/>
    <n v="12.747"/>
    <n v="3.617"/>
    <n v="7.3339999999999996"/>
    <n v="12.682"/>
    <n v="22.531999999999996"/>
    <n v="8.8209999999999997"/>
    <n v="3.0680000000000001"/>
    <n v="9.8429999999999982"/>
    <n v="4.4289999999999994"/>
    <n v="6.7409999999999997"/>
    <n v="3.8450000000000002"/>
    <n v="8.9600000000000009"/>
    <n v="11.571999999999999"/>
    <n v="2.6549999999999998"/>
    <n v="16.937899999999999"/>
    <n v="3.3875799999999998"/>
  </r>
  <r>
    <n v="41"/>
    <x v="0"/>
    <x v="26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x v="0"/>
    <x v="27"/>
    <s v="Trinity"/>
    <s v="Public-Paid"/>
    <s v="3.3 kW"/>
    <s v="OCPP"/>
    <n v="1"/>
    <x v="0"/>
    <n v="4.4870000000000001"/>
    <n v="5.9849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906666666666664"/>
    <n v="0.34906666666666664"/>
  </r>
  <r>
    <n v="43"/>
    <x v="0"/>
    <x v="28"/>
    <s v="ETO"/>
    <s v="Public-Paid"/>
    <s v="3.3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x v="29"/>
    <s v="ETO"/>
    <s v="Public-Paid"/>
    <s v="3.3 kW"/>
    <s v="OCPP"/>
    <n v="1"/>
    <x v="1"/>
    <n v="0"/>
    <n v="6.3659999999999997"/>
    <n v="0"/>
    <n v="0"/>
    <n v="0"/>
    <n v="0"/>
    <n v="0"/>
    <n v="0"/>
    <n v="0"/>
    <n v="7.5209999999999999"/>
    <n v="0"/>
    <n v="0"/>
    <n v="0"/>
    <n v="0"/>
    <n v="0"/>
    <n v="0"/>
    <n v="0"/>
    <n v="0"/>
    <n v="0"/>
    <n v="4.7030000000000003"/>
    <n v="0"/>
    <n v="0"/>
    <n v="0"/>
    <n v="0"/>
    <n v="0"/>
    <n v="0"/>
    <n v="0"/>
    <n v="0"/>
    <n v="0"/>
    <n v="0"/>
    <n v="0.6196666666666667"/>
    <n v="0.6196666666666667"/>
  </r>
  <r>
    <n v="45"/>
    <x v="0"/>
    <x v="30"/>
    <s v="Trinity"/>
    <s v="Public-Paid"/>
    <s v="25 kW"/>
    <s v="DC Charger"/>
    <n v="2"/>
    <x v="0"/>
    <n v="0"/>
    <n v="28.974"/>
    <n v="63.731000000000009"/>
    <n v="95.056000000000012"/>
    <n v="88.545999999999992"/>
    <n v="146.404"/>
    <n v="43.747"/>
    <n v="14.117000000000001"/>
    <n v="27.835000000000001"/>
    <n v="64.919000000000011"/>
    <n v="88.271000000000001"/>
    <n v="118.21199999999999"/>
    <n v="70.989999999999995"/>
    <n v="44.287999999999997"/>
    <n v="23.627000000000002"/>
    <n v="62.669000000000004"/>
    <n v="89.447999999999993"/>
    <n v="112.384"/>
    <n v="143.85900000000001"/>
    <n v="100.63500000000001"/>
    <n v="45.504000000000005"/>
    <n v="7.9649999999999999"/>
    <n v="50.403999999999996"/>
    <n v="113.706"/>
    <n v="177.31299999999999"/>
    <n v="203.99700000000001"/>
    <n v="160.47600000000003"/>
    <n v="81.478999999999999"/>
    <n v="46.870000000000005"/>
    <n v="137.40600000000001"/>
    <n v="81.76106666666665"/>
    <n v="40.880533333333325"/>
  </r>
  <r>
    <n v="46"/>
    <x v="0"/>
    <x v="31"/>
    <s v="Trinity"/>
    <s v="Public-Paid"/>
    <s v="3.3 kW"/>
    <s v="OCPP"/>
    <n v="5"/>
    <x v="0"/>
    <n v="1.6860000000000002"/>
    <n v="2.5859999999999999"/>
    <n v="5.2089999999999996"/>
    <n v="4.3570000000000002"/>
    <n v="4.1900000000000004"/>
    <n v="8.5719999999999992"/>
    <n v="2.367"/>
    <n v="1.51"/>
    <n v="5.4239999999999995"/>
    <n v="3.5140000000000002"/>
    <n v="2.629"/>
    <n v="7.729000000000001"/>
    <n v="9.9349999999999987"/>
    <n v="2.5019999999999998"/>
    <n v="14.371"/>
    <n v="29.323999999999998"/>
    <n v="7.101"/>
    <n v="5.0000000000000001E-3"/>
    <n v="16.618000000000002"/>
    <n v="49.007000000000005"/>
    <n v="29.430999999999997"/>
    <n v="26.283999999999999"/>
    <n v="8.7029999999999994"/>
    <n v="23.145999999999997"/>
    <n v="16.901"/>
    <n v="3.6520000000000001"/>
    <n v="28.675000000000004"/>
    <n v="4.6849999999999996"/>
    <n v="10.200999999999999"/>
    <n v="16.698"/>
    <n v="11.567066666666667"/>
    <n v="2.3134133333333335"/>
  </r>
  <r>
    <n v="47"/>
    <x v="0"/>
    <x v="32"/>
    <s v="Trinity"/>
    <s v="Public-Paid"/>
    <s v="3.3 kW"/>
    <s v="OCPP"/>
    <n v="2"/>
    <x v="0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x v="0"/>
    <x v="32"/>
    <s v="Trinity"/>
    <s v="Public-Paid"/>
    <s v="22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0"/>
    <x v="33"/>
    <s v="Trinity"/>
    <s v="Public-Paid"/>
    <s v="3.3 kW"/>
    <s v="OCPP"/>
    <n v="4"/>
    <x v="0"/>
    <n v="0"/>
    <n v="0"/>
    <n v="0"/>
    <n v="0"/>
    <n v="0"/>
    <n v="0"/>
    <n v="0"/>
    <n v="0"/>
    <n v="0"/>
    <n v="0"/>
    <n v="0"/>
    <n v="0"/>
    <n v="0"/>
    <n v="5.2949999999999999"/>
    <n v="20.402999999999999"/>
    <n v="87.835999999999999"/>
    <n v="83.062000000000012"/>
    <n v="27.676000000000002"/>
    <n v="46.876999999999995"/>
    <n v="57.167000000000002"/>
    <n v="35.436"/>
    <n v="88.728999999999999"/>
    <n v="48.389000000000003"/>
    <n v="57.555"/>
    <n v="114.12499999999999"/>
    <n v="118.02100000000002"/>
    <n v="12.113"/>
    <n v="73.125"/>
    <n v="70.76400000000001"/>
    <n v="89.037999999999982"/>
    <n v="34.520366666666661"/>
    <n v="8.6300916666666652"/>
  </r>
  <r>
    <n v="50"/>
    <x v="0"/>
    <x v="34"/>
    <s v="Trinity"/>
    <s v="Public-Paid"/>
    <s v="3.3 kW"/>
    <s v="OCPP"/>
    <n v="1"/>
    <x v="0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0"/>
    <x v="35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0"/>
    <x v="36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0"/>
    <x v="37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1"/>
    <x v="38"/>
    <s v="Trinity"/>
    <s v="Public-Paid"/>
    <s v="3.3 kW"/>
    <s v="OCPP"/>
    <n v="5"/>
    <x v="1"/>
    <n v="0"/>
    <n v="12.437999999999999"/>
    <n v="31.055999999999997"/>
    <n v="12.18"/>
    <n v="20.922000000000001"/>
    <n v="113.43300000000002"/>
    <n v="38.649000000000001"/>
    <n v="7.0310000000000006"/>
    <n v="17.109999999999996"/>
    <n v="12.818"/>
    <n v="12.481"/>
    <n v="6.0640000000000001"/>
    <n v="20.067"/>
    <n v="12.831"/>
    <n v="0"/>
    <n v="11.333"/>
    <n v="20.344999999999999"/>
    <n v="14.511000000000001"/>
    <n v="18.645"/>
    <n v="7.2919999999999998"/>
    <n v="12.894"/>
    <n v="0"/>
    <n v="3.7440000000000002"/>
    <n v="9.7390000000000008"/>
    <n v="12.935"/>
    <n v="10.951000000000001"/>
    <n v="8.3530000000000015"/>
    <n v="12.885999999999999"/>
    <n v="11.593"/>
    <n v="6.7119999999999997"/>
    <n v="15.967100000000004"/>
    <n v="3.1934200000000006"/>
  </r>
  <r>
    <n v="55"/>
    <x v="1"/>
    <x v="39"/>
    <s v="Trinity"/>
    <s v="Public-Paid"/>
    <s v="3.3 kW"/>
    <s v="OCPP"/>
    <n v="10"/>
    <x v="1"/>
    <n v="15.172000000000001"/>
    <n v="0"/>
    <n v="0"/>
    <n v="0"/>
    <n v="2.3769999999999998"/>
    <n v="0"/>
    <n v="0"/>
    <n v="0"/>
    <n v="15.893000000000002"/>
    <n v="22.872"/>
    <n v="77.350999999999985"/>
    <n v="38.503"/>
    <n v="91.099000000000004"/>
    <n v="73.093999999999994"/>
    <n v="76.615999999999985"/>
    <n v="80.387999999999991"/>
    <n v="83.939999999999984"/>
    <n v="78.435999999999993"/>
    <n v="84.179000000000002"/>
    <n v="76.728000000000009"/>
    <n v="51.780999999999999"/>
    <n v="70.874999999999986"/>
    <n v="63.113"/>
    <n v="56.045000000000002"/>
    <n v="83.305999999999997"/>
    <n v="59.445"/>
    <n v="60.041000000000004"/>
    <n v="79.629000000000005"/>
    <n v="66.567000000000007"/>
    <n v="105.77500000000002"/>
    <n v="50.44083333333333"/>
    <n v="5.044083333333333"/>
  </r>
  <r>
    <n v="56"/>
    <x v="2"/>
    <x v="40"/>
    <s v="Trinity"/>
    <s v="Public-Paid"/>
    <s v="3.3 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x v="2"/>
    <x v="41"/>
    <s v="Trinity"/>
    <s v="Public-Paid"/>
    <s v="3.3 kW"/>
    <s v="OCPP"/>
    <n v="7"/>
    <x v="1"/>
    <n v="100.71299999999999"/>
    <n v="154.161"/>
    <n v="68.349999999999994"/>
    <n v="104.36500000000002"/>
    <n v="111.878"/>
    <n v="114.718"/>
    <n v="28.515000000000001"/>
    <n v="93.00200000000001"/>
    <n v="126.297"/>
    <n v="114.96299999999997"/>
    <n v="118.77300000000001"/>
    <n v="94.278000000000006"/>
    <n v="143.03300000000004"/>
    <n v="98.27"/>
    <n v="107.86799999999999"/>
    <n v="127.96599999999999"/>
    <n v="95.968000000000018"/>
    <n v="128.19900000000001"/>
    <n v="104.59099999999999"/>
    <n v="106.595"/>
    <n v="107.37"/>
    <n v="106.401"/>
    <n v="116.18799999999999"/>
    <n v="89.939000000000007"/>
    <n v="105.23000000000003"/>
    <n v="100.23599999999999"/>
    <n v="124.02499999999999"/>
    <n v="93.331000000000003"/>
    <n v="110.39800000000004"/>
    <n v="106.449"/>
    <n v="106.73566666666666"/>
    <n v="15.24795238095238"/>
  </r>
  <r>
    <n v="58"/>
    <x v="3"/>
    <x v="42"/>
    <s v="Trinity"/>
    <s v="Public-Paid"/>
    <s v="3.3 kW"/>
    <s v="OCPP"/>
    <n v="7"/>
    <x v="1"/>
    <n v="38.216000000000001"/>
    <n v="25.319999999999997"/>
    <n v="2.6539999999999999"/>
    <n v="4.694"/>
    <n v="1.8240000000000001"/>
    <n v="27.497000000000003"/>
    <n v="49.672999999999995"/>
    <n v="73.219000000000023"/>
    <n v="45.094000000000001"/>
    <n v="34.132000000000005"/>
    <n v="58.843000000000004"/>
    <n v="41.577000000000005"/>
    <n v="57.538000000000004"/>
    <n v="66.326000000000008"/>
    <n v="47.468000000000004"/>
    <n v="53.64"/>
    <n v="29.548999999999999"/>
    <n v="64.621000000000009"/>
    <n v="35.346000000000004"/>
    <n v="42.185999999999993"/>
    <n v="55.088999999999999"/>
    <n v="20.936"/>
    <n v="54.813000000000002"/>
    <n v="33.042999999999992"/>
    <n v="46.564"/>
    <n v="51.296999999999997"/>
    <n v="42.781999999999996"/>
    <n v="42.706000000000003"/>
    <n v="43.325000000000003"/>
    <n v="47.078999999999994"/>
    <n v="41.235033333333334"/>
    <n v="5.8907190476190481"/>
  </r>
  <r>
    <n v="59"/>
    <x v="4"/>
    <x v="43"/>
    <s v="Trinity"/>
    <s v="Public-Paid"/>
    <s v="3.3 kW"/>
    <s v="OCPP"/>
    <n v="5"/>
    <x v="1"/>
    <n v="17.268999999999998"/>
    <n v="44.841999999999999"/>
    <n v="28.908000000000001"/>
    <n v="41.546999999999997"/>
    <n v="18.448"/>
    <n v="30.263999999999996"/>
    <n v="10.449"/>
    <n v="25.33"/>
    <n v="24.196999999999996"/>
    <n v="31.222000000000001"/>
    <n v="15.100999999999999"/>
    <n v="37.408000000000001"/>
    <n v="27.732999999999997"/>
    <n v="33.14"/>
    <n v="16.184000000000001"/>
    <n v="30.344000000000001"/>
    <n v="33.012"/>
    <n v="25.726000000000003"/>
    <n v="24.022999999999996"/>
    <n v="26.166"/>
    <n v="16.036000000000001"/>
    <n v="32.171999999999997"/>
    <n v="25.643999999999998"/>
    <n v="37.533999999999992"/>
    <n v="17.260000000000002"/>
    <n v="36.340000000000003"/>
    <n v="25.510999999999999"/>
    <n v="18.28"/>
    <n v="37.521000000000001"/>
    <n v="20.183"/>
    <n v="26.92646666666667"/>
    <n v="5.3852933333333342"/>
  </r>
  <r>
    <n v="60"/>
    <x v="5"/>
    <x v="44"/>
    <s v="Flipkart"/>
    <s v="Public-Paid"/>
    <s v="3.3 kW"/>
    <s v="OCPP"/>
    <n v="4"/>
    <x v="1"/>
    <n v="82.23299999999999"/>
    <n v="97.47199999999998"/>
    <n v="88.346999999999994"/>
    <n v="93.628999999999991"/>
    <n v="109.36799999999999"/>
    <n v="95.358000000000004"/>
    <n v="4.8780000000000001"/>
    <n v="97.873999999999995"/>
    <n v="82.882000000000005"/>
    <n v="86.721999999999994"/>
    <n v="95.518000000000001"/>
    <n v="92.292000000000016"/>
    <n v="85.476000000000013"/>
    <n v="96.62"/>
    <n v="78.495000000000005"/>
    <n v="84.093999999999994"/>
    <n v="71.135999999999996"/>
    <n v="97.423000000000016"/>
    <n v="81.840999999999994"/>
    <n v="70.489999999999995"/>
    <n v="84.140999999999991"/>
    <n v="97.561999999999983"/>
    <n v="75.471000000000004"/>
    <n v="79.418999999999997"/>
    <n v="87.402000000000001"/>
    <n v="68.50800000000001"/>
    <n v="86.094000000000008"/>
    <n v="100.77599999999995"/>
    <n v="78.400000000000006"/>
    <n v="81.726000000000013"/>
    <n v="84.388233333333318"/>
    <n v="21.097058333333329"/>
  </r>
  <r>
    <n v="61"/>
    <x v="5"/>
    <x v="45"/>
    <s v="Flipkart"/>
    <s v="Public-Paid"/>
    <s v="3.3 kW"/>
    <s v="OCPP"/>
    <n v="9"/>
    <x v="1"/>
    <n v="173.15699999999998"/>
    <n v="133.29000000000002"/>
    <n v="174.60199999999998"/>
    <n v="132.27500000000003"/>
    <n v="205.84300000000002"/>
    <n v="140.61199999999999"/>
    <n v="93.287999999999982"/>
    <n v="56.280999999999999"/>
    <n v="185.76300000000006"/>
    <n v="51.535999999999994"/>
    <n v="85.881"/>
    <n v="155.37000000000006"/>
    <n v="97.294000000000011"/>
    <n v="83.683999999999997"/>
    <n v="85.745999999999995"/>
    <n v="155.98600000000002"/>
    <n v="137.57599999999999"/>
    <n v="73.512999999999991"/>
    <n v="100.36100000000002"/>
    <n v="138.37099999999998"/>
    <n v="128.02799999999999"/>
    <n v="148.48999999999995"/>
    <n v="106.402"/>
    <n v="88.286000000000016"/>
    <n v="104.04800000000002"/>
    <n v="111.92400000000002"/>
    <n v="139.64900000000003"/>
    <n v="158.11500000000001"/>
    <n v="140.03200000000001"/>
    <n v="133.10300000000004"/>
    <n v="123.95020000000001"/>
    <n v="13.772244444444446"/>
  </r>
  <r>
    <n v="62"/>
    <x v="5"/>
    <x v="46"/>
    <s v="EFL"/>
    <s v="Public-Free"/>
    <s v="3.3 kW"/>
    <s v="OCPP"/>
    <n v="8"/>
    <x v="1"/>
    <n v="25.696000000000002"/>
    <n v="39.603000000000002"/>
    <n v="56.771999999999998"/>
    <n v="38.718999999999994"/>
    <n v="38.327999999999996"/>
    <n v="47.253000000000014"/>
    <n v="50.467999999999996"/>
    <n v="2.5"/>
    <n v="54.105000000000004"/>
    <n v="28.616000000000003"/>
    <n v="68.099000000000004"/>
    <n v="42.602000000000004"/>
    <n v="17.498000000000001"/>
    <n v="30.131"/>
    <n v="44.482999999999997"/>
    <n v="46.025000000000006"/>
    <n v="73.167999999999992"/>
    <n v="32.593000000000004"/>
    <n v="21.701999999999998"/>
    <n v="40.182000000000002"/>
    <n v="20.507999999999996"/>
    <n v="26.351000000000003"/>
    <n v="27.598000000000003"/>
    <n v="9.9450000000000003"/>
    <n v="30.845000000000006"/>
    <n v="41.423999999999999"/>
    <n v="28.379000000000001"/>
    <n v="35.893000000000001"/>
    <n v="59.153999999999996"/>
    <n v="34.646000000000001"/>
    <n v="37.109533333333324"/>
    <n v="4.6386916666666655"/>
  </r>
  <r>
    <n v="63"/>
    <x v="5"/>
    <x v="46"/>
    <s v="EFL"/>
    <s v="Public-Free"/>
    <s v="6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"/>
    <x v="5"/>
    <x v="47"/>
    <s v="Trinity"/>
    <s v="Public-Paid"/>
    <s v="3.3 kW"/>
    <s v="OCPP"/>
    <n v="7"/>
    <x v="1"/>
    <n v="212.25199999999998"/>
    <n v="150.01399999999998"/>
    <n v="193.50200000000001"/>
    <n v="181.34999999999997"/>
    <n v="182.65899999999996"/>
    <n v="200.29300000000003"/>
    <n v="48.769999999999996"/>
    <n v="126.41700000000002"/>
    <n v="120.07299999999999"/>
    <n v="211.85099999999997"/>
    <n v="193.41600000000005"/>
    <n v="179.82300000000001"/>
    <n v="205.00899999999999"/>
    <n v="135.83799999999999"/>
    <n v="179.42999999999998"/>
    <n v="146.36799999999999"/>
    <n v="198.56299999999996"/>
    <n v="176.18799999999999"/>
    <n v="116.098"/>
    <n v="156.76300000000001"/>
    <n v="164.804"/>
    <n v="186.142"/>
    <n v="134.745"/>
    <n v="148.40699999999998"/>
    <n v="151.80500000000001"/>
    <n v="172.87399999999997"/>
    <n v="133.43900000000002"/>
    <n v="201.34899999999999"/>
    <n v="200.16000000000003"/>
    <n v="211.04900000000006"/>
    <n v="167.31503333333333"/>
    <n v="23.902147619047618"/>
  </r>
  <r>
    <n v="65"/>
    <x v="5"/>
    <x v="48"/>
    <s v="Trinity"/>
    <s v="Public-Paid"/>
    <s v="3.3 kW"/>
    <s v="OCPP"/>
    <n v="10"/>
    <x v="1"/>
    <n v="189.66899999999995"/>
    <n v="180.45800000000008"/>
    <n v="174.36399999999998"/>
    <n v="184.16499999999994"/>
    <n v="196.60400000000004"/>
    <n v="178.08500000000001"/>
    <n v="104.72999999999999"/>
    <n v="161.66799999999995"/>
    <n v="142.13499999999999"/>
    <n v="251.70700000000005"/>
    <n v="208.80800000000002"/>
    <n v="200.96399999999994"/>
    <n v="175.60200000000003"/>
    <n v="168.94"/>
    <n v="205.268"/>
    <n v="180.982"/>
    <n v="158.91"/>
    <n v="189.56100000000004"/>
    <n v="195.05400000000003"/>
    <n v="184.98200000000006"/>
    <n v="131.83500000000006"/>
    <n v="257.73399999999998"/>
    <n v="155.45099999999996"/>
    <n v="189.86999999999995"/>
    <n v="164.22200000000001"/>
    <n v="157.15200000000002"/>
    <n v="219.68899999999996"/>
    <n v="213.19799999999992"/>
    <n v="203.46799999999993"/>
    <n v="235.76799999999994"/>
    <n v="185.3681"/>
    <n v="18.536809999999999"/>
  </r>
  <r>
    <n v="66"/>
    <x v="5"/>
    <x v="49"/>
    <s v="Trinity"/>
    <s v="Public-Paid"/>
    <s v="3.3 kW"/>
    <s v="OCPP"/>
    <n v="8"/>
    <x v="1"/>
    <n v="121.73400000000001"/>
    <n v="147.65"/>
    <n v="90.484999999999999"/>
    <n v="108.93400000000001"/>
    <n v="104.262"/>
    <n v="120.94099999999997"/>
    <n v="72.001000000000005"/>
    <n v="23.885000000000005"/>
    <n v="88.570000000000007"/>
    <n v="94.318000000000026"/>
    <n v="98.259"/>
    <n v="81.290999999999997"/>
    <n v="91.890000000000029"/>
    <n v="96.083000000000013"/>
    <n v="52.711999999999996"/>
    <n v="98.057000000000016"/>
    <n v="82.137"/>
    <n v="83.543999999999997"/>
    <n v="85.352999999999994"/>
    <n v="87.244000000000028"/>
    <n v="67.704999999999998"/>
    <n v="95.31"/>
    <n v="63.496000000000009"/>
    <n v="67.957000000000008"/>
    <n v="99.760999999999996"/>
    <n v="75.916999999999987"/>
    <n v="91.841000000000008"/>
    <n v="72.965999999999994"/>
    <n v="93.738"/>
    <n v="84.675000000000011"/>
    <n v="88.090533333333326"/>
    <n v="11.011316666666666"/>
  </r>
  <r>
    <n v="67"/>
    <x v="5"/>
    <x v="50"/>
    <s v="Trinity"/>
    <s v="Public-Paid"/>
    <s v="3.3 kW"/>
    <s v="OCPP"/>
    <n v="6"/>
    <x v="1"/>
    <n v="7.9490000000000007"/>
    <n v="1.6949999999999998"/>
    <n v="2.173"/>
    <n v="0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403333333333329"/>
    <n v="6.5672222222222215E-2"/>
  </r>
  <r>
    <n v="68"/>
    <x v="5"/>
    <x v="51"/>
    <s v="Trinity"/>
    <s v="Public-Paid"/>
    <s v="3.3 kW"/>
    <s v="OCPP"/>
    <n v="2"/>
    <x v="1"/>
    <n v="15.059000000000001"/>
    <n v="37.720999999999989"/>
    <n v="21.076000000000001"/>
    <n v="24.067999999999994"/>
    <n v="25.645"/>
    <n v="39.302"/>
    <n v="9.8780000000000019"/>
    <n v="32.277999999999999"/>
    <n v="16.621000000000002"/>
    <n v="19.360999999999997"/>
    <n v="11.786999999999999"/>
    <n v="28.513000000000005"/>
    <n v="30.936"/>
    <n v="20.606000000000002"/>
    <n v="20.881"/>
    <n v="23.669999999999998"/>
    <n v="19.678000000000001"/>
    <n v="16.503"/>
    <n v="4.516"/>
    <n v="13.359000000000002"/>
    <n v="11.542000000000002"/>
    <n v="27.667999999999999"/>
    <n v="25.074999999999999"/>
    <n v="29.468"/>
    <n v="25.787000000000003"/>
    <n v="22.866"/>
    <n v="15.193999999999999"/>
    <n v="16.677999999999997"/>
    <n v="18.300999999999998"/>
    <n v="11.82"/>
    <n v="21.195233333333338"/>
    <n v="10.597616666666669"/>
  </r>
  <r>
    <n v="69"/>
    <x v="6"/>
    <x v="52"/>
    <s v="Trinity"/>
    <s v="Public-Paid"/>
    <s v="3.3 kW"/>
    <s v="OCPP"/>
    <n v="1"/>
    <x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"/>
    <x v="7"/>
    <x v="53"/>
    <s v="ETO"/>
    <s v="Public-Paid"/>
    <s v="3.3kW"/>
    <s v="OCPP"/>
    <n v="20"/>
    <x v="1"/>
    <n v="3.2770000000000001"/>
    <n v="0"/>
    <n v="0"/>
    <n v="0"/>
    <n v="18.665000000000003"/>
    <n v="31.435000000000006"/>
    <n v="16.600000000000001"/>
    <n v="10.561"/>
    <n v="20.7"/>
    <n v="30.031000000000006"/>
    <n v="21.95"/>
    <n v="23.521999999999998"/>
    <n v="21.322999999999993"/>
    <n v="11.637"/>
    <n v="10.731999999999999"/>
    <n v="10.079000000000001"/>
    <n v="12.663999999999998"/>
    <n v="22.567999999999998"/>
    <n v="9.3659999999999997"/>
    <n v="16.568999999999999"/>
    <n v="12.701000000000002"/>
    <n v="14.896000000000001"/>
    <n v="25.548000000000002"/>
    <n v="15.112"/>
    <n v="19.116"/>
    <n v="12.111999999999998"/>
    <n v="0.57499999999999996"/>
    <n v="0"/>
    <n v="0"/>
    <n v="4.2409999999999997"/>
    <n v="13.199333333333334"/>
    <n v="0.6599666666666667"/>
  </r>
  <r>
    <n v="71"/>
    <x v="7"/>
    <x v="54"/>
    <s v="Trinity"/>
    <s v="Public-Paid"/>
    <s v="3.3kW"/>
    <s v="OCPP"/>
    <n v="3"/>
    <x v="1"/>
    <n v="0.35099999999999998"/>
    <n v="0.8"/>
    <n v="0"/>
    <n v="0"/>
    <n v="0"/>
    <n v="0"/>
    <n v="0"/>
    <n v="0"/>
    <n v="0"/>
    <n v="0"/>
    <n v="0"/>
    <n v="0"/>
    <n v="0"/>
    <n v="0"/>
    <n v="8.4429999999999996"/>
    <n v="15.386999999999999"/>
    <n v="2.4129999999999998"/>
    <n v="4.484"/>
    <n v="0"/>
    <n v="0"/>
    <n v="0"/>
    <n v="0"/>
    <n v="0"/>
    <n v="0"/>
    <n v="2.2050000000000001"/>
    <n v="0"/>
    <n v="0"/>
    <n v="0"/>
    <n v="0"/>
    <n v="0"/>
    <n v="1.1360999999999999"/>
    <n v="0.37869999999999998"/>
  </r>
  <r>
    <n v="72"/>
    <x v="7"/>
    <x v="55"/>
    <s v="ETO"/>
    <s v="Public-Paid"/>
    <s v="3.3kW"/>
    <s v="OCPP"/>
    <n v="3"/>
    <x v="1"/>
    <n v="40.920999999999999"/>
    <n v="8.6789999999999985"/>
    <n v="41.899000000000001"/>
    <n v="25.221999999999998"/>
    <n v="51.358999999999995"/>
    <n v="34.425000000000004"/>
    <n v="41.176000000000002"/>
    <n v="37.561"/>
    <n v="34.47"/>
    <n v="40.823"/>
    <n v="48.08700000000001"/>
    <n v="56.440000000000005"/>
    <n v="46.671999999999997"/>
    <n v="48.245000000000005"/>
    <n v="32.701000000000001"/>
    <n v="30.122"/>
    <n v="23.956"/>
    <n v="19.271000000000001"/>
    <n v="36.826000000000001"/>
    <n v="25.512999999999998"/>
    <n v="33.363"/>
    <n v="42.11"/>
    <n v="7.6219999999999999"/>
    <n v="50.503"/>
    <n v="17.236999999999998"/>
    <n v="36.388000000000005"/>
    <n v="6.4720000000000004"/>
    <n v="18.922999999999998"/>
    <n v="23.126000000000001"/>
    <n v="43.233000000000004"/>
    <n v="33.444833333333335"/>
    <n v="11.148277777777778"/>
  </r>
  <r>
    <n v="73"/>
    <x v="8"/>
    <x v="56"/>
    <s v="SOU"/>
    <s v="Public-Paid"/>
    <s v="3.3 kW"/>
    <s v="OCPP"/>
    <n v="40"/>
    <x v="1"/>
    <n v="236.92699999999991"/>
    <n v="216.78400000000002"/>
    <n v="220.87699999999995"/>
    <n v="155.601"/>
    <n v="212.49899999999991"/>
    <n v="202.28299999999987"/>
    <n v="210.267"/>
    <n v="420.98599999999993"/>
    <n v="241.73599999999999"/>
    <n v="144.11100000000002"/>
    <n v="311.29900000000015"/>
    <n v="257.96600000000001"/>
    <n v="264.28699999999992"/>
    <n v="385.08499999999992"/>
    <n v="605.64599999999996"/>
    <n v="514.95500000000004"/>
    <n v="372.99800000000005"/>
    <n v="237.24099999999999"/>
    <n v="190.85999999999996"/>
    <n v="223.08600000000001"/>
    <n v="424.81700000000012"/>
    <n v="493.18300000000022"/>
    <n v="303.89000000000004"/>
    <n v="222.67300000000003"/>
    <n v="324.37200000000001"/>
    <n v="273.04899999999992"/>
    <n v="278.96400000000011"/>
    <n v="344.35600000000005"/>
    <n v="405.67400000000004"/>
    <n v="326.85599999999994"/>
    <n v="300.77760000000001"/>
    <n v="7.5194400000000003"/>
  </r>
  <r>
    <n v="74"/>
    <x v="9"/>
    <x v="57"/>
    <s v="ETO"/>
    <s v="Public-Paid"/>
    <s v="3.3 kW"/>
    <s v="OCPP"/>
    <n v="19"/>
    <x v="1"/>
    <n v="5.2789999999999999"/>
    <n v="5.0139999999999993"/>
    <n v="5.2990000000000004"/>
    <n v="3.1740000000000004"/>
    <n v="5.4209999999999994"/>
    <n v="3.3159999999999998"/>
    <n v="4.5590000000000002"/>
    <n v="4.6840000000000002"/>
    <n v="5.2880000000000003"/>
    <n v="4.056"/>
    <n v="4.8549999999999995"/>
    <n v="1.897"/>
    <n v="0.876"/>
    <n v="3.5780000000000003"/>
    <n v="4.7119999999999997"/>
    <n v="3.1880000000000002"/>
    <n v="4.6590000000000007"/>
    <n v="2.0110000000000001"/>
    <n v="2.6670000000000003"/>
    <n v="4.524"/>
    <n v="5.0749999999999993"/>
    <n v="5.2059999999999995"/>
    <n v="5.1910000000000007"/>
    <n v="5.2650000000000006"/>
    <n v="4.4770000000000003"/>
    <n v="4.6959999999999997"/>
    <n v="4.3059999999999992"/>
    <n v="3.4620000000000002"/>
    <n v="3.4529999999999998"/>
    <n v="3.7699999999999996"/>
    <n v="4.1319333333333335"/>
    <n v="0.21747017543859651"/>
  </r>
  <r>
    <n v="75"/>
    <x v="10"/>
    <x v="58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77000000000001"/>
    <n v="0"/>
    <n v="0"/>
    <n v="11.349"/>
    <n v="0"/>
    <n v="0"/>
    <n v="0"/>
    <n v="0"/>
    <n v="0"/>
    <n v="0"/>
    <n v="0"/>
    <n v="19.390999999999998"/>
    <n v="1.8672333333333335"/>
    <n v="0.93361666666666676"/>
  </r>
  <r>
    <n v="76"/>
    <x v="11"/>
    <x v="59"/>
    <s v="Trinity"/>
    <s v="Public-Paid"/>
    <s v="3.3kW"/>
    <s v="OCPP"/>
    <n v="10"/>
    <x v="1"/>
    <n v="166.79300000000003"/>
    <n v="104.35499999999999"/>
    <n v="167.131"/>
    <n v="150.64400000000003"/>
    <n v="77.883000000000038"/>
    <n v="56.809999999999995"/>
    <n v="154.80999999999997"/>
    <n v="138.24400000000006"/>
    <n v="148.7540000000001"/>
    <n v="123.80299999999994"/>
    <n v="105.21299999999999"/>
    <n v="59.127999999999993"/>
    <n v="155.92699999999996"/>
    <n v="160.61700000000005"/>
    <n v="150.35100000000003"/>
    <n v="165.26600000000008"/>
    <n v="114.83700000000005"/>
    <n v="186.38200000000003"/>
    <n v="126.16200000000002"/>
    <n v="145.762"/>
    <n v="120.73200000000004"/>
    <n v="144.43799999999993"/>
    <n v="162.55699999999999"/>
    <n v="136.59400000000005"/>
    <n v="109.00499999999998"/>
    <n v="145.78900000000004"/>
    <n v="87.102000000000004"/>
    <n v="71.807000000000002"/>
    <n v="96.054000000000016"/>
    <n v="122.19199999999998"/>
    <n v="128.50473333333332"/>
    <n v="12.850473333333332"/>
  </r>
  <r>
    <n v="77"/>
    <x v="11"/>
    <x v="59"/>
    <s v="Trinity"/>
    <s v="Public-Paid"/>
    <s v="7.4 kW"/>
    <s v="OCPP"/>
    <n v="1"/>
    <x v="1"/>
    <n v="8.5329999999999995"/>
    <n v="44.531999999999996"/>
    <n v="15.555"/>
    <n v="0"/>
    <n v="21.885999999999999"/>
    <n v="35.673000000000002"/>
    <n v="5.335"/>
    <n v="37.792999999999999"/>
    <n v="6.6989999999999998"/>
    <n v="17.193999999999999"/>
    <n v="0"/>
    <n v="0"/>
    <n v="23.978999999999999"/>
    <n v="0"/>
    <n v="0"/>
    <n v="0"/>
    <n v="31.864000000000001"/>
    <n v="0"/>
    <n v="15.732999999999999"/>
    <n v="3.6159999999999997"/>
    <n v="0"/>
    <n v="0"/>
    <n v="0"/>
    <n v="0"/>
    <n v="0"/>
    <n v="0"/>
    <n v="0"/>
    <n v="0"/>
    <n v="0"/>
    <n v="0"/>
    <n v="8.9464000000000006"/>
    <n v="8.9464000000000006"/>
  </r>
  <r>
    <n v="78"/>
    <x v="11"/>
    <x v="60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x v="11"/>
    <x v="61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11"/>
    <x v="62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12"/>
    <x v="63"/>
    <s v="ETO"/>
    <s v="Public-Paid"/>
    <s v="3.3 kW"/>
    <s v="OCPP"/>
    <n v="5"/>
    <x v="1"/>
    <n v="39.577999999999996"/>
    <n v="42.838999999999999"/>
    <n v="37.337000000000003"/>
    <n v="30.772999999999996"/>
    <n v="42.578999999999994"/>
    <n v="46.271000000000001"/>
    <n v="47.967999999999996"/>
    <n v="38.932000000000002"/>
    <n v="34.926000000000002"/>
    <n v="36.387"/>
    <n v="32.303000000000004"/>
    <n v="48.399000000000001"/>
    <n v="46.381999999999998"/>
    <n v="42.629999999999995"/>
    <n v="31.145"/>
    <n v="29.143000000000001"/>
    <n v="40.611999999999995"/>
    <n v="37.927999999999997"/>
    <n v="30.878"/>
    <n v="29.676000000000002"/>
    <n v="51.186999999999998"/>
    <n v="25.361999999999998"/>
    <n v="29.998000000000001"/>
    <n v="49.575999999999993"/>
    <n v="30.748999999999999"/>
    <n v="50.061000000000007"/>
    <n v="49.148999999999994"/>
    <n v="28.239000000000001"/>
    <n v="52.198999999999998"/>
    <n v="28.663999999999998"/>
    <n v="38.729000000000006"/>
    <n v="7.7458000000000009"/>
  </r>
  <r>
    <n v="82"/>
    <x v="12"/>
    <x v="64"/>
    <s v="ETO"/>
    <s v="Public-Paid"/>
    <s v="3.3 kW"/>
    <s v="OCPP"/>
    <n v="16"/>
    <x v="1"/>
    <n v="1.252"/>
    <n v="1.573"/>
    <n v="12.280999999999999"/>
    <n v="9.0310000000000006"/>
    <n v="14.837000000000002"/>
    <n v="6.2530000000000001"/>
    <n v="5.5469999999999997"/>
    <n v="6.0540000000000003"/>
    <n v="9.7059999999999995"/>
    <n v="5.056"/>
    <n v="4.9710000000000001"/>
    <n v="0"/>
    <n v="0.40600000000000003"/>
    <n v="8.8420000000000005"/>
    <n v="6.7330000000000005"/>
    <n v="4.49"/>
    <n v="0"/>
    <n v="4.34"/>
    <n v="5.4539999999999997"/>
    <n v="9.375"/>
    <n v="1.427"/>
    <n v="0"/>
    <n v="5.7139999999999995"/>
    <n v="5.6379999999999999"/>
    <n v="1.306"/>
    <n v="0"/>
    <n v="8.6890000000000001"/>
    <n v="22.022000000000002"/>
    <n v="11.007999999999999"/>
    <n v="5.0650000000000004"/>
    <n v="5.9023333333333339"/>
    <n v="0.36889583333333337"/>
  </r>
  <r>
    <n v="83"/>
    <x v="12"/>
    <x v="65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12"/>
    <x v="66"/>
    <s v="ETO"/>
    <s v="Public-Paid"/>
    <s v="3.3 kW"/>
    <s v="OCPP"/>
    <n v="13"/>
    <x v="1"/>
    <n v="20.572999999999997"/>
    <n v="56.558999999999997"/>
    <n v="48.378999999999998"/>
    <n v="42.726000000000006"/>
    <n v="57.416000000000004"/>
    <n v="57.662999999999997"/>
    <n v="63.867000000000012"/>
    <n v="32.118000000000002"/>
    <n v="12.16"/>
    <n v="67.94"/>
    <n v="54.077999999999996"/>
    <n v="18.102000000000004"/>
    <n v="56.79"/>
    <n v="46.958000000000006"/>
    <n v="22.63"/>
    <n v="29.305"/>
    <n v="19.962999999999997"/>
    <n v="58.604000000000006"/>
    <n v="29.411000000000001"/>
    <n v="49.164999999999999"/>
    <n v="61.378999999999991"/>
    <n v="30.355999999999998"/>
    <n v="52.985999999999997"/>
    <n v="58.290999999999997"/>
    <n v="41.533000000000008"/>
    <n v="37.606000000000002"/>
    <n v="55.851000000000006"/>
    <n v="39.861000000000004"/>
    <n v="29.294999999999998"/>
    <n v="41.610999999999997"/>
    <n v="43.105866666666671"/>
    <n v="3.3158358974358979"/>
  </r>
  <r>
    <n v="85"/>
    <x v="12"/>
    <x v="67"/>
    <s v="ETO"/>
    <s v="Public-Paid"/>
    <s v="3.3 kW"/>
    <s v="OCPP"/>
    <n v="20"/>
    <x v="1"/>
    <n v="345.58500000000004"/>
    <n v="294.12599999999998"/>
    <n v="276.16000000000003"/>
    <n v="334.21900000000005"/>
    <n v="374.8159999999998"/>
    <n v="350.60499999999985"/>
    <n v="314.53400000000005"/>
    <n v="322.35599999999988"/>
    <n v="261.56300000000005"/>
    <n v="313.27000000000004"/>
    <n v="345.31599999999997"/>
    <n v="297.13299999999998"/>
    <n v="281.55199999999996"/>
    <n v="321.00800000000015"/>
    <n v="295.70400000000001"/>
    <n v="293.12599999999998"/>
    <n v="329.97599999999994"/>
    <n v="263.35500000000019"/>
    <n v="295.93500000000006"/>
    <n v="308.9020000000001"/>
    <n v="301.61900000000009"/>
    <n v="292.07100000000014"/>
    <n v="287.46000000000009"/>
    <n v="298.34199999999998"/>
    <n v="275.00300000000004"/>
    <n v="328.19699999999983"/>
    <n v="323.1690000000001"/>
    <n v="343.416"/>
    <n v="318.12899999999996"/>
    <n v="279.05800000000005"/>
    <n v="308.85683333333333"/>
    <n v="15.442841666666666"/>
  </r>
  <r>
    <n v="86"/>
    <x v="12"/>
    <x v="68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2"/>
    <x v="69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x v="12"/>
    <x v="70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12"/>
    <x v="71"/>
    <m/>
    <s v="Private-Paid"/>
    <s v="3.3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x v="12"/>
    <x v="72"/>
    <s v="Trinity"/>
    <s v="Public-Free"/>
    <s v="3.3 kW"/>
    <s v="OCPP"/>
    <n v="6"/>
    <x v="0"/>
    <n v="0"/>
    <n v="32.106000000000002"/>
    <n v="63.647000000000013"/>
    <n v="39.654000000000003"/>
    <n v="42.555999999999997"/>
    <n v="60.941000000000003"/>
    <n v="8.1780000000000008"/>
    <n v="11.576000000000001"/>
    <n v="56.417999999999999"/>
    <n v="82.926000000000002"/>
    <n v="48.65"/>
    <n v="65.061999999999998"/>
    <n v="37.69"/>
    <n v="7.1020000000000003"/>
    <n v="0"/>
    <n v="11.579000000000001"/>
    <n v="54.165999999999997"/>
    <n v="75.150000000000006"/>
    <n v="71.01700000000001"/>
    <n v="65.515000000000001"/>
    <n v="5.9219999999999997"/>
    <n v="11.369"/>
    <n v="62.716000000000001"/>
    <n v="64.245999999999995"/>
    <n v="56.891999999999996"/>
    <n v="79.760000000000005"/>
    <n v="79.091999999999999"/>
    <n v="9.2349999999999994"/>
    <n v="20.042000000000002"/>
    <n v="50.882000000000005"/>
    <n v="42.469633333333334"/>
    <n v="7.0782722222222221"/>
  </r>
  <r>
    <n v="91"/>
    <x v="12"/>
    <x v="72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2"/>
    <x v="73"/>
    <s v="Trinity"/>
    <s v="Public-Paid"/>
    <s v="3.3kW"/>
    <s v="OCPP"/>
    <n v="20"/>
    <x v="1"/>
    <n v="171.04400000000001"/>
    <n v="189.82500000000002"/>
    <n v="173.01900000000003"/>
    <n v="188.25799999999998"/>
    <n v="180.69099999999997"/>
    <n v="166.85999999999999"/>
    <n v="191.70700000000008"/>
    <n v="213.042"/>
    <n v="196.24199999999999"/>
    <n v="224.53199999999995"/>
    <n v="245.57699999999994"/>
    <n v="227.56399999999999"/>
    <n v="199.65800000000002"/>
    <n v="168.19900000000004"/>
    <n v="178.17599999999996"/>
    <n v="138.86400000000003"/>
    <n v="197.76900000000001"/>
    <n v="243.39799999999994"/>
    <n v="247.52799999999993"/>
    <n v="190.16399999999996"/>
    <n v="197.04699999999997"/>
    <n v="195.75800000000001"/>
    <n v="242.14099999999999"/>
    <n v="197.54500000000002"/>
    <n v="172.23"/>
    <n v="190.47"/>
    <n v="216.78299999999993"/>
    <n v="229.13299999999998"/>
    <n v="172.44299999999998"/>
    <n v="215.60399999999993"/>
    <n v="198.70903333333328"/>
    <n v="9.9354516666666637"/>
  </r>
  <r>
    <n v="93"/>
    <x v="12"/>
    <x v="74"/>
    <s v="Trinity"/>
    <s v="Public-Paid"/>
    <s v="3.3kW"/>
    <s v="OCPP"/>
    <n v="10"/>
    <x v="1"/>
    <n v="187.73900000000003"/>
    <n v="212.52999999999994"/>
    <n v="190.10700000000003"/>
    <n v="178.38599999999997"/>
    <n v="198.179"/>
    <n v="154.31900000000007"/>
    <n v="196.18"/>
    <n v="187.03999999999996"/>
    <n v="169.33100000000002"/>
    <n v="202.58"/>
    <n v="195.11600000000004"/>
    <n v="199.39"/>
    <n v="181.34200000000004"/>
    <n v="118.529"/>
    <n v="157.35999999999999"/>
    <n v="199.49400000000006"/>
    <n v="200.452"/>
    <n v="219.37800000000001"/>
    <n v="191.87000000000003"/>
    <n v="204.33199999999994"/>
    <n v="203.68600000000001"/>
    <n v="218.10199999999998"/>
    <n v="244.88500000000002"/>
    <n v="202.25700000000003"/>
    <n v="228.05100000000004"/>
    <n v="245.88200000000006"/>
    <n v="218.84"/>
    <n v="176.58"/>
    <n v="155.36199999999999"/>
    <n v="180.52600000000004"/>
    <n v="193.92750000000007"/>
    <n v="19.392750000000007"/>
  </r>
  <r>
    <n v="94"/>
    <x v="12"/>
    <x v="75"/>
    <s v="Trinity"/>
    <s v="Public-Paid"/>
    <s v="3.3kW"/>
    <s v="OCPP"/>
    <n v="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5"/>
    <x v="12"/>
    <x v="75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6"/>
    <x v="12"/>
    <x v="76"/>
    <s v="BYPL MCD Parking"/>
    <s v="Public-Paid"/>
    <s v="3.3kW"/>
    <s v="OCPP"/>
    <n v="2"/>
    <x v="0"/>
    <n v="0"/>
    <n v="8.6630000000000003"/>
    <n v="11.092000000000001"/>
    <n v="8.2279999999999998"/>
    <n v="10.676"/>
    <n v="8.9480000000000004"/>
    <n v="11.771000000000001"/>
    <n v="16.64"/>
    <n v="0"/>
    <n v="20.195"/>
    <n v="0"/>
    <n v="8.9359999999999999"/>
    <n v="9.2919999999999998"/>
    <n v="9.9710000000000001"/>
    <n v="10.917"/>
    <n v="9.3249999999999993"/>
    <n v="11.878"/>
    <n v="0.122"/>
    <n v="19.675000000000001"/>
    <n v="0"/>
    <n v="8.5500000000000007"/>
    <n v="10.363"/>
    <n v="0"/>
    <n v="10.08"/>
    <n v="19.545000000000002"/>
    <n v="4.6189999999999998"/>
    <n v="0"/>
    <n v="11.898999999999999"/>
    <n v="12.368"/>
    <n v="8.6560000000000006"/>
    <n v="8.7469666666666672"/>
    <n v="4.3734833333333336"/>
  </r>
  <r>
    <n v="97"/>
    <x v="12"/>
    <x v="7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12"/>
    <x v="7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x v="12"/>
    <x v="78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"/>
    <x v="12"/>
    <x v="79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12"/>
    <x v="80"/>
    <s v="BYPL MCD Parking"/>
    <s v="Public-Paid"/>
    <s v="3.3kW"/>
    <s v="OCPP"/>
    <n v="3"/>
    <x v="0"/>
    <n v="13.009999999999998"/>
    <n v="4.8970000000000002"/>
    <n v="5.85"/>
    <n v="13.92"/>
    <n v="11.186"/>
    <n v="12.585999999999999"/>
    <n v="9.7899999999999991"/>
    <n v="2.7119999999999997"/>
    <n v="2.5230000000000001"/>
    <n v="18.768000000000001"/>
    <n v="18.402000000000001"/>
    <n v="7.2060000000000004"/>
    <n v="7.45"/>
    <n v="10.321"/>
    <n v="14.873000000000001"/>
    <n v="0"/>
    <n v="16.98"/>
    <n v="5.7389999999999999"/>
    <n v="12.91"/>
    <n v="8.3390000000000004"/>
    <n v="16.070999999999998"/>
    <n v="0"/>
    <n v="13.984"/>
    <n v="10.667999999999999"/>
    <n v="6.6070000000000002"/>
    <n v="11.411000000000001"/>
    <n v="8.4540000000000006"/>
    <n v="0"/>
    <n v="5.8490000000000002"/>
    <n v="1.4379999999999999"/>
    <n v="9.0647999999999982"/>
    <n v="3.0215999999999994"/>
  </r>
  <r>
    <n v="102"/>
    <x v="12"/>
    <x v="81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"/>
    <x v="12"/>
    <x v="82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x v="12"/>
    <x v="83"/>
    <s v="BYPL MCD Parking"/>
    <s v="Public-Paid"/>
    <s v="3.3kW"/>
    <s v="OCPP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5"/>
    <x v="12"/>
    <x v="84"/>
    <s v="ETO"/>
    <s v="Public-Paid"/>
    <s v="3.3kW"/>
    <s v="OCPP"/>
    <n v="4"/>
    <x v="1"/>
    <n v="0"/>
    <n v="0"/>
    <n v="0"/>
    <n v="0"/>
    <n v="0"/>
    <n v="0"/>
    <n v="0"/>
    <n v="0"/>
    <n v="0"/>
    <n v="1E-3"/>
    <n v="1E-3"/>
    <n v="1E-3"/>
    <n v="1E-3"/>
    <n v="1E-3"/>
    <n v="1E-3"/>
    <n v="9.0640000000000001"/>
    <n v="12.048"/>
    <n v="0"/>
    <n v="0"/>
    <n v="1.804"/>
    <n v="1.512"/>
    <n v="0"/>
    <n v="3.0000000000000001E-3"/>
    <n v="1.8139999999999998"/>
    <n v="0"/>
    <n v="0"/>
    <n v="0"/>
    <n v="0"/>
    <n v="0"/>
    <n v="0"/>
    <n v="0.87503333333333333"/>
    <n v="0.21875833333333333"/>
  </r>
  <r>
    <n v="106"/>
    <x v="12"/>
    <x v="85"/>
    <s v="Trinity"/>
    <s v="Public-Paid"/>
    <s v="3.3kW"/>
    <s v="OCPP"/>
    <n v="4"/>
    <x v="1"/>
    <n v="38.053999999999995"/>
    <n v="59.119000000000007"/>
    <n v="76.027000000000001"/>
    <n v="47.798000000000002"/>
    <n v="59.23899999999999"/>
    <n v="47.055999999999997"/>
    <n v="56.402999999999999"/>
    <n v="69.572000000000003"/>
    <n v="68.090999999999994"/>
    <n v="47.136999999999993"/>
    <n v="44.258000000000003"/>
    <n v="53.529000000000003"/>
    <n v="61.259"/>
    <n v="54.095000000000006"/>
    <n v="56.370999999999995"/>
    <n v="50.99"/>
    <n v="63.897000000000006"/>
    <n v="46.227000000000004"/>
    <n v="47.95"/>
    <n v="13.46"/>
    <n v="76.185000000000016"/>
    <n v="55.330000000000005"/>
    <n v="57.138999999999989"/>
    <n v="53.711999999999996"/>
    <n v="63.907999999999994"/>
    <n v="47.641999999999996"/>
    <n v="61.646999999999998"/>
    <n v="57.863"/>
    <n v="71.460000000000008"/>
    <n v="62.776000000000003"/>
    <n v="55.606466666666655"/>
    <n v="13.901616666666664"/>
  </r>
  <r>
    <n v="107"/>
    <x v="12"/>
    <x v="86"/>
    <s v="BRPL MCD Parking"/>
    <s v="Public-Free"/>
    <s v="3.3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619000000000002"/>
    <n v="0.48730000000000007"/>
    <n v="0.24365000000000003"/>
  </r>
  <r>
    <n v="108"/>
    <x v="12"/>
    <x v="87"/>
    <s v="Sold"/>
    <s v="Public-Free"/>
    <s v="3.3kW"/>
    <s v="OCPP"/>
    <n v="2"/>
    <x v="0"/>
    <n v="0"/>
    <n v="0"/>
    <n v="22.314999999999998"/>
    <n v="0"/>
    <n v="1E-3"/>
    <n v="5.7460000000000004"/>
    <n v="0"/>
    <n v="0"/>
    <n v="20.027999999999999"/>
    <n v="0"/>
    <n v="25.433999999999997"/>
    <n v="0"/>
    <n v="0"/>
    <n v="0"/>
    <n v="0"/>
    <n v="0"/>
    <n v="0"/>
    <n v="0"/>
    <n v="7.4139999999999997"/>
    <n v="0"/>
    <n v="0"/>
    <n v="0"/>
    <n v="17.429000000000002"/>
    <n v="1.8720000000000001"/>
    <n v="19.786000000000001"/>
    <n v="0"/>
    <n v="6.45"/>
    <n v="0"/>
    <n v="0"/>
    <n v="27.392000000000003"/>
    <n v="5.1289000000000007"/>
    <n v="2.5644500000000003"/>
  </r>
  <r>
    <n v="109"/>
    <x v="12"/>
    <x v="88"/>
    <s v="BRPL MCD Parking"/>
    <s v="Public-Free"/>
    <s v="3.3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12"/>
    <x v="89"/>
    <s v="Sold"/>
    <s v="Public-Free"/>
    <s v="3.3kW"/>
    <s v="OCPP"/>
    <n v="2"/>
    <x v="0"/>
    <n v="0"/>
    <n v="0"/>
    <n v="1.724"/>
    <n v="0"/>
    <n v="1.699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10000000000001"/>
    <n v="5.7050000000000003E-2"/>
  </r>
  <r>
    <n v="111"/>
    <x v="12"/>
    <x v="90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"/>
    <x v="12"/>
    <x v="91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12"/>
    <x v="92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"/>
    <x v="12"/>
    <x v="93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x v="12"/>
    <x v="94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"/>
    <x v="12"/>
    <x v="95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"/>
    <x v="12"/>
    <x v="96"/>
    <s v="Trinity"/>
    <s v="Public-Paid"/>
    <s v="3.3kW"/>
    <s v="LEVAC-BLE"/>
    <n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DIV/0!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x v="1"/>
    <s v="Amazon"/>
    <s v="Public-Paid"/>
    <s v="3.3 kW"/>
    <s v="OCPP"/>
    <n v="9"/>
    <x v="0"/>
    <n v="118.81300000000002"/>
    <n v="110.40499999999996"/>
    <n v="125.74000000000002"/>
    <n v="104.44600000000003"/>
    <n v="127.09899999999996"/>
    <n v="126.52300000000001"/>
    <n v="133.506"/>
    <n v="101.42500000000001"/>
    <n v="128.54000000000002"/>
    <n v="119.93199999999999"/>
    <n v="113.575"/>
    <n v="111.48100000000001"/>
    <n v="129.136"/>
    <n v="96.273999999999987"/>
    <n v="121.21499999999999"/>
    <n v="102.71"/>
    <n v="133.571"/>
    <n v="125.67600000000002"/>
    <n v="66.027999999999992"/>
    <n v="54.838000000000001"/>
    <n v="131.94499999999999"/>
    <n v="101.51599999999999"/>
    <n v="128.69400000000002"/>
    <n v="96.675000000000011"/>
    <n v="137.011"/>
    <n v="122.12899999999999"/>
    <n v="109.64400000000001"/>
    <n v="116.65900000000001"/>
    <n v="117.87100000000002"/>
    <n v="112.20599999999999"/>
    <n v="80.317999999999984"/>
    <n v="113.08390322580644"/>
    <n v="12.564878136200715"/>
  </r>
  <r>
    <n v="3"/>
    <x v="0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s v="ETO"/>
    <s v="Public-Paid"/>
    <s v="3.3 kW"/>
    <s v="OCPP"/>
    <n v="8"/>
    <x v="1"/>
    <n v="127.94799999999999"/>
    <n v="87.940999999999988"/>
    <n v="96.367000000000004"/>
    <n v="129.72"/>
    <n v="131.67000000000002"/>
    <n v="126.21599999999999"/>
    <n v="118.96000000000001"/>
    <n v="144.56100000000001"/>
    <n v="126.239"/>
    <n v="115.74099999999999"/>
    <n v="137.38299999999998"/>
    <n v="79.131"/>
    <n v="91.984000000000009"/>
    <n v="89.492000000000004"/>
    <n v="113.29100000000001"/>
    <n v="91.26"/>
    <n v="102.70899999999999"/>
    <n v="79.355999999999995"/>
    <n v="147.20699999999999"/>
    <n v="99.491"/>
    <n v="89.94"/>
    <n v="99.469000000000008"/>
    <n v="61.13"/>
    <n v="80.194000000000003"/>
    <n v="102.547"/>
    <n v="44.628999999999998"/>
    <n v="107.04599999999999"/>
    <n v="106.739"/>
    <n v="80.694000000000003"/>
    <n v="58.381999999999998"/>
    <n v="66.331999999999994"/>
    <n v="101.08932258064516"/>
    <n v="12.636165322580645"/>
  </r>
  <r>
    <n v="5"/>
    <x v="0"/>
    <x v="4"/>
    <s v="Trinity"/>
    <s v="Public-Paid"/>
    <s v="3.3 kW"/>
    <s v="OCPP"/>
    <n v="26"/>
    <x v="1"/>
    <n v="777.49599999999987"/>
    <n v="751.30500000000006"/>
    <n v="704.0440000000001"/>
    <n v="768.66699999999969"/>
    <n v="824.48599999999999"/>
    <n v="914.64199999999994"/>
    <n v="901.71400000000006"/>
    <n v="986.80400000000009"/>
    <n v="994.15500000000009"/>
    <n v="930.25500000000011"/>
    <n v="989.37700000000007"/>
    <n v="744.92900000000031"/>
    <n v="1013.9089999999998"/>
    <n v="882.72800000000029"/>
    <n v="802.74399999999957"/>
    <n v="1170.0639999999999"/>
    <n v="744.76300000000026"/>
    <n v="1097.606"/>
    <n v="872.24100000000021"/>
    <n v="806.51899999999966"/>
    <n v="993.99899999999991"/>
    <n v="805.80500000000006"/>
    <n v="891.90399999999966"/>
    <n v="837.95999999999958"/>
    <n v="1110.1919999999998"/>
    <n v="996.87199999999996"/>
    <n v="671.21599999999989"/>
    <n v="1170.0290000000005"/>
    <n v="1042.03"/>
    <n v="826.82299999999975"/>
    <n v="962.02700000000027"/>
    <n v="902.81629032258058"/>
    <n v="34.723703473945406"/>
  </r>
  <r>
    <n v="6"/>
    <x v="0"/>
    <x v="4"/>
    <s v="Trinity"/>
    <s v="Public-Paid"/>
    <s v="3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x v="4"/>
    <s v="Trinity"/>
    <s v="Public-Paid"/>
    <s v="6 kW"/>
    <s v="DC Charger"/>
    <n v="1"/>
    <x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2.92"/>
    <n v="0"/>
    <n v="0"/>
    <n v="0"/>
    <n v="0"/>
    <n v="0"/>
    <n v="0"/>
    <n v="11.729999999999999"/>
    <n v="34.919999999999995"/>
    <n v="0"/>
    <n v="2.0654166666666662"/>
    <n v="2.0654166666666662"/>
  </r>
  <r>
    <n v="8"/>
    <x v="0"/>
    <x v="4"/>
    <s v="Trinity"/>
    <s v="Public-Paid"/>
    <s v="12kW"/>
    <s v="DC Charger"/>
    <n v="2"/>
    <x v="1"/>
    <n v="0"/>
    <n v="0"/>
    <n v="0"/>
    <n v="0"/>
    <n v="0"/>
    <n v="0"/>
    <n v="0"/>
    <n v="0"/>
    <n v="0"/>
    <n v="0"/>
    <n v="2.38"/>
    <n v="0"/>
    <n v="0"/>
    <n v="0"/>
    <n v="0"/>
    <n v="0"/>
    <n v="0"/>
    <n v="0"/>
    <n v="0"/>
    <n v="0"/>
    <n v="0"/>
    <n v="13.059999999999997"/>
    <n v="0"/>
    <n v="0"/>
    <n v="0"/>
    <n v="0"/>
    <n v="0"/>
    <n v="0"/>
    <n v="0"/>
    <n v="0"/>
    <n v="0"/>
    <n v="0.49806451612903219"/>
    <n v="0.24903225806451609"/>
  </r>
  <r>
    <n v="9"/>
    <x v="0"/>
    <x v="5"/>
    <s v="Trinity"/>
    <s v="Public-Paid"/>
    <s v="3.3 kW"/>
    <s v="OCPP"/>
    <n v="6"/>
    <x v="1"/>
    <n v="53.994"/>
    <n v="37.805"/>
    <n v="39.811999999999998"/>
    <n v="20.071999999999999"/>
    <n v="25.115999999999996"/>
    <n v="32.048000000000002"/>
    <n v="40.741"/>
    <n v="41.941999999999993"/>
    <n v="30.45"/>
    <n v="43.251999999999995"/>
    <n v="32.012999999999998"/>
    <n v="21.627000000000002"/>
    <n v="45.239000000000004"/>
    <n v="33.004000000000005"/>
    <n v="18.135000000000002"/>
    <n v="33.308"/>
    <n v="19.939"/>
    <n v="18.326000000000001"/>
    <n v="14.776999999999999"/>
    <n v="8.0390000000000015"/>
    <n v="18.611000000000001"/>
    <n v="20.611999999999998"/>
    <n v="18.731999999999999"/>
    <n v="21.074999999999999"/>
    <n v="19.138000000000005"/>
    <n v="51.402000000000001"/>
    <n v="28.145"/>
    <n v="35.295000000000002"/>
    <n v="33.585999999999999"/>
    <n v="35.195"/>
    <n v="35.512"/>
    <n v="29.901354838709679"/>
    <n v="4.9835591397849468"/>
  </r>
  <r>
    <n v="10"/>
    <x v="0"/>
    <x v="6"/>
    <s v="ETO"/>
    <s v="Public-Paid"/>
    <s v="3.3 kW"/>
    <s v="OCPP"/>
    <n v="3"/>
    <x v="1"/>
    <n v="75.11"/>
    <n v="88.111999999999995"/>
    <n v="88.433000000000007"/>
    <n v="77.337999999999994"/>
    <n v="81.540000000000006"/>
    <n v="87.846000000000004"/>
    <n v="110.587"/>
    <n v="88.666999999999987"/>
    <n v="104.627"/>
    <n v="106.52299999999998"/>
    <n v="94.74199999999999"/>
    <n v="74.36399999999999"/>
    <n v="104.89800000000001"/>
    <n v="73.278999999999996"/>
    <n v="82.681999999999988"/>
    <n v="76.323999999999998"/>
    <n v="109.82899999999999"/>
    <n v="92.63300000000001"/>
    <n v="72.537999999999997"/>
    <n v="93.805000000000007"/>
    <n v="88.741"/>
    <n v="58.258999999999993"/>
    <n v="92.932999999999993"/>
    <n v="84.801999999999992"/>
    <n v="102.55300000000001"/>
    <n v="66.600999999999999"/>
    <n v="98.73"/>
    <n v="113.51599999999999"/>
    <n v="81.545999999999992"/>
    <n v="69.441000000000003"/>
    <n v="99.411000000000001"/>
    <n v="88.400322580645152"/>
    <n v="29.466774193548385"/>
  </r>
  <r>
    <n v="11"/>
    <x v="0"/>
    <x v="7"/>
    <s v="Trinity"/>
    <s v="Public-Free"/>
    <s v="3.3 kW"/>
    <s v="OCPP"/>
    <n v="1"/>
    <x v="0"/>
    <n v="3.3050000000000002"/>
    <n v="0"/>
    <n v="0"/>
    <n v="0"/>
    <n v="0"/>
    <n v="0"/>
    <n v="6.7460000000000004"/>
    <n v="0"/>
    <n v="0"/>
    <n v="2.524"/>
    <n v="0"/>
    <n v="0"/>
    <n v="0"/>
    <n v="0"/>
    <n v="3.3439999999999999"/>
    <n v="0"/>
    <n v="0"/>
    <n v="0"/>
    <n v="0"/>
    <n v="0"/>
    <n v="0"/>
    <n v="3.9780000000000002"/>
    <n v="0"/>
    <n v="0"/>
    <n v="0"/>
    <n v="0"/>
    <n v="0"/>
    <n v="0"/>
    <n v="0"/>
    <n v="3.3559999999999999"/>
    <n v="0"/>
    <n v="0.75009677419354837"/>
    <n v="0.75009677419354837"/>
  </r>
  <r>
    <n v="12"/>
    <x v="0"/>
    <x v="8"/>
    <s v="Trinity"/>
    <s v="Public-Paid"/>
    <s v="7.4 kW"/>
    <s v="OCPP"/>
    <n v="2"/>
    <x v="0"/>
    <n v="0"/>
    <n v="0"/>
    <n v="0"/>
    <n v="0"/>
    <n v="0"/>
    <n v="16.07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570000000000004"/>
    <n v="2.6520000000000001"/>
    <n v="0"/>
    <n v="0"/>
    <n v="0.88009677419354848"/>
    <n v="0.44004838709677424"/>
  </r>
  <r>
    <n v="13"/>
    <x v="0"/>
    <x v="8"/>
    <s v="Trinity"/>
    <s v="Public-Paid"/>
    <s v="15 kw"/>
    <s v="DC Charger"/>
    <n v="2"/>
    <x v="0"/>
    <n v="56.09"/>
    <n v="66.02"/>
    <n v="68.87"/>
    <n v="74.89"/>
    <n v="32.06"/>
    <n v="12.799999999999999"/>
    <n v="10.27"/>
    <n v="17.95"/>
    <n v="0"/>
    <n v="5.77"/>
    <n v="4.3600000000000003"/>
    <n v="0"/>
    <n v="0"/>
    <n v="28.740000000000002"/>
    <n v="0"/>
    <n v="0"/>
    <n v="0"/>
    <n v="0"/>
    <n v="0"/>
    <n v="0"/>
    <n v="0"/>
    <n v="0"/>
    <n v="5.0600000000000005"/>
    <n v="0"/>
    <n v="0"/>
    <n v="0"/>
    <n v="0"/>
    <n v="0"/>
    <n v="14.52"/>
    <n v="0"/>
    <n v="18.810000000000002"/>
    <n v="13.426129032258064"/>
    <n v="6.7130645161290321"/>
  </r>
  <r>
    <n v="14"/>
    <x v="0"/>
    <x v="9"/>
    <s v="Trinity"/>
    <s v="Public-Paid"/>
    <s v="3.3 kW"/>
    <s v="OCPP"/>
    <n v="10"/>
    <x v="1"/>
    <n v="151.66500000000005"/>
    <n v="150.24799999999999"/>
    <n v="175.29899999999998"/>
    <n v="122.02799999999999"/>
    <n v="184.392"/>
    <n v="135.51500000000001"/>
    <n v="160.18799999999999"/>
    <n v="163.33699999999999"/>
    <n v="173.19399999999999"/>
    <n v="149.066"/>
    <n v="169.98500000000004"/>
    <n v="143.35000000000002"/>
    <n v="144.10599999999997"/>
    <n v="199.791"/>
    <n v="195.65"/>
    <n v="175.43199999999999"/>
    <n v="149.63799999999998"/>
    <n v="175.51700000000005"/>
    <n v="177.53099999999998"/>
    <n v="127.43399999999998"/>
    <n v="159.43700000000001"/>
    <n v="102.023"/>
    <n v="184.893"/>
    <n v="183.64"/>
    <n v="218.15299999999999"/>
    <n v="186.59900000000002"/>
    <n v="221.84800000000001"/>
    <n v="247.29200000000003"/>
    <n v="123.01499999999996"/>
    <n v="169.73600000000002"/>
    <n v="208.982"/>
    <n v="168.67690322580646"/>
    <n v="16.867690322580646"/>
  </r>
  <r>
    <n v="15"/>
    <x v="0"/>
    <x v="10"/>
    <s v="Trinity"/>
    <s v="Public-Paid"/>
    <s v="3.3 kW"/>
    <s v="OCPP"/>
    <n v="4"/>
    <x v="0"/>
    <n v="20.798999999999999"/>
    <n v="29.273"/>
    <n v="10.093"/>
    <n v="6.0860000000000003"/>
    <n v="27.442"/>
    <n v="9.2550000000000008"/>
    <n v="24.38"/>
    <n v="11.542999999999999"/>
    <n v="3.0470000000000002"/>
    <n v="14.324"/>
    <n v="14.422999999999998"/>
    <n v="5.4960000000000004"/>
    <n v="19.634"/>
    <n v="21.433"/>
    <n v="9.3290000000000006"/>
    <n v="18.228000000000002"/>
    <n v="17.373000000000001"/>
    <n v="13.841000000000001"/>
    <n v="20.411999999999999"/>
    <n v="22.447000000000003"/>
    <n v="12.939"/>
    <n v="21.538999999999998"/>
    <n v="13.717000000000001"/>
    <n v="9.8230000000000004"/>
    <n v="6.4619999999999997"/>
    <n v="26.783999999999999"/>
    <n v="16.524000000000001"/>
    <n v="27.594999999999999"/>
    <n v="16.993000000000002"/>
    <n v="34.177999999999997"/>
    <n v="15.206"/>
    <n v="16.794129032258063"/>
    <n v="4.1985322580645157"/>
  </r>
  <r>
    <n v="16"/>
    <x v="0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1"/>
    <s v="Trinity"/>
    <s v="Public-Paid"/>
    <s v="3.3 kW"/>
    <s v="OCPP"/>
    <n v="19"/>
    <x v="1"/>
    <n v="166.69499999999996"/>
    <n v="167.76300000000001"/>
    <n v="152.238"/>
    <n v="149.749"/>
    <n v="210.54400000000001"/>
    <n v="201.50199999999998"/>
    <n v="175.60800000000003"/>
    <n v="139.25199999999998"/>
    <n v="169.04999999999998"/>
    <n v="201.166"/>
    <n v="203.83099999999993"/>
    <n v="200.09200000000001"/>
    <n v="238.84799999999998"/>
    <n v="231.07100000000005"/>
    <n v="241.87800000000004"/>
    <n v="188.78499999999997"/>
    <n v="206.964"/>
    <n v="207.11200000000008"/>
    <n v="198.68599999999998"/>
    <n v="211.84300000000005"/>
    <n v="187.98599999999999"/>
    <n v="251.30499999999998"/>
    <n v="221.93699999999995"/>
    <n v="267.10200000000003"/>
    <n v="252.52200000000005"/>
    <n v="195.98099999999999"/>
    <n v="220.82200000000003"/>
    <n v="221.91100000000006"/>
    <n v="236.316"/>
    <n v="168.17700000000005"/>
    <n v="152.25100000000003"/>
    <n v="201.2576451612903"/>
    <n v="10.592507640067911"/>
  </r>
  <r>
    <n v="18"/>
    <x v="0"/>
    <x v="12"/>
    <s v="Trinity"/>
    <s v="Public-Paid"/>
    <s v="3.3 kW"/>
    <s v="OCPP"/>
    <n v="5"/>
    <x v="0"/>
    <n v="25.955000000000002"/>
    <n v="33.565999999999995"/>
    <n v="28.268999999999998"/>
    <n v="11.387"/>
    <n v="54.97699999999999"/>
    <n v="52.064000000000007"/>
    <n v="52.186"/>
    <n v="73.641999999999996"/>
    <n v="42.004000000000005"/>
    <n v="53.298999999999992"/>
    <n v="45.839000000000006"/>
    <n v="57.287000000000006"/>
    <n v="84.234999999999999"/>
    <n v="81.100999999999999"/>
    <n v="59.508000000000003"/>
    <n v="80.890000000000015"/>
    <n v="79.066000000000017"/>
    <n v="100.306"/>
    <n v="89.113"/>
    <n v="89.068999999999988"/>
    <n v="149.12399999999997"/>
    <n v="104.56100000000001"/>
    <n v="140.89699999999996"/>
    <n v="148.85399999999996"/>
    <n v="119.54100000000003"/>
    <n v="161.28400000000002"/>
    <n v="201.76300000000001"/>
    <n v="192.41299999999998"/>
    <n v="209.65099999999998"/>
    <n v="176.36000000000004"/>
    <n v="172.137"/>
    <n v="95.817677419354851"/>
    <n v="19.16353548387097"/>
  </r>
  <r>
    <n v="19"/>
    <x v="0"/>
    <x v="12"/>
    <s v="Trinity"/>
    <s v="Public-Paid"/>
    <s v="7.4 kW"/>
    <s v="OCPP"/>
    <n v="2"/>
    <x v="0"/>
    <n v="3.6819999999999995"/>
    <n v="0.16900000000000001"/>
    <n v="20.148"/>
    <n v="18.21"/>
    <n v="23.076999999999998"/>
    <n v="16.112000000000002"/>
    <n v="32.281000000000006"/>
    <n v="7.5129999999999999"/>
    <n v="52.100999999999992"/>
    <n v="14.509"/>
    <n v="48.904000000000003"/>
    <n v="25.238999999999997"/>
    <n v="41.080999999999996"/>
    <n v="33.398000000000003"/>
    <n v="46.431999999999995"/>
    <n v="29.792000000000002"/>
    <n v="30.074999999999996"/>
    <n v="19.61"/>
    <n v="24.374000000000002"/>
    <n v="21.189"/>
    <n v="14.300999999999998"/>
    <n v="57.105000000000004"/>
    <n v="39.248000000000005"/>
    <n v="32.587000000000003"/>
    <n v="49.55"/>
    <n v="21.837"/>
    <n v="69.208000000000013"/>
    <n v="22.524000000000001"/>
    <n v="39.697000000000003"/>
    <n v="57.635999999999996"/>
    <n v="38.750999999999998"/>
    <n v="30.656129032258065"/>
    <n v="15.328064516129032"/>
  </r>
  <r>
    <n v="20"/>
    <x v="0"/>
    <x v="12"/>
    <s v="Trinity"/>
    <s v="Public-Paid"/>
    <s v="12 kW"/>
    <s v="DC Charger"/>
    <n v="1"/>
    <x v="0"/>
    <n v="0"/>
    <n v="0"/>
    <n v="0"/>
    <n v="0"/>
    <n v="0"/>
    <n v="0"/>
    <n v="16.41"/>
    <n v="17.3"/>
    <n v="0"/>
    <n v="0"/>
    <n v="0"/>
    <n v="0"/>
    <n v="0"/>
    <n v="9.36"/>
    <n v="0"/>
    <n v="0"/>
    <n v="0"/>
    <n v="0"/>
    <n v="0"/>
    <n v="0"/>
    <n v="0"/>
    <n v="0"/>
    <n v="0"/>
    <n v="0"/>
    <n v="0"/>
    <n v="0"/>
    <n v="0"/>
    <n v="0"/>
    <n v="0"/>
    <n v="0.08"/>
    <n v="6.31"/>
    <n v="1.5954838709677419"/>
    <n v="1.5954838709677419"/>
  </r>
  <r>
    <n v="21"/>
    <x v="0"/>
    <x v="12"/>
    <s v="Trinity"/>
    <s v="Public-Paid"/>
    <s v="15 kw"/>
    <s v="DC Charger"/>
    <n v="1"/>
    <x v="0"/>
    <n v="12.562000000000001"/>
    <n v="13.84"/>
    <n v="7.2810000000000006"/>
    <n v="5.6640000000000006"/>
    <n v="14.519999999999998"/>
    <n v="46.66"/>
    <n v="83.159000000000006"/>
    <n v="87.191000000000017"/>
    <n v="47.069000000000003"/>
    <n v="2.7809999999999997"/>
    <n v="15.44"/>
    <n v="12.349999999999998"/>
    <n v="38.889000000000003"/>
    <n v="38.791000000000004"/>
    <n v="0"/>
    <n v="15.16"/>
    <n v="19.07"/>
    <n v="11.59"/>
    <n v="31.479999999999997"/>
    <n v="96.77"/>
    <n v="54.33"/>
    <n v="35.71"/>
    <n v="43.110000000000007"/>
    <n v="9.8699999999999992"/>
    <n v="1.66"/>
    <n v="26.07"/>
    <n v="26.66"/>
    <n v="30.9"/>
    <n v="40.92"/>
    <n v="14.84"/>
    <n v="0"/>
    <n v="28.527000000000005"/>
    <n v="28.527000000000005"/>
  </r>
  <r>
    <n v="22"/>
    <x v="0"/>
    <x v="12"/>
    <s v="Trinity"/>
    <s v="Public-Paid"/>
    <s v="60 kw"/>
    <s v="DC Charger"/>
    <n v="1"/>
    <x v="0"/>
    <n v="113.151"/>
    <n v="173.42400000000004"/>
    <n v="40.725000000000001"/>
    <n v="8.6489999999999991"/>
    <n v="155.02600000000001"/>
    <n v="218.65"/>
    <n v="115.425"/>
    <n v="207.20000000000002"/>
    <n v="134.57500000000002"/>
    <n v="92.199999999999989"/>
    <n v="155.57499999999999"/>
    <n v="71.7"/>
    <n v="177.77499999999998"/>
    <n v="219.72500000000002"/>
    <n v="197.52500000000001"/>
    <n v="186.24999999999997"/>
    <n v="101.27499999999998"/>
    <n v="64.900000000000006"/>
    <n v="172.1"/>
    <n v="122.825"/>
    <n v="123.37500000000001"/>
    <n v="65.849000000000004"/>
    <n v="82.676000000000002"/>
    <n v="38.5"/>
    <n v="17.600000000000001"/>
    <n v="69.599000000000004"/>
    <n v="87.850999999999985"/>
    <n v="70.024999999999991"/>
    <n v="129.69899999999998"/>
    <n v="36.400000000000006"/>
    <n v="8.8759999999999994"/>
    <n v="111.58467741935486"/>
    <n v="111.58467741935486"/>
  </r>
  <r>
    <n v="23"/>
    <x v="0"/>
    <x v="12"/>
    <s v="Trinity"/>
    <s v="Public-Paid"/>
    <s v="120 kw"/>
    <s v="DC Charger"/>
    <n v="1"/>
    <x v="0"/>
    <n v="250.54000000000002"/>
    <n v="227.57999999999996"/>
    <n v="111.16"/>
    <n v="211.06"/>
    <n v="212.94"/>
    <n v="313.96000000000004"/>
    <n v="217.75"/>
    <n v="241.64"/>
    <n v="168.21"/>
    <n v="180.46000000000004"/>
    <n v="131.89999999999998"/>
    <n v="232.39000000000004"/>
    <n v="226.44000000000003"/>
    <n v="275.22000000000008"/>
    <n v="221.49"/>
    <n v="194.76"/>
    <n v="83.240000000000009"/>
    <n v="163.18"/>
    <n v="178.07000000000002"/>
    <n v="166.77"/>
    <n v="226.98999999999998"/>
    <n v="178.88999999999996"/>
    <n v="173.75000000000003"/>
    <n v="141.95999999999998"/>
    <n v="118.44000000000001"/>
    <n v="181.73"/>
    <n v="192.19"/>
    <n v="259.80999999999995"/>
    <n v="168.73000000000002"/>
    <n v="307.05999999999995"/>
    <n v="151.63"/>
    <n v="197.09483870967742"/>
    <n v="197.09483870967742"/>
  </r>
  <r>
    <n v="24"/>
    <x v="0"/>
    <x v="13"/>
    <s v="Trinity"/>
    <s v="Public-Paid"/>
    <s v="3.3 kW"/>
    <s v="OCPP"/>
    <n v="7"/>
    <x v="1"/>
    <n v="113.72099999999999"/>
    <n v="68.704000000000008"/>
    <n v="98.248999999999981"/>
    <n v="72.69"/>
    <n v="148.41999999999999"/>
    <n v="60.747"/>
    <n v="65.007999999999996"/>
    <n v="102.53"/>
    <n v="142.35399999999996"/>
    <n v="146.97900000000001"/>
    <n v="81.569000000000003"/>
    <n v="111.71"/>
    <n v="51.127000000000002"/>
    <n v="84.5"/>
    <n v="112.27800000000001"/>
    <n v="58.033000000000001"/>
    <n v="149.74699999999999"/>
    <n v="87.59"/>
    <n v="113.73100000000002"/>
    <n v="85.777000000000015"/>
    <n v="106.199"/>
    <n v="159.58399999999997"/>
    <n v="158.33200000000002"/>
    <n v="86.704000000000008"/>
    <n v="98.197999999999993"/>
    <n v="125.33299999999998"/>
    <n v="128.059"/>
    <n v="153.93599999999998"/>
    <n v="119.64599999999999"/>
    <n v="165.96799999999999"/>
    <n v="138.76500000000001"/>
    <n v="109.55445161290324"/>
    <n v="15.650635944700463"/>
  </r>
  <r>
    <n v="25"/>
    <x v="0"/>
    <x v="14"/>
    <s v="Trinity"/>
    <s v="Public-Paid"/>
    <s v="3.3 kW"/>
    <s v="OCPP"/>
    <n v="1"/>
    <x v="0"/>
    <n v="17.928000000000001"/>
    <n v="13.046000000000001"/>
    <n v="11.972"/>
    <n v="18.885000000000002"/>
    <n v="18.812000000000001"/>
    <n v="5.7869999999999999"/>
    <n v="12.953999999999999"/>
    <n v="11.010000000000002"/>
    <n v="30.136999999999997"/>
    <n v="21.027999999999999"/>
    <n v="30.091999999999999"/>
    <n v="8.8229999999999986"/>
    <n v="17.128"/>
    <n v="6.0110000000000001"/>
    <n v="12.939"/>
    <n v="2.7040000000000002"/>
    <n v="0"/>
    <n v="0"/>
    <n v="6"/>
    <n v="8.4570000000000007"/>
    <n v="1.0569999999999999"/>
    <n v="7.1920000000000002"/>
    <n v="3.6949999999999998"/>
    <n v="10.021999999999998"/>
    <n v="10.531000000000001"/>
    <n v="7.0760000000000005"/>
    <n v="12.373999999999999"/>
    <n v="26.815000000000001"/>
    <n v="4.5839999999999996"/>
    <n v="11.092000000000001"/>
    <n v="6.1479999999999997"/>
    <n v="11.429"/>
    <n v="11.429"/>
  </r>
  <r>
    <n v="26"/>
    <x v="0"/>
    <x v="14"/>
    <s v="Trinity"/>
    <s v="Public-Paid"/>
    <s v="7.4 kW"/>
    <s v="OCPP"/>
    <n v="1"/>
    <x v="0"/>
    <n v="12.763999999999999"/>
    <n v="26.746000000000002"/>
    <n v="14.173"/>
    <n v="18.007999999999999"/>
    <n v="0"/>
    <n v="10.385"/>
    <n v="1.982"/>
    <n v="13.606"/>
    <n v="0"/>
    <n v="0"/>
    <n v="0"/>
    <n v="0.56800000000000006"/>
    <n v="11.888"/>
    <n v="24.678999999999998"/>
    <n v="13.911"/>
    <n v="27.462"/>
    <n v="13.502000000000001"/>
    <n v="13.802"/>
    <n v="1.6639999999999999"/>
    <n v="7.5609999999999999"/>
    <n v="0"/>
    <n v="15.619"/>
    <n v="15.686"/>
    <n v="2.714"/>
    <n v="9.2230000000000008"/>
    <n v="0"/>
    <n v="0"/>
    <n v="10.438000000000001"/>
    <n v="0"/>
    <n v="13.076000000000001"/>
    <n v="0"/>
    <n v="9.0147419354838725"/>
    <n v="9.0147419354838725"/>
  </r>
  <r>
    <n v="27"/>
    <x v="0"/>
    <x v="14"/>
    <s v="Trinity"/>
    <s v="Public-Paid"/>
    <s v="12kW"/>
    <s v="DC Charger"/>
    <n v="1"/>
    <x v="0"/>
    <n v="0"/>
    <n v="0"/>
    <n v="0"/>
    <n v="0"/>
    <n v="0"/>
    <n v="0"/>
    <n v="0"/>
    <n v="0"/>
    <n v="16.259999999999998"/>
    <n v="9.26"/>
    <n v="0"/>
    <n v="34.300000000000004"/>
    <n v="8.49"/>
    <n v="19.78"/>
    <n v="11.27"/>
    <n v="30.4"/>
    <n v="45.959999999999994"/>
    <n v="25.43"/>
    <n v="22.57"/>
    <n v="74.309999999999988"/>
    <n v="13.08"/>
    <n v="26.02"/>
    <n v="56.579999999999991"/>
    <n v="60.629999999999995"/>
    <n v="57.35"/>
    <n v="6.0000000000000005E-2"/>
    <n v="0"/>
    <n v="0"/>
    <n v="0"/>
    <n v="0"/>
    <n v="0"/>
    <n v="16.508064516129032"/>
    <n v="16.508064516129032"/>
  </r>
  <r>
    <n v="28"/>
    <x v="0"/>
    <x v="14"/>
    <s v="Trinity"/>
    <s v="Public-Paid"/>
    <s v="25 kW"/>
    <s v="DC Charger"/>
    <n v="1"/>
    <x v="0"/>
    <n v="135.87799999999999"/>
    <n v="86.037999999999997"/>
    <n v="77.784999999999997"/>
    <n v="17.945"/>
    <n v="40.533000000000001"/>
    <n v="49.999000000000002"/>
    <n v="143.55799999999999"/>
    <n v="83.373999999999995"/>
    <n v="97.675999999999988"/>
    <n v="72.715000000000003"/>
    <n v="41.253999999999998"/>
    <n v="94.696000000000012"/>
    <n v="78.73899999999999"/>
    <n v="81.194000000000003"/>
    <n v="64.170999999999992"/>
    <n v="72.567999999999998"/>
    <n v="63.805000000000007"/>
    <n v="54.587999999999994"/>
    <n v="56.935000000000002"/>
    <n v="57.820000000000007"/>
    <n v="60.914000000000001"/>
    <n v="30.071999999999999"/>
    <n v="95.572999999999993"/>
    <n v="77.665999999999997"/>
    <n v="14.888"/>
    <n v="5.2409999999999997"/>
    <n v="46.234999999999999"/>
    <n v="7.5449999999999999"/>
    <n v="55.319000000000003"/>
    <n v="107.77799999999999"/>
    <n v="40.427999999999997"/>
    <n v="64.933225806451603"/>
    <n v="64.933225806451603"/>
  </r>
  <r>
    <n v="29"/>
    <x v="0"/>
    <x v="1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x v="16"/>
    <s v="Trinity"/>
    <s v="Public-Paid"/>
    <s v="3.3 kW"/>
    <s v="OCPP"/>
    <n v="9"/>
    <x v="1"/>
    <n v="126.873"/>
    <n v="93.89200000000001"/>
    <n v="113.47600000000001"/>
    <n v="161.38300000000001"/>
    <n v="76.968000000000032"/>
    <n v="161.52599999999998"/>
    <n v="147.46500000000006"/>
    <n v="148.55300000000003"/>
    <n v="129.88899999999998"/>
    <n v="168.58799999999999"/>
    <n v="104.98400000000002"/>
    <n v="106.55400000000003"/>
    <n v="111.20700000000002"/>
    <n v="109.283"/>
    <n v="123.911"/>
    <n v="98.764999999999986"/>
    <n v="133.29299999999998"/>
    <n v="123.96000000000004"/>
    <n v="138.464"/>
    <n v="66.708999999999989"/>
    <n v="87.274999999999991"/>
    <n v="93.633000000000024"/>
    <n v="80.341000000000008"/>
    <n v="115.00700000000001"/>
    <n v="121.07700000000001"/>
    <n v="123.11500000000002"/>
    <n v="118.07400000000003"/>
    <n v="122.71700000000003"/>
    <n v="112.47400000000005"/>
    <n v="138.42700000000011"/>
    <n v="122.59600000000002"/>
    <n v="118.72512903225808"/>
    <n v="13.191681003584231"/>
  </r>
  <r>
    <n v="31"/>
    <x v="0"/>
    <x v="16"/>
    <s v="Trinity"/>
    <s v="Public-Paid"/>
    <s v="15 kw"/>
    <s v="DC Charger"/>
    <n v="1"/>
    <x v="1"/>
    <n v="44.6"/>
    <n v="40.699999999999996"/>
    <n v="26.729999999999997"/>
    <n v="43.209999999999994"/>
    <n v="46.470000000000013"/>
    <n v="39.340000000000003"/>
    <n v="37.69"/>
    <n v="36.08"/>
    <n v="37.630000000000003"/>
    <n v="40.269999999999996"/>
    <n v="42.89"/>
    <n v="31.54"/>
    <n v="40.940000000000005"/>
    <n v="36.159999999999997"/>
    <n v="35.67"/>
    <n v="41.949999999999996"/>
    <n v="48.269999999999996"/>
    <n v="31.979999999999997"/>
    <n v="35.279999999999994"/>
    <n v="47.180000000000007"/>
    <n v="32.15"/>
    <n v="29.810000000000002"/>
    <n v="26.540000000000003"/>
    <n v="34.82"/>
    <n v="30.549999999999997"/>
    <n v="25.300000000000004"/>
    <n v="33.200000000000003"/>
    <n v="37.64"/>
    <n v="43.65"/>
    <n v="29.45"/>
    <n v="28.91"/>
    <n v="36.664516129032265"/>
    <n v="36.664516129032265"/>
  </r>
  <r>
    <n v="32"/>
    <x v="0"/>
    <x v="17"/>
    <s v="Trinity"/>
    <s v="Public-Paid"/>
    <s v="3.3 kW"/>
    <s v="OCPP"/>
    <n v="8"/>
    <x v="1"/>
    <n v="129.14000000000004"/>
    <n v="145.17400000000001"/>
    <n v="156.79500000000002"/>
    <n v="125.268"/>
    <n v="148.05399999999997"/>
    <n v="143.02200000000005"/>
    <n v="182.36199999999994"/>
    <n v="168.36700000000002"/>
    <n v="146.34800000000001"/>
    <n v="149.78600000000003"/>
    <n v="131.51800000000003"/>
    <n v="86.552000000000021"/>
    <n v="151.691"/>
    <n v="151.95599999999999"/>
    <n v="146.95700000000002"/>
    <n v="143.81099999999998"/>
    <n v="138.31000000000003"/>
    <n v="142.84"/>
    <n v="101.40599999999999"/>
    <n v="71.34"/>
    <n v="129.76500000000004"/>
    <n v="137.70300000000003"/>
    <n v="89.170999999999964"/>
    <n v="139.43699999999998"/>
    <n v="80.616000000000014"/>
    <n v="143.155"/>
    <n v="133.02199999999999"/>
    <n v="141.07099999999994"/>
    <n v="120.50299999999996"/>
    <n v="165.33199999999999"/>
    <n v="127.33799999999998"/>
    <n v="134.44548387096773"/>
    <n v="16.805685483870967"/>
  </r>
  <r>
    <n v="33"/>
    <x v="0"/>
    <x v="17"/>
    <s v="Trinity"/>
    <s v="Public-Paid"/>
    <s v="7.4 kW"/>
    <s v="OCPP"/>
    <n v="2"/>
    <x v="1"/>
    <n v="48.323"/>
    <n v="62.79"/>
    <n v="39.837000000000003"/>
    <n v="72.88600000000001"/>
    <n v="37.722000000000001"/>
    <n v="44.496000000000002"/>
    <n v="52.314999999999998"/>
    <n v="63.186999999999998"/>
    <n v="52.771999999999991"/>
    <n v="83.575000000000003"/>
    <n v="69.966999999999999"/>
    <n v="52.657000000000004"/>
    <n v="64.573999999999998"/>
    <n v="49.232999999999997"/>
    <n v="33.579000000000001"/>
    <n v="47.918999999999997"/>
    <n v="54.325000000000003"/>
    <n v="41.875"/>
    <n v="81.14100000000002"/>
    <n v="44.108999999999995"/>
    <n v="37.935000000000002"/>
    <n v="53.896000000000001"/>
    <n v="21.541"/>
    <n v="28.942999999999998"/>
    <n v="41.887999999999998"/>
    <n v="44.716999999999999"/>
    <n v="46.606999999999999"/>
    <n v="36.957000000000001"/>
    <n v="36.401000000000003"/>
    <n v="21.722000000000001"/>
    <n v="33.947000000000003"/>
    <n v="48.446322580645152"/>
    <n v="24.223161290322576"/>
  </r>
  <r>
    <n v="34"/>
    <x v="0"/>
    <x v="18"/>
    <s v="Trinity"/>
    <s v="Public-Paid"/>
    <s v="3.3 kW"/>
    <s v="OCPP"/>
    <n v="1"/>
    <x v="1"/>
    <n v="18.850000000000001"/>
    <n v="14.950999999999999"/>
    <n v="20.706"/>
    <n v="16.904999999999998"/>
    <n v="12.135"/>
    <n v="20.397999999999996"/>
    <n v="17.515999999999998"/>
    <n v="14.339000000000002"/>
    <n v="10.614000000000001"/>
    <n v="22.875"/>
    <n v="9.6460000000000008"/>
    <n v="17.513000000000002"/>
    <n v="16.399999999999999"/>
    <n v="18.350000000000001"/>
    <n v="16.246000000000002"/>
    <n v="4.7220000000000004"/>
    <n v="10.182"/>
    <n v="15.145"/>
    <n v="14.196000000000002"/>
    <n v="6.415"/>
    <n v="14.16"/>
    <n v="23.082000000000001"/>
    <n v="14.518000000000001"/>
    <n v="13.166"/>
    <n v="7.069"/>
    <n v="9.6260000000000012"/>
    <n v="9.6649999999999991"/>
    <n v="9.39"/>
    <n v="8.8330000000000002"/>
    <n v="9.9559999999999995"/>
    <n v="6.5019999999999998"/>
    <n v="13.679709677419357"/>
    <n v="13.679709677419357"/>
  </r>
  <r>
    <n v="35"/>
    <x v="0"/>
    <x v="19"/>
    <s v="Trinity"/>
    <s v="Public-Paid"/>
    <s v="3.3 kW"/>
    <s v="OCPP"/>
    <n v="5"/>
    <x v="1"/>
    <n v="60.671999999999997"/>
    <n v="39.970000000000006"/>
    <n v="56.047999999999988"/>
    <n v="61.298000000000002"/>
    <n v="46.282000000000004"/>
    <n v="69.421999999999997"/>
    <n v="64.606999999999999"/>
    <n v="53.023000000000003"/>
    <n v="74.500999999999991"/>
    <n v="73.297000000000011"/>
    <n v="46.905000000000001"/>
    <n v="32.078000000000003"/>
    <n v="60.762"/>
    <n v="68.612999999999985"/>
    <n v="43.522000000000006"/>
    <n v="51.567999999999998"/>
    <n v="65.695999999999984"/>
    <n v="83.201999999999998"/>
    <n v="42.067"/>
    <n v="54.619"/>
    <n v="72.930999999999997"/>
    <n v="41.870999999999995"/>
    <n v="45.84"/>
    <n v="74.644999999999996"/>
    <n v="60.19400000000001"/>
    <n v="43.561999999999998"/>
    <n v="66.808000000000007"/>
    <n v="59.862000000000002"/>
    <n v="92.7"/>
    <n v="53.235999999999997"/>
    <n v="74.295000000000002"/>
    <n v="59.164387096774192"/>
    <n v="11.832877419354839"/>
  </r>
  <r>
    <n v="36"/>
    <x v="0"/>
    <x v="20"/>
    <s v="Trinity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4"/>
    <n v="0"/>
    <n v="0"/>
    <n v="0"/>
    <n v="0"/>
    <n v="0"/>
    <n v="0"/>
    <n v="0"/>
    <n v="0"/>
    <n v="5.7870967741935488E-2"/>
    <n v="5.7870967741935488E-2"/>
  </r>
  <r>
    <n v="37"/>
    <x v="0"/>
    <x v="21"/>
    <s v="Trinity"/>
    <s v="Public-Paid"/>
    <s v="3.3 kW"/>
    <s v="OCPP"/>
    <n v="3"/>
    <x v="1"/>
    <n v="25.157"/>
    <n v="20.056000000000001"/>
    <n v="15.948"/>
    <n v="27.279"/>
    <n v="11.346"/>
    <n v="16.695999999999998"/>
    <n v="19.777999999999999"/>
    <n v="15.223999999999998"/>
    <n v="32.012"/>
    <n v="20.007000000000001"/>
    <n v="23.338000000000001"/>
    <n v="18.212"/>
    <n v="55.145999999999987"/>
    <n v="9.4559999999999995"/>
    <n v="16.033000000000001"/>
    <n v="12.898999999999999"/>
    <n v="21.326000000000001"/>
    <n v="20.067"/>
    <n v="4.5670000000000002"/>
    <n v="20.978999999999999"/>
    <n v="0"/>
    <n v="22.599999999999998"/>
    <n v="6.4039999999999999"/>
    <n v="11.441000000000001"/>
    <n v="9.57"/>
    <n v="17.434000000000001"/>
    <n v="18.786000000000001"/>
    <n v="17.175999999999998"/>
    <n v="21.681000000000001"/>
    <n v="15.305999999999999"/>
    <n v="23.402000000000001"/>
    <n v="18.365354838709681"/>
    <n v="6.1217849462365601"/>
  </r>
  <r>
    <n v="38"/>
    <x v="0"/>
    <x v="22"/>
    <s v="Trinity"/>
    <s v="Public-Paid"/>
    <s v="3.3 kW"/>
    <s v="OCPP"/>
    <n v="11"/>
    <x v="1"/>
    <n v="74.899999999999991"/>
    <n v="105.53699999999998"/>
    <n v="131.47600000000003"/>
    <n v="101.93200000000002"/>
    <n v="117.06800000000001"/>
    <n v="131.39400000000001"/>
    <n v="86.619000000000014"/>
    <n v="112.52200000000005"/>
    <n v="115.56499999999997"/>
    <n v="93.513999999999996"/>
    <n v="98.786999999999992"/>
    <n v="79.610000000000014"/>
    <n v="95.080999999999989"/>
    <n v="83.402000000000001"/>
    <n v="92.518000000000029"/>
    <n v="103.54600000000001"/>
    <n v="126.10400000000003"/>
    <n v="77.873000000000019"/>
    <n v="91.418000000000021"/>
    <n v="116.73699999999998"/>
    <n v="99.417000000000002"/>
    <n v="84.985000000000014"/>
    <n v="56.288999999999987"/>
    <n v="124.39800000000001"/>
    <n v="89.659000000000006"/>
    <n v="116.679"/>
    <n v="121.88599999999998"/>
    <n v="84.327999999999989"/>
    <n v="131.36000000000001"/>
    <n v="107.87900000000002"/>
    <n v="116.31400000000001"/>
    <n v="102.21925806451615"/>
    <n v="9.2926598240469236"/>
  </r>
  <r>
    <n v="39"/>
    <x v="0"/>
    <x v="23"/>
    <s v="Trinity"/>
    <s v="Public-Paid"/>
    <s v="22 kw"/>
    <s v="OCPP"/>
    <n v="1"/>
    <x v="2"/>
    <n v="0"/>
    <n v="0"/>
    <n v="0"/>
    <n v="0"/>
    <n v="10.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1199999999999998"/>
    <n v="13.542"/>
    <n v="0.8"/>
    <n v="0.8"/>
  </r>
  <r>
    <n v="40"/>
    <x v="0"/>
    <x v="24"/>
    <s v="Trinity"/>
    <s v="Public-Paid"/>
    <s v="3.3 kW"/>
    <s v="OCPP"/>
    <n v="5"/>
    <x v="1"/>
    <n v="24.706"/>
    <n v="21.910000000000004"/>
    <n v="24.043000000000003"/>
    <n v="10.874000000000002"/>
    <n v="22.189999999999998"/>
    <n v="26.282"/>
    <n v="22.916000000000004"/>
    <n v="10.206999999999999"/>
    <n v="15.911"/>
    <n v="27.175000000000004"/>
    <n v="19.844000000000001"/>
    <n v="23.617999999999999"/>
    <n v="19.027999999999999"/>
    <n v="15.709999999999999"/>
    <n v="9.4480000000000004"/>
    <n v="11.164"/>
    <n v="20.704000000000004"/>
    <n v="15.423999999999999"/>
    <n v="17.742000000000001"/>
    <n v="14.864000000000001"/>
    <n v="15.614000000000001"/>
    <n v="20.169"/>
    <n v="18.634"/>
    <n v="21.204999999999998"/>
    <n v="48.775999999999989"/>
    <n v="30.006999999999998"/>
    <n v="55.120999999999995"/>
    <n v="19.671999999999997"/>
    <n v="26.500000000000004"/>
    <n v="11.375"/>
    <n v="52.764999999999993"/>
    <n v="22.374129032258061"/>
    <n v="4.4748258064516122"/>
  </r>
  <r>
    <n v="41"/>
    <x v="0"/>
    <x v="25"/>
    <s v="ETO"/>
    <s v="Public-Paid"/>
    <s v="3.3 kW"/>
    <s v="OCPP"/>
    <n v="1"/>
    <x v="1"/>
    <n v="4.9290000000000003"/>
    <n v="5.1189999999999998"/>
    <n v="1.6850000000000001"/>
    <n v="2.7650000000000001"/>
    <n v="0"/>
    <n v="0"/>
    <n v="0"/>
    <n v="0"/>
    <n v="0"/>
    <n v="1.8009999999999999"/>
    <n v="0"/>
    <n v="2.9849999999999999"/>
    <n v="9.1669999999999998"/>
    <n v="2.7709999999999999"/>
    <n v="2E-3"/>
    <n v="2E-3"/>
    <n v="0"/>
    <n v="0.36799999999999999"/>
    <n v="7.2309999999999999"/>
    <n v="6.5609999999999999"/>
    <n v="3.444"/>
    <n v="0"/>
    <n v="0"/>
    <n v="0"/>
    <n v="0"/>
    <n v="0"/>
    <n v="0"/>
    <n v="0"/>
    <n v="0"/>
    <n v="0"/>
    <n v="0"/>
    <n v="1.5751612903225807"/>
    <n v="1.5751612903225807"/>
  </r>
  <r>
    <n v="42"/>
    <x v="0"/>
    <x v="26"/>
    <s v="Trinity"/>
    <s v="Public-Paid"/>
    <s v="3.3 kW"/>
    <s v="OCPP"/>
    <n v="1"/>
    <x v="0"/>
    <n v="0"/>
    <n v="0"/>
    <n v="0"/>
    <n v="0"/>
    <n v="0"/>
    <n v="0"/>
    <n v="0"/>
    <n v="0"/>
    <n v="1.1599999999999999"/>
    <n v="0"/>
    <n v="0"/>
    <n v="0"/>
    <n v="0"/>
    <n v="0"/>
    <n v="1.7149999999999999"/>
    <n v="5.4399999999999995"/>
    <n v="4.4859999999999998"/>
    <n v="6.7629999999999999"/>
    <n v="3.327"/>
    <n v="2.2799999999999998"/>
    <n v="0"/>
    <n v="0"/>
    <n v="0"/>
    <n v="3.2789999999999999"/>
    <n v="0"/>
    <n v="0"/>
    <n v="0"/>
    <n v="0"/>
    <n v="0"/>
    <n v="2.8620000000000001"/>
    <n v="0.86099999999999999"/>
    <n v="1.0378387096774191"/>
    <n v="1.0378387096774191"/>
  </r>
  <r>
    <n v="43"/>
    <x v="0"/>
    <x v="27"/>
    <s v="ETO"/>
    <s v="Public-Paid"/>
    <s v="3.3 kW"/>
    <s v="OCPP"/>
    <n v="1"/>
    <x v="1"/>
    <m/>
    <m/>
    <m/>
    <m/>
    <m/>
    <n v="0"/>
    <n v="0"/>
    <n v="0"/>
    <n v="0"/>
    <n v="0"/>
    <n v="0"/>
    <n v="1.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384615384615381E-2"/>
    <n v="5.7384615384615381E-2"/>
  </r>
  <r>
    <n v="44"/>
    <x v="0"/>
    <x v="28"/>
    <s v="ETO"/>
    <s v="Public-Paid"/>
    <s v="3.3 kW"/>
    <s v="OCPP"/>
    <n v="1"/>
    <x v="1"/>
    <m/>
    <m/>
    <m/>
    <m/>
    <m/>
    <m/>
    <m/>
    <n v="0"/>
    <n v="0"/>
    <n v="0"/>
    <n v="0"/>
    <n v="0"/>
    <n v="0"/>
    <n v="0"/>
    <n v="0"/>
    <n v="0"/>
    <n v="0"/>
    <n v="0"/>
    <n v="0"/>
    <n v="0"/>
    <n v="2.7170000000000001"/>
    <n v="0"/>
    <n v="0"/>
    <n v="4.468"/>
    <n v="0"/>
    <n v="8.5410000000000004"/>
    <n v="0"/>
    <n v="6.306"/>
    <n v="0"/>
    <n v="2.556"/>
    <n v="0"/>
    <n v="1.0245"/>
    <n v="1.0245"/>
  </r>
  <r>
    <n v="45"/>
    <x v="0"/>
    <x v="29"/>
    <s v="Trinity"/>
    <s v="Public-Paid"/>
    <s v="25 kW"/>
    <s v="DC Charger"/>
    <n v="2"/>
    <x v="0"/>
    <m/>
    <m/>
    <m/>
    <m/>
    <m/>
    <m/>
    <m/>
    <m/>
    <m/>
    <m/>
    <m/>
    <m/>
    <m/>
    <m/>
    <n v="12.85"/>
    <n v="23.46"/>
    <n v="6.3650000000000002"/>
    <n v="13.439"/>
    <n v="31.288000000000004"/>
    <n v="90.582000000000008"/>
    <n v="83.385000000000005"/>
    <n v="56.26"/>
    <n v="62.417999999999999"/>
    <n v="0"/>
    <n v="0"/>
    <n v="0"/>
    <n v="0"/>
    <n v="0"/>
    <n v="0"/>
    <n v="0"/>
    <n v="0"/>
    <n v="22.355705882352943"/>
    <n v="11.177852941176472"/>
  </r>
  <r>
    <n v="46"/>
    <x v="0"/>
    <x v="30"/>
    <s v="Trinity"/>
    <s v="Public-Paid"/>
    <s v="3.3 kW"/>
    <s v="OCPP"/>
    <n v="5"/>
    <x v="0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.75"/>
    <n v="0"/>
    <n v="0"/>
    <n v="0"/>
    <n v="6.8181818181818177E-2"/>
    <n v="1.3636363636363636E-2"/>
  </r>
  <r>
    <n v="47"/>
    <x v="0"/>
    <x v="31"/>
    <s v="Trinity"/>
    <s v="Public-Paid"/>
    <s v="22 kw"/>
    <s v="OCPP"/>
    <n v="2"/>
    <x v="0"/>
    <m/>
    <m/>
    <m/>
    <m/>
    <m/>
    <m/>
    <m/>
    <m/>
    <m/>
    <m/>
    <m/>
    <m/>
    <m/>
    <m/>
    <m/>
    <m/>
    <m/>
    <m/>
    <m/>
    <m/>
    <m/>
    <m/>
    <n v="0"/>
    <n v="0"/>
    <n v="0"/>
    <n v="1.01"/>
    <n v="0"/>
    <n v="0"/>
    <n v="0"/>
    <n v="0"/>
    <n v="0"/>
    <n v="0.11222222222222222"/>
    <n v="5.6111111111111112E-2"/>
  </r>
  <r>
    <n v="48"/>
    <x v="0"/>
    <x v="32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0"/>
    <x v="33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0"/>
    <x v="34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1"/>
    <x v="35"/>
    <s v="Trinity"/>
    <s v="Public-Paid"/>
    <s v="3.3 kW"/>
    <s v="OCPP"/>
    <n v="5"/>
    <x v="1"/>
    <n v="9.5350000000000001"/>
    <n v="11.525"/>
    <n v="15.099"/>
    <n v="0"/>
    <n v="10.928999999999998"/>
    <n v="22.344000000000001"/>
    <n v="8.0190000000000001"/>
    <n v="12.455"/>
    <n v="20.701000000000001"/>
    <n v="19.649000000000001"/>
    <n v="0"/>
    <n v="10.606000000000002"/>
    <n v="6.0990000000000002"/>
    <n v="17.051000000000002"/>
    <n v="0"/>
    <n v="19.879000000000001"/>
    <n v="13.776999999999999"/>
    <n v="0"/>
    <n v="14.956999999999999"/>
    <n v="12.215999999999999"/>
    <n v="10.879000000000001"/>
    <n v="17.498999999999999"/>
    <n v="8.7259999999999991"/>
    <n v="5.7799999999999994"/>
    <n v="0"/>
    <n v="16.094000000000001"/>
    <n v="18.097000000000001"/>
    <n v="5.5670000000000002"/>
    <n v="11.096"/>
    <n v="17.835000000000001"/>
    <n v="0"/>
    <n v="10.852064516129028"/>
    <n v="2.1704129032258055"/>
  </r>
  <r>
    <n v="52"/>
    <x v="1"/>
    <x v="36"/>
    <s v="Trinity"/>
    <s v="Public-Paid"/>
    <s v="3.3 kW"/>
    <s v="OCPP"/>
    <n v="10"/>
    <x v="1"/>
    <n v="92.644000000000005"/>
    <n v="88.615999999999985"/>
    <n v="76.156999999999996"/>
    <n v="98.017999999999986"/>
    <n v="98.942999999999998"/>
    <n v="90.25800000000001"/>
    <n v="123.88399999999997"/>
    <n v="95.145999999999987"/>
    <n v="120.666"/>
    <n v="100.13799999999999"/>
    <n v="74.830000000000027"/>
    <n v="46.927000000000007"/>
    <n v="73.646999999999991"/>
    <n v="63.213999999999999"/>
    <n v="55.381"/>
    <n v="60.143999999999998"/>
    <n v="54.336000000000006"/>
    <n v="67.00500000000001"/>
    <n v="62.393999999999998"/>
    <n v="62.505999999999993"/>
    <n v="7.8979999999999997"/>
    <n v="84.88600000000001"/>
    <n v="65.525999999999996"/>
    <n v="67.683000000000007"/>
    <n v="61.152999999999999"/>
    <n v="57.439999999999991"/>
    <n v="61.455999999999996"/>
    <n v="64.945999999999998"/>
    <n v="56.560999999999993"/>
    <n v="72.274999999999991"/>
    <n v="50.507999999999996"/>
    <n v="72.747935483870975"/>
    <n v="7.2747935483870974"/>
  </r>
  <r>
    <n v="53"/>
    <x v="2"/>
    <x v="37"/>
    <s v="Trinity"/>
    <s v="Public-Paid"/>
    <s v="3.3 kW"/>
    <s v="OCPP"/>
    <n v="3"/>
    <x v="1"/>
    <n v="0"/>
    <n v="0"/>
    <n v="0"/>
    <n v="0"/>
    <n v="0"/>
    <n v="1.0609999999999999"/>
    <n v="3.2050000000000001"/>
    <n v="0"/>
    <n v="0"/>
    <n v="4.4710000000000001"/>
    <n v="0"/>
    <n v="5.15"/>
    <n v="0.05"/>
    <n v="2.3380000000000001"/>
    <n v="0"/>
    <n v="3.9369999999999998"/>
    <n v="2.5300000000000002"/>
    <n v="0"/>
    <n v="7.0519999999999996"/>
    <n v="5.8490000000000002"/>
    <n v="0"/>
    <n v="9.0749999999999993"/>
    <n v="9.1890000000000001"/>
    <n v="11.334"/>
    <n v="6.9640000000000004"/>
    <n v="1E-3"/>
    <n v="2.1189999999999998"/>
    <n v="7.7210000000000001"/>
    <n v="0"/>
    <n v="7.2329999999999997"/>
    <n v="0"/>
    <n v="2.8799677419354843"/>
    <n v="0.95998924731182811"/>
  </r>
  <r>
    <n v="54"/>
    <x v="2"/>
    <x v="38"/>
    <s v="Trinity"/>
    <s v="Public-Paid"/>
    <s v="3.3 kW"/>
    <s v="OCPP"/>
    <n v="7"/>
    <x v="1"/>
    <n v="144.76399999999998"/>
    <n v="102.636"/>
    <n v="129.11500000000001"/>
    <n v="96.344999999999985"/>
    <n v="123.063"/>
    <n v="119.59400000000002"/>
    <n v="136.077"/>
    <n v="111.35399999999998"/>
    <n v="85.22"/>
    <n v="135.97200000000001"/>
    <n v="119.82599999999999"/>
    <n v="124.499"/>
    <n v="110.26900000000001"/>
    <n v="114.94299999999998"/>
    <n v="105.29199999999999"/>
    <n v="130.49800000000002"/>
    <n v="117.834"/>
    <n v="84.143000000000001"/>
    <n v="138.12499999999994"/>
    <n v="152.00800000000001"/>
    <n v="88.424000000000007"/>
    <n v="154.84599999999998"/>
    <n v="105.392"/>
    <n v="104.56399999999999"/>
    <n v="75.274000000000001"/>
    <n v="142.56799999999998"/>
    <n v="112.15100000000002"/>
    <n v="87.418999999999997"/>
    <n v="148.69499999999996"/>
    <n v="138.92200000000003"/>
    <n v="100.741"/>
    <n v="117.43783870967739"/>
    <n v="16.776834101382484"/>
  </r>
  <r>
    <n v="55"/>
    <x v="3"/>
    <x v="39"/>
    <s v="Trinity"/>
    <s v="Public-Paid"/>
    <s v="3.3 kW"/>
    <s v="OCPP"/>
    <n v="7"/>
    <x v="1"/>
    <n v="35.177"/>
    <n v="38.345999999999997"/>
    <n v="36.516999999999996"/>
    <n v="60.861000000000004"/>
    <n v="59.561999999999991"/>
    <n v="64.585999999999984"/>
    <n v="45.600999999999999"/>
    <n v="41.819000000000003"/>
    <n v="47.211999999999996"/>
    <n v="54.986999999999995"/>
    <n v="41.596000000000004"/>
    <n v="42.855999999999995"/>
    <n v="46.579000000000001"/>
    <n v="49.238"/>
    <n v="61.342000000000006"/>
    <n v="41.117000000000004"/>
    <n v="71.191000000000003"/>
    <n v="27.116"/>
    <n v="58.966999999999999"/>
    <n v="32.49"/>
    <n v="25.012999999999998"/>
    <n v="35.055999999999997"/>
    <n v="74.47399999999999"/>
    <n v="39.896999999999998"/>
    <n v="20.783999999999999"/>
    <n v="52.638999999999996"/>
    <n v="57.324000000000005"/>
    <n v="61.163999999999987"/>
    <n v="39.232000000000006"/>
    <n v="60.659999999999989"/>
    <n v="2.6309999999999998"/>
    <n v="46.001096774193549"/>
    <n v="6.5715852534562211"/>
  </r>
  <r>
    <n v="56"/>
    <x v="4"/>
    <x v="40"/>
    <s v="Trinity"/>
    <s v="Public-Paid"/>
    <s v="3.3 kW"/>
    <s v="OCPP"/>
    <n v="5"/>
    <x v="1"/>
    <n v="28.851999999999997"/>
    <n v="20.751999999999999"/>
    <n v="16.683"/>
    <n v="43.680999999999997"/>
    <n v="27.59"/>
    <n v="38.302999999999997"/>
    <n v="30.808999999999997"/>
    <n v="27.558"/>
    <n v="26.532999999999998"/>
    <n v="35.908000000000001"/>
    <n v="33.748000000000005"/>
    <n v="24.808999999999997"/>
    <n v="37.335999999999999"/>
    <n v="28.702000000000002"/>
    <n v="24.895999999999997"/>
    <n v="31.277000000000001"/>
    <n v="27.134"/>
    <n v="24.948000000000004"/>
    <n v="28.247000000000003"/>
    <n v="23.738"/>
    <n v="15.199"/>
    <n v="33.588000000000001"/>
    <n v="27.001000000000001"/>
    <n v="20.573"/>
    <n v="37.356999999999999"/>
    <n v="26.093999999999998"/>
    <n v="33.558999999999997"/>
    <n v="28.030999999999999"/>
    <n v="26.341999999999999"/>
    <n v="22.263000000000002"/>
    <n v="37.823"/>
    <n v="28.688193548387087"/>
    <n v="5.7376387096774177"/>
  </r>
  <r>
    <n v="57"/>
    <x v="5"/>
    <x v="41"/>
    <s v="Flipkart"/>
    <s v="Public-Paid"/>
    <s v="3.3 kW"/>
    <s v="OCPP"/>
    <n v="4"/>
    <x v="1"/>
    <n v="80.861999999999995"/>
    <n v="97.768000000000015"/>
    <n v="84.93"/>
    <n v="96.205000000000013"/>
    <n v="76.11999999999999"/>
    <n v="97.555000000000007"/>
    <n v="91.1"/>
    <n v="77.814000000000007"/>
    <n v="87.923999999999992"/>
    <n v="97.759000000000029"/>
    <n v="100.574"/>
    <n v="83.115000000000009"/>
    <n v="79.290999999999997"/>
    <n v="79.955000000000013"/>
    <n v="73.610000000000014"/>
    <n v="94.870000000000019"/>
    <n v="85.130999999999986"/>
    <n v="74.094999999999999"/>
    <n v="79.898000000000025"/>
    <n v="94.391999999999996"/>
    <n v="51.768999999999998"/>
    <n v="72.500999999999991"/>
    <n v="76.727000000000004"/>
    <n v="71.923000000000016"/>
    <n v="96.587999999999994"/>
    <n v="78.176999999999992"/>
    <n v="84.186000000000007"/>
    <n v="93.775999999999982"/>
    <n v="79.016000000000005"/>
    <n v="96.506999999999991"/>
    <n v="82.153999999999996"/>
    <n v="84.396516129032264"/>
    <n v="21.099129032258066"/>
  </r>
  <r>
    <n v="58"/>
    <x v="5"/>
    <x v="42"/>
    <s v="Flipkart"/>
    <s v="Public-Paid"/>
    <s v="3.3 kW"/>
    <s v="OCPP"/>
    <n v="9"/>
    <x v="1"/>
    <n v="161.65200000000002"/>
    <n v="188.60900000000004"/>
    <n v="197.09800000000001"/>
    <n v="224.55199999999994"/>
    <n v="183.71800000000005"/>
    <n v="211.523"/>
    <n v="182.637"/>
    <n v="187.62199999999999"/>
    <n v="185.58599999999996"/>
    <n v="204.45900000000003"/>
    <n v="213.50399999999996"/>
    <n v="174.107"/>
    <n v="117.84900000000009"/>
    <n v="179.55600000000004"/>
    <n v="166.19800000000006"/>
    <n v="128.44500000000002"/>
    <n v="151.61799999999999"/>
    <n v="163.76700000000002"/>
    <n v="143.44500000000002"/>
    <n v="129.30999999999997"/>
    <n v="111.99499999999999"/>
    <n v="134.494"/>
    <n v="193.41899999999998"/>
    <n v="140.42500000000001"/>
    <n v="191.52200000000002"/>
    <n v="168.40199999999999"/>
    <n v="155.90600000000001"/>
    <n v="155.77300000000002"/>
    <n v="135.339"/>
    <n v="114.717"/>
    <n v="182.81100000000001"/>
    <n v="167.09864516129034"/>
    <n v="18.566516129032259"/>
  </r>
  <r>
    <n v="59"/>
    <x v="5"/>
    <x v="43"/>
    <s v="EFL"/>
    <s v="Public-Free"/>
    <s v="3.3 kW"/>
    <s v="OCPP"/>
    <n v="8"/>
    <x v="1"/>
    <n v="39.07500000000001"/>
    <n v="63.381"/>
    <n v="77.685000000000016"/>
    <n v="74.768000000000001"/>
    <n v="41.610999999999997"/>
    <n v="79.761000000000024"/>
    <n v="52.855999999999987"/>
    <n v="89.582000000000008"/>
    <n v="42.473999999999997"/>
    <n v="60.786000000000001"/>
    <n v="79.910000000000011"/>
    <n v="88.742999999999995"/>
    <n v="59.399999999999991"/>
    <n v="91.114000000000019"/>
    <n v="87.269999999999982"/>
    <n v="90.637999999999977"/>
    <n v="66.814999999999998"/>
    <n v="77.341000000000008"/>
    <n v="54.836999999999996"/>
    <n v="43.868000000000002"/>
    <n v="7.4980000000000002"/>
    <n v="26.615000000000009"/>
    <n v="59.331999999999994"/>
    <n v="65.722000000000008"/>
    <n v="49.04999999999999"/>
    <n v="61.449000000000005"/>
    <n v="69.766000000000005"/>
    <n v="44.767000000000003"/>
    <n v="45.234000000000002"/>
    <n v="59.589999999999989"/>
    <n v="59.103999999999985"/>
    <n v="61.614258064516136"/>
    <n v="7.701782258064517"/>
  </r>
  <r>
    <n v="60"/>
    <x v="5"/>
    <x v="43"/>
    <s v="EFL"/>
    <s v="Public-Free"/>
    <s v="6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x v="5"/>
    <x v="44"/>
    <s v="Trinity"/>
    <s v="Public-Paid"/>
    <s v="3.3 kW"/>
    <s v="OCPP"/>
    <n v="7"/>
    <x v="1"/>
    <n v="161.88900000000004"/>
    <n v="164.59799999999998"/>
    <n v="202.32300000000004"/>
    <n v="239.72"/>
    <n v="175.39099999999996"/>
    <n v="213.34000000000003"/>
    <n v="222.58799999999999"/>
    <n v="206.51300000000006"/>
    <n v="193.78400000000002"/>
    <n v="161.62799999999999"/>
    <n v="192.36299999999997"/>
    <n v="113.749"/>
    <n v="256.714"/>
    <n v="228.94999999999996"/>
    <n v="223.00100000000003"/>
    <n v="174.58"/>
    <n v="156.05400000000003"/>
    <n v="133.17900000000003"/>
    <n v="158.654"/>
    <n v="153.57299999999998"/>
    <n v="104.22799999999999"/>
    <n v="142.40299999999999"/>
    <n v="177.77100000000004"/>
    <n v="171.40099999999998"/>
    <n v="191.35"/>
    <n v="185.09900000000002"/>
    <n v="217.57300000000001"/>
    <n v="166.125"/>
    <n v="200.27800000000005"/>
    <n v="166.29400000000004"/>
    <n v="188.08600000000004"/>
    <n v="182.03867741935485"/>
    <n v="26.005525345622122"/>
  </r>
  <r>
    <n v="62"/>
    <x v="5"/>
    <x v="45"/>
    <s v="Trinity"/>
    <s v="Public-Paid"/>
    <s v="3.3 kW"/>
    <s v="OCPP"/>
    <n v="10"/>
    <x v="1"/>
    <n v="193.74699999999993"/>
    <n v="226.82099999999991"/>
    <n v="142.19999999999996"/>
    <n v="255.99000000000004"/>
    <n v="199.26600000000005"/>
    <n v="204.19100000000003"/>
    <n v="140.148"/>
    <n v="282.07700000000006"/>
    <n v="227.35100000000003"/>
    <n v="255.06"/>
    <n v="205.36000000000004"/>
    <n v="209.578"/>
    <n v="188.745"/>
    <n v="226.24300000000002"/>
    <n v="207.69899999999996"/>
    <n v="168.25900000000004"/>
    <n v="153.70000000000005"/>
    <n v="178.37699999999998"/>
    <n v="195.24000000000007"/>
    <n v="203.86799999999997"/>
    <n v="153.15299999999999"/>
    <n v="212.78700000000003"/>
    <n v="161.941"/>
    <n v="199.53599999999994"/>
    <n v="154.489"/>
    <n v="189.88699999999997"/>
    <n v="235.12700000000001"/>
    <n v="155.41999999999999"/>
    <n v="222.91200000000003"/>
    <n v="211.25199999999998"/>
    <n v="190.38799999999998"/>
    <n v="198.41329032258068"/>
    <n v="19.841329032258066"/>
  </r>
  <r>
    <n v="63"/>
    <x v="5"/>
    <x v="46"/>
    <s v="Trinity"/>
    <s v="Public-Paid"/>
    <s v="3.3 kW"/>
    <s v="OCPP"/>
    <n v="8"/>
    <x v="1"/>
    <n v="94.674000000000007"/>
    <n v="105.26500000000001"/>
    <n v="115.58399999999999"/>
    <n v="112.761"/>
    <n v="88.843999999999994"/>
    <n v="94.466000000000008"/>
    <n v="123.71500000000003"/>
    <n v="119.151"/>
    <n v="98.585999999999984"/>
    <n v="123.254"/>
    <n v="116.90600000000001"/>
    <n v="94.904999999999987"/>
    <n v="47.997999999999998"/>
    <n v="115.215"/>
    <n v="72.656999999999996"/>
    <n v="76.907000000000011"/>
    <n v="60.830000000000005"/>
    <n v="63.472999999999985"/>
    <n v="105.74600000000004"/>
    <n v="91.132000000000005"/>
    <n v="67.091999999999999"/>
    <n v="45.59"/>
    <n v="46.055"/>
    <n v="42.029000000000003"/>
    <n v="45.501000000000005"/>
    <n v="55.725000000000009"/>
    <n v="78.206000000000003"/>
    <n v="67.524999999999991"/>
    <n v="55.122000000000007"/>
    <n v="68.89400000000002"/>
    <n v="60.764000000000003"/>
    <n v="82.405548387096772"/>
    <n v="10.300693548387096"/>
  </r>
  <r>
    <n v="64"/>
    <x v="5"/>
    <x v="47"/>
    <s v="Trinity"/>
    <s v="Public-Paid"/>
    <s v="3.3 kW"/>
    <s v="OCPP"/>
    <n v="6"/>
    <x v="1"/>
    <n v="5.1479999999999997"/>
    <n v="2.58"/>
    <n v="10.597"/>
    <n v="0"/>
    <n v="8.2159999999999993"/>
    <n v="2.7610000000000001"/>
    <n v="9.713000000000001"/>
    <n v="5.0389999999999997"/>
    <n v="10.949"/>
    <n v="5.5449999999999999"/>
    <n v="5.5009999999999994"/>
    <n v="1.718"/>
    <n v="0"/>
    <n v="0"/>
    <n v="5.4889999999999999"/>
    <n v="0"/>
    <n v="2.698"/>
    <n v="5.2859999999999996"/>
    <n v="3.3260000000000001"/>
    <n v="6.2229999999999999"/>
    <n v="6.157"/>
    <n v="0"/>
    <n v="0"/>
    <n v="0"/>
    <n v="0"/>
    <n v="1.718"/>
    <n v="0"/>
    <n v="0"/>
    <n v="9.9550000000000001"/>
    <n v="0"/>
    <n v="0"/>
    <n v="3.5038387096774195"/>
    <n v="0.58397311827956988"/>
  </r>
  <r>
    <n v="65"/>
    <x v="5"/>
    <x v="48"/>
    <s v="Trinity"/>
    <s v="Public-Paid"/>
    <s v="3.3 kW"/>
    <s v="OCPP"/>
    <n v="2"/>
    <x v="1"/>
    <n v="0"/>
    <n v="3.3640000000000003"/>
    <n v="0"/>
    <n v="0"/>
    <n v="0"/>
    <n v="0"/>
    <n v="0"/>
    <n v="0"/>
    <n v="1.9610000000000001"/>
    <n v="0"/>
    <n v="0"/>
    <n v="0"/>
    <n v="0"/>
    <n v="0.10600000000000001"/>
    <n v="0"/>
    <n v="10.432"/>
    <n v="0"/>
    <n v="0"/>
    <n v="21.702999999999999"/>
    <n v="4.3229999999999995"/>
    <n v="12.311"/>
    <n v="10.168999999999999"/>
    <n v="12.159000000000001"/>
    <n v="22.164999999999999"/>
    <n v="19.806000000000001"/>
    <n v="9.48"/>
    <n v="30.045999999999999"/>
    <n v="14.478000000000002"/>
    <n v="47.668999999999997"/>
    <n v="30.855"/>
    <n v="26.255999999999997"/>
    <n v="8.9446129032258064"/>
    <n v="4.4723064516129032"/>
  </r>
  <r>
    <n v="66"/>
    <x v="6"/>
    <x v="49"/>
    <s v="ETO"/>
    <s v="Public-Paid"/>
    <s v="3.3kW"/>
    <s v="OCPP"/>
    <n v="20"/>
    <x v="1"/>
    <n v="23.722000000000001"/>
    <n v="18.992000000000004"/>
    <n v="22.082999999999998"/>
    <n v="2E-3"/>
    <n v="25.652000000000001"/>
    <n v="33.563000000000002"/>
    <n v="58.843999999999994"/>
    <n v="55.304999999999993"/>
    <n v="41.871000000000016"/>
    <n v="34.314"/>
    <n v="28.918000000000006"/>
    <n v="24.250000000000004"/>
    <n v="42.873999999999981"/>
    <n v="24.837000000000003"/>
    <n v="0.65700000000000003"/>
    <n v="31.404"/>
    <n v="24.006999999999998"/>
    <n v="8.3129999999999988"/>
    <n v="8.1389999999999993"/>
    <n v="13.872999999999998"/>
    <n v="2.359"/>
    <n v="0"/>
    <n v="3.9950000000000001"/>
    <n v="1.996"/>
    <n v="0"/>
    <n v="0"/>
    <n v="9.907"/>
    <n v="2.073"/>
    <n v="3.26"/>
    <n v="7.1319999999999997"/>
    <n v="3.5590000000000002"/>
    <n v="17.932290322580645"/>
    <n v="0.8966145161290322"/>
  </r>
  <r>
    <n v="67"/>
    <x v="6"/>
    <x v="50"/>
    <s v="Trinity"/>
    <s v="Public-Paid"/>
    <s v="3.3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6"/>
    <x v="51"/>
    <s v="ETO"/>
    <s v="Public-Paid"/>
    <s v="3.3kW"/>
    <s v="OCPP"/>
    <n v="3"/>
    <x v="1"/>
    <m/>
    <m/>
    <m/>
    <m/>
    <m/>
    <m/>
    <m/>
    <m/>
    <m/>
    <m/>
    <m/>
    <m/>
    <m/>
    <m/>
    <m/>
    <m/>
    <m/>
    <m/>
    <m/>
    <m/>
    <m/>
    <m/>
    <m/>
    <m/>
    <m/>
    <m/>
    <m/>
    <m/>
    <n v="31.574999999999999"/>
    <n v="43.064999999999998"/>
    <n v="44.242999999999995"/>
    <n v="39.627666666666663"/>
    <n v="13.209222222222222"/>
  </r>
  <r>
    <n v="69"/>
    <x v="7"/>
    <x v="52"/>
    <s v="SOU"/>
    <s v="Public-Paid"/>
    <s v="3.3 kW"/>
    <s v="OCPP"/>
    <n v="40"/>
    <x v="1"/>
    <n v="169.96299999999997"/>
    <n v="162.99899999999997"/>
    <n v="264.69500000000011"/>
    <n v="520.58799999999997"/>
    <n v="366.59599999999995"/>
    <n v="216.22899999999998"/>
    <n v="208.68800000000002"/>
    <n v="227.59299999999999"/>
    <n v="104.155"/>
    <n v="138.71099999999998"/>
    <n v="416.49199999999996"/>
    <n v="383.53600000000012"/>
    <n v="158.34400000000002"/>
    <n v="391.57400000000007"/>
    <n v="474.73700000000002"/>
    <n v="652.55500000000018"/>
    <n v="664.64300000000026"/>
    <n v="750.19699999999955"/>
    <n v="552.73399999999992"/>
    <n v="243.80400000000006"/>
    <n v="221.08199999999997"/>
    <n v="424.01199999999977"/>
    <n v="322.43399999999991"/>
    <n v="318.97399999999999"/>
    <n v="595.3159999999998"/>
    <n v="558.25399999999991"/>
    <n v="347.36100000000005"/>
    <n v="212.68099999999995"/>
    <n v="250.14"/>
    <n v="195.35599999999999"/>
    <n v="217.47200000000007"/>
    <n v="346.1908064516129"/>
    <n v="8.6547701612903225"/>
  </r>
  <r>
    <n v="70"/>
    <x v="8"/>
    <x v="53"/>
    <s v="ETO"/>
    <s v="Public-Paid"/>
    <s v="3.3 kW"/>
    <s v="OCPP"/>
    <n v="19"/>
    <x v="1"/>
    <n v="4.1669999999999998"/>
    <n v="5.4580000000000002"/>
    <n v="5.3109999999999999"/>
    <n v="3.9020000000000001"/>
    <n v="3.9640000000000004"/>
    <n v="3.8639999999999999"/>
    <n v="5.1419999999999995"/>
    <n v="4.8889999999999993"/>
    <n v="3.9570000000000003"/>
    <n v="5.5670000000000002"/>
    <n v="3.5179999999999998"/>
    <n v="5.5519999999999996"/>
    <n v="4.3419999999999996"/>
    <n v="5.5180000000000007"/>
    <n v="4.5540000000000003"/>
    <n v="5.8469999999999995"/>
    <n v="5.476"/>
    <n v="5.8679999999999994"/>
    <n v="4.6630000000000003"/>
    <n v="4.5"/>
    <n v="2.262"/>
    <n v="5.2430000000000003"/>
    <n v="5.3250000000000002"/>
    <n v="6.827"/>
    <n v="4.2439999999999998"/>
    <n v="5.6720000000000006"/>
    <n v="5.0310000000000006"/>
    <n v="4.4640000000000004"/>
    <n v="3.7290000000000001"/>
    <n v="5.4239999999999995"/>
    <n v="5.3719999999999999"/>
    <n v="4.8274838709677415"/>
    <n v="0.25407809847198637"/>
  </r>
  <r>
    <n v="71"/>
    <x v="9"/>
    <x v="54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2"/>
    <x v="10"/>
    <x v="55"/>
    <s v="Trinity"/>
    <s v="Public-Paid"/>
    <s v="3.3kW"/>
    <s v="OCPP"/>
    <n v="10"/>
    <x v="1"/>
    <n v="43.003999999999991"/>
    <n v="80.775000000000006"/>
    <n v="86.82000000000005"/>
    <n v="138.21799999999999"/>
    <n v="96.683999999999997"/>
    <n v="96.661000000000016"/>
    <n v="18.471"/>
    <n v="48.530999999999999"/>
    <n v="85.417999999999992"/>
    <n v="66.493000000000009"/>
    <n v="83.703000000000017"/>
    <n v="82.183000000000007"/>
    <n v="27.302999999999994"/>
    <n v="84.323999999999984"/>
    <n v="133.87800000000001"/>
    <n v="80.349999999999994"/>
    <n v="127.01700000000002"/>
    <n v="153.70399999999992"/>
    <n v="32.659999999999997"/>
    <n v="42.631999999999998"/>
    <n v="37.758000000000003"/>
    <n v="103.58399999999999"/>
    <n v="52.38"/>
    <n v="78.294000000000011"/>
    <n v="107.36100000000003"/>
    <n v="164.95200000000006"/>
    <n v="104.773"/>
    <n v="112.616"/>
    <n v="101.20999999999998"/>
    <n v="102.059"/>
    <n v="94.038999999999987"/>
    <n v="86.059838709677436"/>
    <n v="8.6059838709677443"/>
  </r>
  <r>
    <n v="73"/>
    <x v="10"/>
    <x v="55"/>
    <s v="Trinity"/>
    <s v="Public-Paid"/>
    <s v="7.4 kW"/>
    <s v="OCPP"/>
    <n v="1"/>
    <x v="1"/>
    <n v="13.571999999999999"/>
    <n v="23.170999999999999"/>
    <n v="33.191999999999993"/>
    <n v="0"/>
    <n v="38.364000000000004"/>
    <n v="0"/>
    <n v="14.984999999999999"/>
    <n v="45.975999999999992"/>
    <n v="10.178000000000001"/>
    <n v="7.1340000000000003"/>
    <n v="0"/>
    <n v="25.001000000000001"/>
    <n v="28.860999999999997"/>
    <n v="0"/>
    <n v="28.471999999999998"/>
    <n v="29.361000000000001"/>
    <n v="22.61"/>
    <n v="41.230000000000004"/>
    <n v="17.692"/>
    <n v="0"/>
    <n v="0"/>
    <n v="30.234000000000002"/>
    <n v="9.5780000000000012"/>
    <n v="1E-3"/>
    <n v="0"/>
    <n v="3.9370000000000012"/>
    <n v="16.773"/>
    <n v="33.197000000000003"/>
    <n v="6.7620000000000005"/>
    <n v="7.2720000000000002"/>
    <n v="34.521000000000001"/>
    <n v="16.841096774193549"/>
    <n v="16.841096774193549"/>
  </r>
  <r>
    <n v="74"/>
    <x v="10"/>
    <x v="56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x v="10"/>
    <x v="57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10"/>
    <x v="58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11"/>
    <x v="59"/>
    <s v="ETO"/>
    <s v="Public-Paid"/>
    <s v="3.3 kW"/>
    <s v="OCPP"/>
    <n v="5"/>
    <x v="1"/>
    <n v="29.698999999999998"/>
    <n v="12.620999999999997"/>
    <n v="7.7030000000000003"/>
    <n v="44.436999999999998"/>
    <n v="33.47"/>
    <n v="31.998999999999999"/>
    <n v="55.501000000000005"/>
    <n v="27.053000000000001"/>
    <n v="57.093000000000004"/>
    <n v="41.988"/>
    <n v="28.55"/>
    <n v="39.426000000000002"/>
    <n v="42.141000000000005"/>
    <n v="47.022000000000006"/>
    <n v="16.859000000000002"/>
    <n v="22.95"/>
    <n v="52.714999999999996"/>
    <n v="37.463999999999999"/>
    <n v="39.919999999999995"/>
    <n v="30.541999999999998"/>
    <n v="17.391000000000002"/>
    <n v="34.665999999999997"/>
    <n v="43.904000000000003"/>
    <n v="26.344000000000001"/>
    <n v="43.869"/>
    <n v="33.4"/>
    <n v="30.52"/>
    <n v="29.103000000000002"/>
    <n v="36.417999999999999"/>
    <n v="36.775999999999996"/>
    <n v="32.410000000000004"/>
    <n v="34.321096774193556"/>
    <n v="6.8642193548387116"/>
  </r>
  <r>
    <n v="78"/>
    <x v="11"/>
    <x v="60"/>
    <s v="ETO"/>
    <s v="Public-Paid"/>
    <s v="3.3 kW"/>
    <s v="OCPP"/>
    <n v="16"/>
    <x v="1"/>
    <n v="2.5910000000000002"/>
    <n v="0"/>
    <n v="1.204"/>
    <n v="19.154"/>
    <n v="6.3049999999999997"/>
    <n v="10.760999999999999"/>
    <n v="1.9410000000000001"/>
    <n v="8.9340000000000011"/>
    <n v="13.428000000000001"/>
    <n v="5.4340000000000002"/>
    <n v="4.51"/>
    <n v="0"/>
    <n v="19.978999999999999"/>
    <n v="18.487000000000002"/>
    <n v="15.691000000000001"/>
    <n v="9.6259999999999994"/>
    <n v="0"/>
    <n v="0"/>
    <n v="0"/>
    <n v="0"/>
    <n v="0"/>
    <n v="0"/>
    <n v="0"/>
    <n v="1.2669999999999999"/>
    <n v="0"/>
    <n v="1.7799999999999996"/>
    <n v="0.33200000000000002"/>
    <n v="6.0000000000000001E-3"/>
    <n v="0.93899999999999995"/>
    <n v="4.6470000000000002"/>
    <n v="1.111"/>
    <n v="4.7782903225806441"/>
    <n v="0.29864314516129026"/>
  </r>
  <r>
    <n v="79"/>
    <x v="11"/>
    <x v="61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x v="11"/>
    <x v="62"/>
    <s v="ETO"/>
    <s v="Public-Paid"/>
    <s v="3.3 kW"/>
    <s v="OCPP"/>
    <n v="13"/>
    <x v="1"/>
    <n v="36.524000000000001"/>
    <n v="63.019999999999996"/>
    <n v="34.134"/>
    <n v="33.650999999999996"/>
    <n v="45.888999999999996"/>
    <n v="38.591000000000001"/>
    <n v="42.489000000000004"/>
    <n v="36.54"/>
    <n v="59.216999999999999"/>
    <n v="51.306999999999995"/>
    <n v="8.4759999999999991"/>
    <n v="28.724"/>
    <n v="55.122"/>
    <n v="45.967000000000006"/>
    <n v="24.006"/>
    <n v="39.116999999999997"/>
    <n v="53.818000000000005"/>
    <n v="23.076000000000001"/>
    <n v="53.772999999999996"/>
    <n v="22.050999999999998"/>
    <n v="11.526999999999999"/>
    <n v="26.492000000000001"/>
    <n v="10.481"/>
    <n v="28.168000000000003"/>
    <n v="38.784999999999997"/>
    <n v="40.613"/>
    <n v="24.228999999999999"/>
    <n v="47.865000000000002"/>
    <n v="35.29"/>
    <n v="57.324999999999989"/>
    <n v="50.757000000000005"/>
    <n v="37.645935483870971"/>
    <n v="2.8958411910669977"/>
  </r>
  <r>
    <n v="81"/>
    <x v="11"/>
    <x v="63"/>
    <s v="ETO"/>
    <s v="Public-Paid"/>
    <s v="3.3 kW"/>
    <s v="OCPP"/>
    <n v="20"/>
    <x v="1"/>
    <n v="294.55700000000002"/>
    <n v="325.64700000000005"/>
    <n v="302.72300000000001"/>
    <n v="358.64000000000004"/>
    <n v="295.07599999999996"/>
    <n v="273.17599999999999"/>
    <n v="366.24899999999991"/>
    <n v="281.0080000000001"/>
    <n v="355.16899999999993"/>
    <n v="333.15100000000001"/>
    <n v="358.38900000000001"/>
    <n v="234.70800000000006"/>
    <n v="284.76799999999992"/>
    <n v="300.22399999999999"/>
    <n v="336.53600000000006"/>
    <n v="329.87400000000002"/>
    <n v="319.17900000000009"/>
    <n v="332.98599999999999"/>
    <n v="326.15800000000007"/>
    <n v="236.65300000000002"/>
    <n v="192.90799999999996"/>
    <n v="160.64599999999999"/>
    <n v="134.696"/>
    <n v="240.13100000000006"/>
    <n v="359.84399999999994"/>
    <n v="325.5379999999999"/>
    <n v="353.12599999999998"/>
    <n v="278.46100000000007"/>
    <n v="315.22100000000006"/>
    <n v="291.94200000000012"/>
    <n v="347.20800000000014"/>
    <n v="298.21264516129042"/>
    <n v="14.910632258064521"/>
  </r>
  <r>
    <n v="82"/>
    <x v="11"/>
    <x v="64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x v="11"/>
    <x v="65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11"/>
    <x v="66"/>
    <s v="Trinity"/>
    <s v="Public-Paid"/>
    <s v="7.4 kW"/>
    <s v="OCPP"/>
    <n v="2"/>
    <x v="0"/>
    <n v="0"/>
    <n v="0"/>
    <n v="0"/>
    <n v="0"/>
    <n v="0"/>
    <n v="0"/>
    <n v="0"/>
    <n v="0"/>
    <n v="5.19"/>
    <n v="0"/>
    <n v="0"/>
    <n v="0"/>
    <n v="0"/>
    <n v="0"/>
    <n v="0"/>
    <n v="0"/>
    <n v="0"/>
    <n v="0"/>
    <n v="0"/>
    <n v="0"/>
    <n v="0"/>
    <n v="4.1399999999999997"/>
    <n v="0"/>
    <n v="0"/>
    <n v="0"/>
    <n v="0"/>
    <n v="2.37"/>
    <n v="0"/>
    <n v="0"/>
    <n v="0"/>
    <n v="0"/>
    <n v="0.37741935483870964"/>
    <n v="0.18870967741935482"/>
  </r>
  <r>
    <n v="85"/>
    <x v="11"/>
    <x v="67"/>
    <m/>
    <s v="Private-Paid"/>
    <s v="3.3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1"/>
    <x v="68"/>
    <s v="Trinity"/>
    <s v="Public-Free"/>
    <s v="3.3 kW"/>
    <s v="OCPP"/>
    <n v="6"/>
    <x v="0"/>
    <n v="60.611999999999995"/>
    <n v="74.741"/>
    <n v="0"/>
    <n v="0"/>
    <n v="58.492000000000004"/>
    <n v="68.081000000000003"/>
    <n v="70.99499999999999"/>
    <n v="54.987000000000002"/>
    <n v="50.97"/>
    <n v="0"/>
    <n v="15.349"/>
    <n v="0"/>
    <n v="46.370999999999995"/>
    <n v="55.181000000000004"/>
    <n v="5.2149999999999999"/>
    <n v="24.422000000000001"/>
    <n v="0"/>
    <n v="0"/>
    <n v="33.982999999999997"/>
    <n v="45.573000000000008"/>
    <n v="17.82"/>
    <n v="35.464999999999996"/>
    <n v="34.039000000000001"/>
    <n v="14.917999999999999"/>
    <n v="5.972999999999999"/>
    <n v="23.524000000000001"/>
    <n v="64.819999999999993"/>
    <n v="59.730999999999995"/>
    <n v="53.934000000000005"/>
    <n v="72.465999999999994"/>
    <n v="23.393999999999998"/>
    <n v="34.550193548387092"/>
    <n v="5.7583655913978484"/>
  </r>
  <r>
    <n v="87"/>
    <x v="11"/>
    <x v="68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x v="11"/>
    <x v="69"/>
    <s v="Trinity"/>
    <s v="Public-Paid"/>
    <s v="3.3kW"/>
    <s v="OCPP"/>
    <n v="20"/>
    <x v="1"/>
    <n v="148.44400000000002"/>
    <n v="210.69200000000001"/>
    <n v="226.78900000000002"/>
    <n v="189.63300000000001"/>
    <n v="231.81999999999991"/>
    <n v="213.54599999999999"/>
    <n v="226.25900000000007"/>
    <n v="201.16999999999996"/>
    <n v="224.12200000000004"/>
    <n v="257.64499999999998"/>
    <n v="150.44899999999998"/>
    <n v="126.72399999999999"/>
    <n v="202.16200000000001"/>
    <n v="217.57200000000003"/>
    <n v="197.16300000000001"/>
    <n v="212.98"/>
    <n v="193.17399999999992"/>
    <n v="203.37899999999999"/>
    <n v="230.15200000000004"/>
    <n v="199.95299999999997"/>
    <n v="209.46500000000003"/>
    <n v="244.94299999999998"/>
    <n v="111.878"/>
    <n v="119.81800000000001"/>
    <n v="175.62000000000006"/>
    <n v="182.059"/>
    <n v="167.90700000000001"/>
    <n v="145.17800000000003"/>
    <n v="209.18900000000005"/>
    <n v="162.43899999999996"/>
    <n v="182.51600000000005"/>
    <n v="192.7367741935484"/>
    <n v="9.63683870967742"/>
  </r>
  <r>
    <n v="89"/>
    <x v="11"/>
    <x v="70"/>
    <s v="Trinity"/>
    <s v="Public-Paid"/>
    <s v="3.3kW"/>
    <s v="OCPP"/>
    <n v="10"/>
    <x v="1"/>
    <n v="181.12900000000002"/>
    <n v="207.95200000000006"/>
    <n v="198.88499999999999"/>
    <n v="197.84799999999993"/>
    <n v="210.39600000000002"/>
    <n v="179.33600000000001"/>
    <n v="215.24599999999998"/>
    <n v="161.67599999999999"/>
    <n v="199.31699999999998"/>
    <n v="193.66399999999996"/>
    <n v="212.67299999999997"/>
    <n v="208.02599999999998"/>
    <n v="194.04900000000006"/>
    <n v="191.86099999999999"/>
    <n v="140.82499999999999"/>
    <n v="200.48100000000005"/>
    <n v="189.65099999999998"/>
    <n v="226.37399999999997"/>
    <n v="246.44700000000003"/>
    <n v="273.86700000000002"/>
    <n v="247.79999999999995"/>
    <n v="240.65199999999999"/>
    <n v="163.54999999999998"/>
    <n v="160.33700000000002"/>
    <n v="246.94300000000001"/>
    <n v="256.964"/>
    <n v="258.16599999999994"/>
    <n v="212.57"/>
    <n v="253.17100000000002"/>
    <n v="245.47300000000004"/>
    <n v="188.65599999999998"/>
    <n v="209.80596774193549"/>
    <n v="20.98059677419355"/>
  </r>
  <r>
    <n v="90"/>
    <x v="11"/>
    <x v="71"/>
    <s v="Trinity"/>
    <s v="Public-Paid"/>
    <s v="3.3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11"/>
    <x v="71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1"/>
    <x v="72"/>
    <s v="BYPL MCD Parking"/>
    <s v="Public-Paid"/>
    <s v="3.3kW"/>
    <s v="OCPP"/>
    <n v="2"/>
    <x v="0"/>
    <m/>
    <m/>
    <m/>
    <m/>
    <m/>
    <m/>
    <m/>
    <m/>
    <m/>
    <m/>
    <m/>
    <m/>
    <m/>
    <m/>
    <m/>
    <n v="0"/>
    <n v="5.5449999999999999"/>
    <n v="7.3480000000000008"/>
    <n v="7.2690000000000001"/>
    <n v="3.67"/>
    <n v="8.2469999999999999"/>
    <n v="7.0720000000000001"/>
    <n v="10.069999999999999"/>
    <n v="10.407999999999999"/>
    <n v="11.718"/>
    <n v="15.358000000000001"/>
    <n v="0"/>
    <n v="0"/>
    <n v="0"/>
    <n v="0"/>
    <n v="13.05"/>
    <n v="6.2346875000000006"/>
    <n v="3.1173437500000003"/>
  </r>
  <r>
    <n v="93"/>
    <x v="11"/>
    <x v="73"/>
    <s v="BYPL MCD Parking"/>
    <s v="Public-Paid"/>
    <s v="3.3kW"/>
    <s v="OCPP"/>
    <n v="3"/>
    <x v="0"/>
    <n v="0"/>
    <n v="0"/>
    <n v="0"/>
    <n v="0"/>
    <n v="0"/>
    <n v="0"/>
    <n v="0"/>
    <n v="2.281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580645161290328E-2"/>
    <n v="2.4526881720430108E-2"/>
  </r>
  <r>
    <n v="94"/>
    <x v="11"/>
    <x v="74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5"/>
    <x v="11"/>
    <x v="74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6"/>
    <x v="11"/>
    <x v="7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6.458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32258064516129"/>
    <n v="6.944086021505376E-2"/>
  </r>
  <r>
    <n v="97"/>
    <x v="11"/>
    <x v="76"/>
    <s v="BYPL MCD Parking"/>
    <s v="Public-Paid"/>
    <s v="3.3kW"/>
    <s v="OCPP"/>
    <n v="3"/>
    <x v="0"/>
    <n v="3.0750000000000002"/>
    <n v="6.08"/>
    <n v="8.2330000000000005"/>
    <n v="9.5079999999999991"/>
    <n v="3.1669999999999998"/>
    <n v="8.9600000000000009"/>
    <n v="7.149"/>
    <n v="9.0259999999999998"/>
    <n v="10.583"/>
    <n v="11.204999999999998"/>
    <n v="11.186999999999999"/>
    <n v="2.7119999999999997"/>
    <n v="3.4210000000000003"/>
    <n v="1.89"/>
    <n v="5.7960000000000003"/>
    <n v="0"/>
    <n v="6.4530000000000003"/>
    <n v="10.984999999999999"/>
    <n v="0"/>
    <n v="1.4330000000000001"/>
    <n v="12.952999999999999"/>
    <n v="7.593"/>
    <n v="9.52"/>
    <n v="0"/>
    <n v="7.4160000000000004"/>
    <n v="6.98"/>
    <n v="3.2759999999999998"/>
    <n v="11.052"/>
    <n v="9.9530000000000012"/>
    <n v="11.715"/>
    <n v="10.305"/>
    <n v="6.8266451612903234"/>
    <n v="2.2755483870967743"/>
  </r>
  <r>
    <n v="98"/>
    <x v="11"/>
    <x v="77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x v="11"/>
    <x v="78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"/>
    <x v="11"/>
    <x v="79"/>
    <s v="BYPL MCD Parking"/>
    <s v="Public-Paid"/>
    <s v="3.3kW"/>
    <s v="OCPP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11"/>
    <x v="80"/>
    <s v="ETO"/>
    <s v="Public-Paid"/>
    <s v="3.3kW"/>
    <s v="OCPP"/>
    <n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x v="11"/>
    <x v="81"/>
    <s v="Trinity"/>
    <s v="Public-Paid"/>
    <s v="3.3kW"/>
    <s v="OCPP"/>
    <n v="4"/>
    <x v="1"/>
    <n v="5.8109999999999999"/>
    <n v="7.6639999999999997"/>
    <n v="12.134"/>
    <n v="19.151"/>
    <n v="23.501999999999999"/>
    <n v="37.327999999999996"/>
    <n v="23.042999999999999"/>
    <n v="22.272000000000002"/>
    <n v="8.3290000000000006"/>
    <n v="7.1369999999999996"/>
    <n v="37.451999999999998"/>
    <n v="8.3049999999999997"/>
    <n v="9.9480000000000004"/>
    <n v="0.70799999999999996"/>
    <n v="20.88"/>
    <n v="10.105"/>
    <n v="20.826000000000001"/>
    <n v="25.779"/>
    <n v="11.706"/>
    <n v="8.3239999999999998"/>
    <n v="29.085000000000001"/>
    <n v="45.162999999999997"/>
    <n v="56.882999999999996"/>
    <n v="54.181000000000004"/>
    <n v="24.122"/>
    <n v="19.459999999999997"/>
    <n v="30.488999999999997"/>
    <n v="26.655000000000001"/>
    <n v="49.770999999999994"/>
    <n v="44.391999999999996"/>
    <n v="37.048999999999999"/>
    <n v="23.795290322580644"/>
    <n v="5.9488225806451611"/>
  </r>
  <r>
    <n v="103"/>
    <x v="11"/>
    <x v="82"/>
    <s v="BRPL MCD Parking"/>
    <s v="Public-Free"/>
    <s v="3.3kW"/>
    <s v="OCPP"/>
    <n v="2"/>
    <x v="0"/>
    <n v="19.859000000000002"/>
    <n v="8.9649999999999999"/>
    <n v="0"/>
    <n v="0"/>
    <n v="14.769"/>
    <n v="0"/>
    <n v="3.266"/>
    <n v="15.188000000000001"/>
    <n v="2.7930000000000001"/>
    <n v="19.454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191935483870968"/>
    <n v="1.3595967741935484"/>
  </r>
  <r>
    <n v="104"/>
    <x v="11"/>
    <x v="83"/>
    <s v="Sold"/>
    <s v="Public-Free"/>
    <s v="3.3kW"/>
    <s v="OCPP"/>
    <n v="2"/>
    <x v="0"/>
    <m/>
    <m/>
    <n v="0"/>
    <n v="0"/>
    <n v="10.528"/>
    <n v="6.6609999999999996"/>
    <n v="2.5139999999999998"/>
    <n v="0"/>
    <n v="16.521999999999998"/>
    <n v="0"/>
    <n v="0"/>
    <n v="15.512"/>
    <n v="0"/>
    <n v="0"/>
    <n v="0"/>
    <n v="0"/>
    <n v="0"/>
    <n v="0"/>
    <n v="0"/>
    <n v="0"/>
    <n v="0"/>
    <n v="22.594999999999999"/>
    <n v="0"/>
    <n v="0"/>
    <n v="0"/>
    <n v="0"/>
    <n v="0"/>
    <n v="28.760999999999999"/>
    <n v="0"/>
    <n v="0"/>
    <n v="0"/>
    <n v="3.5549310344827583"/>
    <n v="1.7774655172413791"/>
  </r>
  <r>
    <n v="105"/>
    <x v="11"/>
    <x v="84"/>
    <s v="BRPL MCD Parking"/>
    <s v="Public-Free"/>
    <s v="3.3kW"/>
    <s v="OCPP"/>
    <n v="1"/>
    <x v="0"/>
    <m/>
    <m/>
    <m/>
    <m/>
    <m/>
    <m/>
    <m/>
    <m/>
    <m/>
    <m/>
    <m/>
    <m/>
    <m/>
    <n v="6.3880000000000008"/>
    <n v="0"/>
    <n v="2.37"/>
    <n v="0"/>
    <n v="0"/>
    <n v="0"/>
    <n v="0"/>
    <n v="0"/>
    <n v="0"/>
    <n v="0"/>
    <n v="0"/>
    <n v="0"/>
    <n v="0"/>
    <n v="0"/>
    <n v="0"/>
    <n v="0"/>
    <n v="0"/>
    <n v="0"/>
    <n v="0.48655555555555563"/>
    <n v="0.48655555555555563"/>
  </r>
  <r>
    <n v="106"/>
    <x v="11"/>
    <x v="85"/>
    <s v="Sold"/>
    <s v="Public-Free"/>
    <s v="3.3kW"/>
    <s v="OCPP"/>
    <n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</r>
  <r>
    <n v="107"/>
    <x v="11"/>
    <x v="86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x v="11"/>
    <x v="87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9"/>
    <x v="11"/>
    <x v="88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11"/>
    <x v="89"/>
    <m/>
    <s v="Public-Paid"/>
    <s v="3.3 kW"/>
    <s v="LEVAC-BLE"/>
    <n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"/>
    <x v="11"/>
    <x v="90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"/>
    <x v="11"/>
    <x v="91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11"/>
    <x v="92"/>
    <s v="Trinity"/>
    <s v="Public-Paid"/>
    <s v="3.3kW"/>
    <s v="LEVAC-BLE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x v="1"/>
    <s v="Amazon"/>
    <s v="Public-Paid"/>
    <s v="3.3 kW"/>
    <s v="OCPP"/>
    <n v="9"/>
    <x v="0"/>
    <n v="109.37400000000001"/>
    <n v="121.337"/>
    <n v="139.01300000000001"/>
    <n v="125.53699999999999"/>
    <n v="99.660000000000039"/>
    <n v="97.987000000000009"/>
    <n v="113.58400000000003"/>
    <n v="83.573000000000008"/>
    <n v="111.68100000000001"/>
    <n v="105.45"/>
    <n v="88.740999999999985"/>
    <n v="123.447"/>
    <n v="107.849"/>
    <n v="75.106999999999999"/>
    <n v="116.58199999999999"/>
    <n v="113.93900000000001"/>
    <n v="96.472999999999999"/>
    <n v="114.10899999999999"/>
    <n v="106.26400000000001"/>
    <n v="72.792999999999992"/>
    <n v="93.670999999999992"/>
    <n v="115.89000000000001"/>
    <n v="166.03399999999999"/>
    <n v="152.345"/>
    <n v="117.861"/>
    <n v="122.44600000000001"/>
    <n v="123.02799999999999"/>
    <n v="121.18300000000001"/>
    <n v="82.164000000000001"/>
    <n v="105.63799999999999"/>
    <n v="108.458"/>
    <n v="110.6844516129032"/>
    <n v="12.298272401433689"/>
  </r>
  <r>
    <n v="3"/>
    <x v="0"/>
    <x v="2"/>
    <s v="Amazon"/>
    <s v="Public-Paid"/>
    <s v="3.3 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s v="ETO"/>
    <s v="Public-Paid"/>
    <s v="3.3 kW"/>
    <s v="OCPP"/>
    <n v="8"/>
    <x v="1"/>
    <n v="55.861999999999995"/>
    <n v="37.548999999999999"/>
    <n v="72.024000000000001"/>
    <n v="39.216000000000001"/>
    <n v="66.263000000000005"/>
    <n v="86.582999999999998"/>
    <n v="33.32"/>
    <n v="57.969000000000001"/>
    <n v="41.657999999999994"/>
    <n v="74.213999999999984"/>
    <n v="62.205000000000005"/>
    <n v="65.903999999999996"/>
    <n v="68.994"/>
    <n v="81.391999999999996"/>
    <n v="70.378"/>
    <n v="74.381"/>
    <n v="89.331999999999994"/>
    <n v="129.18"/>
    <n v="87.944999999999993"/>
    <n v="81.597000000000023"/>
    <n v="97.576000000000022"/>
    <n v="117.37700000000002"/>
    <n v="104.19199999999999"/>
    <n v="98.24"/>
    <n v="72.071999999999989"/>
    <n v="77.191999999999993"/>
    <n v="114.01999999999998"/>
    <n v="85.806000000000012"/>
    <n v="68.916999999999987"/>
    <n v="122.52"/>
    <n v="110.964"/>
    <n v="78.865870967741941"/>
    <n v="9.8582338709677426"/>
  </r>
  <r>
    <n v="5"/>
    <x v="0"/>
    <x v="4"/>
    <s v="Trinity"/>
    <s v="Public-Paid"/>
    <s v="3.3 kW"/>
    <s v="OCPP"/>
    <n v="26"/>
    <x v="1"/>
    <n v="472.43"/>
    <n v="466.94"/>
    <n v="483.64"/>
    <n v="456.83"/>
    <n v="425.7"/>
    <n v="515.33000000000004"/>
    <n v="497.64"/>
    <n v="496.31"/>
    <n v="382.17"/>
    <n v="466.46"/>
    <n v="446.86"/>
    <n v="506.78"/>
    <n v="460.27"/>
    <n v="483.37"/>
    <n v="515.41"/>
    <n v="528.26"/>
    <n v="595.4"/>
    <n v="487.42"/>
    <n v="586.03"/>
    <n v="597.83000000000004"/>
    <n v="737.58"/>
    <n v="659.96299999999997"/>
    <n v="573.59"/>
    <n v="699.99099999999964"/>
    <n v="801.37"/>
    <n v="823.17099999999948"/>
    <n v="768.44999999999982"/>
    <n v="808.70399999999984"/>
    <n v="649.84199999999953"/>
    <n v="656.11900000000026"/>
    <n v="747.84299999999985"/>
    <n v="574.11945161290316"/>
    <n v="22.081517369727045"/>
  </r>
  <r>
    <n v="6"/>
    <x v="0"/>
    <x v="4"/>
    <s v="Trinity"/>
    <s v="Public-Paid"/>
    <s v="3 kW"/>
    <s v="DC Charger"/>
    <n v="1"/>
    <x v="1"/>
    <n v="14.68"/>
    <n v="13.56"/>
    <n v="5.23"/>
    <n v="18.12"/>
    <n v="6.02"/>
    <n v="11.45"/>
    <n v="8.66"/>
    <n v="15.4"/>
    <n v="15.36"/>
    <n v="12.75"/>
    <n v="0"/>
    <n v="0.74"/>
    <n v="0"/>
    <n v="6.84"/>
    <n v="0"/>
    <n v="6.2"/>
    <n v="0"/>
    <n v="0"/>
    <n v="14.16"/>
    <n v="5.12"/>
    <n v="4.38"/>
    <n v="2.7199999999999998"/>
    <n v="8"/>
    <n v="0"/>
    <n v="0"/>
    <n v="0"/>
    <n v="0"/>
    <n v="0"/>
    <n v="0"/>
    <n v="0"/>
    <n v="0"/>
    <n v="5.4641935483870965"/>
    <n v="5.4641935483870965"/>
  </r>
  <r>
    <n v="7"/>
    <x v="0"/>
    <x v="4"/>
    <s v="Trinity"/>
    <s v="Public-Paid"/>
    <s v="12kW"/>
    <s v="DC Charger"/>
    <n v="2"/>
    <x v="1"/>
    <n v="0"/>
    <n v="0"/>
    <n v="8.82"/>
    <n v="0"/>
    <n v="0"/>
    <n v="0"/>
    <n v="0"/>
    <n v="0"/>
    <n v="15.03"/>
    <n v="10.11"/>
    <n v="8.35"/>
    <n v="0"/>
    <n v="9.65"/>
    <n v="10.25"/>
    <n v="15.64"/>
    <n v="17.86"/>
    <n v="14.2"/>
    <n v="23.82"/>
    <n v="27.21"/>
    <n v="12.32"/>
    <n v="0"/>
    <n v="3.17"/>
    <n v="0"/>
    <n v="0"/>
    <n v="0"/>
    <n v="0"/>
    <n v="0.28999999999999998"/>
    <n v="0"/>
    <n v="0"/>
    <n v="0"/>
    <n v="0"/>
    <n v="5.7006451612903213"/>
    <n v="2.8503225806451606"/>
  </r>
  <r>
    <n v="8"/>
    <x v="0"/>
    <x v="5"/>
    <s v="Trinity"/>
    <s v="Public-Paid"/>
    <s v="3.3 kW"/>
    <s v="OCPP"/>
    <n v="6"/>
    <x v="1"/>
    <n v="24.235999999999997"/>
    <n v="64.23"/>
    <n v="37.945999999999998"/>
    <n v="34.045999999999999"/>
    <n v="38.130000000000003"/>
    <n v="47.457000000000001"/>
    <n v="27.064999999999998"/>
    <n v="31.856999999999999"/>
    <n v="26.755000000000003"/>
    <n v="39.14"/>
    <n v="33.617999999999995"/>
    <n v="33.138000000000005"/>
    <n v="42.021000000000001"/>
    <n v="40.14"/>
    <n v="33.582000000000001"/>
    <n v="37.14"/>
    <n v="36.886000000000003"/>
    <n v="42.351999999999997"/>
    <n v="27.131"/>
    <n v="43.99"/>
    <n v="42.808"/>
    <n v="34.793999999999997"/>
    <n v="37.686999999999991"/>
    <n v="49.814999999999998"/>
    <n v="35.536999999999999"/>
    <n v="40.597000000000001"/>
    <n v="23.747"/>
    <n v="4.6290000000000004"/>
    <n v="3.23"/>
    <n v="32.405000000000001"/>
    <n v="31.761000000000003"/>
    <n v="34.769999999999996"/>
    <n v="5.794999999999999"/>
  </r>
  <r>
    <n v="9"/>
    <x v="0"/>
    <x v="6"/>
    <s v="ETO"/>
    <s v="Public-Paid"/>
    <s v="3.3 kW"/>
    <s v="OCPP"/>
    <n v="3"/>
    <x v="1"/>
    <n v="84.221000000000018"/>
    <n v="56.597999999999999"/>
    <n v="67.970999999999989"/>
    <n v="45.283000000000001"/>
    <n v="81.602999999999994"/>
    <n v="26.752999999999997"/>
    <n v="68.061000000000007"/>
    <n v="41.164000000000001"/>
    <n v="40.61699999999999"/>
    <n v="39.746000000000002"/>
    <n v="80.478999999999985"/>
    <n v="55.878"/>
    <n v="69.85499999999999"/>
    <n v="39.413999999999994"/>
    <n v="67.617999999999995"/>
    <n v="57.878999999999991"/>
    <n v="50.512"/>
    <n v="53.97"/>
    <n v="68.957000000000008"/>
    <n v="79.14800000000001"/>
    <n v="70.787999999999997"/>
    <n v="101.07300000000001"/>
    <n v="71.381"/>
    <n v="75.218999999999994"/>
    <n v="100.93400000000001"/>
    <n v="95.666999999999987"/>
    <n v="75.676000000000002"/>
    <n v="70.44"/>
    <n v="64.744"/>
    <n v="60.383000000000003"/>
    <n v="84.060999999999993"/>
    <n v="66.003"/>
    <n v="22.001000000000001"/>
  </r>
  <r>
    <n v="10"/>
    <x v="0"/>
    <x v="7"/>
    <s v="Trinity"/>
    <s v="Public-Free"/>
    <s v="3.3 kW"/>
    <s v="OCPP"/>
    <n v="1"/>
    <x v="0"/>
    <n v="0"/>
    <n v="0"/>
    <n v="1.6870000000000001"/>
    <n v="0"/>
    <n v="0"/>
    <n v="0"/>
    <n v="1.698"/>
    <n v="0"/>
    <n v="0"/>
    <n v="0"/>
    <n v="0"/>
    <n v="0"/>
    <n v="0"/>
    <n v="0"/>
    <n v="2.8439999999999999"/>
    <n v="0"/>
    <n v="0"/>
    <n v="3.3959999999999999"/>
    <n v="0"/>
    <n v="0"/>
    <n v="0"/>
    <n v="0"/>
    <n v="0"/>
    <n v="2.5489999999999999"/>
    <n v="0"/>
    <n v="0"/>
    <n v="0"/>
    <n v="0"/>
    <n v="0"/>
    <n v="0"/>
    <n v="0"/>
    <n v="0.39270967741935481"/>
    <n v="0.39270967741935481"/>
  </r>
  <r>
    <n v="11"/>
    <x v="0"/>
    <x v="8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599999999999996"/>
    <n v="0"/>
    <n v="0"/>
    <n v="6.2159999999999993"/>
    <n v="0.21909677419354837"/>
    <n v="0.10954838709677418"/>
  </r>
  <r>
    <n v="12"/>
    <x v="0"/>
    <x v="8"/>
    <s v="Trinity"/>
    <s v="Public-Paid"/>
    <s v="15 kw"/>
    <s v="DC Charger"/>
    <n v="2"/>
    <x v="0"/>
    <n v="0"/>
    <n v="0"/>
    <n v="25.42"/>
    <n v="0"/>
    <n v="6.02"/>
    <n v="12.440000000000001"/>
    <n v="0"/>
    <n v="11.739999999999998"/>
    <n v="20.790999999999997"/>
    <n v="19.919"/>
    <n v="38.82"/>
    <n v="7.46"/>
    <n v="31.060000000000002"/>
    <n v="23.27"/>
    <n v="10.61"/>
    <n v="12.48"/>
    <n v="17.45"/>
    <n v="0"/>
    <n v="9.11"/>
    <n v="9.99"/>
    <n v="4.62"/>
    <n v="18.79"/>
    <n v="22.869999999999997"/>
    <n v="16.14"/>
    <n v="6.31"/>
    <n v="0"/>
    <n v="0"/>
    <n v="0"/>
    <n v="0"/>
    <n v="0"/>
    <n v="11.6"/>
    <n v="10.868064516129033"/>
    <n v="5.4340322580645166"/>
  </r>
  <r>
    <n v="13"/>
    <x v="0"/>
    <x v="9"/>
    <s v="Trinity"/>
    <s v="Public-Paid"/>
    <s v="3.3 kW"/>
    <s v="OCPP"/>
    <n v="10"/>
    <x v="1"/>
    <n v="131.81200000000001"/>
    <n v="89.382999999999996"/>
    <n v="91.47199999999998"/>
    <n v="71.649000000000001"/>
    <n v="101.39399999999999"/>
    <n v="77.449999999999989"/>
    <n v="89.832000000000008"/>
    <n v="62.525999999999996"/>
    <n v="78.712999999999994"/>
    <n v="84.474000000000018"/>
    <n v="85.921000000000006"/>
    <n v="104.52699999999999"/>
    <n v="86.904999999999987"/>
    <n v="102.19199999999999"/>
    <n v="53.527000000000001"/>
    <n v="107.09300000000002"/>
    <n v="104.60900000000001"/>
    <n v="114.68499999999999"/>
    <n v="110.95799999999997"/>
    <n v="125.89300000000003"/>
    <n v="65.515000000000001"/>
    <n v="115.97699999999999"/>
    <n v="144.11299999999997"/>
    <n v="109.07600000000001"/>
    <n v="130.876"/>
    <n v="139.96299999999999"/>
    <n v="150.86599999999996"/>
    <n v="97.039999999999992"/>
    <n v="91.539999999999992"/>
    <n v="119.39700000000001"/>
    <n v="123.739"/>
    <n v="102.03603225806452"/>
    <n v="10.203603225806452"/>
  </r>
  <r>
    <n v="14"/>
    <x v="0"/>
    <x v="10"/>
    <s v="Trinity"/>
    <s v="Public-Paid"/>
    <s v="3.3 kW"/>
    <s v="OCPP"/>
    <n v="4"/>
    <x v="0"/>
    <n v="31.667000000000002"/>
    <n v="12.967000000000001"/>
    <n v="28.489000000000001"/>
    <n v="0"/>
    <n v="30.28"/>
    <n v="16.620999999999999"/>
    <n v="14.292"/>
    <n v="18.993000000000002"/>
    <n v="21.759999999999998"/>
    <n v="13.412000000000001"/>
    <n v="15.222000000000001"/>
    <n v="23.402999999999999"/>
    <n v="20.672999999999998"/>
    <n v="16.43"/>
    <n v="18.617999999999999"/>
    <n v="15.679000000000002"/>
    <n v="15.871000000000002"/>
    <n v="9.7360000000000007"/>
    <n v="15.132999999999999"/>
    <n v="25.170999999999999"/>
    <n v="9.5689999999999991"/>
    <n v="26.837999999999997"/>
    <n v="7.6539999999999999"/>
    <n v="12.532"/>
    <n v="26.817999999999998"/>
    <n v="18.998999999999999"/>
    <n v="5.0579999999999998"/>
    <n v="15.096"/>
    <n v="16.591000000000001"/>
    <n v="19.918000000000003"/>
    <n v="6.1489999999999991"/>
    <n v="17.08512903225806"/>
    <n v="4.2712822580645149"/>
  </r>
  <r>
    <n v="15"/>
    <x v="0"/>
    <x v="10"/>
    <s v="Trinity"/>
    <s v="Public-Paid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x v="11"/>
    <s v="Trinity"/>
    <s v="Public-Paid"/>
    <s v="3.3 kW"/>
    <s v="OCPP"/>
    <n v="19"/>
    <x v="1"/>
    <n v="83.876999999999995"/>
    <n v="96.597000000000008"/>
    <n v="102.71600000000001"/>
    <n v="112.28200000000001"/>
    <n v="91.942000000000007"/>
    <n v="116.60600000000002"/>
    <n v="144.791"/>
    <n v="133.143"/>
    <n v="111.61799999999999"/>
    <n v="98.333999999999989"/>
    <n v="79.361000000000004"/>
    <n v="123.872"/>
    <n v="126.22099999999999"/>
    <n v="81.438000000000002"/>
    <n v="158.02100000000002"/>
    <n v="98.878999999999991"/>
    <n v="127.46299999999999"/>
    <n v="135.73499999999999"/>
    <n v="122.727"/>
    <n v="147.18100000000001"/>
    <n v="143.17300000000003"/>
    <n v="109.98399999999999"/>
    <n v="123.86899999999997"/>
    <n v="128.59899999999999"/>
    <n v="114.58899999999997"/>
    <n v="149.13099999999997"/>
    <n v="129.48600000000002"/>
    <n v="139.95899999999997"/>
    <n v="136.82899999999998"/>
    <n v="152.23699999999999"/>
    <n v="204.72499999999997"/>
    <n v="123.39951612903226"/>
    <n v="6.4947113752122245"/>
  </r>
  <r>
    <n v="17"/>
    <x v="0"/>
    <x v="12"/>
    <s v="Trinity"/>
    <s v="Public-Paid"/>
    <s v="3.3 kW"/>
    <s v="OCPP"/>
    <n v="3"/>
    <x v="0"/>
    <n v="24.14"/>
    <n v="27.9"/>
    <n v="14.56"/>
    <n v="24.64"/>
    <n v="29.1"/>
    <n v="21.22"/>
    <n v="22.26"/>
    <n v="28.34"/>
    <n v="24.13"/>
    <n v="18.39"/>
    <n v="20.61"/>
    <n v="23.31"/>
    <n v="15.83"/>
    <n v="17.170000000000002"/>
    <n v="12.9"/>
    <n v="26.47"/>
    <n v="16.53"/>
    <n v="16.37"/>
    <n v="28.61"/>
    <n v="31.2"/>
    <n v="26.33"/>
    <n v="19.111999999999998"/>
    <n v="12.387"/>
    <n v="22.562999999999999"/>
    <n v="32.917000000000002"/>
    <n v="6.4529999999999994"/>
    <n v="25.864000000000004"/>
    <n v="28.867000000000001"/>
    <n v="24.131999999999998"/>
    <n v="28.824999999999999"/>
    <n v="32.19"/>
    <n v="22.687741935483867"/>
    <n v="7.5625806451612894"/>
  </r>
  <r>
    <n v="18"/>
    <x v="0"/>
    <x v="12"/>
    <s v="Trinity"/>
    <s v="Public-Paid"/>
    <s v="7.4 kW"/>
    <s v="OCPP"/>
    <n v="2"/>
    <x v="0"/>
    <n v="49.49"/>
    <n v="21.63"/>
    <n v="67.58"/>
    <n v="27.21"/>
    <n v="0"/>
    <n v="15.41"/>
    <n v="29.54"/>
    <n v="32.020000000000003"/>
    <n v="26.98"/>
    <n v="23.73"/>
    <n v="25.25"/>
    <n v="0"/>
    <n v="56.77"/>
    <n v="0"/>
    <n v="7.15"/>
    <n v="0.21"/>
    <n v="0"/>
    <n v="29.08"/>
    <n v="26.9"/>
    <n v="28.38"/>
    <n v="31.95"/>
    <n v="11.46"/>
    <n v="62.265000000000001"/>
    <n v="41.7"/>
    <n v="19.995000000000001"/>
    <n v="58.816999999999993"/>
    <n v="52.337000000000003"/>
    <n v="43.424999999999997"/>
    <n v="15.455"/>
    <n v="45.902000000000001"/>
    <n v="53.302"/>
    <n v="29.159290322580645"/>
    <n v="14.579645161290323"/>
  </r>
  <r>
    <n v="19"/>
    <x v="0"/>
    <x v="12"/>
    <s v="Trinity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2"/>
    <s v="Trinity"/>
    <s v="Public-Paid"/>
    <s v="15 kw"/>
    <s v="DC Charger"/>
    <n v="1"/>
    <x v="0"/>
    <n v="14.21"/>
    <n v="4.29"/>
    <n v="27.65"/>
    <n v="9.7200000000000006"/>
    <n v="4.49"/>
    <n v="2.33"/>
    <n v="1.78"/>
    <n v="0.98"/>
    <n v="0"/>
    <n v="0"/>
    <n v="4.68"/>
    <n v="0"/>
    <n v="6.6"/>
    <n v="5.33"/>
    <n v="12.97"/>
    <n v="6.92"/>
    <n v="12.33"/>
    <n v="11.01"/>
    <n v="9.41"/>
    <n v="6.92"/>
    <n v="1.87"/>
    <n v="6.66"/>
    <n v="15.428000000000001"/>
    <n v="33.214000000000006"/>
    <n v="14.231999999999999"/>
    <n v="27.440000000000005"/>
    <n v="17.315999999999999"/>
    <n v="17.256999999999998"/>
    <n v="15.404"/>
    <n v="21.997999999999998"/>
    <n v="15.214000000000002"/>
    <n v="10.569451612903224"/>
    <n v="10.569451612903224"/>
  </r>
  <r>
    <n v="21"/>
    <x v="0"/>
    <x v="12"/>
    <s v="Trinity"/>
    <s v="Public-Paid"/>
    <s v="25 kW"/>
    <s v="DC Charger"/>
    <n v="1"/>
    <x v="0"/>
    <n v="0"/>
    <n v="0"/>
    <n v="43.27"/>
    <n v="27.07"/>
    <n v="44.94"/>
    <n v="81.239999999999995"/>
    <n v="72.87"/>
    <n v="62.79"/>
    <n v="30.46"/>
    <n v="82.86"/>
    <n v="25.64"/>
    <n v="111.72"/>
    <n v="134.32"/>
    <n v="100.91"/>
    <n v="118.03"/>
    <n v="58.73"/>
    <n v="0"/>
    <n v="47.4"/>
    <n v="18.48"/>
    <n v="28.96"/>
    <n v="76.75"/>
    <n v="0"/>
    <n v="0"/>
    <n v="0"/>
    <n v="0"/>
    <n v="0"/>
    <n v="0"/>
    <n v="0"/>
    <n v="0"/>
    <n v="0"/>
    <n v="0"/>
    <n v="37.627096774193554"/>
    <n v="37.627096774193554"/>
  </r>
  <r>
    <n v="22"/>
    <x v="0"/>
    <x v="12"/>
    <s v="Trinity"/>
    <s v="Public-Paid"/>
    <s v="60 kw"/>
    <s v="DC Charger"/>
    <n v="1"/>
    <x v="0"/>
    <n v="9.8000000000000007"/>
    <n v="0"/>
    <n v="9.8800000000000008"/>
    <n v="85.45"/>
    <n v="0"/>
    <n v="12.23"/>
    <n v="83.73"/>
    <n v="128.19999999999999"/>
    <n v="134.15"/>
    <n v="98.53"/>
    <n v="44.5"/>
    <n v="2.83"/>
    <n v="77.099999999999994"/>
    <n v="41.28"/>
    <n v="75.180000000000007"/>
    <n v="79.45"/>
    <n v="1.33"/>
    <n v="72.7"/>
    <n v="0.13"/>
    <n v="2.2000000000000002"/>
    <n v="0"/>
    <n v="0"/>
    <n v="54.224999999999994"/>
    <n v="39.65"/>
    <n v="103.14999999999999"/>
    <n v="44.85"/>
    <n v="84.95"/>
    <n v="6.125"/>
    <n v="103.34999999999998"/>
    <n v="132.77499999999998"/>
    <n v="157.17500000000001"/>
    <n v="54.352258064516121"/>
    <n v="54.352258064516121"/>
  </r>
  <r>
    <n v="23"/>
    <x v="0"/>
    <x v="12"/>
    <s v="Trinity"/>
    <s v="Public-Paid"/>
    <s v="120 kw"/>
    <s v="DC Charger"/>
    <n v="1"/>
    <x v="0"/>
    <m/>
    <m/>
    <m/>
    <m/>
    <m/>
    <m/>
    <m/>
    <m/>
    <m/>
    <m/>
    <m/>
    <m/>
    <m/>
    <m/>
    <m/>
    <m/>
    <m/>
    <m/>
    <m/>
    <m/>
    <m/>
    <m/>
    <m/>
    <m/>
    <n v="3.7"/>
    <n v="157.19999999999999"/>
    <n v="138.25"/>
    <n v="41.6"/>
    <n v="172.63000000000002"/>
    <n v="243.08"/>
    <n v="286.44"/>
    <n v="148.98571428571429"/>
    <n v="148.98571428571429"/>
  </r>
  <r>
    <n v="24"/>
    <x v="0"/>
    <x v="13"/>
    <s v="Trinity"/>
    <s v="Public-Paid"/>
    <s v="3.3 kW"/>
    <s v="OCPP"/>
    <n v="7"/>
    <x v="1"/>
    <n v="49.579000000000001"/>
    <n v="67.149999999999991"/>
    <n v="60.48"/>
    <n v="81.98599999999999"/>
    <n v="50.716999999999999"/>
    <n v="92.478999999999999"/>
    <n v="51.274000000000001"/>
    <n v="42.067"/>
    <n v="59.16"/>
    <n v="63.414999999999992"/>
    <n v="75.105000000000018"/>
    <n v="79.137"/>
    <n v="32.163000000000004"/>
    <n v="24.374000000000002"/>
    <n v="26.366999999999997"/>
    <n v="30.374000000000002"/>
    <n v="57.399000000000001"/>
    <n v="56.789000000000001"/>
    <n v="46.658999999999992"/>
    <n v="62.462999999999994"/>
    <n v="51.369"/>
    <n v="87.433000000000021"/>
    <n v="100.00699999999999"/>
    <n v="94.86"/>
    <n v="50.027000000000001"/>
    <n v="95.042999999999992"/>
    <n v="66.925999999999988"/>
    <n v="86.347999999999999"/>
    <n v="69.713000000000008"/>
    <n v="29.146999999999998"/>
    <n v="61.887999999999998"/>
    <n v="61.351548387096756"/>
    <n v="8.7645069124423944"/>
  </r>
  <r>
    <n v="25"/>
    <x v="0"/>
    <x v="14"/>
    <s v="Trinity"/>
    <s v="Public-Paid"/>
    <s v="3.3 kW"/>
    <s v="OCPP"/>
    <n v="1"/>
    <x v="0"/>
    <n v="14.03"/>
    <n v="13.76"/>
    <n v="12.71"/>
    <n v="4.58"/>
    <n v="7.56"/>
    <n v="6.96"/>
    <n v="8.48"/>
    <n v="0.32"/>
    <n v="7.32"/>
    <n v="4.91"/>
    <n v="5.51"/>
    <n v="9.44"/>
    <n v="2.76"/>
    <n v="6.08"/>
    <n v="23.19"/>
    <n v="0.36"/>
    <n v="7.1390000000000002"/>
    <n v="6.5"/>
    <n v="8.09"/>
    <n v="0"/>
    <n v="0"/>
    <n v="9.088000000000001"/>
    <n v="6.7480000000000002"/>
    <n v="5.4079999999999995"/>
    <n v="10.327999999999999"/>
    <n v="7.9740000000000002"/>
    <n v="7.7589999999999995"/>
    <n v="9.1669999999999998"/>
    <n v="4.4319999999999995"/>
    <n v="7.9269999999999996"/>
    <n v="10.971"/>
    <n v="7.4032580645161277"/>
    <n v="7.4032580645161277"/>
  </r>
  <r>
    <n v="26"/>
    <x v="0"/>
    <x v="14"/>
    <s v="Trinity"/>
    <s v="Public-Paid"/>
    <s v="7.4 kW"/>
    <s v="OCPP"/>
    <n v="1"/>
    <x v="0"/>
    <n v="0"/>
    <n v="15.39"/>
    <n v="0"/>
    <n v="0"/>
    <n v="0"/>
    <n v="10.36"/>
    <n v="0"/>
    <n v="0"/>
    <n v="0"/>
    <n v="0"/>
    <n v="0"/>
    <n v="0"/>
    <n v="0"/>
    <n v="0"/>
    <n v="0"/>
    <n v="0"/>
    <n v="0"/>
    <n v="11.47"/>
    <n v="0"/>
    <n v="15.73"/>
    <n v="0"/>
    <n v="0"/>
    <n v="0"/>
    <n v="0"/>
    <n v="1.6619999999999999"/>
    <n v="19.170000000000002"/>
    <n v="0"/>
    <n v="5.13"/>
    <n v="4.3070000000000004"/>
    <n v="2.746"/>
    <n v="9.1020000000000003"/>
    <n v="3.0666774193548387"/>
    <n v="3.0666774193548387"/>
  </r>
  <r>
    <n v="27"/>
    <x v="0"/>
    <x v="14"/>
    <s v="Trinity"/>
    <s v="Public-Paid"/>
    <s v="12kW"/>
    <s v="DC Charger"/>
    <n v="1"/>
    <x v="0"/>
    <n v="0"/>
    <n v="0"/>
    <n v="0"/>
    <n v="0.04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290322580645163E-3"/>
    <n v="6.1290322580645163E-3"/>
  </r>
  <r>
    <n v="28"/>
    <x v="0"/>
    <x v="14"/>
    <s v="Trinity"/>
    <s v="Public-Paid"/>
    <s v="25 kW"/>
    <s v="DC Charger"/>
    <n v="2"/>
    <x v="0"/>
    <n v="51.41"/>
    <n v="0"/>
    <n v="23.72"/>
    <n v="35.72"/>
    <n v="22.69"/>
    <n v="19.75"/>
    <n v="13.76"/>
    <n v="11.11"/>
    <n v="43.54"/>
    <n v="0"/>
    <n v="0"/>
    <n v="26.93"/>
    <n v="24.95"/>
    <n v="7.96"/>
    <n v="21.29"/>
    <n v="30.79"/>
    <n v="0"/>
    <n v="0"/>
    <n v="0"/>
    <n v="45.56"/>
    <n v="0"/>
    <n v="9.9179999999999993"/>
    <n v="18.381"/>
    <n v="8.6969999999999992"/>
    <n v="26.835999999999999"/>
    <n v="26.788999999999998"/>
    <n v="43.372"/>
    <n v="17.893999999999998"/>
    <n v="68.12700000000001"/>
    <n v="33.285000000000004"/>
    <n v="41.716999999999999"/>
    <n v="21.748258064516126"/>
    <n v="10.874129032258063"/>
  </r>
  <r>
    <n v="29"/>
    <x v="0"/>
    <x v="15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x v="16"/>
    <s v="Trinity"/>
    <s v="Public-Paid"/>
    <s v="3.3 kW"/>
    <s v="OCPP"/>
    <n v="9"/>
    <x v="1"/>
    <n v="134.88"/>
    <n v="133.41999999999999"/>
    <n v="135.62"/>
    <n v="127.73"/>
    <n v="151.65"/>
    <n v="166.19"/>
    <n v="160.44"/>
    <n v="132.01"/>
    <n v="157.6"/>
    <n v="102.43"/>
    <n v="151.26"/>
    <n v="102.61"/>
    <n v="122.08"/>
    <n v="111.19"/>
    <n v="126.93"/>
    <n v="133.05000000000001"/>
    <n v="115.69"/>
    <n v="126.04"/>
    <n v="126.79"/>
    <n v="123.99"/>
    <n v="123.08"/>
    <n v="150.441"/>
    <n v="156.47300000000004"/>
    <n v="143.97700000000003"/>
    <n v="149.20999999999998"/>
    <n v="138.25700000000001"/>
    <n v="127.66700000000003"/>
    <n v="110.66100000000004"/>
    <n v="88.041999999999987"/>
    <n v="90.441999999999993"/>
    <n v="132.22799999999998"/>
    <n v="130.71219354838709"/>
    <n v="14.523577060931899"/>
  </r>
  <r>
    <n v="31"/>
    <x v="0"/>
    <x v="16"/>
    <s v="Trinity"/>
    <s v="Public-Paid"/>
    <s v="15 kw"/>
    <s v="DC Charger"/>
    <n v="1"/>
    <x v="1"/>
    <n v="51.13"/>
    <n v="46.57"/>
    <n v="53.91"/>
    <n v="44.13"/>
    <n v="46.36"/>
    <n v="51.16"/>
    <n v="44.16"/>
    <n v="34.799999999999997"/>
    <n v="58.47"/>
    <n v="44.97"/>
    <n v="42.81"/>
    <n v="37.549999999999997"/>
    <n v="45.06"/>
    <n v="31.25"/>
    <n v="32.840000000000003"/>
    <n v="41.68"/>
    <n v="39.46"/>
    <n v="34.33"/>
    <n v="32.07"/>
    <n v="34.32"/>
    <n v="34.299999999999997"/>
    <n v="44.309999999999995"/>
    <n v="28.1"/>
    <n v="49.889999999999993"/>
    <n v="41.34"/>
    <n v="45.36"/>
    <n v="33.42"/>
    <n v="44.169999999999995"/>
    <n v="41.550000000000004"/>
    <n v="39.53"/>
    <n v="42.589999999999996"/>
    <n v="41.664193548387097"/>
    <n v="41.664193548387097"/>
  </r>
  <r>
    <n v="32"/>
    <x v="0"/>
    <x v="17"/>
    <s v="Trinity"/>
    <s v="Public-Paid"/>
    <s v="3.3 kW"/>
    <s v="OCPP"/>
    <n v="8"/>
    <x v="1"/>
    <n v="107.13"/>
    <n v="105.45"/>
    <n v="100.49"/>
    <n v="115.6"/>
    <n v="107.89"/>
    <n v="126.21"/>
    <n v="91.43"/>
    <n v="104.55"/>
    <n v="93.88"/>
    <n v="109.84"/>
    <n v="89.46"/>
    <n v="114.82"/>
    <n v="74.599999999999994"/>
    <n v="94.28"/>
    <n v="96.86"/>
    <n v="86.13"/>
    <n v="99.66"/>
    <n v="77.19"/>
    <n v="128.81"/>
    <n v="99.85"/>
    <n v="126.16"/>
    <n v="106.25800000000001"/>
    <n v="69.298000000000002"/>
    <n v="152.04499999999999"/>
    <n v="87.813000000000017"/>
    <n v="93.286999999999992"/>
    <n v="116.78700000000001"/>
    <n v="101.506"/>
    <n v="67.381"/>
    <n v="91.159000000000006"/>
    <n v="93.178000000000011"/>
    <n v="100.93554838709674"/>
    <n v="12.616943548387093"/>
  </r>
  <r>
    <n v="33"/>
    <x v="0"/>
    <x v="17"/>
    <s v="Trinity"/>
    <s v="Public-Paid"/>
    <s v="7.4 kW"/>
    <s v="OCPP"/>
    <n v="2"/>
    <x v="1"/>
    <n v="60.79"/>
    <n v="25.44"/>
    <n v="68.84"/>
    <n v="72.92"/>
    <n v="35.869999999999997"/>
    <n v="73.319999999999993"/>
    <n v="65.81"/>
    <n v="39.58"/>
    <n v="44.34"/>
    <n v="59.28"/>
    <n v="50.38"/>
    <n v="40.549999999999997"/>
    <n v="13.69"/>
    <n v="30.34"/>
    <n v="35.090000000000003"/>
    <n v="84.28"/>
    <n v="41.57"/>
    <n v="21.74"/>
    <n v="46.43"/>
    <n v="44.95"/>
    <n v="46.58"/>
    <n v="58.393999999999991"/>
    <n v="49.305"/>
    <n v="75.289999999999992"/>
    <n v="39.091000000000001"/>
    <n v="40.622"/>
    <n v="66.458999999999989"/>
    <n v="37.04"/>
    <n v="29.61"/>
    <n v="84.066000000000017"/>
    <n v="9.9689999999999994"/>
    <n v="48.117290322580644"/>
    <n v="24.058645161290322"/>
  </r>
  <r>
    <n v="34"/>
    <x v="0"/>
    <x v="18"/>
    <s v="Trinity"/>
    <s v="Public-Paid"/>
    <s v="3.3 kW"/>
    <s v="OCPP"/>
    <n v="1"/>
    <x v="1"/>
    <n v="20.79"/>
    <n v="8.7829999999999995"/>
    <n v="21.626999999999999"/>
    <n v="9.4"/>
    <n v="15.798"/>
    <n v="14.932"/>
    <n v="17.96"/>
    <n v="2.762"/>
    <n v="17.135000000000002"/>
    <n v="8.75"/>
    <n v="15.913"/>
    <n v="10.103999999999999"/>
    <n v="9.7929999999999993"/>
    <n v="8.26"/>
    <n v="13.593000000000002"/>
    <n v="8.67"/>
    <n v="14.82"/>
    <n v="13.132000000000001"/>
    <n v="18.387"/>
    <n v="7.734"/>
    <n v="18.768999999999998"/>
    <n v="11.259"/>
    <n v="21.533999999999999"/>
    <n v="16.074999999999999"/>
    <n v="17.567"/>
    <n v="23.956000000000003"/>
    <n v="18.997999999999998"/>
    <n v="22.35"/>
    <n v="9.0869999999999997"/>
    <n v="15.701000000000001"/>
    <n v="15.988999999999999"/>
    <n v="14.504129032258064"/>
    <n v="14.504129032258064"/>
  </r>
  <r>
    <n v="35"/>
    <x v="0"/>
    <x v="19"/>
    <s v="Trinity"/>
    <s v="Public-Paid"/>
    <s v="3.3 kW"/>
    <s v="OCPP"/>
    <n v="5"/>
    <x v="1"/>
    <n v="27.83"/>
    <n v="40.771000000000001"/>
    <n v="44.606000000000002"/>
    <n v="62.747999999999998"/>
    <n v="49.214000000000006"/>
    <n v="76.168999999999997"/>
    <n v="48.440999999999995"/>
    <n v="61.526999999999994"/>
    <n v="52.18399999999999"/>
    <n v="60.184000000000005"/>
    <n v="38.064999999999998"/>
    <n v="47.386000000000003"/>
    <n v="43.220999999999997"/>
    <n v="29.657000000000004"/>
    <n v="46.469000000000008"/>
    <n v="13.834999999999999"/>
    <n v="44.577999999999996"/>
    <n v="47.664000000000001"/>
    <n v="37.495000000000005"/>
    <n v="51.18"/>
    <n v="42.347000000000001"/>
    <n v="41.507000000000005"/>
    <n v="45.886999999999993"/>
    <n v="67.040000000000006"/>
    <n v="43.444999999999986"/>
    <n v="32.022999999999996"/>
    <n v="39.77600000000001"/>
    <n v="22.63"/>
    <n v="18.771999999999998"/>
    <n v="31.041"/>
    <n v="50.146000000000001"/>
    <n v="43.801225806451598"/>
    <n v="8.7602451612903192"/>
  </r>
  <r>
    <n v="36"/>
    <x v="0"/>
    <x v="20"/>
    <s v="Trinity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700000000000002"/>
    <n v="0"/>
    <n v="0"/>
    <n v="0"/>
    <n v="0"/>
    <n v="0"/>
    <n v="0"/>
    <n v="0"/>
    <n v="0"/>
    <n v="0"/>
    <n v="0"/>
    <n v="0"/>
    <n v="0"/>
    <n v="2.8935483870967744E-2"/>
    <n v="2.8935483870967744E-2"/>
  </r>
  <r>
    <n v="37"/>
    <x v="0"/>
    <x v="21"/>
    <s v="Trinity"/>
    <s v="Public-Paid"/>
    <s v="3.3 kW"/>
    <s v="OCPP"/>
    <n v="3"/>
    <x v="1"/>
    <n v="16.72"/>
    <n v="22.682999999999996"/>
    <n v="4.4570000000000007"/>
    <n v="30.548999999999999"/>
    <n v="28.855000000000004"/>
    <n v="17.018000000000001"/>
    <n v="21.497"/>
    <n v="37.753999999999991"/>
    <n v="16.839999999999996"/>
    <n v="18.806999999999999"/>
    <n v="11.766"/>
    <n v="14.08"/>
    <n v="23.027999999999999"/>
    <n v="7.5419999999999998"/>
    <n v="11.097999999999999"/>
    <n v="28.036999999999999"/>
    <n v="18.436"/>
    <n v="13.937999999999999"/>
    <n v="28.575999999999997"/>
    <n v="19.950999999999997"/>
    <n v="22.312000000000001"/>
    <n v="7.609"/>
    <n v="21.367999999999999"/>
    <n v="14.699"/>
    <n v="7.9930000000000003"/>
    <n v="19.933999999999997"/>
    <n v="19.773"/>
    <n v="20.995000000000001"/>
    <n v="13.357999999999999"/>
    <n v="17.128000000000004"/>
    <n v="15.026999999999997"/>
    <n v="18.446064516129031"/>
    <n v="6.14868817204301"/>
  </r>
  <r>
    <n v="38"/>
    <x v="0"/>
    <x v="22"/>
    <s v="Trinity"/>
    <s v="Public-Paid"/>
    <s v="3.3 kW"/>
    <s v="OCPP"/>
    <n v="6"/>
    <x v="1"/>
    <n v="13.191999999999998"/>
    <n v="57.324000000000005"/>
    <n v="50.567"/>
    <n v="40.003"/>
    <n v="36.953000000000003"/>
    <n v="29.091999999999999"/>
    <n v="34.450000000000003"/>
    <n v="53.087999999999994"/>
    <n v="77.288000000000011"/>
    <n v="49.865000000000009"/>
    <n v="40.516999999999996"/>
    <n v="60.58"/>
    <n v="25.207999999999998"/>
    <n v="73.427999999999997"/>
    <n v="24.82"/>
    <n v="92.527000000000015"/>
    <n v="54.016999999999996"/>
    <n v="30.337999999999997"/>
    <n v="36.513999999999996"/>
    <n v="34.019000000000005"/>
    <n v="74.721999999999994"/>
    <n v="32.671999999999976"/>
    <n v="42.811000000000007"/>
    <n v="63.738999999999997"/>
    <n v="58.573999999999998"/>
    <n v="46.607999999999997"/>
    <n v="49.807999999999993"/>
    <n v="72.977000000000004"/>
    <n v="49.754000000000005"/>
    <n v="64.346000000000004"/>
    <n v="73.394999999999996"/>
    <n v="49.780516129032264"/>
    <n v="8.2967526881720435"/>
  </r>
  <r>
    <n v="39"/>
    <x v="0"/>
    <x v="23"/>
    <s v="Trinity"/>
    <s v="Public-Paid"/>
    <s v="22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410000000000004"/>
    <n v="0"/>
    <n v="0"/>
    <n v="0"/>
    <n v="0"/>
    <n v="0"/>
    <n v="0"/>
    <n v="0"/>
    <n v="0"/>
    <n v="0"/>
    <n v="0"/>
    <n v="0"/>
    <n v="0"/>
    <n v="0.29164516129032259"/>
    <n v="0.29164516129032259"/>
  </r>
  <r>
    <n v="40"/>
    <x v="0"/>
    <x v="24"/>
    <s v="Trinity"/>
    <s v="Public-Paid"/>
    <s v="3.3 kW"/>
    <s v="OCPP"/>
    <n v="5"/>
    <x v="1"/>
    <n v="31.636000000000003"/>
    <n v="33.477999999999994"/>
    <n v="21.029"/>
    <n v="35.018000000000001"/>
    <n v="12.753"/>
    <n v="25.159999999999997"/>
    <n v="27.932999999999996"/>
    <n v="24.909000000000002"/>
    <n v="25.393000000000001"/>
    <n v="26.215000000000003"/>
    <n v="41.147999999999996"/>
    <n v="25.965000000000003"/>
    <n v="56.260000000000005"/>
    <n v="12.693"/>
    <n v="32.812000000000005"/>
    <n v="30.360999999999997"/>
    <n v="24.917999999999999"/>
    <n v="17.493000000000002"/>
    <n v="39.003999999999998"/>
    <n v="28.915000000000003"/>
    <n v="21.704999999999998"/>
    <n v="41.085999999999999"/>
    <n v="10.677"/>
    <n v="22.051000000000002"/>
    <n v="22.664000000000001"/>
    <n v="24.21"/>
    <n v="9.6690000000000005"/>
    <n v="18.423999999999999"/>
    <n v="35.879999999999995"/>
    <n v="8.6560000000000006"/>
    <n v="15.645"/>
    <n v="25.927741935483869"/>
    <n v="5.185548387096774"/>
  </r>
  <r>
    <n v="41"/>
    <x v="0"/>
    <x v="25"/>
    <s v="ETO"/>
    <s v="Public-Paid"/>
    <s v="3.3 kW"/>
    <s v="OCPP"/>
    <n v="1"/>
    <x v="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5.2590000000000003"/>
    <n v="3.5129999999999999"/>
    <n v="2.3170000000000002"/>
    <n v="4.5960000000000001"/>
    <n v="3.7709999999999999"/>
    <n v="2.7639999999999998"/>
    <n v="8.6630000000000003"/>
    <n v="1.151"/>
    <n v="3.8679999999999999"/>
    <n v="1.3808461538461538"/>
    <n v="1.3808461538461538"/>
  </r>
  <r>
    <n v="42"/>
    <x v="0"/>
    <x v="26"/>
    <s v="Trinity"/>
    <s v="Public-Paid"/>
    <s v="3.3 kW"/>
    <s v="OCPP"/>
    <n v="1"/>
    <x v="0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27"/>
    <s v="Deccan College of Engg."/>
    <s v="Public-Free"/>
    <s v="3.3 kW"/>
    <s v="LEVAC-BLE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x v="28"/>
    <s v="ETO Driver"/>
    <s v="Public-Free"/>
    <s v="3.3 kW"/>
    <s v="LEVAC-BLE"/>
    <n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x v="29"/>
    <s v="HMRL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1"/>
    <x v="30"/>
    <s v="Trinity"/>
    <s v="Public-Paid"/>
    <s v="3.3 kW"/>
    <s v="OCPP"/>
    <n v="5"/>
    <x v="1"/>
    <n v="5.3710000000000004"/>
    <n v="10.431000000000001"/>
    <n v="11.937999999999999"/>
    <n v="9.495000000000001"/>
    <n v="6.5919999999999996"/>
    <n v="7.2390000000000008"/>
    <n v="0"/>
    <n v="5.5540000000000003"/>
    <n v="2.1339999999999999"/>
    <n v="13.366999999999999"/>
    <n v="4.4120000000000017"/>
    <n v="11.21"/>
    <n v="3.8860000000000001"/>
    <n v="0"/>
    <n v="4.1399999999999997"/>
    <n v="6.8659999999999997"/>
    <n v="4.8380000000000001"/>
    <n v="6.359"/>
    <n v="7.322000000000001"/>
    <n v="12.238"/>
    <n v="0"/>
    <n v="8.8490000000000002"/>
    <n v="9.0500000000000007"/>
    <n v="2.84"/>
    <n v="21.47"/>
    <n v="10.824"/>
    <n v="15.179"/>
    <n v="0"/>
    <n v="10.045"/>
    <n v="13.248000000000001"/>
    <n v="13.083"/>
    <n v="7.6767741935483871"/>
    <n v="1.5353548387096774"/>
  </r>
  <r>
    <n v="47"/>
    <x v="1"/>
    <x v="31"/>
    <s v="Trinity"/>
    <s v="Public-Paid"/>
    <s v="3.3 kW"/>
    <s v="OCPP"/>
    <n v="10"/>
    <x v="1"/>
    <n v="157.17199999999997"/>
    <n v="88.397999999999996"/>
    <n v="79.176999999999992"/>
    <n v="99.358000000000018"/>
    <n v="129.02299999999997"/>
    <n v="94.228000000000023"/>
    <n v="90.6"/>
    <n v="107.58700000000002"/>
    <n v="109.471"/>
    <n v="78.673999999999992"/>
    <n v="88.65900000000002"/>
    <n v="86.795999999999992"/>
    <n v="105.94"/>
    <n v="79.747999999999962"/>
    <n v="50.316000000000003"/>
    <n v="134.42699999999999"/>
    <n v="79.257000000000005"/>
    <n v="90.815999999999988"/>
    <n v="79.771000000000001"/>
    <n v="67.149000000000001"/>
    <n v="104.94500000000001"/>
    <n v="87.675999999999988"/>
    <n v="86.195999999999998"/>
    <n v="106.30900000000001"/>
    <n v="101.87799999999997"/>
    <n v="84.600999999999999"/>
    <n v="86.820999999999998"/>
    <n v="116.87899999999999"/>
    <n v="89.638999999999996"/>
    <n v="91.84999999999998"/>
    <n v="81.772999999999939"/>
    <n v="94.681741935483899"/>
    <n v="9.4681741935483892"/>
  </r>
  <r>
    <n v="48"/>
    <x v="2"/>
    <x v="32"/>
    <s v="Trinity"/>
    <s v="Public-Paid"/>
    <s v="3.3 kW"/>
    <s v="OCPP"/>
    <n v="3"/>
    <x v="1"/>
    <n v="10.285"/>
    <n v="5.9119999999999999"/>
    <n v="4.8689999999999998"/>
    <n v="8.0820000000000007"/>
    <n v="8.4660000000000011"/>
    <n v="1.254"/>
    <n v="0"/>
    <n v="6.0979999999999999"/>
    <n v="7.2620000000000005"/>
    <n v="6.4610000000000003"/>
    <n v="0"/>
    <n v="0"/>
    <n v="0"/>
    <n v="0"/>
    <n v="7.6420000000000003"/>
    <n v="4.3550000000000004"/>
    <n v="10.484"/>
    <n v="3.0000000000000001E-3"/>
    <n v="4.4080000000000004"/>
    <n v="8.9439999999999991"/>
    <n v="0"/>
    <n v="0"/>
    <n v="0.97599999999999998"/>
    <n v="6.7629999999999999"/>
    <n v="11.801"/>
    <n v="0.77800000000000002"/>
    <n v="3.1890000000000001"/>
    <n v="0"/>
    <n v="7.468"/>
    <n v="4.9889999999999999"/>
    <n v="0"/>
    <n v="4.2093225806451615"/>
    <n v="1.4031075268817206"/>
  </r>
  <r>
    <n v="49"/>
    <x v="2"/>
    <x v="33"/>
    <s v="Trinity"/>
    <s v="Public-Paid"/>
    <s v="3.3 kW"/>
    <s v="OCPP"/>
    <n v="7"/>
    <x v="1"/>
    <n v="101.965"/>
    <n v="106.51499999999997"/>
    <n v="117.95700000000002"/>
    <n v="111.57599999999998"/>
    <n v="113.806"/>
    <n v="126.32600000000001"/>
    <n v="92.13300000000001"/>
    <n v="88.126000000000005"/>
    <n v="133.529"/>
    <n v="125.218"/>
    <n v="116.956"/>
    <n v="75.304999999999993"/>
    <n v="88.61999999999999"/>
    <n v="99.972000000000023"/>
    <n v="116.07400000000001"/>
    <n v="102.16000000000001"/>
    <n v="131.08300000000003"/>
    <n v="91.930999999999997"/>
    <n v="97.66"/>
    <n v="130.76399999999998"/>
    <n v="62.396000000000001"/>
    <n v="130.577"/>
    <n v="110.69699999999999"/>
    <n v="115.91599999999997"/>
    <n v="127.18999999999998"/>
    <n v="114.34700000000002"/>
    <n v="121.16300000000001"/>
    <n v="112.20100000000002"/>
    <n v="80.536000000000001"/>
    <n v="157.761"/>
    <n v="115.041"/>
    <n v="110.17745161290325"/>
    <n v="15.739635944700465"/>
  </r>
  <r>
    <n v="50"/>
    <x v="3"/>
    <x v="34"/>
    <s v="Trinity"/>
    <s v="Public-Paid"/>
    <s v="3.3 kW"/>
    <s v="OCPP"/>
    <n v="7"/>
    <x v="1"/>
    <n v="48.423999999999999"/>
    <n v="29.193000000000001"/>
    <n v="69.474999999999994"/>
    <n v="62.667000000000002"/>
    <n v="38.742999999999995"/>
    <n v="47.111000000000011"/>
    <n v="37.361000000000004"/>
    <n v="60.020999999999994"/>
    <n v="63.966000000000001"/>
    <n v="40.341999999999999"/>
    <n v="37.269999999999996"/>
    <n v="46.348000000000006"/>
    <n v="48.334000000000003"/>
    <n v="49.426999999999992"/>
    <n v="32.792000000000002"/>
    <n v="60.385000000000005"/>
    <n v="45.111000000000004"/>
    <n v="39.71"/>
    <n v="48.118000000000009"/>
    <n v="41.879999999999988"/>
    <n v="45.734999999999999"/>
    <n v="31.346000000000004"/>
    <n v="53.173999999999999"/>
    <n v="45.32"/>
    <n v="39.919000000000004"/>
    <n v="71.400000000000006"/>
    <n v="51.241999999999997"/>
    <n v="38.091000000000001"/>
    <n v="40.203999999999994"/>
    <n v="50.509"/>
    <n v="50.453999999999994"/>
    <n v="47.22812903225806"/>
    <n v="6.7468755760368655"/>
  </r>
  <r>
    <n v="51"/>
    <x v="4"/>
    <x v="35"/>
    <s v="Trinity"/>
    <s v="Public-Paid"/>
    <s v="3.3 kW"/>
    <s v="OCPP"/>
    <n v="5"/>
    <x v="1"/>
    <n v="29.664000000000001"/>
    <n v="18.734999999999999"/>
    <n v="30.983000000000001"/>
    <n v="25.225999999999999"/>
    <n v="31.329000000000001"/>
    <n v="20.687999999999999"/>
    <n v="32.443000000000005"/>
    <n v="29.405000000000001"/>
    <n v="10.555999999999999"/>
    <n v="35.048000000000002"/>
    <n v="22.084999999999997"/>
    <n v="39.472000000000001"/>
    <n v="28.365000000000002"/>
    <n v="2.8029999999999999"/>
    <n v="33.518999999999998"/>
    <n v="15.016000000000002"/>
    <n v="19.844000000000001"/>
    <n v="9.722999999999999"/>
    <n v="35.493000000000002"/>
    <n v="21.315000000000001"/>
    <n v="31.713999999999999"/>
    <n v="35.149000000000001"/>
    <n v="23.233000000000001"/>
    <n v="37.960999999999999"/>
    <n v="30.901000000000007"/>
    <n v="23.336000000000002"/>
    <n v="36.009"/>
    <n v="26.538000000000004"/>
    <n v="23.116999999999997"/>
    <n v="29.276000000000003"/>
    <n v="33.174999999999997"/>
    <n v="26.520032258064507"/>
    <n v="5.3040064516129011"/>
  </r>
  <r>
    <n v="52"/>
    <x v="5"/>
    <x v="36"/>
    <s v="Flipkart"/>
    <s v="Public-Paid"/>
    <s v="3.3 kW"/>
    <s v="OCPP"/>
    <n v="3"/>
    <x v="1"/>
    <n v="88.913000000000011"/>
    <n v="69.277999999999992"/>
    <n v="78.944000000000003"/>
    <n v="86.660999999999987"/>
    <n v="88.278000000000006"/>
    <n v="80.400999999999996"/>
    <n v="103.87500000000001"/>
    <n v="77.878000000000043"/>
    <n v="89.545999999999992"/>
    <n v="70.826000000000008"/>
    <n v="80.407000000000011"/>
    <n v="84.020999999999987"/>
    <n v="96.076000000000008"/>
    <n v="74.28"/>
    <n v="87.78"/>
    <n v="95.248000000000005"/>
    <n v="92.356999999999999"/>
    <n v="77.929999999999993"/>
    <n v="85.667000000000016"/>
    <n v="66.766999999999982"/>
    <n v="99.202000000000012"/>
    <n v="84.703000000000003"/>
    <n v="94.63600000000001"/>
    <n v="81.436999999999998"/>
    <n v="94.311000000000021"/>
    <n v="81.448000000000008"/>
    <n v="99.091999999999999"/>
    <n v="114.76200000000001"/>
    <n v="94.033000000000015"/>
    <n v="85.082999999999998"/>
    <n v="76.254999999999995"/>
    <n v="86.454677419354852"/>
    <n v="28.818225806451618"/>
  </r>
  <r>
    <n v="53"/>
    <x v="5"/>
    <x v="37"/>
    <s v="Flipkart"/>
    <s v="Public-Paid"/>
    <s v="3.3 kW"/>
    <s v="OCPP"/>
    <n v="9"/>
    <x v="1"/>
    <n v="181.44599999999991"/>
    <n v="193.25200000000004"/>
    <n v="174.51000000000002"/>
    <n v="218.93800000000002"/>
    <n v="189.98300000000012"/>
    <n v="184.33600000000001"/>
    <n v="213.23699999999991"/>
    <n v="211.94500000000002"/>
    <n v="173.61099999999999"/>
    <n v="170.47599999999997"/>
    <n v="204.42100000000005"/>
    <n v="185.17799999999994"/>
    <n v="132.81400000000005"/>
    <n v="182.38300000000001"/>
    <n v="198.04899999999998"/>
    <n v="182.74000000000007"/>
    <n v="166.51900000000001"/>
    <n v="185.93000000000009"/>
    <n v="160.06300000000002"/>
    <n v="187.26600000000008"/>
    <n v="215.39599999999999"/>
    <n v="210.44500000000005"/>
    <n v="195.78099999999995"/>
    <n v="196.22000000000003"/>
    <n v="187.46499999999997"/>
    <n v="191.91499999999999"/>
    <n v="150.40500000000003"/>
    <n v="144.39099999999999"/>
    <n v="132.81599999999997"/>
    <n v="156.38200000000001"/>
    <n v="125.89000000000003"/>
    <n v="180.78074193548386"/>
    <n v="20.086749103942651"/>
  </r>
  <r>
    <n v="54"/>
    <x v="5"/>
    <x v="38"/>
    <s v="EFL"/>
    <s v="Public-Free"/>
    <s v="3.3 kW"/>
    <s v="OCPP"/>
    <n v="8"/>
    <x v="1"/>
    <n v="48.478999999999999"/>
    <n v="70.777000000000001"/>
    <n v="64.66"/>
    <n v="59.352999999999994"/>
    <n v="70.816999999999993"/>
    <n v="73.165000000000006"/>
    <n v="59.638000000000005"/>
    <n v="23.987000000000002"/>
    <n v="61.479000000000006"/>
    <n v="60.126999999999995"/>
    <n v="41.786000000000001"/>
    <n v="42.579000000000001"/>
    <n v="53.201999999999998"/>
    <n v="44.338000000000008"/>
    <n v="33.106999999999999"/>
    <n v="49.934000000000005"/>
    <n v="16.182000000000006"/>
    <n v="12.242999999999999"/>
    <n v="37.147000000000006"/>
    <n v="33.305999999999997"/>
    <n v="54.951999999999998"/>
    <n v="60.396000000000001"/>
    <n v="41.784999999999997"/>
    <n v="55.078000000000003"/>
    <n v="55.234999999999999"/>
    <n v="44.998000000000005"/>
    <n v="80.768000000000015"/>
    <n v="65.202999999999989"/>
    <n v="48.581000000000003"/>
    <n v="15.446999999999999"/>
    <n v="42.722999999999999"/>
    <n v="49.07974193548386"/>
    <n v="6.1349677419354824"/>
  </r>
  <r>
    <n v="55"/>
    <x v="5"/>
    <x v="38"/>
    <s v="EFL"/>
    <s v="Public-Free"/>
    <s v="6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1.6451612903225808E-2"/>
    <n v="1.6451612903225808E-2"/>
  </r>
  <r>
    <n v="56"/>
    <x v="5"/>
    <x v="39"/>
    <s v="Trinity"/>
    <s v="Public-Paid"/>
    <s v="3.3 kW"/>
    <s v="OCPP"/>
    <n v="7"/>
    <x v="1"/>
    <n v="165.38999999999996"/>
    <n v="174.22300000000001"/>
    <n v="201.50400000000002"/>
    <n v="195.64600000000007"/>
    <n v="145.18"/>
    <n v="208.62199999999996"/>
    <n v="161.55699999999999"/>
    <n v="132.11199999999999"/>
    <n v="189.82"/>
    <n v="114.65299999999998"/>
    <n v="132.43299999999996"/>
    <n v="131.97900000000001"/>
    <n v="152.46099999999996"/>
    <n v="113.73200000000001"/>
    <n v="135.578"/>
    <n v="169.077"/>
    <n v="126.59199999999997"/>
    <n v="128.02500000000001"/>
    <n v="95.671999999999997"/>
    <n v="154.59400000000005"/>
    <n v="149.971"/>
    <n v="157.72399999999999"/>
    <n v="199.84000000000006"/>
    <n v="146.44099999999995"/>
    <n v="146.78899999999999"/>
    <n v="151.18099999999998"/>
    <n v="162.70499999999996"/>
    <n v="152.75600000000006"/>
    <n v="136.05600000000004"/>
    <n v="114.13500000000002"/>
    <n v="182.29600000000002"/>
    <n v="152.54012903225808"/>
    <n v="21.791447004608298"/>
  </r>
  <r>
    <n v="57"/>
    <x v="5"/>
    <x v="40"/>
    <s v="Trinity"/>
    <s v="Public-Paid"/>
    <s v="3.3 kW"/>
    <s v="OCPP"/>
    <n v="10"/>
    <x v="1"/>
    <n v="221.09300000000002"/>
    <n v="187.20499999999998"/>
    <n v="172.59899999999999"/>
    <n v="213.15900000000008"/>
    <n v="234.09499999999994"/>
    <n v="250.77699999999996"/>
    <n v="220.197"/>
    <n v="218.69299999999998"/>
    <n v="184.21799999999999"/>
    <n v="143.94999999999999"/>
    <n v="272.577"/>
    <n v="214.38200000000003"/>
    <n v="237.95499999999996"/>
    <n v="170.18100000000001"/>
    <n v="211.46299999999999"/>
    <n v="199.14100000000002"/>
    <n v="222.06200000000004"/>
    <n v="267.33999999999986"/>
    <n v="228.98700000000002"/>
    <n v="242.2939999999999"/>
    <n v="224.68700000000004"/>
    <n v="239.04400000000001"/>
    <n v="232.33600000000004"/>
    <n v="219.48199999999991"/>
    <n v="217.80799999999999"/>
    <n v="209.82599999999999"/>
    <n v="253.56500000000003"/>
    <n v="215.89500000000001"/>
    <n v="226.77600000000001"/>
    <n v="199.44300000000001"/>
    <n v="195.98000000000002"/>
    <n v="217.651935483871"/>
    <n v="21.765193548387099"/>
  </r>
  <r>
    <n v="58"/>
    <x v="5"/>
    <x v="41"/>
    <s v="Trinity"/>
    <s v="Public-Paid"/>
    <s v="3.3 kW"/>
    <s v="OCPP"/>
    <n v="8"/>
    <x v="1"/>
    <n v="124.08100000000005"/>
    <n v="127.35699999999999"/>
    <n v="114.89800000000001"/>
    <n v="124.69400000000002"/>
    <n v="113.38500000000001"/>
    <n v="120.85600000000002"/>
    <n v="109.09999999999998"/>
    <n v="96.320000000000007"/>
    <n v="112.08299999999998"/>
    <n v="107.571"/>
    <n v="60.902000000000001"/>
    <n v="97.272000000000006"/>
    <n v="98.457000000000008"/>
    <n v="90.666000000000011"/>
    <n v="107.58700000000002"/>
    <n v="103.72899999999998"/>
    <n v="99.407000000000025"/>
    <n v="75.272000000000006"/>
    <n v="136.19900000000001"/>
    <n v="93.01"/>
    <n v="95.162999999999982"/>
    <n v="130.08999999999997"/>
    <n v="108.15500000000002"/>
    <n v="117.752"/>
    <n v="104.95399999999998"/>
    <n v="104.277"/>
    <n v="98.267000000000024"/>
    <n v="113.91000000000003"/>
    <n v="101.583"/>
    <n v="91.4"/>
    <n v="105.032"/>
    <n v="105.91706451612905"/>
    <n v="13.239633064516131"/>
  </r>
  <r>
    <n v="59"/>
    <x v="5"/>
    <x v="42"/>
    <s v="Trinity"/>
    <s v="Public-Paid"/>
    <s v="3.3 kW"/>
    <s v="OCPP"/>
    <n v="6"/>
    <x v="1"/>
    <n v="0"/>
    <n v="0"/>
    <n v="0"/>
    <n v="1.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3"/>
    <n v="4.3410000000000002"/>
    <n v="0.32387096774193547"/>
    <n v="5.3978494623655913E-2"/>
  </r>
  <r>
    <n v="60"/>
    <x v="6"/>
    <x v="43"/>
    <s v="ETO"/>
    <s v="Public-Paid"/>
    <s v="3.3kW"/>
    <s v="OCPP"/>
    <n v="20"/>
    <x v="1"/>
    <n v="31.96"/>
    <n v="51.247"/>
    <n v="71.463999999999999"/>
    <n v="40.513999999999996"/>
    <n v="70.257999999999981"/>
    <n v="57.393999999999998"/>
    <n v="21.036000000000001"/>
    <n v="28.948999999999998"/>
    <n v="48.158000000000008"/>
    <n v="62.499999999999993"/>
    <n v="59.642000000000031"/>
    <n v="77.081000000000017"/>
    <n v="59.504999999999981"/>
    <n v="44.715999999999994"/>
    <n v="49.831000000000003"/>
    <n v="35.036000000000001"/>
    <n v="42.072000000000003"/>
    <n v="44.003999999999991"/>
    <n v="44.073"/>
    <n v="17.753"/>
    <n v="3.8330000000000002"/>
    <n v="25.765000000000001"/>
    <n v="40.32"/>
    <n v="43.817"/>
    <n v="30.55599999999999"/>
    <n v="26.553000000000001"/>
    <n v="27.471"/>
    <n v="6.5620000000000003"/>
    <n v="39.253999999999998"/>
    <n v="49.692000000000007"/>
    <n v="26.573000000000004"/>
    <n v="41.212548387096781"/>
    <n v="2.0606274193548391"/>
  </r>
  <r>
    <n v="61"/>
    <x v="6"/>
    <x v="44"/>
    <s v="Trinity"/>
    <s v="Public-Paid"/>
    <s v="3.3kW"/>
    <s v="OCPP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7"/>
    <x v="45"/>
    <s v="SOU"/>
    <s v="Public-Paid"/>
    <s v="3.3 kW"/>
    <s v="OCPP"/>
    <n v="40"/>
    <x v="1"/>
    <n v="335.51700000000005"/>
    <n v="160.92900000000003"/>
    <n v="390.16400000000004"/>
    <n v="375.71499999999975"/>
    <n v="359.7580000000001"/>
    <n v="418.06799999999981"/>
    <n v="455.99400000000026"/>
    <n v="416.45100000000002"/>
    <n v="177.40400000000002"/>
    <n v="296.24599999999998"/>
    <n v="317.61099999999999"/>
    <n v="192.51600000000005"/>
    <n v="95.795999999999992"/>
    <n v="670.1129999999996"/>
    <n v="438.68799999999987"/>
    <n v="156.559"/>
    <n v="303.68600000000009"/>
    <n v="356.21699999999976"/>
    <n v="330.97700000000003"/>
    <n v="329.36399999999998"/>
    <n v="514.50700000000006"/>
    <n v="460.38799999999986"/>
    <n v="155.69399999999999"/>
    <n v="401.37999999999988"/>
    <n v="247.095"/>
    <n v="261.88999999999993"/>
    <n v="361.21599999999995"/>
    <n v="488.30500000000006"/>
    <n v="359.04300000000001"/>
    <n v="144.33299999999997"/>
    <n v="239.09999999999997"/>
    <n v="329.37819354838712"/>
    <n v="8.2344548387096772"/>
  </r>
  <r>
    <n v="63"/>
    <x v="8"/>
    <x v="46"/>
    <s v="ETO"/>
    <s v="Public-Paid"/>
    <s v="3.3 kW"/>
    <s v="OCPP"/>
    <n v="19"/>
    <x v="1"/>
    <n v="24.536999999999999"/>
    <n v="22.754000000000001"/>
    <n v="31.728999999999999"/>
    <n v="32.372000000000007"/>
    <n v="19.720000000000002"/>
    <n v="16.484999999999999"/>
    <n v="12.335999999999997"/>
    <n v="10.003"/>
    <n v="5.5720000000000001"/>
    <n v="4.5469999999999997"/>
    <n v="5.1020000000000003"/>
    <n v="7.173"/>
    <n v="6.5380000000000003"/>
    <n v="5.67"/>
    <n v="5.1239999999999997"/>
    <n v="5.16"/>
    <n v="9.8889999999999993"/>
    <n v="4.3860000000000001"/>
    <n v="5.6669999999999998"/>
    <n v="5.1639999999999997"/>
    <n v="6.1"/>
    <n v="5.3379999999999992"/>
    <n v="5.1130000000000004"/>
    <n v="5.3569999999999993"/>
    <n v="4.5919999999999996"/>
    <n v="5.4660000000000002"/>
    <n v="5.9639999999999995"/>
    <n v="6.6850000000000005"/>
    <n v="5.4819999999999993"/>
    <n v="3.2549999999999999"/>
    <n v="6.2389999999999999"/>
    <n v="9.6619032258064497"/>
    <n v="0.50852122241086573"/>
  </r>
  <r>
    <n v="64"/>
    <x v="9"/>
    <x v="47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10"/>
    <x v="48"/>
    <s v="Trinity"/>
    <s v="Public-Paid"/>
    <s v="3.3kW"/>
    <s v="OCPP"/>
    <n v="10"/>
    <x v="1"/>
    <n v="44.506999999999998"/>
    <n v="47.745000000000005"/>
    <n v="24.2"/>
    <n v="31.025000000000002"/>
    <n v="65.867999999999995"/>
    <n v="68.472999999999985"/>
    <n v="52.144000000000005"/>
    <n v="25.207999999999998"/>
    <n v="36.438000000000002"/>
    <n v="47.656999999999989"/>
    <n v="43.002999999999993"/>
    <n v="38.11"/>
    <n v="57.82"/>
    <n v="49"/>
    <n v="75.95"/>
    <n v="69.17"/>
    <n v="34.840000000000003"/>
    <n v="95.74"/>
    <n v="81.88"/>
    <n v="67.790000000000006"/>
    <n v="82.31"/>
    <n v="111.64299999999999"/>
    <n v="94.126000000000047"/>
    <n v="93.235000000000014"/>
    <n v="113.402"/>
    <n v="114.262"/>
    <n v="159.64200000000002"/>
    <n v="169.6690000000001"/>
    <n v="91.625000000000014"/>
    <n v="8.7889999999999997"/>
    <n v="0"/>
    <n v="67.589387096774217"/>
    <n v="6.7589387096774214"/>
  </r>
  <r>
    <n v="66"/>
    <x v="10"/>
    <x v="48"/>
    <s v="Trinity"/>
    <s v="Public-Paid"/>
    <s v="7.4 kW"/>
    <s v="OCPP"/>
    <n v="1"/>
    <x v="1"/>
    <n v="0"/>
    <n v="0"/>
    <n v="0"/>
    <n v="0"/>
    <n v="0"/>
    <n v="0"/>
    <n v="0"/>
    <n v="0"/>
    <n v="0"/>
    <n v="0"/>
    <n v="0"/>
    <n v="38.71"/>
    <n v="25.47"/>
    <n v="0"/>
    <n v="31.27"/>
    <n v="40.31"/>
    <n v="5.7"/>
    <n v="47"/>
    <n v="12.06"/>
    <n v="0"/>
    <n v="6.15"/>
    <n v="30.166"/>
    <n v="34.191000000000003"/>
    <n v="25.891000000000005"/>
    <n v="36.595999999999997"/>
    <n v="25.666"/>
    <n v="20.733000000000001"/>
    <n v="0"/>
    <n v="24.024000000000001"/>
    <n v="51.318999999999996"/>
    <n v="51.664999999999999"/>
    <n v="16.352290322580647"/>
    <n v="16.352290322580647"/>
  </r>
  <r>
    <n v="67"/>
    <x v="10"/>
    <x v="49"/>
    <s v="Trinity"/>
    <s v="Public-Paid"/>
    <s v="12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10"/>
    <x v="50"/>
    <s v="Trinity"/>
    <s v="Public-Paid"/>
    <s v="12kW"/>
    <s v="DC Charger"/>
    <n v="1"/>
    <x v="0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29032258064516E-3"/>
    <n v="1.6129032258064516E-3"/>
  </r>
  <r>
    <n v="69"/>
    <x v="10"/>
    <x v="51"/>
    <s v="Trinity"/>
    <s v="Public-Paid"/>
    <s v="12kW"/>
    <s v="DC Charger"/>
    <n v="1"/>
    <x v="0"/>
    <n v="0"/>
    <n v="0"/>
    <n v="0"/>
    <n v="0"/>
    <n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193548387096776E-3"/>
    <n v="7.4193548387096776E-3"/>
  </r>
  <r>
    <n v="70"/>
    <x v="11"/>
    <x v="52"/>
    <s v="ETO"/>
    <s v="Public-Paid"/>
    <s v="3.3 kW"/>
    <s v="OCPP"/>
    <n v="5"/>
    <x v="1"/>
    <n v="33.405999999999999"/>
    <n v="62.603999999999999"/>
    <n v="37.22699999999999"/>
    <n v="47.848999999999997"/>
    <n v="33.548000000000002"/>
    <n v="31.532000000000004"/>
    <n v="37.079000000000001"/>
    <n v="45.744"/>
    <n v="34.602000000000004"/>
    <n v="40.530999999999999"/>
    <n v="33.492999999999995"/>
    <n v="23.416"/>
    <n v="6.4420000000000002"/>
    <n v="29.934000000000001"/>
    <n v="52.140999999999998"/>
    <n v="23.053999999999998"/>
    <n v="35.339999999999996"/>
    <n v="52.657000000000004"/>
    <n v="30.023000000000003"/>
    <n v="33.951000000000001"/>
    <n v="41.737000000000002"/>
    <n v="34.760999999999996"/>
    <n v="40.204999999999998"/>
    <n v="32.132999999999996"/>
    <n v="40.111999999999995"/>
    <n v="21.957999999999998"/>
    <n v="31.795999999999999"/>
    <n v="36.814"/>
    <n v="53.302"/>
    <n v="29.909000000000002"/>
    <n v="28.914000000000001"/>
    <n v="36.006903225806447"/>
    <n v="7.2013806451612892"/>
  </r>
  <r>
    <n v="71"/>
    <x v="11"/>
    <x v="53"/>
    <s v="ETO"/>
    <s v="Public-Paid"/>
    <s v="3.3 kW"/>
    <s v="OCPP"/>
    <n v="16"/>
    <x v="1"/>
    <n v="38.412000000000013"/>
    <n v="31.683999999999997"/>
    <n v="35.167999999999999"/>
    <n v="30.856999999999999"/>
    <n v="13.144"/>
    <n v="24.748999999999999"/>
    <n v="27.710999999999999"/>
    <n v="39.697000000000003"/>
    <n v="26.613999999999997"/>
    <n v="39.972000000000001"/>
    <n v="50.271000000000001"/>
    <n v="31.817999999999998"/>
    <n v="24.844999999999999"/>
    <n v="17.251999999999999"/>
    <n v="0"/>
    <n v="24.585999999999999"/>
    <n v="13.378"/>
    <n v="5.2999999999999999E-2"/>
    <n v="0"/>
    <n v="7.1870000000000012"/>
    <n v="6.6550000000000002"/>
    <n v="8.1669999999999998"/>
    <n v="7.125"/>
    <n v="3.6519999999999997"/>
    <n v="9.92"/>
    <n v="1.881"/>
    <n v="0.88600000000000001"/>
    <n v="12.353999999999999"/>
    <n v="1.4019999999999999"/>
    <n v="8.7540000000000013"/>
    <n v="0"/>
    <n v="17.361096774193548"/>
    <n v="1.0850685483870968"/>
  </r>
  <r>
    <n v="72"/>
    <x v="11"/>
    <x v="54"/>
    <s v="ETO"/>
    <s v="Public-Paid"/>
    <s v="3.3 kW"/>
    <s v="OCPP"/>
    <n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"/>
    <x v="11"/>
    <x v="55"/>
    <s v="ETO"/>
    <s v="Public-Paid"/>
    <s v="3.3 kW"/>
    <s v="OCPP"/>
    <n v="13"/>
    <x v="1"/>
    <n v="30.068999999999996"/>
    <n v="32.213000000000001"/>
    <n v="34.103999999999999"/>
    <n v="50.852000000000004"/>
    <n v="33.785000000000004"/>
    <n v="32.572000000000003"/>
    <n v="30.109000000000002"/>
    <n v="16.567"/>
    <n v="41.171000000000006"/>
    <n v="44.083999999999996"/>
    <n v="26.003"/>
    <n v="40.18399999999999"/>
    <n v="59.123000000000005"/>
    <n v="28.914000000000001"/>
    <n v="47.067999999999998"/>
    <n v="40.512"/>
    <n v="2.9749999999999996"/>
    <n v="62.55599999999999"/>
    <n v="36.330999999999996"/>
    <n v="42.193999999999996"/>
    <n v="0"/>
    <n v="45.185000000000002"/>
    <n v="49.858000000000004"/>
    <n v="25.916"/>
    <n v="50.728000000000009"/>
    <n v="27.983999999999998"/>
    <n v="35.941999999999993"/>
    <n v="4.4079999999999995"/>
    <n v="69.353999999999999"/>
    <n v="28.384"/>
    <n v="66.012999999999991"/>
    <n v="36.617999999999995"/>
    <n v="2.8167692307692302"/>
  </r>
  <r>
    <n v="74"/>
    <x v="11"/>
    <x v="56"/>
    <s v="ETO"/>
    <s v="Public-Paid"/>
    <s v="3.3 kW"/>
    <s v="OCPP"/>
    <n v="20"/>
    <x v="1"/>
    <n v="259.73700000000014"/>
    <n v="240.33600000000001"/>
    <n v="260.70400000000006"/>
    <n v="253.98399999999998"/>
    <n v="273.99999999999994"/>
    <n v="246.864"/>
    <n v="321.40500000000026"/>
    <n v="185.26200000000003"/>
    <n v="229.12099999999998"/>
    <n v="272.20900000000012"/>
    <n v="262.68199999999996"/>
    <n v="264.55700000000007"/>
    <n v="307.87999999999994"/>
    <n v="317.57900000000006"/>
    <n v="240.7059999999999"/>
    <n v="248.446"/>
    <n v="373.09499999999974"/>
    <n v="305.89800000000002"/>
    <n v="343.56099999999998"/>
    <n v="286.21200000000005"/>
    <n v="311.41599999999994"/>
    <n v="320.03700000000003"/>
    <n v="205.91600000000003"/>
    <n v="308.81"/>
    <n v="303.34400000000011"/>
    <n v="330.94099999999997"/>
    <n v="322.73100000000011"/>
    <n v="318.06999999999994"/>
    <n v="294.30799999999999"/>
    <n v="249.73200000000003"/>
    <n v="250.29099999999994"/>
    <n v="280.96238709677419"/>
    <n v="14.048119354838709"/>
  </r>
  <r>
    <n v="75"/>
    <x v="11"/>
    <x v="57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11"/>
    <x v="58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11"/>
    <x v="59"/>
    <s v="Trinity"/>
    <s v="Public-Paid"/>
    <s v="7.4 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11"/>
    <x v="60"/>
    <m/>
    <s v="Private-Paid"/>
    <s v="3.3kW"/>
    <s v="OCPP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x v="11"/>
    <x v="61"/>
    <s v="Trinity"/>
    <s v="Public-Free"/>
    <s v="3.3 kW"/>
    <s v="OCPP"/>
    <n v="6"/>
    <x v="0"/>
    <n v="68.662000000000006"/>
    <n v="68.171999999999997"/>
    <n v="60.577999999999996"/>
    <n v="59.792000000000002"/>
    <n v="92.88300000000001"/>
    <n v="5.3949999999999996"/>
    <n v="0"/>
    <n v="64.271000000000001"/>
    <n v="58.675000000000004"/>
    <n v="53.44400000000001"/>
    <n v="41.358999999999995"/>
    <n v="65.570000000000007"/>
    <n v="16.673000000000002"/>
    <n v="16.010000000000002"/>
    <n v="47.594000000000008"/>
    <n v="55.652000000000001"/>
    <n v="0"/>
    <n v="75.454000000000008"/>
    <n v="58.661000000000008"/>
    <n v="19.641999999999999"/>
    <n v="0"/>
    <n v="74.347000000000008"/>
    <n v="65.033999999999992"/>
    <n v="57.103000000000002"/>
    <n v="54.419000000000004"/>
    <n v="35.971000000000011"/>
    <n v="0"/>
    <n v="2.7370000000000001"/>
    <n v="98.970999999999975"/>
    <n v="69.495000000000005"/>
    <n v="92.873999999999995"/>
    <n v="47.72380645161293"/>
    <n v="7.9539677419354886"/>
  </r>
  <r>
    <n v="80"/>
    <x v="11"/>
    <x v="61"/>
    <s v="Trinity"/>
    <s v="Public-Free"/>
    <s v="7.4 kW"/>
    <s v="OCPP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11"/>
    <x v="62"/>
    <s v="Trinity"/>
    <s v="Public-Paid"/>
    <s v="3.3kW"/>
    <s v="OCPP"/>
    <n v="20"/>
    <x v="1"/>
    <n v="142.68999999999997"/>
    <n v="126.55100000000002"/>
    <n v="116.393"/>
    <n v="120.485"/>
    <n v="107.41200000000005"/>
    <n v="153.38800000000001"/>
    <n v="150.56200000000001"/>
    <n v="134.31400000000002"/>
    <n v="162.499"/>
    <n v="137.42099999999999"/>
    <n v="155.63799999999998"/>
    <n v="137.20800000000003"/>
    <n v="155.32900000000004"/>
    <n v="97.292000000000002"/>
    <n v="140.56700000000006"/>
    <n v="176.15099999999998"/>
    <n v="125.18299999999999"/>
    <n v="195.72400000000002"/>
    <n v="164.63300000000004"/>
    <n v="192.86100000000002"/>
    <n v="146.03400000000002"/>
    <n v="182.369"/>
    <n v="184.31200000000001"/>
    <n v="186.49600000000001"/>
    <n v="207.99699999999999"/>
    <n v="217.31100000000006"/>
    <n v="232.72499999999997"/>
    <n v="258.10599999999999"/>
    <n v="257.428"/>
    <n v="182.74700000000004"/>
    <n v="167.92799999999997"/>
    <n v="165.02432258064519"/>
    <n v="8.2512161290322599"/>
  </r>
  <r>
    <n v="82"/>
    <x v="11"/>
    <x v="63"/>
    <s v="Trinity"/>
    <s v="Public-Paid"/>
    <s v="3.3kW"/>
    <s v="OCPP"/>
    <n v="10"/>
    <x v="1"/>
    <n v="62.513000000000005"/>
    <n v="78.049000000000007"/>
    <n v="77.872"/>
    <n v="50.850999999999999"/>
    <n v="74.815999999999988"/>
    <n v="111.49299999999999"/>
    <n v="101.42399999999999"/>
    <n v="70.53"/>
    <n v="86.130999999999986"/>
    <n v="94.596000000000004"/>
    <n v="90.546000000000006"/>
    <n v="131.44500000000002"/>
    <n v="134.97"/>
    <n v="121.73499999999999"/>
    <n v="114.58399999999999"/>
    <n v="130.11700000000005"/>
    <n v="91.91"/>
    <n v="120.50999999999999"/>
    <n v="151.22800000000001"/>
    <n v="145.24"/>
    <n v="131.84"/>
    <n v="144.02800000000002"/>
    <n v="160.11700000000002"/>
    <n v="135.46299999999999"/>
    <n v="139.40900000000002"/>
    <n v="155.37899999999999"/>
    <n v="135.52400000000003"/>
    <n v="155.31699999999998"/>
    <n v="166.90500000000006"/>
    <n v="153.00099999999998"/>
    <n v="134.13400000000001"/>
    <n v="117.79603225806453"/>
    <n v="11.779603225806452"/>
  </r>
  <r>
    <n v="83"/>
    <x v="11"/>
    <x v="64"/>
    <s v="Trinity"/>
    <s v="Public-Paid"/>
    <s v="3.3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11"/>
    <x v="64"/>
    <s v="Trinity"/>
    <s v="Public-Paid"/>
    <s v="7.4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11"/>
    <x v="65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1"/>
    <x v="66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1"/>
    <x v="66"/>
    <s v="BYPL MCD Parking"/>
    <s v="Public-Paid"/>
    <s v="12 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x v="11"/>
    <x v="67"/>
    <s v="BYPL MCD Parking"/>
    <s v="Public-Paid"/>
    <s v="3.3kW"/>
    <s v="OCPP"/>
    <n v="3"/>
    <x v="0"/>
    <n v="0"/>
    <n v="0"/>
    <n v="0"/>
    <n v="0.55499999999999994"/>
    <n v="0"/>
    <n v="0"/>
    <n v="0"/>
    <n v="0"/>
    <n v="0"/>
    <n v="0"/>
    <n v="0.10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193548387096771E-2"/>
    <n v="7.064516129032257E-3"/>
  </r>
  <r>
    <n v="89"/>
    <x v="11"/>
    <x v="68"/>
    <s v="BYPL MCD Parking"/>
    <s v="Public-Paid"/>
    <s v="3.3kW"/>
    <s v="OCPP"/>
    <n v="3"/>
    <x v="0"/>
    <n v="6.8440000000000003"/>
    <n v="13.101000000000001"/>
    <n v="8.0350000000000001"/>
    <n v="12.211"/>
    <n v="18.118000000000002"/>
    <n v="6.5119999999999996"/>
    <n v="13.068999999999999"/>
    <n v="0.27900000000000003"/>
    <n v="9.2349999999999994"/>
    <n v="8.4529999999999994"/>
    <n v="8.3149999999999995"/>
    <n v="13.248999999999999"/>
    <n v="10.157"/>
    <n v="8.0879999999999992"/>
    <n v="11.821999999999999"/>
    <n v="7.367"/>
    <n v="6.0069999999999997"/>
    <n v="13.879"/>
    <n v="8.0050000000000008"/>
    <n v="8.7629999999999999"/>
    <n v="11.727"/>
    <n v="2.14"/>
    <n v="13.465"/>
    <n v="11.74"/>
    <n v="11.387"/>
    <n v="2.9210000000000003"/>
    <n v="12.833"/>
    <n v="11.786"/>
    <n v="7.4890000000000008"/>
    <n v="11.896000000000001"/>
    <n v="13.579000000000001"/>
    <n v="9.7571612903225802"/>
    <n v="3.2523870967741932"/>
  </r>
  <r>
    <n v="90"/>
    <x v="11"/>
    <x v="69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11"/>
    <x v="70"/>
    <s v="BYPL MCD Parking"/>
    <s v="Public-Paid"/>
    <s v="3.3kW"/>
    <s v="OCPP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1"/>
    <x v="71"/>
    <s v="BYPL MCD Parking"/>
    <s v="Public-Paid"/>
    <s v="3.3kW"/>
    <s v="OCPP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11"/>
    <x v="72"/>
    <s v="ETO"/>
    <s v="Public-Paid"/>
    <s v="3.3kW"/>
    <s v="OCPP"/>
    <n v="4"/>
    <x v="1"/>
    <n v="0"/>
    <n v="0"/>
    <n v="0"/>
    <n v="0"/>
    <n v="0"/>
    <n v="1.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32258064516129E-2"/>
    <n v="1.1758064516129032E-2"/>
  </r>
  <r>
    <n v="94"/>
    <x v="11"/>
    <x v="73"/>
    <s v="Trinity"/>
    <s v="Public-Paid"/>
    <s v="3.3kW"/>
    <s v="OCPP"/>
    <n v="4"/>
    <x v="1"/>
    <m/>
    <m/>
    <m/>
    <m/>
    <m/>
    <m/>
    <m/>
    <m/>
    <m/>
    <n v="0"/>
    <n v="0"/>
    <n v="0"/>
    <n v="0.38100000000000001"/>
    <n v="0"/>
    <n v="0"/>
    <n v="0"/>
    <n v="0"/>
    <n v="0"/>
    <n v="0"/>
    <n v="0"/>
    <n v="0"/>
    <n v="0"/>
    <n v="26.295999999999999"/>
    <n v="5.4789999999999992"/>
    <n v="6.7649999999999988"/>
    <n v="8.9269999999999996"/>
    <n v="18.346"/>
    <n v="4.3120000000000003"/>
    <n v="6.6760000000000002"/>
    <n v="6.7779999999999987"/>
    <n v="11.087"/>
    <n v="4.3203181818181822"/>
    <n v="1.0800795454545455"/>
  </r>
  <r>
    <n v="95"/>
    <x v="11"/>
    <x v="74"/>
    <s v="BRPL MCD Parking"/>
    <s v="Public-Paid"/>
    <s v="3.3kW"/>
    <s v="OCPP"/>
    <n v="2"/>
    <x v="0"/>
    <m/>
    <m/>
    <m/>
    <m/>
    <m/>
    <m/>
    <m/>
    <m/>
    <m/>
    <m/>
    <m/>
    <m/>
    <m/>
    <m/>
    <m/>
    <n v="13.877000000000001"/>
    <n v="0"/>
    <n v="14.331999999999999"/>
    <n v="0"/>
    <n v="0"/>
    <n v="8.5079999999999991"/>
    <n v="11.845000000000001"/>
    <n v="8.9659999999999993"/>
    <n v="0"/>
    <n v="6.8440000000000003"/>
    <n v="0"/>
    <n v="16.847000000000001"/>
    <n v="0"/>
    <n v="8.1289999999999996"/>
    <n v="7.3310000000000004"/>
    <n v="3.0910000000000002"/>
    <n v="6.2356249999999998"/>
    <n v="3.1178124999999999"/>
  </r>
  <r>
    <n v="96"/>
    <x v="11"/>
    <x v="75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11"/>
    <x v="76"/>
    <s v="Log9"/>
    <s v="Public-Free"/>
    <s v="15kW"/>
    <s v="DC Charger"/>
    <n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11"/>
    <x v="77"/>
    <s v="MCD"/>
    <s v="Public-Paid"/>
    <s v="3.3 kW"/>
    <s v="LEVAC-BLE"/>
    <n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x v="11"/>
    <x v="78"/>
    <m/>
    <s v="Public-Paid"/>
    <s v="3.3 kW"/>
    <s v="LEVAC-BLE"/>
    <n v="82"/>
    <x v="0"/>
    <n v="6.2850000000000001"/>
    <n v="0.61099999999999999"/>
    <n v="8.481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606451612903224"/>
    <n v="6.049567269866247E-3"/>
  </r>
  <r>
    <n v="100"/>
    <x v="11"/>
    <x v="79"/>
    <s v="ETO"/>
    <s v="Public-Free"/>
    <s v="3.3 kW"/>
    <s v="LEVAC-BLE"/>
    <n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1"/>
    <x v="11"/>
    <x v="80"/>
    <s v="ETO"/>
    <s v="Public-Free"/>
    <s v="3.3 kW"/>
    <s v="LEVAC-BLE"/>
    <n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x v="11"/>
    <x v="81"/>
    <s v="Trinity"/>
    <s v="Public-Paid"/>
    <s v="3.3kW"/>
    <s v="LEVAC-BLE"/>
    <n v="2"/>
    <x v="2"/>
    <n v="0"/>
    <n v="11.925000000000001"/>
    <n v="0"/>
    <n v="0"/>
    <n v="0"/>
    <n v="0"/>
    <n v="0"/>
    <n v="0.44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9906451612903227"/>
    <n v="0.1995322580645161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">
  <r>
    <n v="1"/>
    <x v="0"/>
    <s v="EV Charge Hub, Amazon Aramghar"/>
    <s v="Amazon"/>
    <s v="Public-Paid"/>
    <s v="3.3 kW"/>
    <s v="OCPP"/>
    <n v="6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s v="EV Charge Hub, Amazon Gachibowli"/>
    <s v="Amazon"/>
    <s v="Public-Paid"/>
    <s v="3.3 kW"/>
    <s v="OCPP"/>
    <n v="9"/>
    <s v="Public Charging"/>
    <n v="109.37400000000001"/>
    <n v="121.337"/>
    <n v="139.01300000000001"/>
    <n v="125.53699999999999"/>
    <n v="99.660000000000039"/>
    <n v="97.987000000000009"/>
    <n v="113.58400000000003"/>
    <n v="83.573000000000008"/>
    <n v="111.68100000000001"/>
    <n v="105.45"/>
    <n v="88.740999999999985"/>
    <n v="123.447"/>
    <n v="107.849"/>
    <n v="75.106999999999999"/>
    <n v="116.58199999999999"/>
    <n v="113.93900000000001"/>
    <n v="96.472999999999999"/>
    <n v="114.10899999999999"/>
    <n v="106.26400000000001"/>
    <n v="72.792999999999992"/>
    <n v="93.670999999999992"/>
    <n v="115.89000000000001"/>
    <n v="166.03399999999999"/>
    <n v="152.345"/>
    <n v="117.861"/>
    <n v="122.44600000000001"/>
    <n v="123.02799999999999"/>
    <n v="121.18300000000001"/>
    <n v="82.164000000000001"/>
    <n v="105.63799999999999"/>
    <n v="108.458"/>
    <n v="110.6844516129032"/>
    <n v="12.298272401433689"/>
  </r>
  <r>
    <n v="3"/>
    <x v="0"/>
    <s v="EV Charge Hub, Amazon moula ali"/>
    <s v="Amazon"/>
    <s v="Public-Paid"/>
    <s v="3.3 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s v="EV Charge Hub, Kachiguda"/>
    <s v="ETO"/>
    <s v="Public-Paid"/>
    <s v="3.3 kW"/>
    <s v="OCPP"/>
    <n v="8"/>
    <s v="Parking and Charging"/>
    <n v="55.861999999999995"/>
    <n v="37.548999999999999"/>
    <n v="72.024000000000001"/>
    <n v="39.216000000000001"/>
    <n v="66.263000000000005"/>
    <n v="86.582999999999998"/>
    <n v="33.32"/>
    <n v="57.969000000000001"/>
    <n v="41.657999999999994"/>
    <n v="74.213999999999984"/>
    <n v="62.205000000000005"/>
    <n v="65.903999999999996"/>
    <n v="68.994"/>
    <n v="81.391999999999996"/>
    <n v="70.378"/>
    <n v="74.381"/>
    <n v="89.331999999999994"/>
    <n v="129.18"/>
    <n v="87.944999999999993"/>
    <n v="81.597000000000023"/>
    <n v="97.576000000000022"/>
    <n v="117.37700000000002"/>
    <n v="104.19199999999999"/>
    <n v="98.24"/>
    <n v="72.071999999999989"/>
    <n v="77.191999999999993"/>
    <n v="114.01999999999998"/>
    <n v="85.806000000000012"/>
    <n v="68.916999999999987"/>
    <n v="122.52"/>
    <n v="110.964"/>
    <n v="78.865870967741941"/>
    <n v="9.8582338709677426"/>
  </r>
  <r>
    <n v="5"/>
    <x v="0"/>
    <s v="Trinity EV Charge Hub, Miyapur"/>
    <s v="Trinity"/>
    <s v="Public-Paid"/>
    <s v="3.3 kW"/>
    <s v="OCPP"/>
    <n v="26"/>
    <s v="Parking and Charging"/>
    <n v="472.43"/>
    <n v="466.94"/>
    <n v="483.64"/>
    <n v="456.83"/>
    <n v="425.7"/>
    <n v="515.33000000000004"/>
    <n v="497.64"/>
    <n v="496.31"/>
    <n v="382.17"/>
    <n v="466.46"/>
    <n v="446.86"/>
    <n v="506.78"/>
    <n v="460.27"/>
    <n v="483.37"/>
    <n v="515.41"/>
    <n v="528.26"/>
    <n v="595.4"/>
    <n v="487.42"/>
    <n v="586.03"/>
    <n v="597.83000000000004"/>
    <n v="737.58"/>
    <n v="659.96299999999997"/>
    <n v="573.59"/>
    <n v="699.99099999999964"/>
    <n v="801.37"/>
    <n v="823.17099999999948"/>
    <n v="768.44999999999982"/>
    <n v="808.70399999999984"/>
    <n v="649.84199999999953"/>
    <n v="656.11900000000026"/>
    <n v="747.84299999999985"/>
    <n v="574.11945161290316"/>
    <n v="22.081517369727045"/>
  </r>
  <r>
    <n v="6"/>
    <x v="0"/>
    <s v="Trinity EV Charge Hub, Miyapur"/>
    <s v="Trinity"/>
    <s v="Public-Paid"/>
    <s v="3 kW"/>
    <s v="DC Charger"/>
    <n v="1"/>
    <s v="Parking and Charging"/>
    <n v="14.68"/>
    <n v="13.56"/>
    <n v="5.23"/>
    <n v="18.12"/>
    <n v="6.02"/>
    <n v="11.45"/>
    <n v="8.66"/>
    <n v="15.4"/>
    <n v="15.36"/>
    <n v="12.75"/>
    <n v="0"/>
    <n v="0.74"/>
    <n v="0"/>
    <n v="6.84"/>
    <n v="0"/>
    <n v="6.2"/>
    <n v="0"/>
    <n v="0"/>
    <n v="14.16"/>
    <n v="5.12"/>
    <n v="4.38"/>
    <n v="2.7199999999999998"/>
    <n v="8"/>
    <n v="0"/>
    <n v="0"/>
    <n v="0"/>
    <n v="0"/>
    <n v="0"/>
    <n v="0"/>
    <n v="0"/>
    <n v="0"/>
    <n v="5.4641935483870965"/>
    <n v="5.4641935483870965"/>
  </r>
  <r>
    <n v="7"/>
    <x v="0"/>
    <s v="Trinity EV Charge Hub, Miyapur"/>
    <s v="Trinity"/>
    <s v="Public-Paid"/>
    <s v="12kW"/>
    <s v="DC Charger"/>
    <n v="2"/>
    <s v="Parking and Charging"/>
    <n v="0"/>
    <n v="0"/>
    <n v="8.82"/>
    <n v="0"/>
    <n v="0"/>
    <n v="0"/>
    <n v="0"/>
    <n v="0"/>
    <n v="15.03"/>
    <n v="10.11"/>
    <n v="8.35"/>
    <n v="0"/>
    <n v="9.65"/>
    <n v="10.25"/>
    <n v="15.64"/>
    <n v="17.86"/>
    <n v="14.2"/>
    <n v="23.82"/>
    <n v="27.21"/>
    <n v="12.32"/>
    <n v="0"/>
    <n v="3.17"/>
    <n v="0"/>
    <n v="0"/>
    <n v="0"/>
    <n v="0"/>
    <n v="0.28999999999999998"/>
    <n v="0"/>
    <n v="0"/>
    <n v="0"/>
    <n v="0"/>
    <n v="5.7006451612903213"/>
    <n v="2.8503225806451606"/>
  </r>
  <r>
    <n v="8"/>
    <x v="0"/>
    <s v="Trinity EV Charge Hub, Bollaram"/>
    <s v="Trinity"/>
    <s v="Public-Paid"/>
    <s v="3.3 kW"/>
    <s v="OCPP"/>
    <n v="6"/>
    <s v="Parking and Charging"/>
    <n v="24.235999999999997"/>
    <n v="64.23"/>
    <n v="37.945999999999998"/>
    <n v="34.045999999999999"/>
    <n v="38.130000000000003"/>
    <n v="47.457000000000001"/>
    <n v="27.064999999999998"/>
    <n v="31.856999999999999"/>
    <n v="26.755000000000003"/>
    <n v="39.14"/>
    <n v="33.617999999999995"/>
    <n v="33.138000000000005"/>
    <n v="42.021000000000001"/>
    <n v="40.14"/>
    <n v="33.582000000000001"/>
    <n v="37.14"/>
    <n v="36.886000000000003"/>
    <n v="42.351999999999997"/>
    <n v="27.131"/>
    <n v="43.99"/>
    <n v="42.808"/>
    <n v="34.793999999999997"/>
    <n v="37.686999999999991"/>
    <n v="49.814999999999998"/>
    <n v="35.536999999999999"/>
    <n v="40.597000000000001"/>
    <n v="23.747"/>
    <n v="4.6290000000000004"/>
    <n v="3.23"/>
    <n v="32.405000000000001"/>
    <n v="31.761000000000003"/>
    <n v="34.769999999999996"/>
    <n v="5.794999999999999"/>
  </r>
  <r>
    <n v="9"/>
    <x v="0"/>
    <s v="EV Charge Hub, GHMC - Moghalpura"/>
    <s v="ETO"/>
    <s v="Public-Paid"/>
    <s v="3.3 kW"/>
    <s v="OCPP"/>
    <n v="3"/>
    <s v="Parking and Charging"/>
    <n v="84.221000000000018"/>
    <n v="56.597999999999999"/>
    <n v="67.970999999999989"/>
    <n v="45.283000000000001"/>
    <n v="81.602999999999994"/>
    <n v="26.752999999999997"/>
    <n v="68.061000000000007"/>
    <n v="41.164000000000001"/>
    <n v="40.61699999999999"/>
    <n v="39.746000000000002"/>
    <n v="80.478999999999985"/>
    <n v="55.878"/>
    <n v="69.85499999999999"/>
    <n v="39.413999999999994"/>
    <n v="67.617999999999995"/>
    <n v="57.878999999999991"/>
    <n v="50.512"/>
    <n v="53.97"/>
    <n v="68.957000000000008"/>
    <n v="79.14800000000001"/>
    <n v="70.787999999999997"/>
    <n v="101.07300000000001"/>
    <n v="71.381"/>
    <n v="75.218999999999994"/>
    <n v="100.93400000000001"/>
    <n v="95.666999999999987"/>
    <n v="75.676000000000002"/>
    <n v="70.44"/>
    <n v="64.744"/>
    <n v="60.383000000000003"/>
    <n v="84.060999999999993"/>
    <n v="66.003"/>
    <n v="22.001000000000001"/>
  </r>
  <r>
    <n v="10"/>
    <x v="0"/>
    <s v="EV Charge Hub, Dhuni Polymers, Kottur"/>
    <s v="Trinity"/>
    <s v="Public-Free"/>
    <s v="3.3 kW"/>
    <s v="OCPP"/>
    <n v="1"/>
    <s v="Public Charging"/>
    <n v="0"/>
    <n v="0"/>
    <n v="1.6870000000000001"/>
    <n v="0"/>
    <n v="0"/>
    <n v="0"/>
    <n v="1.698"/>
    <n v="0"/>
    <n v="0"/>
    <n v="0"/>
    <n v="0"/>
    <n v="0"/>
    <n v="0"/>
    <n v="0"/>
    <n v="2.8439999999999999"/>
    <n v="0"/>
    <n v="0"/>
    <n v="3.3959999999999999"/>
    <n v="0"/>
    <n v="0"/>
    <n v="0"/>
    <n v="0"/>
    <n v="0"/>
    <n v="2.5489999999999999"/>
    <n v="0"/>
    <n v="0"/>
    <n v="0"/>
    <n v="0"/>
    <n v="0"/>
    <n v="0"/>
    <n v="0"/>
    <n v="0.39270967741935481"/>
    <n v="0.39270967741935481"/>
  </r>
  <r>
    <n v="11"/>
    <x v="0"/>
    <s v="EV Charge Hub, Umdanagar"/>
    <s v="Trinity"/>
    <s v="Public-Paid"/>
    <s v="7.4 kW"/>
    <s v="OCPP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7599999999999996"/>
    <n v="0"/>
    <n v="0"/>
    <n v="6.2159999999999993"/>
    <n v="0.21909677419354837"/>
    <n v="0.10954838709677418"/>
  </r>
  <r>
    <n v="12"/>
    <x v="0"/>
    <s v="EV Charge Hub, Umdanagar"/>
    <s v="Trinity"/>
    <s v="Public-Paid"/>
    <s v="15 kw"/>
    <s v="DC Charger"/>
    <n v="2"/>
    <s v="Public Charging"/>
    <n v="0"/>
    <n v="0"/>
    <n v="25.42"/>
    <n v="0"/>
    <n v="6.02"/>
    <n v="12.440000000000001"/>
    <n v="0"/>
    <n v="11.739999999999998"/>
    <n v="20.790999999999997"/>
    <n v="19.919"/>
    <n v="38.82"/>
    <n v="7.46"/>
    <n v="31.060000000000002"/>
    <n v="23.27"/>
    <n v="10.61"/>
    <n v="12.48"/>
    <n v="17.45"/>
    <n v="0"/>
    <n v="9.11"/>
    <n v="9.99"/>
    <n v="4.62"/>
    <n v="18.79"/>
    <n v="22.869999999999997"/>
    <n v="16.14"/>
    <n v="6.31"/>
    <n v="0"/>
    <n v="0"/>
    <n v="0"/>
    <n v="0"/>
    <n v="0"/>
    <n v="11.6"/>
    <n v="10.868064516129033"/>
    <n v="5.4340322580645166"/>
  </r>
  <r>
    <n v="13"/>
    <x v="0"/>
    <s v="Trinity EV Charge Hub Moula Ali"/>
    <s v="Trinity"/>
    <s v="Public-Paid"/>
    <s v="3.3 kW"/>
    <s v="OCPP"/>
    <n v="10"/>
    <s v="Parking and Charging"/>
    <n v="131.81200000000001"/>
    <n v="89.382999999999996"/>
    <n v="91.47199999999998"/>
    <n v="71.649000000000001"/>
    <n v="101.39399999999999"/>
    <n v="77.449999999999989"/>
    <n v="89.832000000000008"/>
    <n v="62.525999999999996"/>
    <n v="78.712999999999994"/>
    <n v="84.474000000000018"/>
    <n v="85.921000000000006"/>
    <n v="104.52699999999999"/>
    <n v="86.904999999999987"/>
    <n v="102.19199999999999"/>
    <n v="53.527000000000001"/>
    <n v="107.09300000000002"/>
    <n v="104.60900000000001"/>
    <n v="114.68499999999999"/>
    <n v="110.95799999999997"/>
    <n v="125.89300000000003"/>
    <n v="65.515000000000001"/>
    <n v="115.97699999999999"/>
    <n v="144.11299999999997"/>
    <n v="109.07600000000001"/>
    <n v="130.876"/>
    <n v="139.96299999999999"/>
    <n v="150.86599999999996"/>
    <n v="97.039999999999992"/>
    <n v="91.539999999999992"/>
    <n v="119.39700000000001"/>
    <n v="123.739"/>
    <n v="102.03603225806452"/>
    <n v="10.203603225806452"/>
  </r>
  <r>
    <n v="14"/>
    <x v="0"/>
    <s v="Trinity EV Charge Hub Sitaphalmandi"/>
    <s v="Trinity"/>
    <s v="Public-Paid"/>
    <s v="3.3 kW"/>
    <s v="OCPP"/>
    <n v="4"/>
    <s v="Public Charging"/>
    <n v="31.667000000000002"/>
    <n v="12.967000000000001"/>
    <n v="28.489000000000001"/>
    <n v="0"/>
    <n v="30.28"/>
    <n v="16.620999999999999"/>
    <n v="14.292"/>
    <n v="18.993000000000002"/>
    <n v="21.759999999999998"/>
    <n v="13.412000000000001"/>
    <n v="15.222000000000001"/>
    <n v="23.402999999999999"/>
    <n v="20.672999999999998"/>
    <n v="16.43"/>
    <n v="18.617999999999999"/>
    <n v="15.679000000000002"/>
    <n v="15.871000000000002"/>
    <n v="9.7360000000000007"/>
    <n v="15.132999999999999"/>
    <n v="25.170999999999999"/>
    <n v="9.5689999999999991"/>
    <n v="26.837999999999997"/>
    <n v="7.6539999999999999"/>
    <n v="12.532"/>
    <n v="26.817999999999998"/>
    <n v="18.998999999999999"/>
    <n v="5.0579999999999998"/>
    <n v="15.096"/>
    <n v="16.591000000000001"/>
    <n v="19.918000000000003"/>
    <n v="6.1489999999999991"/>
    <n v="17.08512903225806"/>
    <n v="4.2712822580645149"/>
  </r>
  <r>
    <n v="15"/>
    <x v="0"/>
    <s v="Trinity EV Charge Hub Sitaphalmandi"/>
    <s v="Trinity"/>
    <s v="Public-Paid"/>
    <s v="7.4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s v="Trinity EV Charge Hub, Aramghar"/>
    <s v="Trinity"/>
    <s v="Public-Paid"/>
    <s v="3.3 kW"/>
    <s v="OCPP"/>
    <n v="19"/>
    <s v="Parking and Charging"/>
    <n v="83.876999999999995"/>
    <n v="96.597000000000008"/>
    <n v="102.71600000000001"/>
    <n v="112.28200000000001"/>
    <n v="91.942000000000007"/>
    <n v="116.60600000000002"/>
    <n v="144.791"/>
    <n v="133.143"/>
    <n v="111.61799999999999"/>
    <n v="98.333999999999989"/>
    <n v="79.361000000000004"/>
    <n v="123.872"/>
    <n v="126.22099999999999"/>
    <n v="81.438000000000002"/>
    <n v="158.02100000000002"/>
    <n v="98.878999999999991"/>
    <n v="127.46299999999999"/>
    <n v="135.73499999999999"/>
    <n v="122.727"/>
    <n v="147.18100000000001"/>
    <n v="143.17300000000003"/>
    <n v="109.98399999999999"/>
    <n v="123.86899999999997"/>
    <n v="128.59899999999999"/>
    <n v="114.58899999999997"/>
    <n v="149.13099999999997"/>
    <n v="129.48600000000002"/>
    <n v="139.95899999999997"/>
    <n v="136.82899999999998"/>
    <n v="152.23699999999999"/>
    <n v="204.72499999999997"/>
    <n v="123.39951612903226"/>
    <n v="6.4947113752122245"/>
  </r>
  <r>
    <n v="17"/>
    <x v="0"/>
    <s v="Trinity EV Charge Hub, Hi-Tec City"/>
    <s v="Trinity"/>
    <s v="Public-Paid"/>
    <s v="3.3 kW"/>
    <s v="OCPP"/>
    <n v="3"/>
    <s v="Public Charging"/>
    <n v="24.14"/>
    <n v="27.9"/>
    <n v="14.56"/>
    <n v="24.64"/>
    <n v="29.1"/>
    <n v="21.22"/>
    <n v="22.26"/>
    <n v="28.34"/>
    <n v="24.13"/>
    <n v="18.39"/>
    <n v="20.61"/>
    <n v="23.31"/>
    <n v="15.83"/>
    <n v="17.170000000000002"/>
    <n v="12.9"/>
    <n v="26.47"/>
    <n v="16.53"/>
    <n v="16.37"/>
    <n v="28.61"/>
    <n v="31.2"/>
    <n v="26.33"/>
    <n v="19.111999999999998"/>
    <n v="12.387"/>
    <n v="22.562999999999999"/>
    <n v="32.917000000000002"/>
    <n v="6.4529999999999994"/>
    <n v="25.864000000000004"/>
    <n v="28.867000000000001"/>
    <n v="24.131999999999998"/>
    <n v="28.824999999999999"/>
    <n v="32.19"/>
    <n v="22.687741935483867"/>
    <n v="7.5625806451612894"/>
  </r>
  <r>
    <n v="18"/>
    <x v="0"/>
    <s v="Trinity EV Charge Hub, Hi-Tec City"/>
    <s v="Trinity"/>
    <s v="Public-Paid"/>
    <s v="7.4 kW"/>
    <s v="OCPP"/>
    <n v="2"/>
    <s v="Public Charging"/>
    <n v="49.49"/>
    <n v="21.63"/>
    <n v="67.58"/>
    <n v="27.21"/>
    <n v="0"/>
    <n v="15.41"/>
    <n v="29.54"/>
    <n v="32.020000000000003"/>
    <n v="26.98"/>
    <n v="23.73"/>
    <n v="25.25"/>
    <n v="0"/>
    <n v="56.77"/>
    <n v="0"/>
    <n v="7.15"/>
    <n v="0.21"/>
    <n v="0"/>
    <n v="29.08"/>
    <n v="26.9"/>
    <n v="28.38"/>
    <n v="31.95"/>
    <n v="11.46"/>
    <n v="62.265000000000001"/>
    <n v="41.7"/>
    <n v="19.995000000000001"/>
    <n v="58.816999999999993"/>
    <n v="52.337000000000003"/>
    <n v="43.424999999999997"/>
    <n v="15.455"/>
    <n v="45.902000000000001"/>
    <n v="53.302"/>
    <n v="29.159290322580645"/>
    <n v="14.579645161290323"/>
  </r>
  <r>
    <n v="19"/>
    <x v="0"/>
    <s v="Trinity EV Charge Hub, Hi-Tec City"/>
    <s v="Trinity"/>
    <s v="Public-Paid"/>
    <s v="12 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s v="Trinity EV Charge Hub, Hi-Tec City"/>
    <s v="Trinity"/>
    <s v="Public-Paid"/>
    <s v="15 kw"/>
    <s v="DC Charger"/>
    <n v="1"/>
    <s v="Public Charging"/>
    <n v="14.21"/>
    <n v="4.29"/>
    <n v="27.65"/>
    <n v="9.7200000000000006"/>
    <n v="4.49"/>
    <n v="2.33"/>
    <n v="1.78"/>
    <n v="0.98"/>
    <n v="0"/>
    <n v="0"/>
    <n v="4.68"/>
    <n v="0"/>
    <n v="6.6"/>
    <n v="5.33"/>
    <n v="12.97"/>
    <n v="6.92"/>
    <n v="12.33"/>
    <n v="11.01"/>
    <n v="9.41"/>
    <n v="6.92"/>
    <n v="1.87"/>
    <n v="6.66"/>
    <n v="15.428000000000001"/>
    <n v="33.214000000000006"/>
    <n v="14.231999999999999"/>
    <n v="27.440000000000005"/>
    <n v="17.315999999999999"/>
    <n v="17.256999999999998"/>
    <n v="15.404"/>
    <n v="21.997999999999998"/>
    <n v="15.214000000000002"/>
    <n v="10.569451612903224"/>
    <n v="10.569451612903224"/>
  </r>
  <r>
    <n v="21"/>
    <x v="0"/>
    <s v="Trinity EV Charge Hub, Hi-Tec City"/>
    <s v="Trinity"/>
    <s v="Public-Paid"/>
    <s v="25 kW"/>
    <s v="DC Charger"/>
    <n v="1"/>
    <s v="Public Charging"/>
    <n v="0"/>
    <n v="0"/>
    <n v="43.27"/>
    <n v="27.07"/>
    <n v="44.94"/>
    <n v="81.239999999999995"/>
    <n v="72.87"/>
    <n v="62.79"/>
    <n v="30.46"/>
    <n v="82.86"/>
    <n v="25.64"/>
    <n v="111.72"/>
    <n v="134.32"/>
    <n v="100.91"/>
    <n v="118.03"/>
    <n v="58.73"/>
    <n v="0"/>
    <n v="47.4"/>
    <n v="18.48"/>
    <n v="28.96"/>
    <n v="76.75"/>
    <n v="0"/>
    <n v="0"/>
    <n v="0"/>
    <n v="0"/>
    <n v="0"/>
    <n v="0"/>
    <n v="0"/>
    <n v="0"/>
    <n v="0"/>
    <n v="0"/>
    <n v="37.627096774193554"/>
    <n v="37.627096774193554"/>
  </r>
  <r>
    <n v="22"/>
    <x v="0"/>
    <s v="Trinity EV Charge Hub, Hi-Tec City"/>
    <s v="Trinity"/>
    <s v="Public-Paid"/>
    <s v="60 kw"/>
    <s v="DC Charger"/>
    <n v="1"/>
    <s v="Public Charging"/>
    <n v="9.8000000000000007"/>
    <n v="0"/>
    <n v="9.8800000000000008"/>
    <n v="85.45"/>
    <n v="0"/>
    <n v="12.23"/>
    <n v="83.73"/>
    <n v="128.19999999999999"/>
    <n v="134.15"/>
    <n v="98.53"/>
    <n v="44.5"/>
    <n v="2.83"/>
    <n v="77.099999999999994"/>
    <n v="41.28"/>
    <n v="75.180000000000007"/>
    <n v="79.45"/>
    <n v="1.33"/>
    <n v="72.7"/>
    <n v="0.13"/>
    <n v="2.2000000000000002"/>
    <n v="0"/>
    <n v="0"/>
    <n v="54.224999999999994"/>
    <n v="39.65"/>
    <n v="103.14999999999999"/>
    <n v="44.85"/>
    <n v="84.95"/>
    <n v="6.125"/>
    <n v="103.34999999999998"/>
    <n v="132.77499999999998"/>
    <n v="157.17500000000001"/>
    <n v="54.352258064516121"/>
    <n v="54.352258064516121"/>
  </r>
  <r>
    <n v="23"/>
    <x v="0"/>
    <s v="Trinity EV Charge Hub, Hi-Tec City"/>
    <s v="Trinity"/>
    <s v="Public-Paid"/>
    <s v="120 kw"/>
    <s v="DC Charger"/>
    <n v="1"/>
    <s v="Public Charging"/>
    <m/>
    <m/>
    <m/>
    <m/>
    <m/>
    <m/>
    <m/>
    <m/>
    <m/>
    <m/>
    <m/>
    <m/>
    <m/>
    <m/>
    <m/>
    <m/>
    <m/>
    <m/>
    <m/>
    <m/>
    <m/>
    <m/>
    <m/>
    <m/>
    <n v="3.7"/>
    <n v="157.19999999999999"/>
    <n v="138.25"/>
    <n v="41.6"/>
    <n v="172.63000000000002"/>
    <n v="243.08"/>
    <n v="286.44"/>
    <n v="148.98571428571429"/>
    <n v="148.98571428571429"/>
  </r>
  <r>
    <n v="24"/>
    <x v="0"/>
    <s v="Trinity EV Charge Hub, Mettuguda - 2"/>
    <s v="Trinity"/>
    <s v="Public-Paid"/>
    <s v="3.3 kW"/>
    <s v="OCPP"/>
    <n v="7"/>
    <s v="Parking and Charging"/>
    <n v="49.579000000000001"/>
    <n v="67.149999999999991"/>
    <n v="60.48"/>
    <n v="81.98599999999999"/>
    <n v="50.716999999999999"/>
    <n v="92.478999999999999"/>
    <n v="51.274000000000001"/>
    <n v="42.067"/>
    <n v="59.16"/>
    <n v="63.414999999999992"/>
    <n v="75.105000000000018"/>
    <n v="79.137"/>
    <n v="32.163000000000004"/>
    <n v="24.374000000000002"/>
    <n v="26.366999999999997"/>
    <n v="30.374000000000002"/>
    <n v="57.399000000000001"/>
    <n v="56.789000000000001"/>
    <n v="46.658999999999992"/>
    <n v="62.462999999999994"/>
    <n v="51.369"/>
    <n v="87.433000000000021"/>
    <n v="100.00699999999999"/>
    <n v="94.86"/>
    <n v="50.027000000000001"/>
    <n v="95.042999999999992"/>
    <n v="66.925999999999988"/>
    <n v="86.347999999999999"/>
    <n v="69.713000000000008"/>
    <n v="29.146999999999998"/>
    <n v="61.887999999999998"/>
    <n v="61.351548387096756"/>
    <n v="8.7645069124423944"/>
  </r>
  <r>
    <n v="25"/>
    <x v="0"/>
    <s v="Trinity EV Charge Hub, Mettuguda - 1"/>
    <s v="Trinity"/>
    <s v="Public-Paid"/>
    <s v="3.3 kW"/>
    <s v="OCPP"/>
    <n v="1"/>
    <s v="Public Charging"/>
    <n v="14.03"/>
    <n v="13.76"/>
    <n v="12.71"/>
    <n v="4.58"/>
    <n v="7.56"/>
    <n v="6.96"/>
    <n v="8.48"/>
    <n v="0.32"/>
    <n v="7.32"/>
    <n v="4.91"/>
    <n v="5.51"/>
    <n v="9.44"/>
    <n v="2.76"/>
    <n v="6.08"/>
    <n v="23.19"/>
    <n v="0.36"/>
    <n v="7.1390000000000002"/>
    <n v="6.5"/>
    <n v="8.09"/>
    <n v="0"/>
    <n v="0"/>
    <n v="9.088000000000001"/>
    <n v="6.7480000000000002"/>
    <n v="5.4079999999999995"/>
    <n v="10.327999999999999"/>
    <n v="7.9740000000000002"/>
    <n v="7.7589999999999995"/>
    <n v="9.1669999999999998"/>
    <n v="4.4319999999999995"/>
    <n v="7.9269999999999996"/>
    <n v="10.971"/>
    <n v="7.4032580645161277"/>
    <n v="7.4032580645161277"/>
  </r>
  <r>
    <n v="26"/>
    <x v="0"/>
    <s v="Trinity EV Charge Hub, Mettuguda - 1"/>
    <s v="Trinity"/>
    <s v="Public-Paid"/>
    <s v="7.4 kW"/>
    <s v="OCPP"/>
    <n v="1"/>
    <s v="Public Charging"/>
    <n v="0"/>
    <n v="15.39"/>
    <n v="0"/>
    <n v="0"/>
    <n v="0"/>
    <n v="10.36"/>
    <n v="0"/>
    <n v="0"/>
    <n v="0"/>
    <n v="0"/>
    <n v="0"/>
    <n v="0"/>
    <n v="0"/>
    <n v="0"/>
    <n v="0"/>
    <n v="0"/>
    <n v="0"/>
    <n v="11.47"/>
    <n v="0"/>
    <n v="15.73"/>
    <n v="0"/>
    <n v="0"/>
    <n v="0"/>
    <n v="0"/>
    <n v="1.6619999999999999"/>
    <n v="19.170000000000002"/>
    <n v="0"/>
    <n v="5.13"/>
    <n v="4.3070000000000004"/>
    <n v="2.746"/>
    <n v="9.1020000000000003"/>
    <n v="3.0666774193548387"/>
    <n v="3.0666774193548387"/>
  </r>
  <r>
    <n v="27"/>
    <x v="0"/>
    <s v="Trinity EV Charge Hub, Mettuguda - 1"/>
    <s v="Trinity"/>
    <s v="Public-Paid"/>
    <s v="12kW"/>
    <s v="DC Charger"/>
    <n v="1"/>
    <s v="Public Charging"/>
    <n v="0"/>
    <n v="0"/>
    <n v="0"/>
    <n v="0.04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290322580645163E-3"/>
    <n v="6.1290322580645163E-3"/>
  </r>
  <r>
    <n v="28"/>
    <x v="0"/>
    <s v="Trinity EV Charge Hub, Mettuguda - 1"/>
    <s v="Trinity"/>
    <s v="Public-Paid"/>
    <s v="25 kW"/>
    <s v="DC Charger"/>
    <n v="2"/>
    <s v="Public Charging"/>
    <n v="51.41"/>
    <n v="0"/>
    <n v="23.72"/>
    <n v="35.72"/>
    <n v="22.69"/>
    <n v="19.75"/>
    <n v="13.76"/>
    <n v="11.11"/>
    <n v="43.54"/>
    <n v="0"/>
    <n v="0"/>
    <n v="26.93"/>
    <n v="24.95"/>
    <n v="7.96"/>
    <n v="21.29"/>
    <n v="30.79"/>
    <n v="0"/>
    <n v="0"/>
    <n v="0"/>
    <n v="45.56"/>
    <n v="0"/>
    <n v="9.9179999999999993"/>
    <n v="18.381"/>
    <n v="8.6969999999999992"/>
    <n v="26.835999999999999"/>
    <n v="26.788999999999998"/>
    <n v="43.372"/>
    <n v="17.893999999999998"/>
    <n v="68.12700000000001"/>
    <n v="33.285000000000004"/>
    <n v="41.716999999999999"/>
    <n v="21.748258064516126"/>
    <n v="10.874129032258063"/>
  </r>
  <r>
    <n v="29"/>
    <x v="0"/>
    <s v="Trinity EV Charge Hub, Shastripuram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0"/>
    <s v="Trinity EV Charge Hub, Yapral"/>
    <s v="Trinity"/>
    <s v="Public-Paid"/>
    <s v="3.3 kW"/>
    <s v="OCPP"/>
    <n v="9"/>
    <s v="Parking and Charging"/>
    <n v="134.88"/>
    <n v="133.41999999999999"/>
    <n v="135.62"/>
    <n v="127.73"/>
    <n v="151.65"/>
    <n v="166.19"/>
    <n v="160.44"/>
    <n v="132.01"/>
    <n v="157.6"/>
    <n v="102.43"/>
    <n v="151.26"/>
    <n v="102.61"/>
    <n v="122.08"/>
    <n v="111.19"/>
    <n v="126.93"/>
    <n v="133.05000000000001"/>
    <n v="115.69"/>
    <n v="126.04"/>
    <n v="126.79"/>
    <n v="123.99"/>
    <n v="123.08"/>
    <n v="150.441"/>
    <n v="156.47300000000004"/>
    <n v="143.97700000000003"/>
    <n v="149.20999999999998"/>
    <n v="138.25700000000001"/>
    <n v="127.66700000000003"/>
    <n v="110.66100000000004"/>
    <n v="88.041999999999987"/>
    <n v="90.441999999999993"/>
    <n v="132.22799999999998"/>
    <n v="130.71219354838709"/>
    <n v="14.523577060931899"/>
  </r>
  <r>
    <n v="31"/>
    <x v="0"/>
    <s v="Trinity EV Charge Hub, Yapral"/>
    <s v="Trinity"/>
    <s v="Public-Paid"/>
    <s v="15 kw"/>
    <s v="DC Charger"/>
    <n v="1"/>
    <s v="Parking and Charging"/>
    <n v="51.13"/>
    <n v="46.57"/>
    <n v="53.91"/>
    <n v="44.13"/>
    <n v="46.36"/>
    <n v="51.16"/>
    <n v="44.16"/>
    <n v="34.799999999999997"/>
    <n v="58.47"/>
    <n v="44.97"/>
    <n v="42.81"/>
    <n v="37.549999999999997"/>
    <n v="45.06"/>
    <n v="31.25"/>
    <n v="32.840000000000003"/>
    <n v="41.68"/>
    <n v="39.46"/>
    <n v="34.33"/>
    <n v="32.07"/>
    <n v="34.32"/>
    <n v="34.299999999999997"/>
    <n v="44.309999999999995"/>
    <n v="28.1"/>
    <n v="49.889999999999993"/>
    <n v="41.34"/>
    <n v="45.36"/>
    <n v="33.42"/>
    <n v="44.169999999999995"/>
    <n v="41.550000000000004"/>
    <n v="39.53"/>
    <n v="42.589999999999996"/>
    <n v="41.664193548387097"/>
    <n v="41.664193548387097"/>
  </r>
  <r>
    <n v="32"/>
    <x v="0"/>
    <s v="Trinity EV Charge Hub, Attapur"/>
    <s v="Trinity"/>
    <s v="Public-Paid"/>
    <s v="3.3 kW"/>
    <s v="OCPP"/>
    <n v="8"/>
    <s v="Parking and Charging"/>
    <n v="107.13"/>
    <n v="105.45"/>
    <n v="100.49"/>
    <n v="115.6"/>
    <n v="107.89"/>
    <n v="126.21"/>
    <n v="91.43"/>
    <n v="104.55"/>
    <n v="93.88"/>
    <n v="109.84"/>
    <n v="89.46"/>
    <n v="114.82"/>
    <n v="74.599999999999994"/>
    <n v="94.28"/>
    <n v="96.86"/>
    <n v="86.13"/>
    <n v="99.66"/>
    <n v="77.19"/>
    <n v="128.81"/>
    <n v="99.85"/>
    <n v="126.16"/>
    <n v="106.25800000000001"/>
    <n v="69.298000000000002"/>
    <n v="152.04499999999999"/>
    <n v="87.813000000000017"/>
    <n v="93.286999999999992"/>
    <n v="116.78700000000001"/>
    <n v="101.506"/>
    <n v="67.381"/>
    <n v="91.159000000000006"/>
    <n v="93.178000000000011"/>
    <n v="100.93554838709674"/>
    <n v="12.616943548387093"/>
  </r>
  <r>
    <n v="33"/>
    <x v="0"/>
    <s v="Trinity EV Charge Hub, Attapur"/>
    <s v="Trinity"/>
    <s v="Public-Paid"/>
    <s v="7.4 kW"/>
    <s v="OCPP"/>
    <n v="2"/>
    <s v="Parking and Charging"/>
    <n v="60.79"/>
    <n v="25.44"/>
    <n v="68.84"/>
    <n v="72.92"/>
    <n v="35.869999999999997"/>
    <n v="73.319999999999993"/>
    <n v="65.81"/>
    <n v="39.58"/>
    <n v="44.34"/>
    <n v="59.28"/>
    <n v="50.38"/>
    <n v="40.549999999999997"/>
    <n v="13.69"/>
    <n v="30.34"/>
    <n v="35.090000000000003"/>
    <n v="84.28"/>
    <n v="41.57"/>
    <n v="21.74"/>
    <n v="46.43"/>
    <n v="44.95"/>
    <n v="46.58"/>
    <n v="58.393999999999991"/>
    <n v="49.305"/>
    <n v="75.289999999999992"/>
    <n v="39.091000000000001"/>
    <n v="40.622"/>
    <n v="66.458999999999989"/>
    <n v="37.04"/>
    <n v="29.61"/>
    <n v="84.066000000000017"/>
    <n v="9.9689999999999994"/>
    <n v="48.117290322580644"/>
    <n v="24.058645161290322"/>
  </r>
  <r>
    <n v="34"/>
    <x v="0"/>
    <s v="EV Charge Hub, Bluedart Madhapur"/>
    <s v="Trinity"/>
    <s v="Public-Paid"/>
    <s v="3.3 kW"/>
    <s v="OCPP"/>
    <n v="1"/>
    <s v="Parking and Charging"/>
    <n v="20.79"/>
    <n v="8.7829999999999995"/>
    <n v="21.626999999999999"/>
    <n v="9.4"/>
    <n v="15.798"/>
    <n v="14.932"/>
    <n v="17.96"/>
    <n v="2.762"/>
    <n v="17.135000000000002"/>
    <n v="8.75"/>
    <n v="15.913"/>
    <n v="10.103999999999999"/>
    <n v="9.7929999999999993"/>
    <n v="8.26"/>
    <n v="13.593000000000002"/>
    <n v="8.67"/>
    <n v="14.82"/>
    <n v="13.132000000000001"/>
    <n v="18.387"/>
    <n v="7.734"/>
    <n v="18.768999999999998"/>
    <n v="11.259"/>
    <n v="21.533999999999999"/>
    <n v="16.074999999999999"/>
    <n v="17.567"/>
    <n v="23.956000000000003"/>
    <n v="18.997999999999998"/>
    <n v="22.35"/>
    <n v="9.0869999999999997"/>
    <n v="15.701000000000001"/>
    <n v="15.988999999999999"/>
    <n v="14.504129032258064"/>
    <n v="14.504129032258064"/>
  </r>
  <r>
    <n v="35"/>
    <x v="0"/>
    <s v="Trinity EV Charge Hub, Nacharam"/>
    <s v="Trinity"/>
    <s v="Public-Paid"/>
    <s v="3.3 kW"/>
    <s v="OCPP"/>
    <n v="5"/>
    <s v="Parking and Charging"/>
    <n v="27.83"/>
    <n v="40.771000000000001"/>
    <n v="44.606000000000002"/>
    <n v="62.747999999999998"/>
    <n v="49.214000000000006"/>
    <n v="76.168999999999997"/>
    <n v="48.440999999999995"/>
    <n v="61.526999999999994"/>
    <n v="52.18399999999999"/>
    <n v="60.184000000000005"/>
    <n v="38.064999999999998"/>
    <n v="47.386000000000003"/>
    <n v="43.220999999999997"/>
    <n v="29.657000000000004"/>
    <n v="46.469000000000008"/>
    <n v="13.834999999999999"/>
    <n v="44.577999999999996"/>
    <n v="47.664000000000001"/>
    <n v="37.495000000000005"/>
    <n v="51.18"/>
    <n v="42.347000000000001"/>
    <n v="41.507000000000005"/>
    <n v="45.886999999999993"/>
    <n v="67.040000000000006"/>
    <n v="43.444999999999986"/>
    <n v="32.022999999999996"/>
    <n v="39.77600000000001"/>
    <n v="22.63"/>
    <n v="18.771999999999998"/>
    <n v="31.041"/>
    <n v="50.146000000000001"/>
    <n v="43.801225806451598"/>
    <n v="8.7602451612903192"/>
  </r>
  <r>
    <n v="36"/>
    <x v="0"/>
    <s v="Trinity EV Charge Hub, Niharika Landmark, Hyderabad"/>
    <s v="Trinity"/>
    <s v="Public-Paid"/>
    <s v="3.3 kW"/>
    <s v="OCPP"/>
    <n v="1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700000000000002"/>
    <n v="0"/>
    <n v="0"/>
    <n v="0"/>
    <n v="0"/>
    <n v="0"/>
    <n v="0"/>
    <n v="0"/>
    <n v="0"/>
    <n v="0"/>
    <n v="0"/>
    <n v="0"/>
    <n v="0"/>
    <n v="2.8935483870967744E-2"/>
    <n v="2.8935483870967744E-2"/>
  </r>
  <r>
    <n v="37"/>
    <x v="0"/>
    <s v="Trinity EV Charge Hub, Uppal, Hyderabad"/>
    <s v="Trinity"/>
    <s v="Public-Paid"/>
    <s v="3.3 kW"/>
    <s v="OCPP"/>
    <n v="3"/>
    <s v="Parking and Charging"/>
    <n v="16.72"/>
    <n v="22.682999999999996"/>
    <n v="4.4570000000000007"/>
    <n v="30.548999999999999"/>
    <n v="28.855000000000004"/>
    <n v="17.018000000000001"/>
    <n v="21.497"/>
    <n v="37.753999999999991"/>
    <n v="16.839999999999996"/>
    <n v="18.806999999999999"/>
    <n v="11.766"/>
    <n v="14.08"/>
    <n v="23.027999999999999"/>
    <n v="7.5419999999999998"/>
    <n v="11.097999999999999"/>
    <n v="28.036999999999999"/>
    <n v="18.436"/>
    <n v="13.937999999999999"/>
    <n v="28.575999999999997"/>
    <n v="19.950999999999997"/>
    <n v="22.312000000000001"/>
    <n v="7.609"/>
    <n v="21.367999999999999"/>
    <n v="14.699"/>
    <n v="7.9930000000000003"/>
    <n v="19.933999999999997"/>
    <n v="19.773"/>
    <n v="20.995000000000001"/>
    <n v="13.357999999999999"/>
    <n v="17.128000000000004"/>
    <n v="15.026999999999997"/>
    <n v="18.446064516129031"/>
    <n v="6.14868817204301"/>
  </r>
  <r>
    <n v="38"/>
    <x v="0"/>
    <s v="Trinity EV Charge Hub, Rasoolpura, Hyderabad"/>
    <s v="Trinity"/>
    <s v="Public-Paid"/>
    <s v="3.3 kW"/>
    <s v="OCPP"/>
    <n v="6"/>
    <s v="Parking and Charging"/>
    <n v="13.191999999999998"/>
    <n v="57.324000000000005"/>
    <n v="50.567"/>
    <n v="40.003"/>
    <n v="36.953000000000003"/>
    <n v="29.091999999999999"/>
    <n v="34.450000000000003"/>
    <n v="53.087999999999994"/>
    <n v="77.288000000000011"/>
    <n v="49.865000000000009"/>
    <n v="40.516999999999996"/>
    <n v="60.58"/>
    <n v="25.207999999999998"/>
    <n v="73.427999999999997"/>
    <n v="24.82"/>
    <n v="92.527000000000015"/>
    <n v="54.016999999999996"/>
    <n v="30.337999999999997"/>
    <n v="36.513999999999996"/>
    <n v="34.019000000000005"/>
    <n v="74.721999999999994"/>
    <n v="32.671999999999976"/>
    <n v="42.811000000000007"/>
    <n v="63.738999999999997"/>
    <n v="58.573999999999998"/>
    <n v="46.607999999999997"/>
    <n v="49.807999999999993"/>
    <n v="72.977000000000004"/>
    <n v="49.754000000000005"/>
    <n v="64.346000000000004"/>
    <n v="73.394999999999996"/>
    <n v="49.780516129032264"/>
    <n v="8.2967526881720435"/>
  </r>
  <r>
    <n v="39"/>
    <x v="0"/>
    <s v="Trinity EV Charge Hub, Hallmark Tranquil Apartment"/>
    <s v="Trinity"/>
    <s v="Public-Paid"/>
    <s v="22 kw"/>
    <s v="OCPP"/>
    <n v="1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410000000000004"/>
    <n v="0"/>
    <n v="0"/>
    <n v="0"/>
    <n v="0"/>
    <n v="0"/>
    <n v="0"/>
    <n v="0"/>
    <n v="0"/>
    <n v="0"/>
    <n v="0"/>
    <n v="0"/>
    <n v="0"/>
    <n v="0.29164516129032259"/>
    <n v="0.29164516129032259"/>
  </r>
  <r>
    <n v="40"/>
    <x v="0"/>
    <s v="Trinity EV Charge Hub, Gajularamaram, Hyderabad"/>
    <s v="Trinity"/>
    <s v="Public-Paid"/>
    <s v="3.3 kW"/>
    <s v="OCPP"/>
    <n v="5"/>
    <s v="Parking and Charging"/>
    <n v="31.636000000000003"/>
    <n v="33.477999999999994"/>
    <n v="21.029"/>
    <n v="35.018000000000001"/>
    <n v="12.753"/>
    <n v="25.159999999999997"/>
    <n v="27.932999999999996"/>
    <n v="24.909000000000002"/>
    <n v="25.393000000000001"/>
    <n v="26.215000000000003"/>
    <n v="41.147999999999996"/>
    <n v="25.965000000000003"/>
    <n v="56.260000000000005"/>
    <n v="12.693"/>
    <n v="32.812000000000005"/>
    <n v="30.360999999999997"/>
    <n v="24.917999999999999"/>
    <n v="17.493000000000002"/>
    <n v="39.003999999999998"/>
    <n v="28.915000000000003"/>
    <n v="21.704999999999998"/>
    <n v="41.085999999999999"/>
    <n v="10.677"/>
    <n v="22.051000000000002"/>
    <n v="22.664000000000001"/>
    <n v="24.21"/>
    <n v="9.6690000000000005"/>
    <n v="18.423999999999999"/>
    <n v="35.879999999999995"/>
    <n v="8.6560000000000006"/>
    <n v="15.645"/>
    <n v="25.927741935483869"/>
    <n v="5.185548387096774"/>
  </r>
  <r>
    <n v="41"/>
    <x v="0"/>
    <s v="EV Charge Hub, Bachupally, Hyderabad"/>
    <s v="ETO"/>
    <s v="Public-Paid"/>
    <s v="3.3 kW"/>
    <s v="OCPP"/>
    <n v="1"/>
    <s v="Parking and Charging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5.2590000000000003"/>
    <n v="3.5129999999999999"/>
    <n v="2.3170000000000002"/>
    <n v="4.5960000000000001"/>
    <n v="3.7709999999999999"/>
    <n v="2.7639999999999998"/>
    <n v="8.6630000000000003"/>
    <n v="1.151"/>
    <n v="3.8679999999999999"/>
    <n v="1.3808461538461538"/>
    <n v="1.3808461538461538"/>
  </r>
  <r>
    <n v="42"/>
    <x v="0"/>
    <s v="Trinity EV Charge Hub, Sri Dattatreya Hostel, Hyderabad"/>
    <s v="Trinity"/>
    <s v="Public-Paid"/>
    <s v="3.3 kW"/>
    <s v="OCPP"/>
    <n v="1"/>
    <s v="Public Charging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s v="Deccan College of Engg. - Nampally"/>
    <s v="Deccan College of Engg."/>
    <s v="Public-Free"/>
    <s v="3.3 kW"/>
    <s v="LEVAC-BLE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0"/>
    <s v="ETO Drivers home"/>
    <s v="ETO Driver"/>
    <s v="Public-Free"/>
    <s v="3.3 kW"/>
    <s v="LEVAC-BLE"/>
    <n v="4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0"/>
    <s v="HMRL - Habsiguda"/>
    <s v="HMRL"/>
    <s v="Public-Free"/>
    <s v="3.3 kW"/>
    <s v="LEVAC-BLE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1"/>
    <s v="EV Charge Hub, Auto Nagar - Vijayawada"/>
    <s v="Trinity"/>
    <s v="Public-Paid"/>
    <s v="3.3 kW"/>
    <s v="OCPP"/>
    <n v="5"/>
    <s v="Parking and Charging"/>
    <n v="5.3710000000000004"/>
    <n v="10.431000000000001"/>
    <n v="11.937999999999999"/>
    <n v="9.495000000000001"/>
    <n v="6.5919999999999996"/>
    <n v="7.2390000000000008"/>
    <n v="0"/>
    <n v="5.5540000000000003"/>
    <n v="2.1339999999999999"/>
    <n v="13.366999999999999"/>
    <n v="4.4120000000000017"/>
    <n v="11.21"/>
    <n v="3.8860000000000001"/>
    <n v="0"/>
    <n v="4.1399999999999997"/>
    <n v="6.8659999999999997"/>
    <n v="4.8380000000000001"/>
    <n v="6.359"/>
    <n v="7.322000000000001"/>
    <n v="12.238"/>
    <n v="0"/>
    <n v="8.8490000000000002"/>
    <n v="9.0500000000000007"/>
    <n v="2.84"/>
    <n v="21.47"/>
    <n v="10.824"/>
    <n v="15.179"/>
    <n v="0"/>
    <n v="10.045"/>
    <n v="13.248000000000001"/>
    <n v="13.083"/>
    <n v="7.6767741935483871"/>
    <n v="1.5353548387096774"/>
  </r>
  <r>
    <n v="47"/>
    <x v="1"/>
    <s v="EV Charge Hub, Flipkart - Vijayawada"/>
    <s v="Trinity"/>
    <s v="Public-Paid"/>
    <s v="3.3 kW"/>
    <s v="OCPP"/>
    <n v="10"/>
    <s v="Parking and Charging"/>
    <n v="157.17199999999997"/>
    <n v="88.397999999999996"/>
    <n v="79.176999999999992"/>
    <n v="99.358000000000018"/>
    <n v="129.02299999999997"/>
    <n v="94.228000000000023"/>
    <n v="90.6"/>
    <n v="107.58700000000002"/>
    <n v="109.471"/>
    <n v="78.673999999999992"/>
    <n v="88.65900000000002"/>
    <n v="86.795999999999992"/>
    <n v="105.94"/>
    <n v="79.747999999999962"/>
    <n v="50.316000000000003"/>
    <n v="134.42699999999999"/>
    <n v="79.257000000000005"/>
    <n v="90.815999999999988"/>
    <n v="79.771000000000001"/>
    <n v="67.149000000000001"/>
    <n v="104.94500000000001"/>
    <n v="87.675999999999988"/>
    <n v="86.195999999999998"/>
    <n v="106.30900000000001"/>
    <n v="101.87799999999997"/>
    <n v="84.600999999999999"/>
    <n v="86.820999999999998"/>
    <n v="116.87899999999999"/>
    <n v="89.638999999999996"/>
    <n v="91.84999999999998"/>
    <n v="81.772999999999939"/>
    <n v="94.681741935483899"/>
    <n v="9.4681741935483892"/>
  </r>
  <r>
    <n v="48"/>
    <x v="2"/>
    <s v="EV Charge Hub, Gati , Visakhapatnam"/>
    <s v="Trinity"/>
    <s v="Public-Paid"/>
    <s v="3.3 kW"/>
    <s v="OCPP"/>
    <n v="3"/>
    <s v="Parking and Charging"/>
    <n v="10.285"/>
    <n v="5.9119999999999999"/>
    <n v="4.8689999999999998"/>
    <n v="8.0820000000000007"/>
    <n v="8.4660000000000011"/>
    <n v="1.254"/>
    <n v="0"/>
    <n v="6.0979999999999999"/>
    <n v="7.2620000000000005"/>
    <n v="6.4610000000000003"/>
    <n v="0"/>
    <n v="0"/>
    <n v="0"/>
    <n v="0"/>
    <n v="7.6420000000000003"/>
    <n v="4.3550000000000004"/>
    <n v="10.484"/>
    <n v="3.0000000000000001E-3"/>
    <n v="4.4080000000000004"/>
    <n v="8.9439999999999991"/>
    <n v="0"/>
    <n v="0"/>
    <n v="0.97599999999999998"/>
    <n v="6.7629999999999999"/>
    <n v="11.801"/>
    <n v="0.77800000000000002"/>
    <n v="3.1890000000000001"/>
    <n v="0"/>
    <n v="7.468"/>
    <n v="4.9889999999999999"/>
    <n v="0"/>
    <n v="4.2093225806451615"/>
    <n v="1.4031075268817206"/>
  </r>
  <r>
    <n v="49"/>
    <x v="2"/>
    <s v="EV Charge Hub, Auto Nagar- Visakhapatnam"/>
    <s v="Trinity"/>
    <s v="Public-Paid"/>
    <s v="3.3 kW"/>
    <s v="OCPP"/>
    <n v="7"/>
    <s v="Parking and Charging"/>
    <n v="101.965"/>
    <n v="106.51499999999997"/>
    <n v="117.95700000000002"/>
    <n v="111.57599999999998"/>
    <n v="113.806"/>
    <n v="126.32600000000001"/>
    <n v="92.13300000000001"/>
    <n v="88.126000000000005"/>
    <n v="133.529"/>
    <n v="125.218"/>
    <n v="116.956"/>
    <n v="75.304999999999993"/>
    <n v="88.61999999999999"/>
    <n v="99.972000000000023"/>
    <n v="116.07400000000001"/>
    <n v="102.16000000000001"/>
    <n v="131.08300000000003"/>
    <n v="91.930999999999997"/>
    <n v="97.66"/>
    <n v="130.76399999999998"/>
    <n v="62.396000000000001"/>
    <n v="130.577"/>
    <n v="110.69699999999999"/>
    <n v="115.91599999999997"/>
    <n v="127.18999999999998"/>
    <n v="114.34700000000002"/>
    <n v="121.16300000000001"/>
    <n v="112.20100000000002"/>
    <n v="80.536000000000001"/>
    <n v="157.761"/>
    <n v="115.041"/>
    <n v="110.17745161290325"/>
    <n v="15.739635944700465"/>
  </r>
  <r>
    <n v="50"/>
    <x v="3"/>
    <s v="EV Charge Hub, Auto Nagar - Guntur"/>
    <s v="Trinity"/>
    <s v="Public-Paid"/>
    <s v="3.3 kW"/>
    <s v="OCPP"/>
    <n v="7"/>
    <s v="Parking and Charging"/>
    <n v="48.423999999999999"/>
    <n v="29.193000000000001"/>
    <n v="69.474999999999994"/>
    <n v="62.667000000000002"/>
    <n v="38.742999999999995"/>
    <n v="47.111000000000011"/>
    <n v="37.361000000000004"/>
    <n v="60.020999999999994"/>
    <n v="63.966000000000001"/>
    <n v="40.341999999999999"/>
    <n v="37.269999999999996"/>
    <n v="46.348000000000006"/>
    <n v="48.334000000000003"/>
    <n v="49.426999999999992"/>
    <n v="32.792000000000002"/>
    <n v="60.385000000000005"/>
    <n v="45.111000000000004"/>
    <n v="39.71"/>
    <n v="48.118000000000009"/>
    <n v="41.879999999999988"/>
    <n v="45.734999999999999"/>
    <n v="31.346000000000004"/>
    <n v="53.173999999999999"/>
    <n v="45.32"/>
    <n v="39.919000000000004"/>
    <n v="71.400000000000006"/>
    <n v="51.241999999999997"/>
    <n v="38.091000000000001"/>
    <n v="40.203999999999994"/>
    <n v="50.509"/>
    <n v="50.453999999999994"/>
    <n v="47.22812903225806"/>
    <n v="6.7468755760368655"/>
  </r>
  <r>
    <n v="51"/>
    <x v="4"/>
    <s v="Trinity EV Charge Hub, Rajahmundry"/>
    <s v="Trinity"/>
    <s v="Public-Paid"/>
    <s v="3.3 kW"/>
    <s v="OCPP"/>
    <n v="5"/>
    <s v="Parking and Charging"/>
    <n v="29.664000000000001"/>
    <n v="18.734999999999999"/>
    <n v="30.983000000000001"/>
    <n v="25.225999999999999"/>
    <n v="31.329000000000001"/>
    <n v="20.687999999999999"/>
    <n v="32.443000000000005"/>
    <n v="29.405000000000001"/>
    <n v="10.555999999999999"/>
    <n v="35.048000000000002"/>
    <n v="22.084999999999997"/>
    <n v="39.472000000000001"/>
    <n v="28.365000000000002"/>
    <n v="2.8029999999999999"/>
    <n v="33.518999999999998"/>
    <n v="15.016000000000002"/>
    <n v="19.844000000000001"/>
    <n v="9.722999999999999"/>
    <n v="35.493000000000002"/>
    <n v="21.315000000000001"/>
    <n v="31.713999999999999"/>
    <n v="35.149000000000001"/>
    <n v="23.233000000000001"/>
    <n v="37.960999999999999"/>
    <n v="30.901000000000007"/>
    <n v="23.336000000000002"/>
    <n v="36.009"/>
    <n v="26.538000000000004"/>
    <n v="23.116999999999997"/>
    <n v="29.276000000000003"/>
    <n v="33.174999999999997"/>
    <n v="26.520032258064507"/>
    <n v="5.3040064516129011"/>
  </r>
  <r>
    <n v="52"/>
    <x v="5"/>
    <s v="EV Charge Hub, Halasuru - Flipkart"/>
    <s v="Flipkart"/>
    <s v="Public-Paid"/>
    <s v="3.3 kW"/>
    <s v="OCPP"/>
    <n v="3"/>
    <s v="Parking and Charging"/>
    <n v="88.913000000000011"/>
    <n v="69.277999999999992"/>
    <n v="78.944000000000003"/>
    <n v="86.660999999999987"/>
    <n v="88.278000000000006"/>
    <n v="80.400999999999996"/>
    <n v="103.87500000000001"/>
    <n v="77.878000000000043"/>
    <n v="89.545999999999992"/>
    <n v="70.826000000000008"/>
    <n v="80.407000000000011"/>
    <n v="84.020999999999987"/>
    <n v="96.076000000000008"/>
    <n v="74.28"/>
    <n v="87.78"/>
    <n v="95.248000000000005"/>
    <n v="92.356999999999999"/>
    <n v="77.929999999999993"/>
    <n v="85.667000000000016"/>
    <n v="66.766999999999982"/>
    <n v="99.202000000000012"/>
    <n v="84.703000000000003"/>
    <n v="94.63600000000001"/>
    <n v="81.436999999999998"/>
    <n v="94.311000000000021"/>
    <n v="81.448000000000008"/>
    <n v="99.091999999999999"/>
    <n v="114.76200000000001"/>
    <n v="94.033000000000015"/>
    <n v="85.082999999999998"/>
    <n v="76.254999999999995"/>
    <n v="86.454677419354852"/>
    <n v="28.818225806451618"/>
  </r>
  <r>
    <n v="53"/>
    <x v="5"/>
    <s v="EV Charge Hub, yeshwanthpur - Flipkart"/>
    <s v="Flipkart"/>
    <s v="Public-Paid"/>
    <s v="3.3 kW"/>
    <s v="OCPP"/>
    <n v="9"/>
    <s v="Parking and Charging"/>
    <n v="181.44599999999991"/>
    <n v="193.25200000000004"/>
    <n v="174.51000000000002"/>
    <n v="218.93800000000002"/>
    <n v="189.98300000000012"/>
    <n v="184.33600000000001"/>
    <n v="213.23699999999991"/>
    <n v="211.94500000000002"/>
    <n v="173.61099999999999"/>
    <n v="170.47599999999997"/>
    <n v="204.42100000000005"/>
    <n v="185.17799999999994"/>
    <n v="132.81400000000005"/>
    <n v="182.38300000000001"/>
    <n v="198.04899999999998"/>
    <n v="182.74000000000007"/>
    <n v="166.51900000000001"/>
    <n v="185.93000000000009"/>
    <n v="160.06300000000002"/>
    <n v="187.26600000000008"/>
    <n v="215.39599999999999"/>
    <n v="210.44500000000005"/>
    <n v="195.78099999999995"/>
    <n v="196.22000000000003"/>
    <n v="187.46499999999997"/>
    <n v="191.91499999999999"/>
    <n v="150.40500000000003"/>
    <n v="144.39099999999999"/>
    <n v="132.81599999999997"/>
    <n v="156.38200000000001"/>
    <n v="125.89000000000003"/>
    <n v="180.78074193548386"/>
    <n v="20.086749103942651"/>
  </r>
  <r>
    <n v="54"/>
    <x v="5"/>
    <s v="Trinity EV Charge Hub, Peenya"/>
    <s v="EFL"/>
    <s v="Public-Free"/>
    <s v="3.3 kW"/>
    <s v="OCPP"/>
    <n v="8"/>
    <s v="Parking and Charging"/>
    <n v="48.478999999999999"/>
    <n v="70.777000000000001"/>
    <n v="64.66"/>
    <n v="59.352999999999994"/>
    <n v="70.816999999999993"/>
    <n v="73.165000000000006"/>
    <n v="59.638000000000005"/>
    <n v="23.987000000000002"/>
    <n v="61.479000000000006"/>
    <n v="60.126999999999995"/>
    <n v="41.786000000000001"/>
    <n v="42.579000000000001"/>
    <n v="53.201999999999998"/>
    <n v="44.338000000000008"/>
    <n v="33.106999999999999"/>
    <n v="49.934000000000005"/>
    <n v="16.182000000000006"/>
    <n v="12.242999999999999"/>
    <n v="37.147000000000006"/>
    <n v="33.305999999999997"/>
    <n v="54.951999999999998"/>
    <n v="60.396000000000001"/>
    <n v="41.784999999999997"/>
    <n v="55.078000000000003"/>
    <n v="55.234999999999999"/>
    <n v="44.998000000000005"/>
    <n v="80.768000000000015"/>
    <n v="65.202999999999989"/>
    <n v="48.581000000000003"/>
    <n v="15.446999999999999"/>
    <n v="42.722999999999999"/>
    <n v="49.07974193548386"/>
    <n v="6.1349677419354824"/>
  </r>
  <r>
    <n v="55"/>
    <x v="5"/>
    <s v="Trinity EV Charge Hub, Peenya"/>
    <s v="EFL"/>
    <s v="Public-Free"/>
    <s v="6 kW"/>
    <s v="DC Charger"/>
    <n v="1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"/>
    <n v="1.6451612903225808E-2"/>
    <n v="1.6451612903225808E-2"/>
  </r>
  <r>
    <n v="56"/>
    <x v="5"/>
    <s v="Trinity EV Charge Hub, RR Nagar"/>
    <s v="Trinity"/>
    <s v="Public-Paid"/>
    <s v="3.3 kW"/>
    <s v="OCPP"/>
    <n v="7"/>
    <s v="Parking and Charging"/>
    <n v="165.38999999999996"/>
    <n v="174.22300000000001"/>
    <n v="201.50400000000002"/>
    <n v="195.64600000000007"/>
    <n v="145.18"/>
    <n v="208.62199999999996"/>
    <n v="161.55699999999999"/>
    <n v="132.11199999999999"/>
    <n v="189.82"/>
    <n v="114.65299999999998"/>
    <n v="132.43299999999996"/>
    <n v="131.97900000000001"/>
    <n v="152.46099999999996"/>
    <n v="113.73200000000001"/>
    <n v="135.578"/>
    <n v="169.077"/>
    <n v="126.59199999999997"/>
    <n v="128.02500000000001"/>
    <n v="95.671999999999997"/>
    <n v="154.59400000000005"/>
    <n v="149.971"/>
    <n v="157.72399999999999"/>
    <n v="199.84000000000006"/>
    <n v="146.44099999999995"/>
    <n v="146.78899999999999"/>
    <n v="151.18099999999998"/>
    <n v="162.70499999999996"/>
    <n v="152.75600000000006"/>
    <n v="136.05600000000004"/>
    <n v="114.13500000000002"/>
    <n v="182.29600000000002"/>
    <n v="152.54012903225808"/>
    <n v="21.791447004608298"/>
  </r>
  <r>
    <n v="57"/>
    <x v="5"/>
    <s v="Trinity EV Charge Hub, Kannur"/>
    <s v="Trinity"/>
    <s v="Public-Paid"/>
    <s v="3.3 kW"/>
    <s v="OCPP"/>
    <n v="10"/>
    <s v="Parking and Charging"/>
    <n v="221.09300000000002"/>
    <n v="187.20499999999998"/>
    <n v="172.59899999999999"/>
    <n v="213.15900000000008"/>
    <n v="234.09499999999994"/>
    <n v="250.77699999999996"/>
    <n v="220.197"/>
    <n v="218.69299999999998"/>
    <n v="184.21799999999999"/>
    <n v="143.94999999999999"/>
    <n v="272.577"/>
    <n v="214.38200000000003"/>
    <n v="237.95499999999996"/>
    <n v="170.18100000000001"/>
    <n v="211.46299999999999"/>
    <n v="199.14100000000002"/>
    <n v="222.06200000000004"/>
    <n v="267.33999999999986"/>
    <n v="228.98700000000002"/>
    <n v="242.2939999999999"/>
    <n v="224.68700000000004"/>
    <n v="239.04400000000001"/>
    <n v="232.33600000000004"/>
    <n v="219.48199999999991"/>
    <n v="217.80799999999999"/>
    <n v="209.82599999999999"/>
    <n v="253.56500000000003"/>
    <n v="215.89500000000001"/>
    <n v="226.77600000000001"/>
    <n v="199.44300000000001"/>
    <n v="195.98000000000002"/>
    <n v="217.651935483871"/>
    <n v="21.765193548387099"/>
  </r>
  <r>
    <n v="58"/>
    <x v="5"/>
    <s v="Trinity EV Charge Hub, ITPL"/>
    <s v="Trinity"/>
    <s v="Public-Paid"/>
    <s v="3.3 kW"/>
    <s v="OCPP"/>
    <n v="8"/>
    <s v="Parking and Charging"/>
    <n v="124.08100000000005"/>
    <n v="127.35699999999999"/>
    <n v="114.89800000000001"/>
    <n v="124.69400000000002"/>
    <n v="113.38500000000001"/>
    <n v="120.85600000000002"/>
    <n v="109.09999999999998"/>
    <n v="96.320000000000007"/>
    <n v="112.08299999999998"/>
    <n v="107.571"/>
    <n v="60.902000000000001"/>
    <n v="97.272000000000006"/>
    <n v="98.457000000000008"/>
    <n v="90.666000000000011"/>
    <n v="107.58700000000002"/>
    <n v="103.72899999999998"/>
    <n v="99.407000000000025"/>
    <n v="75.272000000000006"/>
    <n v="136.19900000000001"/>
    <n v="93.01"/>
    <n v="95.162999999999982"/>
    <n v="130.08999999999997"/>
    <n v="108.15500000000002"/>
    <n v="117.752"/>
    <n v="104.95399999999998"/>
    <n v="104.277"/>
    <n v="98.267000000000024"/>
    <n v="113.91000000000003"/>
    <n v="101.583"/>
    <n v="91.4"/>
    <n v="105.032"/>
    <n v="105.91706451612905"/>
    <n v="13.239633064516131"/>
  </r>
  <r>
    <n v="59"/>
    <x v="5"/>
    <s v="Trinity EV Charge Hub, Andrahalli"/>
    <s v="Trinity"/>
    <s v="Public-Paid"/>
    <s v="3.3 kW"/>
    <s v="OCPP"/>
    <n v="6"/>
    <s v="Parking and Charging"/>
    <n v="0"/>
    <n v="0"/>
    <n v="0"/>
    <n v="1.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3"/>
    <n v="4.3410000000000002"/>
    <n v="0.32387096774193547"/>
    <n v="5.3978494623655913E-2"/>
  </r>
  <r>
    <n v="60"/>
    <x v="6"/>
    <s v="EV Charge Hub, Airport South Metro Station"/>
    <s v="ETO"/>
    <s v="Public-Paid"/>
    <s v="3.3kW"/>
    <s v="OCPP"/>
    <n v="20"/>
    <s v="Parking and Charging"/>
    <n v="31.96"/>
    <n v="51.247"/>
    <n v="71.463999999999999"/>
    <n v="40.513999999999996"/>
    <n v="70.257999999999981"/>
    <n v="57.393999999999998"/>
    <n v="21.036000000000001"/>
    <n v="28.948999999999998"/>
    <n v="48.158000000000008"/>
    <n v="62.499999999999993"/>
    <n v="59.642000000000031"/>
    <n v="77.081000000000017"/>
    <n v="59.504999999999981"/>
    <n v="44.715999999999994"/>
    <n v="49.831000000000003"/>
    <n v="35.036000000000001"/>
    <n v="42.072000000000003"/>
    <n v="44.003999999999991"/>
    <n v="44.073"/>
    <n v="17.753"/>
    <n v="3.8330000000000002"/>
    <n v="25.765000000000001"/>
    <n v="40.32"/>
    <n v="43.817"/>
    <n v="30.55599999999999"/>
    <n v="26.553000000000001"/>
    <n v="27.471"/>
    <n v="6.5620000000000003"/>
    <n v="39.253999999999998"/>
    <n v="49.692000000000007"/>
    <n v="26.573000000000004"/>
    <n v="41.212548387096781"/>
    <n v="2.0606274193548391"/>
  </r>
  <r>
    <n v="61"/>
    <x v="6"/>
    <s v="EV Charge Hub, Bigbasket - Nagpur"/>
    <s v="Trinity"/>
    <s v="Public-Paid"/>
    <s v="3.3kW"/>
    <s v="OCPP"/>
    <n v="3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7"/>
    <s v="EV Charging Hub,Kevadia"/>
    <s v="SOU"/>
    <s v="Public-Paid"/>
    <s v="3.3 kW"/>
    <s v="OCPP"/>
    <n v="40"/>
    <s v="Parking and Charging"/>
    <n v="335.51700000000005"/>
    <n v="160.92900000000003"/>
    <n v="390.16400000000004"/>
    <n v="375.71499999999975"/>
    <n v="359.7580000000001"/>
    <n v="418.06799999999981"/>
    <n v="455.99400000000026"/>
    <n v="416.45100000000002"/>
    <n v="177.40400000000002"/>
    <n v="296.24599999999998"/>
    <n v="317.61099999999999"/>
    <n v="192.51600000000005"/>
    <n v="95.795999999999992"/>
    <n v="670.1129999999996"/>
    <n v="438.68799999999987"/>
    <n v="156.559"/>
    <n v="303.68600000000009"/>
    <n v="356.21699999999976"/>
    <n v="330.97700000000003"/>
    <n v="329.36399999999998"/>
    <n v="514.50700000000006"/>
    <n v="460.38799999999986"/>
    <n v="155.69399999999999"/>
    <n v="401.37999999999988"/>
    <n v="247.095"/>
    <n v="261.88999999999993"/>
    <n v="361.21599999999995"/>
    <n v="488.30500000000006"/>
    <n v="359.04300000000001"/>
    <n v="144.33299999999997"/>
    <n v="239.09999999999997"/>
    <n v="329.37819354838712"/>
    <n v="8.2344548387096772"/>
  </r>
  <r>
    <n v="63"/>
    <x v="8"/>
    <s v="EV Charge Hub, Electronic City"/>
    <s v="ETO"/>
    <s v="Public-Paid"/>
    <s v="3.3 kW"/>
    <s v="OCPP"/>
    <n v="19"/>
    <s v="Parking and Charging"/>
    <n v="24.536999999999999"/>
    <n v="22.754000000000001"/>
    <n v="31.728999999999999"/>
    <n v="32.372000000000007"/>
    <n v="19.720000000000002"/>
    <n v="16.484999999999999"/>
    <n v="12.335999999999997"/>
    <n v="10.003"/>
    <n v="5.5720000000000001"/>
    <n v="4.5469999999999997"/>
    <n v="5.1020000000000003"/>
    <n v="7.173"/>
    <n v="6.5380000000000003"/>
    <n v="5.67"/>
    <n v="5.1239999999999997"/>
    <n v="5.16"/>
    <n v="9.8889999999999993"/>
    <n v="4.3860000000000001"/>
    <n v="5.6669999999999998"/>
    <n v="5.1639999999999997"/>
    <n v="6.1"/>
    <n v="5.3379999999999992"/>
    <n v="5.1130000000000004"/>
    <n v="5.3569999999999993"/>
    <n v="4.5919999999999996"/>
    <n v="5.4660000000000002"/>
    <n v="5.9639999999999995"/>
    <n v="6.6850000000000005"/>
    <n v="5.4819999999999993"/>
    <n v="3.2549999999999999"/>
    <n v="6.2389999999999999"/>
    <n v="9.6619032258064497"/>
    <n v="0.50852122241086573"/>
  </r>
  <r>
    <n v="64"/>
    <x v="9"/>
    <s v="Mahagun Sarovar Portico Suits, Ghaziabad"/>
    <s v="Mahagun Hotel"/>
    <s v="Public-Paid"/>
    <s v="7.4 kW"/>
    <s v="OCPP"/>
    <n v="2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10"/>
    <s v="Trinity EV Charge Hub, Ayodhya"/>
    <s v="Trinity"/>
    <s v="Public-Paid"/>
    <s v="3.3kW"/>
    <s v="OCPP"/>
    <n v="10"/>
    <s v="Parking and Charging"/>
    <n v="44.506999999999998"/>
    <n v="47.745000000000005"/>
    <n v="24.2"/>
    <n v="31.025000000000002"/>
    <n v="65.867999999999995"/>
    <n v="68.472999999999985"/>
    <n v="52.144000000000005"/>
    <n v="25.207999999999998"/>
    <n v="36.438000000000002"/>
    <n v="47.656999999999989"/>
    <n v="43.002999999999993"/>
    <n v="38.11"/>
    <n v="57.82"/>
    <n v="49"/>
    <n v="75.95"/>
    <n v="69.17"/>
    <n v="34.840000000000003"/>
    <n v="95.74"/>
    <n v="81.88"/>
    <n v="67.790000000000006"/>
    <n v="82.31"/>
    <n v="111.64299999999999"/>
    <n v="94.126000000000047"/>
    <n v="93.235000000000014"/>
    <n v="113.402"/>
    <n v="114.262"/>
    <n v="159.64200000000002"/>
    <n v="169.6690000000001"/>
    <n v="91.625000000000014"/>
    <n v="8.7889999999999997"/>
    <n v="0"/>
    <n v="67.589387096774217"/>
    <n v="6.7589387096774214"/>
  </r>
  <r>
    <n v="66"/>
    <x v="10"/>
    <s v="Trinity EV Charge Hub, Ayodhya"/>
    <s v="Trinity"/>
    <s v="Public-Paid"/>
    <s v="7.4 kW"/>
    <s v="OCPP"/>
    <n v="1"/>
    <s v="Parking and Charging"/>
    <n v="0"/>
    <n v="0"/>
    <n v="0"/>
    <n v="0"/>
    <n v="0"/>
    <n v="0"/>
    <n v="0"/>
    <n v="0"/>
    <n v="0"/>
    <n v="0"/>
    <n v="0"/>
    <n v="38.71"/>
    <n v="25.47"/>
    <n v="0"/>
    <n v="31.27"/>
    <n v="40.31"/>
    <n v="5.7"/>
    <n v="47"/>
    <n v="12.06"/>
    <n v="0"/>
    <n v="6.15"/>
    <n v="30.166"/>
    <n v="34.191000000000003"/>
    <n v="25.891000000000005"/>
    <n v="36.595999999999997"/>
    <n v="25.666"/>
    <n v="20.733000000000001"/>
    <n v="0"/>
    <n v="24.024000000000001"/>
    <n v="51.318999999999996"/>
    <n v="51.664999999999999"/>
    <n v="16.352290322580647"/>
    <n v="16.352290322580647"/>
  </r>
  <r>
    <n v="67"/>
    <x v="10"/>
    <s v="BPCL Saket station, Ayodhya"/>
    <s v="Trinity"/>
    <s v="Public-Paid"/>
    <s v="12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10"/>
    <s v="BPCL SD Yadav station, Ayodhya"/>
    <s v="Trinity"/>
    <s v="Public-Paid"/>
    <s v="12kW"/>
    <s v="DC Charger"/>
    <n v="1"/>
    <s v="Public Charging"/>
    <n v="0"/>
    <n v="0"/>
    <n v="0"/>
    <n v="0"/>
    <n v="0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29032258064516E-3"/>
    <n v="1.6129032258064516E-3"/>
  </r>
  <r>
    <n v="69"/>
    <x v="10"/>
    <s v="BPCL 24X7 station, Ayodhya"/>
    <s v="Trinity"/>
    <s v="Public-Paid"/>
    <s v="12kW"/>
    <s v="DC Charger"/>
    <n v="1"/>
    <s v="Public Charging"/>
    <n v="0"/>
    <n v="0"/>
    <n v="0"/>
    <n v="0"/>
    <n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193548387096776E-3"/>
    <n v="7.4193548387096776E-3"/>
  </r>
  <r>
    <n v="70"/>
    <x v="11"/>
    <s v="EV Charge Hub, Shahdara"/>
    <s v="ETO"/>
    <s v="Public-Paid"/>
    <s v="3.3 kW"/>
    <s v="OCPP"/>
    <n v="5"/>
    <s v="Parking and Charging"/>
    <n v="33.405999999999999"/>
    <n v="62.603999999999999"/>
    <n v="37.22699999999999"/>
    <n v="47.848999999999997"/>
    <n v="33.548000000000002"/>
    <n v="31.532000000000004"/>
    <n v="37.079000000000001"/>
    <n v="45.744"/>
    <n v="34.602000000000004"/>
    <n v="40.530999999999999"/>
    <n v="33.492999999999995"/>
    <n v="23.416"/>
    <n v="6.4420000000000002"/>
    <n v="29.934000000000001"/>
    <n v="52.140999999999998"/>
    <n v="23.053999999999998"/>
    <n v="35.339999999999996"/>
    <n v="52.657000000000004"/>
    <n v="30.023000000000003"/>
    <n v="33.951000000000001"/>
    <n v="41.737000000000002"/>
    <n v="34.760999999999996"/>
    <n v="40.204999999999998"/>
    <n v="32.132999999999996"/>
    <n v="40.111999999999995"/>
    <n v="21.957999999999998"/>
    <n v="31.795999999999999"/>
    <n v="36.814"/>
    <n v="53.302"/>
    <n v="29.909000000000002"/>
    <n v="28.914000000000001"/>
    <n v="36.006903225806447"/>
    <n v="7.2013806451612892"/>
  </r>
  <r>
    <n v="71"/>
    <x v="11"/>
    <s v="EV Charge Hub, Cargo - Dwarka"/>
    <s v="ETO"/>
    <s v="Public-Paid"/>
    <s v="3.3 kW"/>
    <s v="OCPP"/>
    <n v="16"/>
    <s v="Parking and Charging"/>
    <n v="38.412000000000013"/>
    <n v="31.683999999999997"/>
    <n v="35.167999999999999"/>
    <n v="30.856999999999999"/>
    <n v="13.144"/>
    <n v="24.748999999999999"/>
    <n v="27.710999999999999"/>
    <n v="39.697000000000003"/>
    <n v="26.613999999999997"/>
    <n v="39.972000000000001"/>
    <n v="50.271000000000001"/>
    <n v="31.817999999999998"/>
    <n v="24.844999999999999"/>
    <n v="17.251999999999999"/>
    <n v="0"/>
    <n v="24.585999999999999"/>
    <n v="13.378"/>
    <n v="5.2999999999999999E-2"/>
    <n v="0"/>
    <n v="7.1870000000000012"/>
    <n v="6.6550000000000002"/>
    <n v="8.1669999999999998"/>
    <n v="7.125"/>
    <n v="3.6519999999999997"/>
    <n v="9.92"/>
    <n v="1.881"/>
    <n v="0.88600000000000001"/>
    <n v="12.353999999999999"/>
    <n v="1.4019999999999999"/>
    <n v="8.7540000000000013"/>
    <n v="0"/>
    <n v="17.361096774193548"/>
    <n v="1.0850685483870968"/>
  </r>
  <r>
    <n v="72"/>
    <x v="11"/>
    <s v="EV Charge Hub , Usmanpur"/>
    <s v="ETO"/>
    <s v="Public-Paid"/>
    <s v="3.3 kW"/>
    <s v="OCPP"/>
    <n v="10"/>
    <s v="Parking and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"/>
    <x v="11"/>
    <s v="EV Charge Hub, Azadpur Metro Station"/>
    <s v="ETO"/>
    <s v="Public-Paid"/>
    <s v="3.3 kW"/>
    <s v="OCPP"/>
    <n v="13"/>
    <s v="Parking and Charging"/>
    <n v="30.068999999999996"/>
    <n v="32.213000000000001"/>
    <n v="34.103999999999999"/>
    <n v="50.852000000000004"/>
    <n v="33.785000000000004"/>
    <n v="32.572000000000003"/>
    <n v="30.109000000000002"/>
    <n v="16.567"/>
    <n v="41.171000000000006"/>
    <n v="44.083999999999996"/>
    <n v="26.003"/>
    <n v="40.18399999999999"/>
    <n v="59.123000000000005"/>
    <n v="28.914000000000001"/>
    <n v="47.067999999999998"/>
    <n v="40.512"/>
    <n v="2.9749999999999996"/>
    <n v="62.55599999999999"/>
    <n v="36.330999999999996"/>
    <n v="42.193999999999996"/>
    <n v="0"/>
    <n v="45.185000000000002"/>
    <n v="49.858000000000004"/>
    <n v="25.916"/>
    <n v="50.728000000000009"/>
    <n v="27.983999999999998"/>
    <n v="35.941999999999993"/>
    <n v="4.4079999999999995"/>
    <n v="69.353999999999999"/>
    <n v="28.384"/>
    <n v="66.012999999999991"/>
    <n v="36.617999999999995"/>
    <n v="2.8167692307692302"/>
  </r>
  <r>
    <n v="74"/>
    <x v="11"/>
    <s v="EV Charge Hub, Kalkaji metro station"/>
    <s v="ETO"/>
    <s v="Public-Paid"/>
    <s v="3.3 kW"/>
    <s v="OCPP"/>
    <n v="20"/>
    <s v="Parking and Charging"/>
    <n v="259.73700000000014"/>
    <n v="240.33600000000001"/>
    <n v="260.70400000000006"/>
    <n v="253.98399999999998"/>
    <n v="273.99999999999994"/>
    <n v="246.864"/>
    <n v="321.40500000000026"/>
    <n v="185.26200000000003"/>
    <n v="229.12099999999998"/>
    <n v="272.20900000000012"/>
    <n v="262.68199999999996"/>
    <n v="264.55700000000007"/>
    <n v="307.87999999999994"/>
    <n v="317.57900000000006"/>
    <n v="240.7059999999999"/>
    <n v="248.446"/>
    <n v="373.09499999999974"/>
    <n v="305.89800000000002"/>
    <n v="343.56099999999998"/>
    <n v="286.21200000000005"/>
    <n v="311.41599999999994"/>
    <n v="320.03700000000003"/>
    <n v="205.91600000000003"/>
    <n v="308.81"/>
    <n v="303.34400000000011"/>
    <n v="330.94099999999997"/>
    <n v="322.73100000000011"/>
    <n v="318.06999999999994"/>
    <n v="294.30799999999999"/>
    <n v="249.73200000000003"/>
    <n v="250.29099999999994"/>
    <n v="280.96238709677419"/>
    <n v="14.048119354838709"/>
  </r>
  <r>
    <n v="75"/>
    <x v="11"/>
    <s v="Hindustan Times Appartment, Mayur Vihar"/>
    <s v="ETO"/>
    <s v="Public-Paid"/>
    <s v="3.3 kW"/>
    <s v="OCPP"/>
    <n v="1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11"/>
    <s v="UNA Co-operative residence society, Mayur vihar"/>
    <s v="ETO"/>
    <s v="Public-Paid"/>
    <s v="3.3 kW"/>
    <s v="OCPP"/>
    <n v="1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11"/>
    <s v="EV Charge Hub, Press Enclave Society"/>
    <s v="Trinity"/>
    <s v="Public-Paid"/>
    <s v="7.4 kW"/>
    <s v="OCPP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11"/>
    <s v="EV Charge Hub, Trade and Tax Department"/>
    <m/>
    <s v="Private-Paid"/>
    <s v="3.3kW"/>
    <s v="OCPP"/>
    <n v="2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x v="11"/>
    <s v="EV Charge Hub, Transport Department"/>
    <s v="Trinity"/>
    <s v="Public-Free"/>
    <s v="3.3 kW"/>
    <s v="OCPP"/>
    <n v="6"/>
    <s v="Public Charging"/>
    <n v="68.662000000000006"/>
    <n v="68.171999999999997"/>
    <n v="60.577999999999996"/>
    <n v="59.792000000000002"/>
    <n v="92.88300000000001"/>
    <n v="5.3949999999999996"/>
    <n v="0"/>
    <n v="64.271000000000001"/>
    <n v="58.675000000000004"/>
    <n v="53.44400000000001"/>
    <n v="41.358999999999995"/>
    <n v="65.570000000000007"/>
    <n v="16.673000000000002"/>
    <n v="16.010000000000002"/>
    <n v="47.594000000000008"/>
    <n v="55.652000000000001"/>
    <n v="0"/>
    <n v="75.454000000000008"/>
    <n v="58.661000000000008"/>
    <n v="19.641999999999999"/>
    <n v="0"/>
    <n v="74.347000000000008"/>
    <n v="65.033999999999992"/>
    <n v="57.103000000000002"/>
    <n v="54.419000000000004"/>
    <n v="35.971000000000011"/>
    <n v="0"/>
    <n v="2.7370000000000001"/>
    <n v="98.970999999999975"/>
    <n v="69.495000000000005"/>
    <n v="92.873999999999995"/>
    <n v="47.72380645161293"/>
    <n v="7.9539677419354886"/>
  </r>
  <r>
    <n v="80"/>
    <x v="11"/>
    <s v="EV Charge Hub, Transport Department"/>
    <s v="Trinity"/>
    <s v="Public-Free"/>
    <s v="7.4 kW"/>
    <s v="OCPP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11"/>
    <s v="Trinity EV Charge Hub, Dwarka sector - 14 "/>
    <s v="Trinity"/>
    <s v="Public-Paid"/>
    <s v="3.3kW"/>
    <s v="OCPP"/>
    <n v="20"/>
    <s v="Parking and Charging"/>
    <n v="142.68999999999997"/>
    <n v="126.55100000000002"/>
    <n v="116.393"/>
    <n v="120.485"/>
    <n v="107.41200000000005"/>
    <n v="153.38800000000001"/>
    <n v="150.56200000000001"/>
    <n v="134.31400000000002"/>
    <n v="162.499"/>
    <n v="137.42099999999999"/>
    <n v="155.63799999999998"/>
    <n v="137.20800000000003"/>
    <n v="155.32900000000004"/>
    <n v="97.292000000000002"/>
    <n v="140.56700000000006"/>
    <n v="176.15099999999998"/>
    <n v="125.18299999999999"/>
    <n v="195.72400000000002"/>
    <n v="164.63300000000004"/>
    <n v="192.86100000000002"/>
    <n v="146.03400000000002"/>
    <n v="182.369"/>
    <n v="184.31200000000001"/>
    <n v="186.49600000000001"/>
    <n v="207.99699999999999"/>
    <n v="217.31100000000006"/>
    <n v="232.72499999999997"/>
    <n v="258.10599999999999"/>
    <n v="257.428"/>
    <n v="182.74700000000004"/>
    <n v="167.92799999999997"/>
    <n v="165.02432258064519"/>
    <n v="8.2512161290322599"/>
  </r>
  <r>
    <n v="82"/>
    <x v="11"/>
    <s v="Trinity EV Charge Hub, Jamia Millia Islamia Metro Station"/>
    <s v="Trinity"/>
    <s v="Public-Paid"/>
    <s v="3.3kW"/>
    <s v="OCPP"/>
    <n v="10"/>
    <s v="Parking and Charging"/>
    <n v="62.513000000000005"/>
    <n v="78.049000000000007"/>
    <n v="77.872"/>
    <n v="50.850999999999999"/>
    <n v="74.815999999999988"/>
    <n v="111.49299999999999"/>
    <n v="101.42399999999999"/>
    <n v="70.53"/>
    <n v="86.130999999999986"/>
    <n v="94.596000000000004"/>
    <n v="90.546000000000006"/>
    <n v="131.44500000000002"/>
    <n v="134.97"/>
    <n v="121.73499999999999"/>
    <n v="114.58399999999999"/>
    <n v="130.11700000000005"/>
    <n v="91.91"/>
    <n v="120.50999999999999"/>
    <n v="151.22800000000001"/>
    <n v="145.24"/>
    <n v="131.84"/>
    <n v="144.02800000000002"/>
    <n v="160.11700000000002"/>
    <n v="135.46299999999999"/>
    <n v="139.40900000000002"/>
    <n v="155.37899999999999"/>
    <n v="135.52400000000003"/>
    <n v="155.31699999999998"/>
    <n v="166.90500000000006"/>
    <n v="153.00099999999998"/>
    <n v="134.13400000000001"/>
    <n v="117.79603225806453"/>
    <n v="11.779603225806452"/>
  </r>
  <r>
    <n v="83"/>
    <x v="11"/>
    <s v="EV Charge Hub, Radhika Appartment"/>
    <s v="Trinity"/>
    <s v="Public-Paid"/>
    <s v="3.3kW"/>
    <s v="OCPP"/>
    <n v="2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11"/>
    <s v="EV Charge Hub, Radhika Appartment"/>
    <s v="Trinity"/>
    <s v="Public-Paid"/>
    <s v="7.4 kW"/>
    <s v="OCPP"/>
    <n v="2"/>
    <s v="Society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11"/>
    <s v="BYPL MCD Parking, Near Supreme Enclave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x v="11"/>
    <s v="BYPL MCD Parking,V3S Mall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x v="11"/>
    <s v="BYPL MCD Parking,V3S Mall"/>
    <s v="BYPL MCD Parking"/>
    <s v="Public-Paid"/>
    <s v="12 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x v="11"/>
    <s v="BYPL MCD Parking,Milan Vihar Appartment"/>
    <s v="BYPL MCD Parking"/>
    <s v="Public-Paid"/>
    <s v="3.3kW"/>
    <s v="OCPP"/>
    <n v="3"/>
    <s v="Public Charging"/>
    <n v="0"/>
    <n v="0"/>
    <n v="0"/>
    <n v="0.55499999999999994"/>
    <n v="0"/>
    <n v="0"/>
    <n v="0"/>
    <n v="0"/>
    <n v="0"/>
    <n v="0"/>
    <n v="0.10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193548387096771E-2"/>
    <n v="7.064516129032257E-3"/>
  </r>
  <r>
    <n v="89"/>
    <x v="11"/>
    <s v="BYPL MCD Parking,Mandoli extn"/>
    <s v="BYPL MCD Parking"/>
    <s v="Public-Paid"/>
    <s v="3.3kW"/>
    <s v="OCPP"/>
    <n v="3"/>
    <s v="Public Charging"/>
    <n v="6.8440000000000003"/>
    <n v="13.101000000000001"/>
    <n v="8.0350000000000001"/>
    <n v="12.211"/>
    <n v="18.118000000000002"/>
    <n v="6.5119999999999996"/>
    <n v="13.068999999999999"/>
    <n v="0.27900000000000003"/>
    <n v="9.2349999999999994"/>
    <n v="8.4529999999999994"/>
    <n v="8.3149999999999995"/>
    <n v="13.248999999999999"/>
    <n v="10.157"/>
    <n v="8.0879999999999992"/>
    <n v="11.821999999999999"/>
    <n v="7.367"/>
    <n v="6.0069999999999997"/>
    <n v="13.879"/>
    <n v="8.0050000000000008"/>
    <n v="8.7629999999999999"/>
    <n v="11.727"/>
    <n v="2.14"/>
    <n v="13.465"/>
    <n v="11.74"/>
    <n v="11.387"/>
    <n v="2.9210000000000003"/>
    <n v="12.833"/>
    <n v="11.786"/>
    <n v="7.4890000000000008"/>
    <n v="11.896000000000001"/>
    <n v="13.579000000000001"/>
    <n v="9.7571612903225802"/>
    <n v="3.2523870967741932"/>
  </r>
  <r>
    <n v="90"/>
    <x v="11"/>
    <s v="BYPL MCD Parking,Kalkaji Mandir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11"/>
    <s v="BYPL MCD Parking,Mangolpuri"/>
    <s v="BYPL MCD Parking"/>
    <s v="Public-Paid"/>
    <s v="3.3kW"/>
    <s v="OCPP"/>
    <n v="3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x v="11"/>
    <s v="BYPL MCD Parking,Janta Flat, Nandnagri"/>
    <s v="BYPL MCD Parking"/>
    <s v="Public-Paid"/>
    <s v="3.3kW"/>
    <s v="OCPP"/>
    <n v="16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11"/>
    <s v="Ev Charge Hub, IIITD , Delhi"/>
    <s v="ETO"/>
    <s v="Public-Paid"/>
    <s v="3.3kW"/>
    <s v="OCPP"/>
    <n v="4"/>
    <s v="Parking and Charging"/>
    <n v="0"/>
    <n v="0"/>
    <n v="0"/>
    <n v="0"/>
    <n v="0"/>
    <n v="1.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32258064516129E-2"/>
    <n v="1.1758064516129032E-2"/>
  </r>
  <r>
    <n v="94"/>
    <x v="11"/>
    <s v="Trinity EV Charge Hub, Uttam Nagar,Delhi"/>
    <s v="Trinity"/>
    <s v="Public-Paid"/>
    <s v="3.3kW"/>
    <s v="OCPP"/>
    <n v="4"/>
    <s v="Parking and Charging"/>
    <m/>
    <m/>
    <m/>
    <m/>
    <m/>
    <m/>
    <m/>
    <m/>
    <m/>
    <n v="0"/>
    <n v="0"/>
    <n v="0"/>
    <n v="0.38100000000000001"/>
    <n v="0"/>
    <n v="0"/>
    <n v="0"/>
    <n v="0"/>
    <n v="0"/>
    <n v="0"/>
    <n v="0"/>
    <n v="0"/>
    <n v="0"/>
    <n v="26.295999999999999"/>
    <n v="5.4789999999999992"/>
    <n v="6.7649999999999988"/>
    <n v="8.9269999999999996"/>
    <n v="18.346"/>
    <n v="4.3120000000000003"/>
    <n v="6.6760000000000002"/>
    <n v="6.7779999999999987"/>
    <n v="11.087"/>
    <n v="4.3203181818181822"/>
    <n v="1.0800795454545455"/>
  </r>
  <r>
    <n v="95"/>
    <x v="11"/>
    <s v="Ev Charge Hub, BRPL Office 2nd Phase,Delhi"/>
    <s v="BRPL MCD Parking"/>
    <s v="Public-Paid"/>
    <s v="3.3kW"/>
    <s v="OCPP"/>
    <n v="2"/>
    <s v="Public Charging"/>
    <m/>
    <m/>
    <m/>
    <m/>
    <m/>
    <m/>
    <m/>
    <m/>
    <m/>
    <m/>
    <m/>
    <m/>
    <m/>
    <m/>
    <m/>
    <n v="13.877000000000001"/>
    <n v="0"/>
    <n v="14.331999999999999"/>
    <n v="0"/>
    <n v="0"/>
    <n v="8.5079999999999991"/>
    <n v="11.845000000000001"/>
    <n v="8.9659999999999993"/>
    <n v="0"/>
    <n v="6.8440000000000003"/>
    <n v="0"/>
    <n v="16.847000000000001"/>
    <n v="0"/>
    <n v="8.1289999999999996"/>
    <n v="7.3310000000000004"/>
    <n v="3.0910000000000002"/>
    <n v="6.2356249999999998"/>
    <n v="3.1178124999999999"/>
  </r>
  <r>
    <n v="96"/>
    <x v="11"/>
    <s v="Log9 - Near Max hospital Milan apartment"/>
    <s v="Log9"/>
    <s v="Public-Free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11"/>
    <s v="Log9 - Covered Parking, Mother dairy"/>
    <s v="Log9"/>
    <s v="Public-Free"/>
    <s v="15kW"/>
    <s v="DC Charger"/>
    <n v="1"/>
    <s v="Public Cha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0"/>
    <x v="1"/>
    <s v="Amazon"/>
    <s v="Public-Paid"/>
    <s v="3.3 kW"/>
    <s v="OCPP"/>
    <n v="9"/>
    <x v="0"/>
    <n v="118.72"/>
    <n v="140.97999999999999"/>
    <n v="130.41"/>
    <n v="112.67"/>
    <n v="128.74"/>
    <n v="134.66999999999999"/>
    <n v="95.38"/>
    <n v="136.6"/>
    <n v="122.39"/>
    <n v="99.42"/>
    <n v="82.89"/>
    <n v="108.14"/>
    <n v="108.48"/>
    <n v="84.88"/>
    <n v="118.57"/>
    <n v="109.65"/>
    <n v="83.69"/>
    <n v="81.12"/>
    <n v="121.59"/>
    <n v="118.94"/>
    <n v="105.53"/>
    <n v="77.67"/>
    <n v="101.55"/>
    <n v="89.13"/>
    <n v="53.34"/>
    <n v="75.87"/>
    <n v="94.7"/>
    <n v="56.68"/>
    <n v="92.36"/>
    <n v="117.01"/>
    <n v="73.260000000000005"/>
    <n v="102.42032258064521"/>
    <n v="11.380035842293912"/>
  </r>
  <r>
    <n v="3"/>
    <x v="0"/>
    <x v="2"/>
    <s v="Amazon"/>
    <s v="Public-Paid"/>
    <s v="3.3 kW"/>
    <s v="OCPP"/>
    <n v="3"/>
    <x v="0"/>
    <n v="28.41"/>
    <n v="45.25"/>
    <n v="26.66"/>
    <n v="32.229999999999997"/>
    <n v="24.43"/>
    <n v="24.56"/>
    <n v="32.81"/>
    <n v="32.61"/>
    <n v="27.98"/>
    <n v="15.26"/>
    <n v="23.59"/>
    <n v="28.42"/>
    <n v="26.54"/>
    <n v="17.2"/>
    <n v="32.119999999999997"/>
    <n v="36.39"/>
    <n v="31.96"/>
    <n v="18.190000000000001"/>
    <n v="17.72"/>
    <n v="9.51"/>
    <n v="24.41"/>
    <n v="19.86"/>
    <n v="9.81"/>
    <n v="27.05"/>
    <n v="39.75"/>
    <n v="23.76"/>
    <n v="29.26"/>
    <n v="31.71"/>
    <n v="31.97"/>
    <n v="29.58"/>
    <n v="23.74"/>
    <n v="26.539999999999996"/>
    <n v="8.8466666666666658"/>
  </r>
  <r>
    <n v="4"/>
    <x v="0"/>
    <x v="3"/>
    <s v="ETO"/>
    <s v="Public-Paid"/>
    <s v="3.3 kW"/>
    <s v="OCPP"/>
    <n v="8"/>
    <x v="1"/>
    <n v="41.52"/>
    <n v="49.29"/>
    <n v="64.97"/>
    <n v="74.25"/>
    <n v="64.510000000000005"/>
    <n v="87.77"/>
    <n v="77.78"/>
    <n v="66.78"/>
    <n v="54.4"/>
    <n v="68.92"/>
    <n v="66.08"/>
    <n v="75.349999999999994"/>
    <n v="90.41"/>
    <n v="70.73"/>
    <n v="68.78"/>
    <n v="67.86"/>
    <n v="69.5"/>
    <n v="76.02"/>
    <n v="68.010000000000005"/>
    <n v="84.77"/>
    <n v="82.19"/>
    <n v="76.14"/>
    <n v="79.709999999999994"/>
    <n v="72.05"/>
    <n v="55.95"/>
    <n v="57.92"/>
    <n v="63.9"/>
    <n v="51.08"/>
    <n v="90.56"/>
    <n v="78.16"/>
    <n v="44.39"/>
    <n v="69.024193548387103"/>
    <n v="8.6280241935483879"/>
  </r>
  <r>
    <n v="5"/>
    <x v="0"/>
    <x v="4"/>
    <s v="Trinity"/>
    <s v="Public-Paid"/>
    <s v="3.3 kW"/>
    <s v="OCPP"/>
    <n v="24"/>
    <x v="1"/>
    <n v="162.47999999999999"/>
    <n v="189.87"/>
    <n v="125.57"/>
    <n v="160.62"/>
    <n v="135.53"/>
    <n v="121.65"/>
    <n v="148.22"/>
    <n v="113.32"/>
    <n v="94.6"/>
    <n v="98.57"/>
    <n v="109.34"/>
    <n v="137.79"/>
    <n v="148.38999999999999"/>
    <n v="144.68"/>
    <n v="99.09"/>
    <n v="125.02"/>
    <n v="155.16999999999999"/>
    <n v="164.28"/>
    <n v="141.47"/>
    <n v="152.30000000000001"/>
    <n v="140.51"/>
    <n v="138.43"/>
    <n v="143.62"/>
    <n v="99.29"/>
    <n v="123.6"/>
    <n v="148.21"/>
    <n v="153.21"/>
    <n v="161.69"/>
    <n v="136.61000000000001"/>
    <n v="238.28"/>
    <n v="114.11"/>
    <n v="139.53290322580639"/>
    <n v="5.8138709677419333"/>
  </r>
  <r>
    <n v="6"/>
    <x v="0"/>
    <x v="4"/>
    <s v="Trinity"/>
    <s v="Public-Paid"/>
    <s v="3.3 kW"/>
    <s v="DC Charger"/>
    <n v="1"/>
    <x v="1"/>
    <n v="19.850000000000001"/>
    <n v="9.83"/>
    <n v="0"/>
    <n v="0"/>
    <n v="4.3099999999999996"/>
    <n v="9.39"/>
    <n v="0"/>
    <n v="7.72"/>
    <n v="6.05"/>
    <n v="13.33"/>
    <n v="6.49"/>
    <n v="8.33"/>
    <n v="8.16"/>
    <n v="0"/>
    <n v="6.73"/>
    <n v="15.09"/>
    <n v="0"/>
    <n v="6.84"/>
    <n v="3.96"/>
    <n v="0"/>
    <n v="17.43"/>
    <n v="3.56"/>
    <n v="7.43"/>
    <n v="10.29"/>
    <n v="0"/>
    <n v="3.85"/>
    <n v="3.03"/>
    <n v="18.97"/>
    <n v="8.01"/>
    <n v="15.45"/>
    <n v="9.73"/>
    <n v="7.2203225806451599"/>
    <n v="7.2203225806451599"/>
  </r>
  <r>
    <n v="7"/>
    <x v="0"/>
    <x v="4"/>
    <s v="Trinity"/>
    <s v="Public-Paid"/>
    <s v="12kW"/>
    <s v="DC Charger"/>
    <n v="2"/>
    <x v="1"/>
    <n v="0"/>
    <n v="4.88"/>
    <n v="0"/>
    <n v="4.1399999999999997"/>
    <n v="0"/>
    <n v="0"/>
    <n v="0"/>
    <n v="0"/>
    <n v="0"/>
    <n v="0"/>
    <n v="0"/>
    <n v="0"/>
    <n v="0"/>
    <n v="0"/>
    <n v="5.32"/>
    <n v="0.46"/>
    <n v="0"/>
    <n v="0"/>
    <n v="0"/>
    <n v="0"/>
    <n v="0"/>
    <n v="0"/>
    <n v="0"/>
    <n v="0"/>
    <n v="0"/>
    <n v="0"/>
    <n v="0"/>
    <n v="0"/>
    <n v="0"/>
    <n v="5.78"/>
    <n v="0"/>
    <n v="0.66387096774193555"/>
    <n v="0.33193548387096777"/>
  </r>
  <r>
    <n v="8"/>
    <x v="0"/>
    <x v="5"/>
    <s v="Trinity"/>
    <s v="Public-Paid"/>
    <s v="3.3 kW"/>
    <s v="OCPP"/>
    <n v="6"/>
    <x v="1"/>
    <n v="33.659999999999997"/>
    <n v="30.19"/>
    <n v="29.02"/>
    <n v="40.75"/>
    <n v="33.86"/>
    <n v="18.52"/>
    <n v="43.23"/>
    <n v="44.24"/>
    <n v="26.06"/>
    <n v="25.32"/>
    <n v="27.9"/>
    <n v="21.03"/>
    <n v="31.88"/>
    <n v="22.36"/>
    <n v="19.5"/>
    <n v="35.33"/>
    <n v="22.95"/>
    <n v="29.27"/>
    <n v="26.9"/>
    <n v="15.72"/>
    <n v="28.02"/>
    <n v="28.36"/>
    <n v="25.89"/>
    <n v="20.2"/>
    <n v="24.33"/>
    <n v="18.79"/>
    <n v="25.91"/>
    <n v="23.35"/>
    <n v="35.54"/>
    <n v="16.309999999999999"/>
    <n v="18.18"/>
    <n v="27.179677419354832"/>
    <n v="4.5299462365591383"/>
  </r>
  <r>
    <n v="9"/>
    <x v="0"/>
    <x v="6"/>
    <s v="ETO"/>
    <s v="Public-Paid"/>
    <s v="3.3 kW"/>
    <s v="OCPP"/>
    <n v="3"/>
    <x v="1"/>
    <n v="61.96"/>
    <n v="51.24"/>
    <n v="39.5"/>
    <n v="41.11"/>
    <n v="47.33"/>
    <n v="38.51"/>
    <n v="61.24"/>
    <n v="48.76"/>
    <n v="44.05"/>
    <n v="51.46"/>
    <n v="44.82"/>
    <n v="57.56"/>
    <n v="49.71"/>
    <n v="60.61"/>
    <n v="58.83"/>
    <n v="61.04"/>
    <n v="45.25"/>
    <n v="59.41"/>
    <n v="46.65"/>
    <n v="13.94"/>
    <n v="37.770000000000003"/>
    <n v="50.35"/>
    <n v="46.32"/>
    <n v="41.43"/>
    <n v="64.48"/>
    <n v="40.630000000000003"/>
    <n v="36.450000000000003"/>
    <n v="63.23"/>
    <n v="35.97"/>
    <n v="55.03"/>
    <n v="57.99"/>
    <n v="48.79451612903226"/>
    <n v="16.26483870967742"/>
  </r>
  <r>
    <n v="10"/>
    <x v="0"/>
    <x v="7"/>
    <s v="Trinity"/>
    <s v="Public-Free"/>
    <s v="3.3 kW"/>
    <s v="OCPP"/>
    <n v="1"/>
    <x v="2"/>
    <m/>
    <m/>
    <m/>
    <m/>
    <m/>
    <m/>
    <m/>
    <m/>
    <m/>
    <m/>
    <m/>
    <m/>
    <m/>
    <m/>
    <m/>
    <n v="0"/>
    <n v="0"/>
    <n v="0"/>
    <n v="3.49"/>
    <n v="0"/>
    <n v="2.44"/>
    <n v="0"/>
    <n v="0"/>
    <n v="2.37"/>
    <n v="0"/>
    <n v="0"/>
    <n v="0"/>
    <n v="0"/>
    <n v="0"/>
    <n v="0"/>
    <n v="2.7"/>
    <n v="0.6875"/>
    <n v="0.6875"/>
  </r>
  <r>
    <n v="11"/>
    <x v="0"/>
    <x v="8"/>
    <s v="EFL"/>
    <s v="Public-Paid"/>
    <s v="12 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9"/>
    <s v="Trinity"/>
    <s v="Public-Paid"/>
    <s v="3.3 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7"/>
    <n v="1.69"/>
    <n v="0"/>
    <n v="0"/>
    <n v="0"/>
    <n v="0.16322580645161291"/>
    <n v="8.1612903225806457E-2"/>
  </r>
  <r>
    <n v="13"/>
    <x v="0"/>
    <x v="9"/>
    <s v="Trinity"/>
    <s v="Public-Paid"/>
    <s v="15 kw"/>
    <s v="DC Charger"/>
    <n v="2"/>
    <x v="1"/>
    <m/>
    <m/>
    <m/>
    <m/>
    <m/>
    <m/>
    <m/>
    <m/>
    <m/>
    <m/>
    <m/>
    <m/>
    <m/>
    <m/>
    <m/>
    <m/>
    <m/>
    <m/>
    <m/>
    <m/>
    <m/>
    <m/>
    <m/>
    <m/>
    <m/>
    <m/>
    <n v="40.46"/>
    <n v="89.58"/>
    <n v="102.46"/>
    <n v="81.59"/>
    <n v="19.12"/>
    <n v="66.64200000000001"/>
    <n v="33.321000000000005"/>
  </r>
  <r>
    <n v="14"/>
    <x v="0"/>
    <x v="10"/>
    <s v="Trinity"/>
    <s v="Public-Paid"/>
    <s v="3.3 kW"/>
    <s v="OCPP"/>
    <n v="10"/>
    <x v="1"/>
    <n v="47.97"/>
    <n v="59.54"/>
    <n v="63.89"/>
    <n v="71.16"/>
    <n v="64.069999999999993"/>
    <n v="69.37"/>
    <n v="59.49"/>
    <n v="45.86"/>
    <n v="64.7"/>
    <n v="49.71"/>
    <n v="57.26"/>
    <n v="94.92"/>
    <n v="34.39"/>
    <n v="69"/>
    <n v="57.38"/>
    <n v="47.96"/>
    <n v="31.83"/>
    <n v="55.74"/>
    <n v="63.42"/>
    <n v="64.64"/>
    <n v="89.72"/>
    <n v="54.34"/>
    <n v="73.95"/>
    <n v="67.099999999999994"/>
    <n v="45.49"/>
    <n v="62.32"/>
    <n v="71.48"/>
    <n v="60.56"/>
    <n v="73.459999999999994"/>
    <n v="52.88"/>
    <n v="48.53"/>
    <n v="60.391290322580652"/>
    <n v="6.0391290322580655"/>
  </r>
  <r>
    <n v="15"/>
    <x v="0"/>
    <x v="11"/>
    <s v="Trinity"/>
    <s v="Public-Paid"/>
    <s v="3.3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x v="11"/>
    <s v="Trinity"/>
    <s v="Public-Paid"/>
    <s v="7.4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2"/>
    <s v="Trinity"/>
    <s v="Public-Paid"/>
    <s v="3.3 kW"/>
    <s v="OCPP"/>
    <n v="10"/>
    <x v="1"/>
    <n v="61.98"/>
    <n v="69.12"/>
    <n v="50.66"/>
    <n v="75.09"/>
    <n v="87.13"/>
    <n v="89.85"/>
    <n v="81.72"/>
    <n v="97.67"/>
    <n v="59.64"/>
    <n v="88.09"/>
    <n v="63.08"/>
    <n v="64.7"/>
    <n v="94.74"/>
    <n v="89.81"/>
    <n v="65.8"/>
    <n v="71.17"/>
    <n v="41.19"/>
    <n v="57.8"/>
    <n v="70.989999999999995"/>
    <n v="62.4"/>
    <n v="67.290000000000006"/>
    <n v="60.92"/>
    <n v="53.55"/>
    <n v="60.6"/>
    <n v="61.8"/>
    <n v="69.400000000000006"/>
    <n v="52.97"/>
    <n v="59.6"/>
    <n v="60.17"/>
    <n v="70.819999999999993"/>
    <n v="66.08"/>
    <n v="68.575161290322598"/>
    <n v="6.8575161290322599"/>
  </r>
  <r>
    <n v="18"/>
    <x v="0"/>
    <x v="13"/>
    <s v="Trinity"/>
    <s v="Public-Paid"/>
    <s v="3.3 kW"/>
    <s v="OCPP"/>
    <n v="5"/>
    <x v="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26.03"/>
    <n v="2.3663636363636367"/>
    <n v="0.47327272727272734"/>
  </r>
  <r>
    <n v="19"/>
    <x v="0"/>
    <x v="13"/>
    <s v="Trinity"/>
    <s v="Public-Paid"/>
    <s v="7.4 kW"/>
    <s v="OCPP"/>
    <n v="1"/>
    <x v="3"/>
    <m/>
    <m/>
    <m/>
    <m/>
    <m/>
    <m/>
    <m/>
    <m/>
    <m/>
    <m/>
    <m/>
    <m/>
    <m/>
    <m/>
    <m/>
    <m/>
    <m/>
    <m/>
    <m/>
    <n v="0"/>
    <n v="0"/>
    <n v="0"/>
    <n v="4.5650000000000004"/>
    <n v="0"/>
    <n v="0"/>
    <n v="0"/>
    <n v="0"/>
    <n v="0"/>
    <n v="0"/>
    <n v="0.43"/>
    <n v="0"/>
    <n v="0.41625000000000001"/>
    <n v="0.41625000000000001"/>
  </r>
  <r>
    <n v="20"/>
    <x v="0"/>
    <x v="13"/>
    <s v="Trinity"/>
    <s v="Public-Paid"/>
    <s v="12kW"/>
    <s v="DC Charger"/>
    <n v="1"/>
    <x v="3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x v="0"/>
    <x v="13"/>
    <s v="Trinity"/>
    <s v="Public-Paid"/>
    <s v="25 kW"/>
    <s v="DC Charger"/>
    <n v="2"/>
    <x v="3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.79"/>
    <n v="0"/>
    <n v="9.4210526315789481E-2"/>
    <n v="4.710526315789474E-2"/>
  </r>
  <r>
    <n v="22"/>
    <x v="0"/>
    <x v="14"/>
    <s v="Trinity"/>
    <s v="Public-Paid"/>
    <s v="3.3 kW"/>
    <s v="OCPP"/>
    <n v="8"/>
    <x v="1"/>
    <n v="93.39"/>
    <n v="115.83"/>
    <n v="48.47"/>
    <n v="35.01"/>
    <n v="88.29"/>
    <n v="98.28"/>
    <n v="77.09"/>
    <n v="108.21"/>
    <n v="61.13"/>
    <n v="41.32"/>
    <n v="36.15"/>
    <n v="79.41"/>
    <n v="84.46"/>
    <n v="62.28"/>
    <n v="92.56"/>
    <n v="93.38"/>
    <n v="33.119999999999997"/>
    <n v="61.39"/>
    <n v="98.75"/>
    <n v="82.53"/>
    <n v="101.63"/>
    <n v="70.39"/>
    <n v="85.46"/>
    <n v="38.909999999999997"/>
    <n v="52.82"/>
    <n v="67.150000000000006"/>
    <n v="82.76"/>
    <n v="83.34"/>
    <n v="108.85"/>
    <n v="67.23"/>
    <n v="32.72"/>
    <n v="73.622903225806468"/>
    <n v="9.2028629032258085"/>
  </r>
  <r>
    <n v="23"/>
    <x v="0"/>
    <x v="15"/>
    <s v="Trinity"/>
    <s v="Public-Paid"/>
    <s v="12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"/>
    <x v="0"/>
    <x v="16"/>
    <s v="Deccan College of Engg."/>
    <s v="Public-Free"/>
    <s v="3.3 kW"/>
    <s v="LEVAC-BLE"/>
    <n v="1"/>
    <x v="1"/>
    <n v="0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0"/>
    <n v="0"/>
    <n v="0"/>
    <n v="0"/>
    <n v="3.2258064516129034E-5"/>
    <n v="3.2258064516129034E-5"/>
  </r>
  <r>
    <n v="25"/>
    <x v="0"/>
    <x v="17"/>
    <s v="ETO Driver"/>
    <s v="Public-Free"/>
    <s v="3.3 kW"/>
    <s v="LEVAC-BLE"/>
    <n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"/>
    <x v="0"/>
    <x v="18"/>
    <s v="HMRL"/>
    <s v="Public-Free"/>
    <s v="3.3 kW"/>
    <s v="LEVAC-BLE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"/>
    <x v="0"/>
    <x v="19"/>
    <s v="Dhuni Polymers"/>
    <s v="Public-Free"/>
    <s v="3.3 kW"/>
    <s v="LEVAC-BLE"/>
    <n v="1"/>
    <x v="2"/>
    <n v="0"/>
    <n v="0"/>
    <n v="0"/>
    <n v="0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3.5483870967741943E-4"/>
    <n v="3.5483870967741943E-4"/>
  </r>
  <r>
    <n v="28"/>
    <x v="1"/>
    <x v="20"/>
    <s v="Trinity"/>
    <s v="Public-Paid"/>
    <s v="3.3 kW"/>
    <s v="OCPP"/>
    <n v="5"/>
    <x v="1"/>
    <n v="8.82"/>
    <n v="10.130000000000001"/>
    <n v="0"/>
    <n v="30.13"/>
    <n v="5.29"/>
    <n v="13.17"/>
    <n v="5.66"/>
    <n v="8.8000000000000007"/>
    <n v="13.59"/>
    <n v="0"/>
    <n v="8.56"/>
    <n v="16.489999999999998"/>
    <n v="14.59"/>
    <n v="12.83"/>
    <n v="12.86"/>
    <n v="6.18"/>
    <n v="1.62"/>
    <n v="12.82"/>
    <n v="23.84"/>
    <n v="14.18"/>
    <n v="5.64"/>
    <n v="7.19"/>
    <n v="18.809999999999999"/>
    <n v="0"/>
    <n v="6.21"/>
    <n v="15.25"/>
    <n v="17.05"/>
    <n v="13.47"/>
    <n v="7.79"/>
    <n v="5.1100000000000003"/>
    <n v="0"/>
    <n v="10.196129032258067"/>
    <n v="2.0392258064516136"/>
  </r>
  <r>
    <n v="29"/>
    <x v="1"/>
    <x v="21"/>
    <s v="Trinity"/>
    <s v="Public-Paid"/>
    <s v="3.3 kW"/>
    <s v="OCPP"/>
    <n v="10"/>
    <x v="1"/>
    <n v="85.86"/>
    <n v="98.58"/>
    <n v="34.97"/>
    <n v="104.29"/>
    <n v="123.3"/>
    <n v="112.82"/>
    <n v="68.239999999999995"/>
    <n v="110.39"/>
    <n v="77.72"/>
    <n v="75.010000000000005"/>
    <n v="97.06"/>
    <n v="90.65"/>
    <n v="83.97"/>
    <n v="116.69"/>
    <n v="105.17"/>
    <n v="89.1"/>
    <n v="92.53"/>
    <n v="80.790000000000006"/>
    <n v="81.489999999999995"/>
    <n v="91.74"/>
    <n v="92.93"/>
    <n v="86.85"/>
    <n v="91.63"/>
    <n v="82.68"/>
    <n v="86.1"/>
    <n v="86.55"/>
    <n v="83.03"/>
    <n v="73.98"/>
    <n v="81.11"/>
    <n v="79.59"/>
    <n v="98"/>
    <n v="89.123225806451629"/>
    <n v="8.9123225806451636"/>
  </r>
  <r>
    <n v="30"/>
    <x v="2"/>
    <x v="22"/>
    <s v="Trinity"/>
    <s v="Public-Paid"/>
    <s v="3.3 kW"/>
    <s v="OCPP"/>
    <n v="3"/>
    <x v="1"/>
    <n v="7.77"/>
    <n v="10.33"/>
    <n v="0"/>
    <n v="14.55"/>
    <n v="16.350000000000001"/>
    <n v="9.5299999999999994"/>
    <n v="16.82"/>
    <n v="18.23"/>
    <n v="16.22"/>
    <n v="0"/>
    <n v="14.09"/>
    <n v="12.33"/>
    <n v="13.96"/>
    <n v="15.71"/>
    <n v="6.55"/>
    <n v="11.26"/>
    <n v="0"/>
    <n v="14.16"/>
    <n v="21.06"/>
    <n v="18.89"/>
    <n v="14.96"/>
    <n v="10.32"/>
    <n v="11.26"/>
    <n v="0"/>
    <n v="2.35"/>
    <n v="0"/>
    <n v="0"/>
    <n v="0"/>
    <n v="0"/>
    <n v="11.68"/>
    <n v="0"/>
    <n v="9.302580645161294"/>
    <n v="3.1008602150537645"/>
  </r>
  <r>
    <n v="31"/>
    <x v="2"/>
    <x v="23"/>
    <s v="Trinity"/>
    <s v="Public-Paid"/>
    <s v="3.3 kW"/>
    <s v="OCPP"/>
    <n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119999999999997"/>
    <n v="72.88"/>
    <n v="135.08000000000001"/>
    <n v="103.08"/>
    <n v="98.55"/>
    <n v="115.79"/>
    <n v="90.06"/>
    <n v="55.85"/>
    <n v="22.851935483870967"/>
    <n v="3.2645622119815667"/>
  </r>
  <r>
    <n v="32"/>
    <x v="3"/>
    <x v="24"/>
    <s v="Trinity"/>
    <s v="Public-Paid"/>
    <s v="3.3 kW"/>
    <s v="OCPP"/>
    <n v="5"/>
    <x v="1"/>
    <n v="35.020000000000003"/>
    <n v="29.22"/>
    <n v="49.08"/>
    <n v="34.909999999999997"/>
    <n v="48.73"/>
    <n v="38.44"/>
    <n v="41.35"/>
    <n v="39.799999999999997"/>
    <n v="30.34"/>
    <n v="49.64"/>
    <n v="35.43"/>
    <n v="32.57"/>
    <n v="38.72"/>
    <n v="39.78"/>
    <n v="35.19"/>
    <n v="33.340000000000003"/>
    <n v="38.75"/>
    <n v="46.92"/>
    <n v="37.78"/>
    <n v="47.62"/>
    <n v="31.06"/>
    <n v="38.86"/>
    <n v="30.26"/>
    <n v="36.4"/>
    <n v="45.51"/>
    <n v="41.21"/>
    <n v="32.51"/>
    <n v="38.479999999999997"/>
    <n v="37.22"/>
    <n v="30.6"/>
    <n v="31.31"/>
    <n v="37.937096774193549"/>
    <n v="7.5874193548387101"/>
  </r>
  <r>
    <n v="33"/>
    <x v="4"/>
    <x v="25"/>
    <s v="Trinity"/>
    <s v="Public-Paid"/>
    <s v="3.3 kW"/>
    <s v="OCPP"/>
    <n v="5"/>
    <x v="1"/>
    <n v="26.34"/>
    <n v="3.87"/>
    <n v="35.99"/>
    <n v="32.89"/>
    <n v="19.32"/>
    <n v="28.31"/>
    <n v="23.37"/>
    <n v="27.15"/>
    <n v="37.82"/>
    <n v="15.98"/>
    <n v="24.46"/>
    <n v="49.76"/>
    <n v="25.72"/>
    <n v="24.98"/>
    <n v="34.299999999999997"/>
    <n v="48.45"/>
    <n v="37.79"/>
    <n v="25.42"/>
    <n v="61.84"/>
    <n v="34.159999999999997"/>
    <n v="25.64"/>
    <n v="44.62"/>
    <n v="46.57"/>
    <n v="35.57"/>
    <n v="29.89"/>
    <n v="36.630000000000003"/>
    <n v="20.84"/>
    <n v="3.02"/>
    <n v="0"/>
    <n v="64.69"/>
    <n v="7.15"/>
    <n v="30.081935483870971"/>
    <n v="6.0163870967741939"/>
  </r>
  <r>
    <n v="34"/>
    <x v="5"/>
    <x v="26"/>
    <s v="Flipkart"/>
    <s v="Public-Paid"/>
    <s v="3.3 kW"/>
    <s v="OCPP"/>
    <n v="3"/>
    <x v="1"/>
    <n v="69.209999999999994"/>
    <n v="70.16"/>
    <n v="76.64"/>
    <n v="91.79"/>
    <n v="61.14"/>
    <n v="55.28"/>
    <n v="73.16"/>
    <n v="67.319999999999993"/>
    <n v="63.97"/>
    <n v="69.63"/>
    <n v="69.66"/>
    <n v="84.13"/>
    <n v="62.07"/>
    <n v="50.28"/>
    <n v="75.34"/>
    <n v="68.239999999999995"/>
    <n v="58.44"/>
    <n v="64.17"/>
    <n v="74.31"/>
    <n v="62.62"/>
    <n v="48.51"/>
    <n v="53.58"/>
    <n v="80.73"/>
    <n v="64.739999999999995"/>
    <n v="68.040000000000006"/>
    <n v="72.02"/>
    <n v="61.72"/>
    <n v="61.57"/>
    <n v="67.86"/>
    <n v="65.33"/>
    <n v="81.760000000000005"/>
    <n v="67.529677419354826"/>
    <n v="22.509892473118274"/>
  </r>
  <r>
    <n v="35"/>
    <x v="5"/>
    <x v="27"/>
    <s v="Flipkart"/>
    <s v="Public-Paid"/>
    <s v="3.3 kW"/>
    <s v="OCPP"/>
    <n v="9"/>
    <x v="1"/>
    <n v="159"/>
    <n v="97.29"/>
    <n v="207.02"/>
    <n v="204.62"/>
    <n v="150.66"/>
    <n v="165.5"/>
    <n v="191.63"/>
    <n v="155.11000000000001"/>
    <n v="178.83"/>
    <n v="138.81"/>
    <n v="159.76"/>
    <n v="142.69999999999999"/>
    <n v="141.57"/>
    <n v="146.80000000000001"/>
    <n v="123.69"/>
    <n v="171.34"/>
    <n v="210.69"/>
    <n v="152.41"/>
    <n v="153.06"/>
    <n v="132.68"/>
    <n v="135.78"/>
    <n v="139.43"/>
    <n v="186.65"/>
    <n v="192.98"/>
    <n v="158.87"/>
    <n v="103.91"/>
    <n v="118.03"/>
    <n v="102.94"/>
    <n v="162.47"/>
    <n v="80.87"/>
    <n v="176.02"/>
    <n v="152.93935483870968"/>
    <n v="16.99326164874552"/>
  </r>
  <r>
    <n v="36"/>
    <x v="5"/>
    <x v="28"/>
    <s v="EFL"/>
    <s v="Public-Free"/>
    <s v="3.3 kW"/>
    <s v="OCPP"/>
    <n v="8"/>
    <x v="1"/>
    <n v="47.99"/>
    <n v="37.840000000000003"/>
    <n v="38.72"/>
    <n v="50.48"/>
    <n v="67.39"/>
    <n v="55.21"/>
    <n v="72.77"/>
    <n v="50.13"/>
    <n v="69"/>
    <n v="48.66"/>
    <n v="61.96"/>
    <n v="41.66"/>
    <n v="50.78"/>
    <n v="64.72"/>
    <n v="56.1"/>
    <n v="20.96"/>
    <n v="51.77"/>
    <n v="52.05"/>
    <n v="44.19"/>
    <n v="49.46"/>
    <n v="66.56"/>
    <n v="45.2"/>
    <n v="44.74"/>
    <n v="25.28"/>
    <n v="19.670000000000002"/>
    <n v="20.309999999999999"/>
    <n v="33.39"/>
    <n v="28.87"/>
    <n v="20.91"/>
    <n v="47.83"/>
    <n v="39.86"/>
    <n v="45.950322580645157"/>
    <n v="5.7437903225806446"/>
  </r>
  <r>
    <n v="37"/>
    <x v="5"/>
    <x v="28"/>
    <s v="EFL"/>
    <s v="Public-Free"/>
    <s v="6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"/>
    <n v="0.37"/>
    <n v="0"/>
    <n v="1.5"/>
    <n v="0"/>
    <n v="5.15"/>
    <n v="0"/>
    <n v="0.35483870967741937"/>
    <n v="0.35483870967741937"/>
  </r>
  <r>
    <n v="38"/>
    <x v="5"/>
    <x v="29"/>
    <s v="Trinity"/>
    <s v="Public-Paid"/>
    <s v="3.3 kW"/>
    <s v="OCPP"/>
    <n v="7"/>
    <x v="1"/>
    <n v="107.63"/>
    <n v="180.82"/>
    <n v="178.8"/>
    <n v="165.52"/>
    <n v="177.8"/>
    <n v="197.38"/>
    <n v="164.26"/>
    <n v="145.63999999999999"/>
    <n v="192.8"/>
    <n v="128.78"/>
    <n v="148.53"/>
    <n v="152.29"/>
    <n v="142.96"/>
    <n v="162.47999999999999"/>
    <n v="149.41"/>
    <n v="175.05"/>
    <n v="121.28"/>
    <n v="135.12"/>
    <n v="113.34"/>
    <n v="142.87"/>
    <n v="123.91"/>
    <n v="117.86"/>
    <n v="113.16"/>
    <n v="155.68"/>
    <n v="140.16999999999999"/>
    <n v="105.78"/>
    <n v="120.4"/>
    <n v="140.35"/>
    <n v="121.46"/>
    <n v="135.19999999999999"/>
    <n v="94.73"/>
    <n v="143.59548387096771"/>
    <n v="20.513640552995387"/>
  </r>
  <r>
    <n v="39"/>
    <x v="5"/>
    <x v="30"/>
    <s v="Trinity"/>
    <s v="Public-Paid"/>
    <s v="3.3 kW"/>
    <s v="OCPP"/>
    <n v="8"/>
    <x v="1"/>
    <m/>
    <m/>
    <m/>
    <m/>
    <m/>
    <m/>
    <m/>
    <m/>
    <m/>
    <m/>
    <m/>
    <m/>
    <m/>
    <m/>
    <n v="0"/>
    <n v="0"/>
    <n v="0"/>
    <n v="0"/>
    <n v="0"/>
    <n v="0"/>
    <n v="0"/>
    <n v="0"/>
    <n v="0"/>
    <n v="5.0199999999999996"/>
    <n v="0"/>
    <n v="0"/>
    <n v="12.04"/>
    <n v="9.34"/>
    <n v="28.04"/>
    <n v="19.21"/>
    <n v="14.22"/>
    <n v="5.1688235294117648"/>
    <n v="0.6461029411764706"/>
  </r>
  <r>
    <n v="40"/>
    <x v="5"/>
    <x v="31"/>
    <s v="Trinity"/>
    <s v="Public-Paid"/>
    <s v="3.3 kW"/>
    <s v="OCPP"/>
    <n v="6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7.48"/>
    <n v="25.51"/>
    <n v="21.495000000000001"/>
    <n v="3.5825"/>
  </r>
  <r>
    <n v="41"/>
    <x v="5"/>
    <x v="32"/>
    <s v="ETO"/>
    <s v="Public-Free"/>
    <s v="3.3 kW"/>
    <s v="LEVAC-BLE"/>
    <n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999999999999999E-2"/>
    <n v="0"/>
    <n v="0"/>
    <n v="0"/>
    <n v="0"/>
    <n v="1.2258064516129032E-3"/>
    <n v="2.0430107526881719E-4"/>
  </r>
  <r>
    <n v="42"/>
    <x v="6"/>
    <x v="33"/>
    <s v="ETO"/>
    <s v="Public-Paid"/>
    <s v="3.3kW"/>
    <s v="OCPP"/>
    <n v="20"/>
    <x v="1"/>
    <n v="38.159999999999997"/>
    <n v="34.81"/>
    <n v="29.37"/>
    <n v="40.15"/>
    <n v="49.3"/>
    <n v="53.04"/>
    <n v="135.04"/>
    <n v="133.63"/>
    <n v="90.95"/>
    <n v="72.599999999999994"/>
    <n v="104.22"/>
    <n v="262.25"/>
    <n v="167.51"/>
    <n v="153.04"/>
    <n v="142.91999999999999"/>
    <n v="56.13"/>
    <n v="15.82"/>
    <n v="57.21"/>
    <n v="78.430000000000007"/>
    <n v="72.45"/>
    <n v="111.17"/>
    <n v="102.55"/>
    <n v="85.38"/>
    <n v="37.340000000000003"/>
    <n v="0"/>
    <n v="25.05"/>
    <n v="63.61"/>
    <n v="81.91"/>
    <n v="74.97"/>
    <n v="67.55"/>
    <n v="61.25"/>
    <n v="80.574516129032276"/>
    <n v="4.0287258064516136"/>
  </r>
  <r>
    <n v="43"/>
    <x v="6"/>
    <x v="34"/>
    <s v="Trinity"/>
    <s v="Public-Paid"/>
    <s v="3.3kW"/>
    <s v="OCPP"/>
    <n v="3"/>
    <x v="1"/>
    <n v="0"/>
    <n v="0"/>
    <n v="0.09"/>
    <n v="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838709677419353"/>
    <n v="8.6129032258064508E-2"/>
  </r>
  <r>
    <n v="44"/>
    <x v="7"/>
    <x v="35"/>
    <s v="SOU"/>
    <s v="Public-Paid"/>
    <s v="3.3 kW"/>
    <s v="OCPP"/>
    <n v="40"/>
    <x v="1"/>
    <n v="340.3"/>
    <n v="422.64"/>
    <n v="465.38"/>
    <n v="255.62"/>
    <n v="237.23"/>
    <n v="414.53"/>
    <n v="310.33999999999997"/>
    <n v="392.61"/>
    <n v="501.1"/>
    <n v="579.83000000000004"/>
    <n v="220.84"/>
    <n v="311.14"/>
    <n v="358.4"/>
    <n v="247.85"/>
    <n v="334.65"/>
    <n v="411.47"/>
    <n v="435.89"/>
    <n v="281.76"/>
    <n v="167.51"/>
    <n v="366.36"/>
    <n v="336.79"/>
    <n v="381.36"/>
    <n v="452.89"/>
    <n v="434.47"/>
    <n v="514.70000000000005"/>
    <n v="249.62"/>
    <n v="228.33"/>
    <n v="481.31"/>
    <n v="482.08"/>
    <n v="428.01"/>
    <n v="482.15"/>
    <n v="371.84387096774191"/>
    <n v="9.296096774193547"/>
  </r>
  <r>
    <n v="45"/>
    <x v="8"/>
    <x v="36"/>
    <s v="ETO"/>
    <s v="Public-Paid"/>
    <s v="3.3 kW"/>
    <s v="OCPP"/>
    <n v="19"/>
    <x v="1"/>
    <n v="0"/>
    <n v="0"/>
    <n v="0"/>
    <n v="0.2"/>
    <n v="0"/>
    <n v="0"/>
    <n v="0"/>
    <n v="0"/>
    <n v="0"/>
    <n v="0"/>
    <n v="0"/>
    <n v="0"/>
    <n v="0"/>
    <n v="0"/>
    <n v="0"/>
    <n v="0"/>
    <n v="5.31"/>
    <n v="3.04"/>
    <n v="11.18"/>
    <n v="21.55"/>
    <n v="37.56"/>
    <n v="15.29"/>
    <n v="9.02"/>
    <n v="10.27"/>
    <n v="6.58"/>
    <n v="4.92"/>
    <n v="8.85"/>
    <n v="12.97"/>
    <n v="21.03"/>
    <n v="22.19"/>
    <n v="31.08"/>
    <n v="7.13032258064516"/>
    <n v="0.37528013582342945"/>
  </r>
  <r>
    <n v="46"/>
    <x v="9"/>
    <x v="37"/>
    <s v="Mahagun Hotel"/>
    <s v="Public-Paid"/>
    <s v="7.4 kW"/>
    <s v="OCPP"/>
    <n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10"/>
    <x v="38"/>
    <s v="Trinity"/>
    <s v="Public-Paid"/>
    <s v="3.3kW"/>
    <s v="OCPP"/>
    <n v="10"/>
    <x v="1"/>
    <n v="52.3"/>
    <n v="100.82"/>
    <n v="116.88"/>
    <n v="80.900000000000006"/>
    <n v="143.03"/>
    <n v="95.93"/>
    <n v="127.28"/>
    <n v="107.88"/>
    <n v="111.35"/>
    <n v="87.04"/>
    <n v="137.94"/>
    <n v="96.47"/>
    <n v="99.23"/>
    <n v="107.95"/>
    <n v="105.2"/>
    <n v="112.16"/>
    <n v="160.02000000000001"/>
    <n v="120.85"/>
    <n v="150.97"/>
    <n v="58.27"/>
    <n v="22.44"/>
    <n v="44.510000000000005"/>
    <n v="42.999999999999993"/>
    <n v="64.910000000000011"/>
    <n v="53.42"/>
    <n v="28.78"/>
    <n v="69.739999999999995"/>
    <n v="72.08"/>
    <n v="79.67"/>
    <n v="97.04"/>
    <n v="89.75"/>
    <n v="91.542258064516133"/>
    <n v="9.1542258064516133"/>
  </r>
  <r>
    <n v="48"/>
    <x v="10"/>
    <x v="38"/>
    <s v="Trinity"/>
    <s v="Public-Paid"/>
    <s v="7.4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09"/>
    <n v="0"/>
    <n v="16.79"/>
    <n v="27.87"/>
    <n v="0"/>
    <n v="2.153225806451613"/>
    <n v="2.153225806451613"/>
  </r>
  <r>
    <n v="49"/>
    <x v="10"/>
    <x v="39"/>
    <s v="Trinity"/>
    <s v="Public-Paid"/>
    <s v="12kW"/>
    <s v="DC Charger"/>
    <n v="1"/>
    <x v="3"/>
    <n v="0"/>
    <n v="0"/>
    <n v="0"/>
    <n v="0"/>
    <n v="0.42"/>
    <n v="9.56"/>
    <n v="0"/>
    <n v="0"/>
    <n v="0"/>
    <n v="0"/>
    <n v="0"/>
    <n v="0"/>
    <n v="0"/>
    <n v="0"/>
    <n v="0"/>
    <n v="0"/>
    <n v="0"/>
    <n v="0"/>
    <n v="0"/>
    <n v="0"/>
    <n v="0"/>
    <n v="1.19"/>
    <n v="0"/>
    <n v="0"/>
    <n v="0"/>
    <n v="0"/>
    <n v="0"/>
    <n v="0"/>
    <n v="0"/>
    <n v="0"/>
    <n v="0"/>
    <n v="0.36032258064516126"/>
    <n v="0.36032258064516126"/>
  </r>
  <r>
    <n v="50"/>
    <x v="10"/>
    <x v="40"/>
    <s v="Trinity"/>
    <s v="Public-Paid"/>
    <s v="12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10"/>
    <x v="41"/>
    <s v="Trinity"/>
    <s v="Public-Paid"/>
    <s v="12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11"/>
    <x v="42"/>
    <s v="ETO"/>
    <s v="Public-Paid"/>
    <s v="3.3 kW"/>
    <s v="OCPP"/>
    <n v="5"/>
    <x v="1"/>
    <n v="45.77"/>
    <n v="44.77"/>
    <n v="56.88"/>
    <n v="55.15"/>
    <n v="65.67"/>
    <n v="61.34"/>
    <n v="54.21"/>
    <n v="68.41"/>
    <n v="63.95"/>
    <n v="58.02"/>
    <n v="60.75"/>
    <n v="79.88"/>
    <n v="67.09"/>
    <n v="75.86"/>
    <n v="39.47"/>
    <n v="48.44"/>
    <n v="76.08"/>
    <n v="57.51"/>
    <n v="62.2"/>
    <n v="52.77"/>
    <n v="65.52"/>
    <n v="53.79"/>
    <n v="58.82"/>
    <n v="71.17"/>
    <n v="25.75"/>
    <n v="45.55"/>
    <n v="60.69"/>
    <n v="33.619999999999997"/>
    <n v="61.61"/>
    <n v="58.76"/>
    <n v="38.32"/>
    <n v="57.026451612903223"/>
    <n v="11.405290322580644"/>
  </r>
  <r>
    <n v="53"/>
    <x v="11"/>
    <x v="43"/>
    <s v="ETO"/>
    <s v="Public-Paid"/>
    <s v="3.3 kW"/>
    <s v="OCPP"/>
    <n v="16"/>
    <x v="1"/>
    <n v="7.74"/>
    <n v="17.45"/>
    <n v="11.19"/>
    <n v="2.71"/>
    <n v="15.54"/>
    <n v="14.89"/>
    <n v="4.9000000000000004"/>
    <n v="9.9499999999999993"/>
    <n v="14.2"/>
    <n v="17.46"/>
    <n v="14.12"/>
    <n v="16.670000000000002"/>
    <n v="5.18"/>
    <n v="13.49"/>
    <n v="17.829999999999998"/>
    <n v="11.53"/>
    <n v="7.68"/>
    <n v="6.93"/>
    <n v="10.83"/>
    <n v="7.89"/>
    <n v="9.66"/>
    <n v="17.989999999999998"/>
    <n v="5.54"/>
    <n v="5.84"/>
    <n v="0"/>
    <n v="8.02"/>
    <n v="3.37"/>
    <n v="10.67"/>
    <n v="0.01"/>
    <n v="3.36"/>
    <n v="0"/>
    <n v="9.44"/>
    <n v="0.59"/>
  </r>
  <r>
    <n v="54"/>
    <x v="11"/>
    <x v="44"/>
    <s v="ETO"/>
    <s v="Public-Paid"/>
    <s v="3.3 kW"/>
    <s v="OCPP"/>
    <n v="10"/>
    <x v="1"/>
    <n v="39.99"/>
    <n v="17.170000000000002"/>
    <n v="19.559999999999999"/>
    <n v="9.8699999999999992"/>
    <n v="25.05"/>
    <n v="35.64"/>
    <n v="30.09"/>
    <n v="30.35"/>
    <n v="29.52"/>
    <n v="18.649999999999999"/>
    <n v="13.63"/>
    <n v="28.65"/>
    <n v="25.98"/>
    <n v="17.3"/>
    <n v="39.590000000000003"/>
    <n v="7.25"/>
    <n v="20.9"/>
    <n v="24.51"/>
    <n v="4.95"/>
    <n v="16.72"/>
    <n v="40.83"/>
    <n v="31.31"/>
    <n v="28.23"/>
    <n v="0"/>
    <n v="0"/>
    <n v="0"/>
    <n v="2.1800000000000002"/>
    <n v="26.4"/>
    <n v="23.31"/>
    <n v="26.47"/>
    <n v="16.579999999999998"/>
    <n v="20.989677419354837"/>
    <n v="2.0989677419354837"/>
  </r>
  <r>
    <n v="55"/>
    <x v="11"/>
    <x v="45"/>
    <s v="ETO"/>
    <s v="Public-Paid"/>
    <s v="3.3 kW"/>
    <s v="OCPP"/>
    <n v="13"/>
    <x v="1"/>
    <n v="45.02"/>
    <n v="25.38"/>
    <n v="25.47"/>
    <n v="42.72"/>
    <n v="68.66"/>
    <n v="41.15"/>
    <n v="65.540000000000006"/>
    <n v="45.01"/>
    <n v="16.309999999999999"/>
    <n v="17.14"/>
    <n v="21.03"/>
    <n v="38.630000000000003"/>
    <n v="30.41"/>
    <n v="28.17"/>
    <n v="66.069999999999993"/>
    <n v="36.68"/>
    <n v="10.09"/>
    <n v="47.51"/>
    <n v="33.53"/>
    <n v="54.65"/>
    <n v="43.75"/>
    <n v="64.48"/>
    <n v="53.35"/>
    <n v="44.18"/>
    <n v="0"/>
    <n v="33.75"/>
    <n v="39.29"/>
    <n v="39.39"/>
    <n v="50.64"/>
    <n v="40.28"/>
    <n v="30.76"/>
    <n v="38.678709677419363"/>
    <n v="2.9752853598014894"/>
  </r>
  <r>
    <n v="56"/>
    <x v="11"/>
    <x v="46"/>
    <s v="ETO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x v="11"/>
    <x v="47"/>
    <s v="ETO"/>
    <s v="Public-Paid"/>
    <s v="3.3 kW"/>
    <s v="OCPP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11"/>
    <x v="48"/>
    <s v="Trinity"/>
    <s v="Public-Paid"/>
    <s v="7.4 kW"/>
    <s v="OCPP"/>
    <n v="2"/>
    <x v="4"/>
    <n v="0"/>
    <n v="0"/>
    <n v="0"/>
    <n v="0"/>
    <n v="0"/>
    <n v="0"/>
    <n v="0"/>
    <n v="0"/>
    <n v="49.43"/>
    <n v="0"/>
    <n v="0"/>
    <n v="0"/>
    <n v="0"/>
    <n v="8.35"/>
    <n v="14.98"/>
    <n v="0"/>
    <n v="0"/>
    <n v="0"/>
    <n v="0"/>
    <n v="21.76"/>
    <n v="0"/>
    <n v="0"/>
    <n v="49.53"/>
    <n v="0"/>
    <n v="0"/>
    <n v="4.3899999999999997"/>
    <n v="8.57"/>
    <n v="3.83"/>
    <n v="0"/>
    <n v="4.3"/>
    <n v="0"/>
    <n v="5.3270967741935484"/>
    <n v="2.6635483870967742"/>
  </r>
  <r>
    <n v="59"/>
    <x v="11"/>
    <x v="49"/>
    <m/>
    <s v="Private-Paid"/>
    <s v="3.3kW"/>
    <s v="OCPP"/>
    <n v="2"/>
    <x v="2"/>
    <n v="4.0999999999999996"/>
    <n v="0"/>
    <n v="10.73"/>
    <n v="1.76"/>
    <n v="12.04"/>
    <n v="0"/>
    <n v="6.47"/>
    <n v="7.18"/>
    <n v="2.27"/>
    <n v="4.92"/>
    <n v="23.46"/>
    <n v="0.03"/>
    <n v="11.93"/>
    <n v="4.37"/>
    <n v="16.059999999999999"/>
    <n v="0"/>
    <n v="0"/>
    <n v="19.61"/>
    <n v="0.99"/>
    <n v="19.04"/>
    <n v="6.29"/>
    <n v="24.91"/>
    <n v="0"/>
    <n v="13.81"/>
    <n v="0"/>
    <n v="8.61"/>
    <n v="28.49"/>
    <n v="9.83"/>
    <n v="0"/>
    <n v="14.32"/>
    <n v="0"/>
    <n v="8.1038709677419352"/>
    <n v="4.0519354838709676"/>
  </r>
  <r>
    <n v="60"/>
    <x v="11"/>
    <x v="50"/>
    <s v="Trinity"/>
    <s v="Public-Free"/>
    <s v="3.3 kW"/>
    <s v="OCPP"/>
    <n v="6"/>
    <x v="2"/>
    <n v="39.090000000000003"/>
    <n v="0"/>
    <n v="0"/>
    <n v="27.47"/>
    <n v="63.83"/>
    <n v="43.47"/>
    <n v="37.549999999999997"/>
    <n v="40.98"/>
    <n v="0"/>
    <n v="16.760000000000002"/>
    <n v="54.09"/>
    <n v="69.5"/>
    <n v="47"/>
    <n v="56.84"/>
    <n v="46.37"/>
    <n v="8.58"/>
    <n v="0"/>
    <n v="77.86"/>
    <n v="54.67"/>
    <n v="27.68"/>
    <n v="52.39"/>
    <n v="50.42"/>
    <n v="4.55"/>
    <n v="0"/>
    <n v="0"/>
    <n v="35.25"/>
    <n v="52.86"/>
    <n v="45.58"/>
    <n v="0.04"/>
    <n v="0"/>
    <n v="0"/>
    <n v="30.736451612903224"/>
    <n v="5.1227419354838704"/>
  </r>
  <r>
    <n v="61"/>
    <x v="11"/>
    <x v="50"/>
    <s v="Trinity"/>
    <s v="Public-Free"/>
    <s v="7.4 kW"/>
    <s v="OCPP"/>
    <n v="1"/>
    <x v="2"/>
    <n v="16.399999999999999"/>
    <n v="0"/>
    <n v="0"/>
    <n v="9.3800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16129032258065"/>
    <n v="0.8316129032258065"/>
  </r>
  <r>
    <n v="62"/>
    <x v="11"/>
    <x v="51"/>
    <s v="Trinity"/>
    <s v="Public-Paid"/>
    <s v="3.3kW"/>
    <s v="OCPP"/>
    <n v="20"/>
    <x v="1"/>
    <n v="48.18"/>
    <n v="58.46"/>
    <n v="49.13"/>
    <n v="52.99"/>
    <n v="39.06"/>
    <n v="52.68"/>
    <n v="69.91"/>
    <n v="63.22"/>
    <n v="75.010000000000005"/>
    <n v="52.32"/>
    <n v="55.75"/>
    <n v="56.95"/>
    <n v="77.75"/>
    <n v="68.77"/>
    <n v="50.65"/>
    <n v="60.43"/>
    <n v="31.18"/>
    <n v="73.84"/>
    <n v="85.57"/>
    <n v="69.430000000000007"/>
    <n v="71.900000000000006"/>
    <n v="51.15"/>
    <n v="50.56"/>
    <n v="32.270000000000003"/>
    <n v="7.77"/>
    <n v="36.14"/>
    <n v="32.33"/>
    <n v="42.42"/>
    <n v="31.52"/>
    <n v="63.32"/>
    <n v="21.56"/>
    <n v="52.652258064516133"/>
    <n v="2.6326129032258065"/>
  </r>
  <r>
    <n v="63"/>
    <x v="11"/>
    <x v="52"/>
    <m/>
    <s v="Public-Paid"/>
    <s v="3.3kW"/>
    <s v="OCPP"/>
    <n v="10"/>
    <x v="1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</r>
  <r>
    <n v="64"/>
    <x v="11"/>
    <x v="53"/>
    <s v="Trinity"/>
    <s v="Public-Paid"/>
    <s v="3.3kW"/>
    <s v="OCPP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11"/>
    <x v="53"/>
    <s v="Trinity"/>
    <s v="Public-Paid"/>
    <s v="7.4 kW"/>
    <s v="OCPP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x v="11"/>
    <x v="54"/>
    <s v="BYPL MCD Parking"/>
    <s v="Public-Paid"/>
    <s v="3.3kW"/>
    <s v="OCPP"/>
    <n v="3"/>
    <x v="3"/>
    <m/>
    <m/>
    <m/>
    <m/>
    <m/>
    <m/>
    <m/>
    <m/>
    <m/>
    <m/>
    <m/>
    <m/>
    <m/>
    <m/>
    <m/>
    <m/>
    <m/>
    <n v="2.11"/>
    <n v="0.46"/>
    <n v="10.16"/>
    <n v="1.879999999999999"/>
    <n v="0.82"/>
    <n v="5.77"/>
    <n v="8.76"/>
    <n v="0"/>
    <n v="0.03"/>
    <n v="8.92"/>
    <n v="4.99"/>
    <n v="4.6399999999999997"/>
    <n v="6.58"/>
    <n v="5.56"/>
    <n v="4.3342857142857145"/>
    <n v="1.4447619047619049"/>
  </r>
  <r>
    <n v="67"/>
    <x v="11"/>
    <x v="55"/>
    <s v="BYPL MCD Parking"/>
    <s v="Public-Paid"/>
    <s v="3.3kW"/>
    <s v="OCPP"/>
    <n v="3"/>
    <x v="3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11"/>
    <x v="55"/>
    <s v="BYPL MCD Parking"/>
    <s v="Public-Paid"/>
    <s v="12 kW"/>
    <s v="DC Charger"/>
    <n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x v="11"/>
    <x v="56"/>
    <s v="BYPL MCD Parking"/>
    <s v="Public-Paid"/>
    <s v="3.3kW"/>
    <s v="OCPP"/>
    <n v="3"/>
    <x v="3"/>
    <n v="6.95"/>
    <n v="4.9400000000000004"/>
    <n v="6.24"/>
    <n v="6.27"/>
    <n v="4.71"/>
    <n v="5.99"/>
    <n v="8.4"/>
    <n v="3.67"/>
    <n v="3.82"/>
    <n v="5.37"/>
    <n v="4.8600000000000003"/>
    <n v="4.3"/>
    <n v="4.74"/>
    <n v="3.71"/>
    <n v="3.47"/>
    <n v="5.87"/>
    <n v="3.7"/>
    <n v="3.71"/>
    <n v="8.0299999999999994"/>
    <n v="5"/>
    <n v="2.81"/>
    <n v="6.95"/>
    <n v="5.26"/>
    <n v="0.03"/>
    <n v="0"/>
    <n v="5.53"/>
    <n v="0"/>
    <n v="9.08"/>
    <n v="2.79"/>
    <n v="6.82"/>
    <n v="0"/>
    <n v="4.613548387096774"/>
    <n v="1.5378494623655914"/>
  </r>
  <r>
    <n v="70"/>
    <x v="11"/>
    <x v="57"/>
    <s v="BYPL MCD Parking"/>
    <s v="Public-Paid"/>
    <s v="3.3kW"/>
    <s v="OCPP"/>
    <n v="3"/>
    <x v="3"/>
    <n v="8.0299999999999994"/>
    <n v="12.22"/>
    <n v="6.93"/>
    <n v="3.09"/>
    <n v="0"/>
    <n v="6.83"/>
    <n v="6.01"/>
    <n v="6.52"/>
    <n v="9.7100000000000009"/>
    <n v="13.16"/>
    <n v="17.670000000000002"/>
    <n v="10.97"/>
    <n v="6.5"/>
    <n v="13.66"/>
    <n v="9.67"/>
    <n v="11.45"/>
    <n v="9.1199999999999992"/>
    <n v="4.3"/>
    <n v="0.02"/>
    <n v="9.85"/>
    <n v="13.75"/>
    <n v="15.23"/>
    <n v="14.92"/>
    <n v="10.18"/>
    <n v="0"/>
    <n v="0"/>
    <n v="10.31"/>
    <n v="1.76"/>
    <n v="9.02"/>
    <n v="9.2200000000000006"/>
    <n v="9.9"/>
    <n v="8.387096774193548"/>
    <n v="2.7956989247311825"/>
  </r>
  <r>
    <n v="71"/>
    <x v="11"/>
    <x v="58"/>
    <s v="BYPL MCD Parking"/>
    <s v="Public-Paid"/>
    <s v="3.3kW"/>
    <s v="OCPP"/>
    <n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2"/>
    <x v="11"/>
    <x v="59"/>
    <s v="BYPL MCD Parking"/>
    <s v="Public-Paid"/>
    <s v="3.3kW"/>
    <s v="OCPP"/>
    <n v="3"/>
    <x v="3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</r>
  <r>
    <n v="73"/>
    <x v="11"/>
    <x v="60"/>
    <s v="Log9"/>
    <s v="Public-Free"/>
    <s v="15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x v="11"/>
    <x v="61"/>
    <s v="Log9"/>
    <s v="Public-Free"/>
    <s v="15kW"/>
    <s v="DC Charger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x v="11"/>
    <x v="62"/>
    <s v="MCD"/>
    <s v="Public-Paid"/>
    <s v="3.3 kW"/>
    <s v="LEVAC-BLE"/>
    <n v="9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11"/>
    <x v="63"/>
    <m/>
    <s v="Public-Paid"/>
    <s v="3.3 kW"/>
    <s v="LEVAC-BLE"/>
    <n v="82"/>
    <x v="3"/>
    <n v="6.1050000000000004"/>
    <n v="0"/>
    <n v="0"/>
    <n v="8.3689999999999998"/>
    <n v="0.57599999999999996"/>
    <n v="10.818"/>
    <n v="7.7640000000000002"/>
    <n v="0"/>
    <n v="0"/>
    <n v="0"/>
    <n v="0"/>
    <n v="0.58699999999999997"/>
    <n v="10.313000000000001"/>
    <n v="0"/>
    <n v="0"/>
    <n v="0"/>
    <n v="0"/>
    <n v="19.513999999999999"/>
    <n v="10.978"/>
    <n v="7.3209999999999997"/>
    <n v="0"/>
    <n v="0"/>
    <n v="0"/>
    <n v="0"/>
    <n v="0"/>
    <n v="22.029"/>
    <n v="0.316"/>
    <n v="0"/>
    <n v="0"/>
    <n v="0"/>
    <n v="0"/>
    <n v="3.3770967741935483"/>
    <n v="4.1184107002360346E-2"/>
  </r>
  <r>
    <n v="77"/>
    <x v="11"/>
    <x v="64"/>
    <s v="ETO"/>
    <s v="Public-Free"/>
    <s v="3.3 kW"/>
    <s v="LEVAC-BLE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11"/>
    <x v="65"/>
    <s v="ETO"/>
    <s v="Public-Free"/>
    <s v="3.3 kW"/>
    <s v="LEVAC-BLE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x v="11"/>
    <x v="66"/>
    <s v="Trinity"/>
    <s v="Public-Paid"/>
    <s v="3.3kW"/>
    <s v="LEVAC-BLE"/>
    <n v="2"/>
    <x v="4"/>
    <n v="0"/>
    <n v="0"/>
    <n v="0"/>
    <n v="0"/>
    <n v="0"/>
    <n v="0"/>
    <n v="0"/>
    <n v="0"/>
    <n v="0"/>
    <n v="9.0310000000000006"/>
    <n v="2.9009999999999998"/>
    <n v="4.766"/>
    <n v="0"/>
    <n v="0.96099999999999997"/>
    <n v="0"/>
    <n v="2.2810000000000001"/>
    <n v="0"/>
    <n v="0"/>
    <n v="0.33800000000000002"/>
    <n v="0"/>
    <n v="0"/>
    <n v="5.58"/>
    <n v="1.173"/>
    <n v="0"/>
    <n v="0"/>
    <n v="0"/>
    <n v="0"/>
    <n v="0"/>
    <n v="0"/>
    <n v="0"/>
    <n v="0"/>
    <n v="0.87196774193548388"/>
    <n v="0.4359838709677419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n v="1"/>
    <x v="0"/>
    <x v="0"/>
    <s v="Amazon"/>
    <s v="Public-Paid"/>
    <s v="3.3 kW"/>
    <s v="OCPP"/>
    <n v="6"/>
    <x v="0"/>
    <n v="0"/>
    <n v="0"/>
    <n v="0"/>
    <n v="0"/>
    <n v="0"/>
    <n v="0"/>
    <n v="0"/>
    <n v="0"/>
    <n v="0"/>
    <n v="0"/>
    <n v="0"/>
    <n v="0"/>
    <n v="0"/>
    <n v="0"/>
    <n v="4.03"/>
    <n v="30.18"/>
    <n v="0"/>
    <n v="0"/>
    <n v="0"/>
    <n v="0"/>
    <n v="0"/>
    <n v="0"/>
    <n v="0"/>
    <n v="0"/>
    <n v="0"/>
    <n v="0"/>
    <n v="0"/>
    <n v="0"/>
    <n v="0"/>
    <n v="1.1796551724137931"/>
    <n v="0.19660919540229885"/>
  </r>
  <r>
    <n v="2"/>
    <x v="0"/>
    <x v="1"/>
    <s v="Amazon"/>
    <s v="Public-Paid"/>
    <s v="3.3 kW"/>
    <s v="OCPP"/>
    <n v="9"/>
    <x v="0"/>
    <n v="118.3"/>
    <n v="140"/>
    <n v="116.28"/>
    <n v="148.1"/>
    <n v="116.37"/>
    <n v="100.05"/>
    <n v="135.16999999999999"/>
    <n v="108.66"/>
    <n v="71.430000000000007"/>
    <n v="140.11000000000001"/>
    <n v="115.03"/>
    <n v="90.25"/>
    <n v="126.01"/>
    <n v="126.81"/>
    <n v="90.25"/>
    <n v="84.37"/>
    <n v="117.95"/>
    <n v="142.26"/>
    <n v="105.92"/>
    <n v="122.26"/>
    <n v="83.19"/>
    <n v="131.69"/>
    <n v="118.98"/>
    <n v="127.37"/>
    <n v="120.71"/>
    <n v="91.5"/>
    <n v="142.56"/>
    <n v="110.59"/>
    <n v="131.66999999999999"/>
    <n v="116.3393103448276"/>
    <n v="12.926590038314178"/>
  </r>
  <r>
    <n v="3"/>
    <x v="0"/>
    <x v="2"/>
    <s v="Amazon"/>
    <s v="Public-Paid"/>
    <s v="3.3 kW"/>
    <s v="OCPP"/>
    <n v="3"/>
    <x v="0"/>
    <n v="50.02"/>
    <n v="41.38"/>
    <n v="39.909999999999997"/>
    <n v="31.34"/>
    <n v="47.84"/>
    <n v="36.58"/>
    <n v="36.58"/>
    <n v="41.24"/>
    <n v="45.19"/>
    <n v="24.25"/>
    <n v="35.229999999999997"/>
    <n v="36.85"/>
    <n v="37.9"/>
    <n v="35.65"/>
    <n v="31.5"/>
    <n v="25.28"/>
    <n v="45.62"/>
    <n v="46.79"/>
    <n v="37.32"/>
    <n v="38.5"/>
    <n v="25.57"/>
    <n v="40.590000000000003"/>
    <n v="20.03"/>
    <n v="40.119999999999997"/>
    <n v="19.98"/>
    <n v="27.5"/>
    <n v="25.12"/>
    <n v="31.81"/>
    <n v="24.71"/>
    <n v="35.186206896551724"/>
    <n v="11.728735632183907"/>
  </r>
  <r>
    <n v="4"/>
    <x v="0"/>
    <x v="3"/>
    <s v="ETO"/>
    <s v="Public-Paid"/>
    <s v="3.3 kW"/>
    <s v="OCPP"/>
    <n v="8"/>
    <x v="1"/>
    <n v="40.28"/>
    <n v="38.4"/>
    <n v="38.47"/>
    <n v="48.58"/>
    <n v="41.49"/>
    <n v="49.62"/>
    <n v="21.99"/>
    <n v="18.170000000000002"/>
    <n v="32.520000000000003"/>
    <n v="50.73"/>
    <n v="43.1"/>
    <n v="53.4"/>
    <n v="60.87"/>
    <n v="40.450000000000003"/>
    <n v="65.650000000000006"/>
    <n v="53"/>
    <n v="33.32"/>
    <n v="59.19"/>
    <n v="44.03"/>
    <n v="68.34"/>
    <n v="51.73"/>
    <n v="48.07"/>
    <n v="57.15"/>
    <n v="36.299999999999997"/>
    <n v="48.49"/>
    <n v="49.54"/>
    <n v="44.06"/>
    <n v="48.58"/>
    <n v="32.299999999999997"/>
    <n v="45.442068965517237"/>
    <n v="5.6802586206896546"/>
  </r>
  <r>
    <n v="5"/>
    <x v="0"/>
    <x v="4"/>
    <s v="Trinity"/>
    <s v="Public-Paid"/>
    <s v="3.3 kW"/>
    <s v="OCPP"/>
    <n v="24"/>
    <x v="1"/>
    <n v="131.75"/>
    <n v="123.31"/>
    <n v="88.46"/>
    <n v="46.13"/>
    <n v="117.3"/>
    <n v="110.19"/>
    <n v="106.86"/>
    <n v="86.93"/>
    <n v="103.07"/>
    <n v="135.46"/>
    <n v="98.04"/>
    <n v="139.63"/>
    <n v="119.5"/>
    <n v="99.15"/>
    <n v="132.97"/>
    <n v="55.88"/>
    <n v="105.78"/>
    <n v="174.25"/>
    <n v="182.75"/>
    <n v="113.18"/>
    <n v="124.73"/>
    <n v="117.12"/>
    <n v="139.34"/>
    <n v="135.21"/>
    <n v="173.71"/>
    <n v="125.63"/>
    <n v="145"/>
    <n v="155.07"/>
    <n v="167.08"/>
    <n v="122.53379310344829"/>
    <n v="5.105574712643679"/>
  </r>
  <r>
    <n v="6"/>
    <x v="0"/>
    <x v="4"/>
    <s v="Trinity"/>
    <s v="Public-Paid"/>
    <s v="3.3 kW"/>
    <s v="DC Charger"/>
    <n v="1"/>
    <x v="1"/>
    <n v="12.56"/>
    <n v="15.44"/>
    <n v="8.4700000000000006"/>
    <n v="14.14"/>
    <n v="8.3699999999999992"/>
    <n v="8.92"/>
    <n v="0.18"/>
    <n v="0"/>
    <n v="1.79"/>
    <n v="7.66"/>
    <n v="7.13"/>
    <n v="0"/>
    <n v="4"/>
    <n v="7.86"/>
    <n v="0"/>
    <n v="0"/>
    <n v="6.9"/>
    <n v="0.15"/>
    <n v="0"/>
    <n v="6.03"/>
    <n v="21.16"/>
    <n v="13.15"/>
    <n v="0.42"/>
    <n v="8"/>
    <n v="16.14"/>
    <n v="15.54"/>
    <n v="0"/>
    <n v="15.27"/>
    <n v="8.7100000000000009"/>
    <n v="7.1720689655172425"/>
    <n v="7.1720689655172425"/>
  </r>
  <r>
    <n v="7"/>
    <x v="0"/>
    <x v="4"/>
    <s v="Trinity"/>
    <s v="Public-Paid"/>
    <s v="12kW"/>
    <s v="DC Charger"/>
    <n v="2"/>
    <x v="1"/>
    <n v="8.49"/>
    <n v="0"/>
    <n v="3.75"/>
    <n v="0"/>
    <n v="0"/>
    <n v="0"/>
    <n v="7.69"/>
    <n v="0"/>
    <n v="0"/>
    <n v="0"/>
    <n v="0"/>
    <n v="0"/>
    <n v="5.62"/>
    <n v="0"/>
    <n v="0"/>
    <n v="0"/>
    <n v="0"/>
    <n v="0"/>
    <n v="0"/>
    <n v="5.16"/>
    <n v="0"/>
    <n v="0"/>
    <n v="0"/>
    <n v="4.46"/>
    <n v="0"/>
    <n v="0"/>
    <n v="0"/>
    <n v="0"/>
    <n v="8.23"/>
    <n v="1.4965517241379311"/>
    <n v="0.74827586206896557"/>
  </r>
  <r>
    <n v="8"/>
    <x v="0"/>
    <x v="5"/>
    <s v="Trinity"/>
    <s v="Public-Paid"/>
    <s v="3.3 kW"/>
    <s v="OCPP"/>
    <n v="6"/>
    <x v="1"/>
    <n v="23.18"/>
    <n v="38.86"/>
    <n v="38.479999999999997"/>
    <n v="42.03"/>
    <n v="33.869999999999997"/>
    <n v="32.65"/>
    <n v="22.46"/>
    <n v="29.35"/>
    <n v="30.89"/>
    <n v="27.13"/>
    <n v="10.72"/>
    <n v="10.32"/>
    <n v="17.07"/>
    <n v="31.53"/>
    <n v="26.43"/>
    <n v="17.149999999999999"/>
    <n v="29.29"/>
    <n v="26.61"/>
    <n v="34.99"/>
    <n v="25.84"/>
    <n v="22.79"/>
    <n v="20.95"/>
    <n v="25.81"/>
    <n v="22.65"/>
    <n v="23.65"/>
    <n v="19.5"/>
    <n v="20.100000000000001"/>
    <n v="26.47"/>
    <n v="24.37"/>
    <n v="26.039310344827591"/>
    <n v="4.3398850574712649"/>
  </r>
  <r>
    <n v="9"/>
    <x v="0"/>
    <x v="6"/>
    <s v="ETO"/>
    <s v="Public-Paid"/>
    <s v="3.3 kW"/>
    <s v="OCPP"/>
    <n v="3"/>
    <x v="1"/>
    <n v="44.22"/>
    <n v="65.19"/>
    <n v="54.49"/>
    <n v="48.15"/>
    <n v="42.97"/>
    <n v="47.29"/>
    <n v="59.68"/>
    <n v="32.17"/>
    <n v="58.71"/>
    <n v="42.32"/>
    <n v="72.459999999999994"/>
    <n v="17.8"/>
    <n v="63.25"/>
    <n v="70.77"/>
    <n v="50.84"/>
    <n v="70.010000000000005"/>
    <n v="50.92"/>
    <n v="57.7"/>
    <n v="56.28"/>
    <n v="50.76"/>
    <n v="43.75"/>
    <n v="33.9"/>
    <n v="49.6"/>
    <n v="64.36"/>
    <n v="60.52"/>
    <n v="43.81"/>
    <n v="54.21"/>
    <n v="45.2"/>
    <n v="58.9"/>
    <n v="52.07689655172414"/>
    <n v="17.35896551724138"/>
  </r>
  <r>
    <n v="10"/>
    <x v="0"/>
    <x v="7"/>
    <s v="EFL"/>
    <s v="Public-Paid"/>
    <s v="12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x v="0"/>
    <x v="8"/>
    <s v="Trinity"/>
    <s v="Public-Paid"/>
    <s v="3.3 kW"/>
    <s v="OCPP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9"/>
    <s v="Trinity"/>
    <s v="Public-Paid"/>
    <s v="3.3 kW"/>
    <s v="OCPP"/>
    <n v="10"/>
    <x v="1"/>
    <n v="62.43"/>
    <n v="59.55"/>
    <n v="53.28"/>
    <n v="69.739999999999995"/>
    <n v="46.57"/>
    <n v="41.88"/>
    <n v="75.48"/>
    <n v="53.08"/>
    <n v="61.97"/>
    <n v="58"/>
    <n v="56.22"/>
    <n v="58.14"/>
    <n v="75.66"/>
    <n v="73.7"/>
    <n v="49.81"/>
    <n v="56.43"/>
    <n v="60.94"/>
    <n v="42.25"/>
    <n v="55.96"/>
    <n v="66.67"/>
    <n v="47.86"/>
    <n v="59.98"/>
    <n v="50.3"/>
    <n v="56.69"/>
    <n v="61.9"/>
    <n v="64.260000000000005"/>
    <n v="64.39"/>
    <n v="26.85"/>
    <n v="55.52"/>
    <n v="57.43137931034483"/>
    <n v="5.7431379310344832"/>
  </r>
  <r>
    <n v="13"/>
    <x v="0"/>
    <x v="10"/>
    <s v="Trinity"/>
    <s v="Public-Paid"/>
    <s v="3.3 kW"/>
    <s v="OCPP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0"/>
    <x v="10"/>
    <s v="Trinity"/>
    <s v="Public-Paid"/>
    <s v="7.4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x v="0"/>
    <x v="11"/>
    <s v="Trinity"/>
    <s v="Public-Paid"/>
    <s v="3.3 kW"/>
    <s v="OCPP"/>
    <n v="10"/>
    <x v="1"/>
    <n v="121.59"/>
    <n v="83.66"/>
    <n v="86.49"/>
    <n v="82.31"/>
    <n v="87.35"/>
    <n v="53.08"/>
    <n v="66.61"/>
    <n v="71.06"/>
    <n v="75.73"/>
    <n v="116.37"/>
    <n v="133.36000000000001"/>
    <n v="141.59"/>
    <n v="107.04"/>
    <n v="71.34"/>
    <n v="74.489999999999995"/>
    <n v="28.64"/>
    <n v="64.78"/>
    <n v="72.260000000000005"/>
    <n v="75.569999999999993"/>
    <n v="90.71"/>
    <n v="69.239999999999995"/>
    <n v="98.92"/>
    <n v="72.16"/>
    <n v="67.959999999999994"/>
    <n v="68.8"/>
    <n v="59.03"/>
    <n v="135.05000000000001"/>
    <n v="75.16"/>
    <n v="51.94"/>
    <n v="82.83758620689656"/>
    <n v="8.2837586206896567"/>
  </r>
  <r>
    <n v="16"/>
    <x v="0"/>
    <x v="12"/>
    <s v="Trinity"/>
    <s v="Public-Paid"/>
    <s v="3.3 kW"/>
    <s v="OCPP"/>
    <n v="8"/>
    <x v="1"/>
    <n v="82.67"/>
    <n v="112.49"/>
    <n v="85.5"/>
    <n v="59.03"/>
    <n v="0"/>
    <n v="0"/>
    <n v="0"/>
    <n v="25.45"/>
    <n v="0"/>
    <n v="11.68"/>
    <n v="51.63"/>
    <n v="58.31"/>
    <n v="49.9"/>
    <n v="98.35"/>
    <n v="70.66"/>
    <n v="109.36"/>
    <n v="103.39"/>
    <n v="48.65"/>
    <n v="41.59"/>
    <n v="94.57"/>
    <n v="89.46"/>
    <n v="76.27"/>
    <n v="71.91"/>
    <n v="122.39"/>
    <n v="108.46"/>
    <n v="1.9"/>
    <n v="102.92"/>
    <n v="88.14"/>
    <n v="72.95"/>
    <n v="63.366551724137949"/>
    <n v="7.9208189655172436"/>
  </r>
  <r>
    <n v="17"/>
    <x v="0"/>
    <x v="13"/>
    <s v="Trinity"/>
    <s v="Public-Paid"/>
    <s v="12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x v="0"/>
    <x v="14"/>
    <s v="Deccan College of Engg."/>
    <s v="Public-Free"/>
    <s v="3.3 kW"/>
    <s v="LEVAC-BLE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"/>
    <x v="0"/>
    <x v="15"/>
    <s v="ETO Driver"/>
    <s v="Public-Free"/>
    <s v="3.3 kW"/>
    <s v="LEVAC-BLE"/>
    <n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6"/>
    <s v="HMRL"/>
    <s v="Public-Free"/>
    <s v="3.3 kW"/>
    <s v="LEVAC-BLE"/>
    <n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x v="0"/>
    <x v="17"/>
    <s v="ETO"/>
    <s v="Public-Free"/>
    <s v="3.3 kW"/>
    <s v="LEVAC-BLE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"/>
    <x v="0"/>
    <x v="18"/>
    <s v="Bluedart"/>
    <s v="Public-Free"/>
    <s v="3.3 kW"/>
    <s v="LEVAC-BLE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x v="0"/>
    <x v="19"/>
    <s v="Dhuni Polymers"/>
    <s v="Public-Free"/>
    <s v="3.3 kW"/>
    <s v="LEVAC-BLE"/>
    <n v="1"/>
    <x v="3"/>
    <n v="0"/>
    <n v="0"/>
    <n v="0"/>
    <n v="0"/>
    <n v="0"/>
    <n v="4.8570000000000002"/>
    <n v="0"/>
    <n v="0"/>
    <n v="0"/>
    <n v="1.145"/>
    <n v="0"/>
    <n v="1.5469999999999999"/>
    <n v="0"/>
    <n v="0"/>
    <n v="2.16"/>
    <n v="0.17199999999999999"/>
    <n v="0.152"/>
    <n v="0"/>
    <n v="1.0389999999999999"/>
    <n v="0"/>
    <n v="0"/>
    <n v="0"/>
    <n v="0"/>
    <n v="0"/>
    <n v="0"/>
    <n v="0"/>
    <n v="8.9999999999999993E-3"/>
    <n v="3.0000000000000001E-3"/>
    <n v="0"/>
    <n v="0.38220689655172413"/>
    <n v="0.38220689655172413"/>
  </r>
  <r>
    <n v="24"/>
    <x v="1"/>
    <x v="20"/>
    <s v="Trinity"/>
    <s v="Public-Paid"/>
    <s v="3.3 kW"/>
    <s v="OCPP"/>
    <n v="5"/>
    <x v="1"/>
    <n v="15.88"/>
    <n v="11.67"/>
    <n v="17.47"/>
    <n v="0"/>
    <n v="11.06"/>
    <n v="9.73"/>
    <n v="10.67"/>
    <n v="10.199999999999999"/>
    <n v="11.41"/>
    <n v="21.83"/>
    <n v="0"/>
    <n v="2.91"/>
    <n v="12.8"/>
    <n v="20.12"/>
    <n v="8.76"/>
    <n v="15.03"/>
    <n v="15.75"/>
    <n v="6.38"/>
    <n v="12"/>
    <n v="13.07"/>
    <n v="16.670000000000002"/>
    <n v="13.24"/>
    <n v="29.51"/>
    <n v="11.22"/>
    <n v="6.08"/>
    <n v="16.53"/>
    <n v="7.24"/>
    <n v="12.27"/>
    <n v="14.4"/>
    <n v="12.203448275862069"/>
    <n v="2.440689655172414"/>
  </r>
  <r>
    <n v="25"/>
    <x v="1"/>
    <x v="21"/>
    <s v="Trinity"/>
    <s v="Public-Paid"/>
    <s v="3.3 kW"/>
    <s v="OCPP"/>
    <n v="10"/>
    <x v="1"/>
    <n v="99.64"/>
    <n v="86.07"/>
    <n v="85.78"/>
    <n v="102.33"/>
    <n v="98.47"/>
    <n v="98.2"/>
    <n v="97.53"/>
    <n v="75.91"/>
    <n v="103.8"/>
    <n v="86.6"/>
    <n v="95.81"/>
    <n v="73.709999999999994"/>
    <n v="110.3"/>
    <n v="101.52"/>
    <n v="83.64"/>
    <n v="85.13"/>
    <n v="106.2"/>
    <n v="71.63"/>
    <n v="119.12"/>
    <n v="87.24"/>
    <n v="70.14"/>
    <n v="105.26"/>
    <n v="94.68"/>
    <n v="93.88"/>
    <n v="72.02"/>
    <n v="96.64"/>
    <n v="82.48"/>
    <n v="64.36"/>
    <n v="70.37"/>
    <n v="90.291724137931041"/>
    <n v="9.0291724137931038"/>
  </r>
  <r>
    <n v="26"/>
    <x v="2"/>
    <x v="22"/>
    <s v="Trinity"/>
    <s v="Public-Paid"/>
    <s v="3.3 kW"/>
    <s v="OCPP"/>
    <n v="5"/>
    <x v="1"/>
    <n v="15.48"/>
    <n v="9.61"/>
    <n v="2.11"/>
    <n v="11"/>
    <n v="0.38"/>
    <n v="16"/>
    <n v="18.91"/>
    <n v="14.73"/>
    <n v="13.1"/>
    <n v="17.52"/>
    <n v="0"/>
    <n v="10.42"/>
    <n v="22.08"/>
    <n v="11.81"/>
    <n v="19.37"/>
    <n v="12.64"/>
    <n v="21.39"/>
    <n v="7.23"/>
    <n v="11.13"/>
    <n v="6.44"/>
    <n v="8.25"/>
    <n v="15.51"/>
    <n v="3.84"/>
    <n v="8.43"/>
    <n v="8.07"/>
    <n v="14.13"/>
    <n v="17.420000000000002"/>
    <n v="14.68"/>
    <n v="17.61"/>
    <n v="12.044482758620688"/>
    <n v="2.4088965517241379"/>
  </r>
  <r>
    <n v="27"/>
    <x v="2"/>
    <x v="23"/>
    <s v="Trinity"/>
    <s v="Public-Paid"/>
    <s v="3.3 kW"/>
    <s v="OCPP"/>
    <n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"/>
    <x v="3"/>
    <x v="24"/>
    <s v="Trinity"/>
    <s v="Public-Paid"/>
    <s v="3.3 kW"/>
    <s v="OCPP"/>
    <n v="5"/>
    <x v="1"/>
    <n v="28.46"/>
    <n v="46.71"/>
    <n v="37.840000000000003"/>
    <n v="27.83"/>
    <n v="38.409999999999997"/>
    <n v="38.83"/>
    <n v="22.41"/>
    <n v="36.57"/>
    <n v="31.34"/>
    <n v="37.51"/>
    <n v="40.840000000000003"/>
    <n v="33.51"/>
    <n v="42.23"/>
    <n v="26.72"/>
    <n v="30.64"/>
    <n v="54.07"/>
    <n v="36.380000000000003"/>
    <n v="32.01"/>
    <n v="26.07"/>
    <n v="60.8"/>
    <n v="29.04"/>
    <n v="49.13"/>
    <n v="34.68"/>
    <n v="40.69"/>
    <n v="30.7"/>
    <n v="50.9"/>
    <n v="34.94"/>
    <n v="37.799999999999997"/>
    <n v="45.58"/>
    <n v="37.332413793103441"/>
    <n v="7.4664827586206881"/>
  </r>
  <r>
    <n v="29"/>
    <x v="4"/>
    <x v="25"/>
    <s v="Trinity"/>
    <s v="Public-Paid"/>
    <s v="3.3 kW"/>
    <s v="OCPP"/>
    <n v="5"/>
    <x v="1"/>
    <m/>
    <m/>
    <m/>
    <m/>
    <m/>
    <m/>
    <m/>
    <m/>
    <m/>
    <m/>
    <m/>
    <m/>
    <m/>
    <m/>
    <m/>
    <m/>
    <m/>
    <m/>
    <m/>
    <m/>
    <m/>
    <m/>
    <m/>
    <m/>
    <n v="0"/>
    <n v="1.37"/>
    <n v="14.73"/>
    <n v="20.58"/>
    <n v="22.66"/>
    <n v="11.868"/>
    <n v="2.3736000000000002"/>
  </r>
  <r>
    <n v="30"/>
    <x v="5"/>
    <x v="26"/>
    <s v="Flipkart"/>
    <s v="Public-Paid"/>
    <s v="3.3 kW"/>
    <s v="OCPP"/>
    <n v="3"/>
    <x v="1"/>
    <n v="80.27"/>
    <n v="64.13"/>
    <n v="76.319999999999993"/>
    <n v="73.05"/>
    <n v="74.8"/>
    <n v="76.48"/>
    <n v="65.87"/>
    <n v="91.57"/>
    <n v="88.42"/>
    <n v="56.95"/>
    <n v="67.12"/>
    <n v="60.12"/>
    <n v="35.36"/>
    <n v="45.66"/>
    <n v="78.64"/>
    <n v="89.76"/>
    <n v="81.08"/>
    <n v="62.22"/>
    <n v="75.19"/>
    <n v="69.8"/>
    <n v="74.53"/>
    <n v="61.37"/>
    <n v="71.569999999999993"/>
    <n v="60.19"/>
    <n v="80.44"/>
    <n v="58.14"/>
    <n v="67.87"/>
    <n v="75.819999999999993"/>
    <n v="68.44"/>
    <n v="70.040689655172415"/>
    <n v="23.346896551724139"/>
  </r>
  <r>
    <n v="31"/>
    <x v="5"/>
    <x v="27"/>
    <s v="Flipkart"/>
    <s v="Public-Paid"/>
    <s v="3.3 kW"/>
    <s v="OCPP"/>
    <n v="9"/>
    <x v="1"/>
    <n v="187.72"/>
    <n v="189.17"/>
    <n v="200.89"/>
    <n v="191.74"/>
    <n v="193.07"/>
    <n v="190.25"/>
    <n v="150.66"/>
    <n v="189.36"/>
    <n v="180.02"/>
    <n v="119.19"/>
    <n v="154.06"/>
    <n v="190.75"/>
    <n v="190.49"/>
    <n v="154.62"/>
    <n v="176.16"/>
    <n v="151.38"/>
    <n v="203.23"/>
    <n v="182.73"/>
    <n v="168.36"/>
    <n v="145.08000000000001"/>
    <n v="163.83000000000001"/>
    <n v="112.58"/>
    <n v="106.01"/>
    <n v="148.53"/>
    <n v="162.49"/>
    <n v="112.4"/>
    <n v="139.54"/>
    <n v="112.83"/>
    <n v="104.31"/>
    <n v="161.08448275862068"/>
    <n v="17.898275862068964"/>
  </r>
  <r>
    <n v="32"/>
    <x v="5"/>
    <x v="28"/>
    <s v="EFL"/>
    <s v="Public-Free"/>
    <s v="6 kW"/>
    <s v="OCPP"/>
    <n v="1"/>
    <x v="1"/>
    <n v="0.01"/>
    <n v="0"/>
    <n v="0"/>
    <n v="1.49"/>
    <n v="0"/>
    <n v="0"/>
    <n v="0"/>
    <n v="0"/>
    <n v="0"/>
    <n v="0"/>
    <n v="0"/>
    <n v="0"/>
    <n v="0"/>
    <n v="1.23"/>
    <n v="9.11"/>
    <n v="7.9"/>
    <n v="0"/>
    <n v="0"/>
    <n v="0"/>
    <n v="0"/>
    <n v="0"/>
    <n v="0"/>
    <n v="0"/>
    <n v="0"/>
    <n v="0"/>
    <n v="0"/>
    <n v="0"/>
    <n v="0"/>
    <n v="0"/>
    <n v="0.68068965517241387"/>
    <n v="0.68068965517241387"/>
  </r>
  <r>
    <n v="33"/>
    <x v="5"/>
    <x v="28"/>
    <s v="EFL"/>
    <s v="Public-Free"/>
    <s v="3.3 kW"/>
    <s v="OCPP"/>
    <n v="8"/>
    <x v="1"/>
    <m/>
    <m/>
    <n v="0.8"/>
    <n v="2.3200000000000003"/>
    <n v="6.9500000000000011"/>
    <n v="5.1899999999999977"/>
    <n v="26.610000000000014"/>
    <n v="21.18"/>
    <n v="20.63"/>
    <n v="24.11"/>
    <n v="11.8"/>
    <n v="11.48"/>
    <n v="13.96"/>
    <n v="22.59"/>
    <n v="32.35"/>
    <n v="58.53"/>
    <n v="47.61"/>
    <n v="65.56"/>
    <n v="42.73"/>
    <n v="50.67"/>
    <n v="43.93"/>
    <n v="40.85"/>
    <n v="30.37"/>
    <n v="42.47"/>
    <n v="38.36"/>
    <n v="67.150000000000006"/>
    <n v="47.12"/>
    <n v="41.83"/>
    <n v="56.1"/>
    <n v="32.342592592592595"/>
    <n v="4.0428240740740744"/>
  </r>
  <r>
    <n v="34"/>
    <x v="5"/>
    <x v="29"/>
    <s v="Trinity"/>
    <s v="Public-Paid"/>
    <s v="3.3 kW"/>
    <s v="OCPP"/>
    <n v="7"/>
    <x v="1"/>
    <n v="164.02"/>
    <n v="147.9"/>
    <n v="185.91"/>
    <n v="201.36"/>
    <n v="169.67"/>
    <n v="160.08000000000001"/>
    <n v="135.96"/>
    <n v="184.75"/>
    <n v="117.93"/>
    <n v="148.44"/>
    <n v="136.15"/>
    <n v="166.28"/>
    <n v="163.04"/>
    <n v="129.24"/>
    <n v="169.6"/>
    <n v="151.6"/>
    <n v="153.12"/>
    <n v="161.94999999999999"/>
    <n v="146.30000000000001"/>
    <n v="162.97999999999999"/>
    <n v="146.31"/>
    <n v="136.52000000000001"/>
    <n v="161.37"/>
    <n v="119.16"/>
    <n v="143.24"/>
    <n v="100.96"/>
    <n v="143.69999999999999"/>
    <n v="84.81"/>
    <n v="115.51"/>
    <n v="148.54689655172416"/>
    <n v="21.22098522167488"/>
  </r>
  <r>
    <n v="35"/>
    <x v="5"/>
    <x v="30"/>
    <s v="ETO"/>
    <s v="Public-Free"/>
    <s v="3.3 kW"/>
    <s v="LEVAC-BLE"/>
    <n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"/>
    <x v="6"/>
    <x v="31"/>
    <s v="ETO"/>
    <s v="Public-Paid"/>
    <s v="3.3kW"/>
    <s v="OCPP"/>
    <n v="20"/>
    <x v="1"/>
    <n v="50.09"/>
    <n v="22.17"/>
    <n v="14.4"/>
    <n v="7.55"/>
    <n v="32.21"/>
    <n v="19.98"/>
    <n v="28.6"/>
    <n v="51.88"/>
    <n v="18.95"/>
    <n v="27.85"/>
    <n v="18.14"/>
    <n v="19.3"/>
    <n v="19.71"/>
    <n v="32.53"/>
    <n v="18.18"/>
    <n v="18.350000000000001"/>
    <n v="23.53"/>
    <n v="18.79"/>
    <n v="34.56"/>
    <n v="48.46"/>
    <n v="40.29"/>
    <n v="42.91"/>
    <n v="42.84"/>
    <n v="48.34"/>
    <n v="20.94"/>
    <n v="21.8"/>
    <n v="24.64"/>
    <n v="27.58"/>
    <n v="44.37"/>
    <n v="28.928965517241384"/>
    <n v="1.4464482758620691"/>
  </r>
  <r>
    <n v="37"/>
    <x v="6"/>
    <x v="32"/>
    <s v="Trinity"/>
    <s v="Public-Paid"/>
    <s v="3.3kW"/>
    <s v="OCPP"/>
    <n v="3"/>
    <x v="1"/>
    <n v="0"/>
    <n v="5.19"/>
    <n v="6.16"/>
    <n v="12.36"/>
    <n v="18.14"/>
    <n v="9.5399999999999991"/>
    <n v="23.38"/>
    <n v="7.17"/>
    <n v="14.46"/>
    <n v="26"/>
    <n v="0.44"/>
    <n v="9.9"/>
    <n v="5.72"/>
    <n v="16.41"/>
    <n v="6.24"/>
    <n v="8.41"/>
    <n v="10.3"/>
    <n v="0"/>
    <n v="0"/>
    <n v="0.01"/>
    <n v="0"/>
    <n v="6.78"/>
    <n v="7.82"/>
    <n v="0"/>
    <n v="0"/>
    <n v="0"/>
    <n v="0"/>
    <n v="0"/>
    <n v="0"/>
    <n v="6.7044827586206903"/>
    <n v="2.2348275862068969"/>
  </r>
  <r>
    <n v="38"/>
    <x v="7"/>
    <x v="33"/>
    <s v="SOU"/>
    <s v="Public-Paid"/>
    <s v="3.3 kW"/>
    <s v="OCPP"/>
    <n v="40"/>
    <x v="1"/>
    <n v="490.15"/>
    <n v="430.77"/>
    <n v="485.34"/>
    <n v="482.08"/>
    <n v="284.48"/>
    <n v="208.15"/>
    <n v="428.21"/>
    <n v="447.58"/>
    <n v="448.25"/>
    <n v="505.36"/>
    <n v="576.1"/>
    <n v="303"/>
    <n v="187.56"/>
    <n v="429.52"/>
    <n v="378.25"/>
    <n v="291.13"/>
    <n v="331.89"/>
    <n v="523.84"/>
    <n v="222.83"/>
    <n v="297.64"/>
    <n v="427.02"/>
    <n v="447.99"/>
    <n v="440.87"/>
    <n v="421.23"/>
    <n v="451.81"/>
    <n v="207.13"/>
    <n v="249.19"/>
    <n v="432.15"/>
    <n v="437.53"/>
    <n v="388.51896551724144"/>
    <n v="9.7129741379310364"/>
  </r>
  <r>
    <n v="39"/>
    <x v="8"/>
    <x v="34"/>
    <s v="ETO"/>
    <s v="Public-Paid"/>
    <s v="3.3 kW"/>
    <s v="OCPP"/>
    <n v="19"/>
    <x v="1"/>
    <n v="2.76"/>
    <n v="0"/>
    <n v="0.45"/>
    <n v="0"/>
    <n v="0"/>
    <n v="0"/>
    <n v="0.03"/>
    <n v="0"/>
    <n v="0"/>
    <n v="0"/>
    <n v="0"/>
    <n v="0"/>
    <n v="0"/>
    <n v="0"/>
    <n v="0"/>
    <n v="0"/>
    <n v="0"/>
    <n v="0"/>
    <n v="0"/>
    <n v="0"/>
    <n v="0"/>
    <n v="0"/>
    <n v="0"/>
    <n v="0.1"/>
    <n v="0"/>
    <n v="0"/>
    <n v="0.3"/>
    <n v="0"/>
    <n v="0"/>
    <n v="0.12551724137931033"/>
    <n v="6.6061705989110707E-3"/>
  </r>
  <r>
    <n v="40"/>
    <x v="9"/>
    <x v="35"/>
    <s v="Mahagun Hotel"/>
    <s v="Public-Paid"/>
    <s v="7.4 kW"/>
    <s v="OCPP"/>
    <n v="2"/>
    <x v="2"/>
    <n v="0"/>
    <n v="0"/>
    <n v="0"/>
    <n v="0"/>
    <n v="0"/>
    <n v="0"/>
    <n v="0"/>
    <n v="0"/>
    <n v="0"/>
    <n v="0"/>
    <n v="2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58620689655173E-2"/>
    <n v="4.8793103448275865E-2"/>
  </r>
  <r>
    <n v="41"/>
    <x v="10"/>
    <x v="36"/>
    <s v="Trinity"/>
    <s v="Public-Paid"/>
    <s v="3.3kW"/>
    <s v="OCPP"/>
    <n v="10"/>
    <x v="1"/>
    <n v="0.55000000000000004"/>
    <n v="21.09"/>
    <n v="58.03"/>
    <n v="89.94"/>
    <n v="20.2"/>
    <n v="34.06"/>
    <n v="23.79"/>
    <n v="59.93"/>
    <n v="35.83"/>
    <n v="40.71"/>
    <n v="25.94"/>
    <n v="26.69"/>
    <n v="40.69"/>
    <n v="16.89"/>
    <n v="26.93"/>
    <n v="42.97"/>
    <n v="46.88"/>
    <n v="47.87"/>
    <n v="50.58"/>
    <n v="48.77"/>
    <n v="38.799999999999997"/>
    <n v="70.680000000000007"/>
    <n v="39.64"/>
    <n v="28.22"/>
    <n v="18.05"/>
    <n v="43.35"/>
    <n v="14.03"/>
    <n v="15.66"/>
    <n v="23.34"/>
    <n v="36.210689655172409"/>
    <n v="3.621068965517241"/>
  </r>
  <r>
    <n v="42"/>
    <x v="10"/>
    <x v="36"/>
    <s v="Trinity"/>
    <s v="Public-Paid"/>
    <s v="7.4 kW"/>
    <s v="OCPP"/>
    <n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94"/>
    <n v="17.940000000000001"/>
    <n v="0"/>
    <n v="0"/>
    <n v="0"/>
    <n v="0"/>
    <n v="0"/>
    <n v="0"/>
    <n v="0"/>
    <n v="1.3751724137931036"/>
    <n v="1.3751724137931036"/>
  </r>
  <r>
    <n v="43"/>
    <x v="10"/>
    <x v="37"/>
    <s v="Trinity"/>
    <s v="Public-Paid"/>
    <s v="12kW"/>
    <s v="DC Charger"/>
    <n v="1"/>
    <x v="2"/>
    <m/>
    <m/>
    <m/>
    <m/>
    <m/>
    <m/>
    <m/>
    <m/>
    <m/>
    <m/>
    <m/>
    <m/>
    <n v="0"/>
    <n v="0"/>
    <n v="0"/>
    <n v="0"/>
    <n v="0"/>
    <n v="0"/>
    <n v="0"/>
    <n v="0.68"/>
    <n v="0"/>
    <n v="0"/>
    <n v="0"/>
    <n v="0"/>
    <n v="0"/>
    <n v="0"/>
    <n v="0"/>
    <n v="0"/>
    <n v="0"/>
    <n v="0.04"/>
    <n v="0.04"/>
  </r>
  <r>
    <n v="44"/>
    <x v="10"/>
    <x v="38"/>
    <s v="Trinity"/>
    <s v="Public-Paid"/>
    <s v="12kW"/>
    <s v="DC Charger"/>
    <n v="1"/>
    <x v="2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10"/>
    <x v="39"/>
    <s v="Trinity"/>
    <s v="Public-Paid"/>
    <s v="12kW"/>
    <s v="DC Charger"/>
    <n v="1"/>
    <x v="2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11"/>
    <x v="40"/>
    <s v="ETO"/>
    <s v="Public-Paid"/>
    <s v="3.3 kW"/>
    <s v="OCPP"/>
    <n v="5"/>
    <x v="1"/>
    <n v="67.58"/>
    <n v="59.18"/>
    <n v="70.86"/>
    <n v="73.760000000000005"/>
    <n v="76.17"/>
    <n v="73.17"/>
    <n v="58.58"/>
    <n v="70.569999999999993"/>
    <n v="49.83"/>
    <n v="59.17"/>
    <n v="34.450000000000003"/>
    <n v="28.65"/>
    <n v="49.48"/>
    <n v="33.79"/>
    <n v="39.42"/>
    <n v="50.51"/>
    <n v="57.99"/>
    <n v="44.39"/>
    <n v="46.39"/>
    <n v="64.209999999999994"/>
    <n v="49.54"/>
    <n v="57.22"/>
    <n v="70.97"/>
    <n v="60.74"/>
    <n v="58.54"/>
    <n v="46.94"/>
    <n v="50.83"/>
    <n v="44.81"/>
    <n v="53.22"/>
    <n v="55.205517241379312"/>
    <n v="11.041103448275862"/>
  </r>
  <r>
    <n v="47"/>
    <x v="11"/>
    <x v="41"/>
    <s v="ETO"/>
    <s v="Public-Paid"/>
    <s v="3.3 kW"/>
    <s v="OCPP"/>
    <n v="16"/>
    <x v="1"/>
    <n v="9.35"/>
    <n v="18.61"/>
    <n v="21.57"/>
    <n v="9.07"/>
    <n v="22.86"/>
    <n v="21.55"/>
    <n v="7.24"/>
    <n v="4.67"/>
    <n v="23.25"/>
    <n v="7.94"/>
    <n v="8.93"/>
    <n v="5.57"/>
    <n v="0"/>
    <n v="1.84"/>
    <n v="4.5599999999999996"/>
    <n v="4.8899999999999997"/>
    <n v="11.87"/>
    <n v="17.16"/>
    <n v="4.3099999999999996"/>
    <n v="9.68"/>
    <n v="5.37"/>
    <n v="6.58"/>
    <n v="11.05"/>
    <n v="8.65"/>
    <n v="13.25"/>
    <n v="7.92"/>
    <n v="6.17"/>
    <n v="11.54"/>
    <n v="16.23"/>
    <n v="10.40275862068966"/>
    <n v="0.65017241379310375"/>
  </r>
  <r>
    <n v="48"/>
    <x v="11"/>
    <x v="42"/>
    <s v="ETO"/>
    <s v="Public-Paid"/>
    <s v="3.3 kW"/>
    <s v="OCPP"/>
    <n v="10"/>
    <x v="1"/>
    <n v="33.46"/>
    <n v="22.15"/>
    <n v="43.59"/>
    <n v="33.53"/>
    <n v="5.96"/>
    <n v="35.340000000000003"/>
    <n v="46.56"/>
    <n v="23.02"/>
    <n v="31.05"/>
    <n v="45.17"/>
    <n v="27.34"/>
    <n v="25.64"/>
    <n v="46.22"/>
    <n v="43.02"/>
    <n v="32.4"/>
    <n v="34"/>
    <n v="7.24"/>
    <n v="40.69"/>
    <n v="19.350000000000001"/>
    <n v="41.71"/>
    <n v="49.13"/>
    <n v="33.58"/>
    <n v="46.59"/>
    <n v="12.56"/>
    <n v="13.97"/>
    <n v="18.63"/>
    <n v="7.17"/>
    <n v="41.3"/>
    <n v="55.27"/>
    <n v="31.573793103448271"/>
    <n v="3.1573793103448269"/>
  </r>
  <r>
    <n v="49"/>
    <x v="11"/>
    <x v="43"/>
    <s v="ETO"/>
    <s v="Public-Paid"/>
    <s v="3.3 kW"/>
    <s v="OCPP"/>
    <n v="13"/>
    <x v="1"/>
    <n v="19.260000000000002"/>
    <n v="25.15"/>
    <n v="34.54"/>
    <n v="0"/>
    <n v="49.37"/>
    <n v="36.11"/>
    <n v="56.9"/>
    <n v="32.479999999999997"/>
    <n v="42.17"/>
    <n v="37.22"/>
    <n v="31.89"/>
    <n v="43.07"/>
    <n v="55.16"/>
    <n v="35.950000000000003"/>
    <n v="42.74"/>
    <n v="51.36"/>
    <n v="35.700000000000003"/>
    <n v="48.88"/>
    <n v="13.06"/>
    <n v="86.77"/>
    <n v="31.94"/>
    <n v="60.5"/>
    <n v="45.72"/>
    <n v="68.760000000000005"/>
    <n v="22.23"/>
    <n v="45.37"/>
    <n v="43.51"/>
    <n v="44.26"/>
    <n v="56.79"/>
    <n v="41.271034482758616"/>
    <n v="3.174694960212201"/>
  </r>
  <r>
    <n v="50"/>
    <x v="11"/>
    <x v="44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11"/>
    <x v="45"/>
    <s v="ETO"/>
    <s v="Public-Paid"/>
    <s v="3.3 kW"/>
    <s v="OCPP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11"/>
    <x v="46"/>
    <s v="Trinity"/>
    <s v="Public-Paid"/>
    <s v="7.4 kW"/>
    <s v="OCPP"/>
    <n v="2"/>
    <x v="4"/>
    <n v="38.9"/>
    <n v="0"/>
    <n v="29.54"/>
    <n v="16.59"/>
    <n v="0"/>
    <n v="0"/>
    <n v="0"/>
    <n v="44.33"/>
    <n v="0"/>
    <n v="0"/>
    <n v="6.01"/>
    <n v="0"/>
    <n v="5.38"/>
    <n v="2.5099999999999998"/>
    <n v="0"/>
    <n v="0"/>
    <n v="0"/>
    <n v="1.1000000000000001"/>
    <n v="0"/>
    <n v="0"/>
    <n v="0"/>
    <n v="0"/>
    <n v="53.23"/>
    <n v="0"/>
    <n v="0"/>
    <n v="0"/>
    <n v="0"/>
    <n v="17.02"/>
    <n v="49.45"/>
    <n v="9.1055172413793102"/>
    <n v="4.5527586206896551"/>
  </r>
  <r>
    <n v="53"/>
    <x v="11"/>
    <x v="47"/>
    <m/>
    <s v="Private-Paid"/>
    <s v="3.3kW"/>
    <s v="OCPP"/>
    <n v="2"/>
    <x v="3"/>
    <n v="14.67"/>
    <n v="27.71"/>
    <n v="0"/>
    <n v="0"/>
    <n v="24.6"/>
    <n v="30.97"/>
    <n v="23.17"/>
    <n v="8.92"/>
    <n v="22.44"/>
    <n v="0"/>
    <n v="0"/>
    <n v="28.75"/>
    <n v="14.42"/>
    <n v="18.37"/>
    <n v="10.87"/>
    <n v="23.23"/>
    <n v="5.67"/>
    <n v="19.559999999999999"/>
    <n v="16.91"/>
    <n v="39.93"/>
    <n v="15.3"/>
    <n v="13.1"/>
    <n v="22.38"/>
    <n v="10.4"/>
    <n v="25.23"/>
    <n v="16.170000000000002"/>
    <n v="12.26"/>
    <n v="8.5"/>
    <n v="8.35"/>
    <n v="15.926896551724139"/>
    <n v="7.9634482758620697"/>
  </r>
  <r>
    <n v="54"/>
    <x v="11"/>
    <x v="48"/>
    <s v="Trinity"/>
    <s v="Public-Free"/>
    <s v="3.3 kW"/>
    <s v="OCPP"/>
    <n v="6"/>
    <x v="3"/>
    <n v="8.51"/>
    <n v="37.21"/>
    <n v="15.2"/>
    <n v="10.56"/>
    <n v="42.12"/>
    <n v="36.65"/>
    <n v="37.65"/>
    <n v="72.59"/>
    <n v="39.42"/>
    <n v="0"/>
    <n v="0"/>
    <n v="54.25"/>
    <n v="39.869999999999997"/>
    <n v="27.01"/>
    <n v="32.24"/>
    <n v="51.85"/>
    <n v="0"/>
    <n v="0"/>
    <n v="40.76"/>
    <n v="50.44"/>
    <n v="33.74"/>
    <n v="72.55"/>
    <n v="20.69"/>
    <n v="0.35"/>
    <n v="0"/>
    <n v="64.430000000000007"/>
    <n v="31.43"/>
    <n v="39.24"/>
    <n v="27.92"/>
    <n v="30.575172413793105"/>
    <n v="5.0958620689655172"/>
  </r>
  <r>
    <n v="55"/>
    <x v="11"/>
    <x v="48"/>
    <s v="Trinity"/>
    <s v="Public-Free"/>
    <s v="7.4 kW"/>
    <s v="OCPP"/>
    <n v="1"/>
    <x v="3"/>
    <n v="23.76"/>
    <n v="35.61"/>
    <n v="13.21"/>
    <n v="0"/>
    <n v="15.88"/>
    <n v="20.55"/>
    <n v="16.12"/>
    <n v="28.37"/>
    <n v="24.29"/>
    <n v="10.06"/>
    <n v="0"/>
    <n v="39.21"/>
    <n v="23.15"/>
    <n v="22.84"/>
    <n v="24.19"/>
    <n v="20.72"/>
    <n v="18.03"/>
    <n v="19.47"/>
    <n v="16.46"/>
    <n v="28.51"/>
    <n v="20.58"/>
    <n v="11.48"/>
    <n v="12.23"/>
    <n v="5.98"/>
    <n v="5.66"/>
    <n v="23.88"/>
    <n v="5.09"/>
    <n v="12.25"/>
    <n v="19.32"/>
    <n v="17.824137931034485"/>
    <n v="17.824137931034485"/>
  </r>
  <r>
    <n v="56"/>
    <x v="11"/>
    <x v="49"/>
    <s v="Trinity"/>
    <s v="Public-Paid"/>
    <s v="3.3kW"/>
    <s v="OCPP"/>
    <n v="20"/>
    <x v="1"/>
    <n v="31.42"/>
    <n v="29.62"/>
    <n v="45.75"/>
    <n v="27.04"/>
    <n v="38.659999999999997"/>
    <n v="49.22"/>
    <n v="43.43"/>
    <n v="38.29"/>
    <n v="26.05"/>
    <n v="31.85"/>
    <n v="10.57"/>
    <n v="22.11"/>
    <n v="17.78"/>
    <n v="28.57"/>
    <n v="23.25"/>
    <n v="23.89"/>
    <n v="39.4"/>
    <n v="14.54"/>
    <n v="28.23"/>
    <n v="21.45"/>
    <n v="47.43"/>
    <n v="39.479999999999997"/>
    <n v="57.99"/>
    <n v="38.94"/>
    <n v="37.46"/>
    <n v="66.34"/>
    <n v="51.3"/>
    <n v="51.94"/>
    <n v="46.57"/>
    <n v="35.46793103448276"/>
    <n v="1.7733965517241379"/>
  </r>
  <r>
    <n v="57"/>
    <x v="11"/>
    <x v="50"/>
    <s v="Trinity"/>
    <s v="Public-Paid"/>
    <s v="3.3kW"/>
    <s v="OCPP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11"/>
    <x v="50"/>
    <s v="Trinity"/>
    <s v="Public-Paid"/>
    <s v="7.4 kW"/>
    <s v="OCPP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x v="11"/>
    <x v="51"/>
    <s v="Trinity"/>
    <s v="Public-Free"/>
    <s v="12 kW"/>
    <s v="DC Charger"/>
    <n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11"/>
    <x v="52"/>
    <s v="BYPL MCD Parking"/>
    <s v="Public-Paid"/>
    <s v="3.3kW"/>
    <s v="OCPP"/>
    <n v="3"/>
    <x v="2"/>
    <m/>
    <m/>
    <m/>
    <m/>
    <n v="3.06"/>
    <n v="3.05"/>
    <n v="0"/>
    <n v="1.89"/>
    <n v="0"/>
    <n v="0"/>
    <n v="4.5199999999999996"/>
    <n v="7.28"/>
    <n v="0"/>
    <n v="33.46"/>
    <n v="7.12"/>
    <n v="0"/>
    <n v="0"/>
    <n v="0"/>
    <n v="0"/>
    <n v="3.18"/>
    <n v="0"/>
    <n v="7.33"/>
    <n v="8.85"/>
    <n v="14.33"/>
    <n v="0.66"/>
    <n v="0"/>
    <n v="3.21"/>
    <n v="2.71"/>
    <n v="1.0900000000000001"/>
    <n v="4.0695999999999994"/>
    <n v="1.3565333333333331"/>
  </r>
  <r>
    <n v="61"/>
    <x v="11"/>
    <x v="53"/>
    <s v="BYPL MCD Parking"/>
    <s v="Public-Paid"/>
    <s v="3.3kW"/>
    <s v="OCPP"/>
    <n v="3"/>
    <x v="2"/>
    <m/>
    <m/>
    <m/>
    <n v="8.56"/>
    <n v="0.75"/>
    <n v="8.98"/>
    <n v="0"/>
    <n v="4.6100000000000003"/>
    <n v="7.46"/>
    <n v="7.97"/>
    <n v="8.44"/>
    <n v="8.5500000000000007"/>
    <n v="0"/>
    <n v="6.1"/>
    <n v="6.73"/>
    <n v="0"/>
    <n v="8.7100000000000009"/>
    <n v="6.3"/>
    <n v="1.23"/>
    <n v="7.65"/>
    <n v="6.44"/>
    <n v="9.14"/>
    <n v="16.149999999999999"/>
    <n v="7.23"/>
    <n v="14.48"/>
    <n v="0"/>
    <n v="8.51"/>
    <n v="7.61"/>
    <n v="9.52"/>
    <n v="6.5815384615384609"/>
    <n v="2.1938461538461538"/>
  </r>
  <r>
    <n v="62"/>
    <x v="11"/>
    <x v="54"/>
    <s v="BYPL MCD Parking"/>
    <s v="Public-Paid"/>
    <s v="3.3kW"/>
    <s v="OCPP"/>
    <n v="3"/>
    <x v="2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</r>
  <r>
    <n v="63"/>
    <x v="11"/>
    <x v="55"/>
    <s v="Log9"/>
    <s v="Public-Free"/>
    <s v="15kW"/>
    <s v="DC Charger"/>
    <n v="1"/>
    <x v="1"/>
    <n v="85.78"/>
    <n v="82.69"/>
    <n v="86.44"/>
    <n v="82.98"/>
    <n v="84.67"/>
    <n v="87.43"/>
    <n v="90.34"/>
    <n v="85.42"/>
    <n v="88.67"/>
    <n v="91.54"/>
    <n v="86.88"/>
    <n v="89.34"/>
    <n v="84.53"/>
    <n v="90.21"/>
    <n v="97.43"/>
    <n v="83.65"/>
    <n v="87.41"/>
    <n v="88.53"/>
    <n v="91.42"/>
    <n v="83.27"/>
    <n v="88.58"/>
    <n v="86.67"/>
    <n v="87.83"/>
    <n v="89.53"/>
    <n v="82.41"/>
    <n v="78.67"/>
    <n v="79.48"/>
    <n v="0"/>
    <n v="0"/>
    <n v="80.751724137931035"/>
    <n v="80.751724137931035"/>
  </r>
  <r>
    <n v="64"/>
    <x v="11"/>
    <x v="56"/>
    <s v="Log9"/>
    <s v="Public-Free"/>
    <s v="15kW"/>
    <s v="DC Charger"/>
    <n v="1"/>
    <x v="1"/>
    <n v="15.75"/>
    <n v="16.22"/>
    <n v="17.239999999999998"/>
    <n v="13.56"/>
    <n v="16.87"/>
    <n v="19.649999999999999"/>
    <n v="17.41"/>
    <n v="23.45"/>
    <n v="21.49"/>
    <n v="18.670000000000002"/>
    <n v="15.64"/>
    <n v="21.45"/>
    <n v="19.34"/>
    <n v="17.45"/>
    <n v="19.489999999999998"/>
    <n v="22.57"/>
    <n v="15.37"/>
    <n v="19.75"/>
    <n v="14.67"/>
    <n v="18.45"/>
    <n v="19.73"/>
    <n v="17.96"/>
    <n v="18.420000000000002"/>
    <n v="16.34"/>
    <n v="24.59"/>
    <n v="17.84"/>
    <n v="19.559999999999999"/>
    <n v="0"/>
    <n v="0"/>
    <n v="17.204482758620685"/>
    <n v="17.204482758620685"/>
  </r>
  <r>
    <n v="65"/>
    <x v="11"/>
    <x v="57"/>
    <s v="MCD"/>
    <s v="Public-Paid"/>
    <s v="3.3 kW"/>
    <s v="LEVAC-BLE"/>
    <n v="96"/>
    <x v="2"/>
    <n v="17.309000000000001"/>
    <n v="1.9E-2"/>
    <n v="0"/>
    <n v="0"/>
    <n v="0"/>
    <n v="0"/>
    <n v="0"/>
    <n v="0"/>
    <n v="0"/>
    <n v="0"/>
    <n v="0"/>
    <n v="3.488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71782758620689657"/>
    <n v="7.4773706896551729E-3"/>
  </r>
  <r>
    <n v="66"/>
    <x v="11"/>
    <x v="58"/>
    <m/>
    <s v="Public-Paid"/>
    <s v="3.3 kW"/>
    <s v="LEVAC-BLE"/>
    <n v="82"/>
    <x v="2"/>
    <n v="7.4640000000000004"/>
    <n v="0"/>
    <n v="0"/>
    <n v="0"/>
    <n v="0"/>
    <n v="0"/>
    <n v="17.027999999999999"/>
    <n v="6.1280000000000001"/>
    <n v="0"/>
    <n v="0"/>
    <n v="0"/>
    <n v="0"/>
    <n v="11.795999999999999"/>
    <n v="5.665"/>
    <n v="11.757999999999999"/>
    <n v="5.8890000000000002"/>
    <n v="0"/>
    <n v="0"/>
    <n v="11.538"/>
    <n v="6.7880000000000003"/>
    <n v="7.0810000000000004"/>
    <n v="7.32"/>
    <n v="19.093"/>
    <n v="0"/>
    <n v="0"/>
    <n v="15.587999999999999"/>
    <n v="0"/>
    <n v="0"/>
    <n v="0"/>
    <n v="4.5908965517241374"/>
    <n v="5.5986543313708989E-2"/>
  </r>
  <r>
    <n v="67"/>
    <x v="11"/>
    <x v="59"/>
    <s v="ETO"/>
    <s v="Public-Free"/>
    <s v="3.3 kW"/>
    <s v="LEVAC-BLE"/>
    <n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11"/>
    <x v="60"/>
    <s v="ETO"/>
    <s v="Public-Free"/>
    <s v="3.3 kW"/>
    <s v="LEVAC-BLE"/>
    <n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x v="11"/>
    <x v="61"/>
    <s v="Trinity"/>
    <s v="Public-Paid"/>
    <s v="3.3kW"/>
    <s v="LEVAC-BLE"/>
    <n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">
  <r>
    <n v="1"/>
    <x v="0"/>
    <x v="0"/>
    <s v="Amazon"/>
    <s v="Public-Paid"/>
    <s v="3.3 kW"/>
    <s v="OCPP"/>
    <n v="6"/>
    <n v="14"/>
    <n v="24.68"/>
    <n v="54.89"/>
    <n v="62.2"/>
    <n v="43.47"/>
    <n v="42.05"/>
    <n v="51.54"/>
    <n v="116.37"/>
    <n v="75.069999999999993"/>
    <n v="46.92"/>
    <n v="49.62"/>
    <n v="55.74"/>
    <n v="74.38"/>
    <n v="53.04"/>
    <n v="54.14"/>
    <n v="53.55"/>
    <n v="56.09"/>
    <n v="44.21"/>
    <n v="35.31"/>
    <n v="30.68"/>
    <n v="37.39"/>
    <n v="35.29"/>
    <n v="39.729999999999997"/>
    <n v="45.13"/>
    <n v="42.19"/>
    <n v="60.68"/>
    <n v="69.59"/>
    <n v="65.61"/>
    <n v="61.5"/>
    <n v="62.68"/>
    <n v="62.23"/>
    <n v="66.92"/>
    <n v="53.964193548387101"/>
    <n v="8.9940322580645162"/>
  </r>
  <r>
    <n v="2"/>
    <x v="0"/>
    <x v="1"/>
    <s v="Amazon"/>
    <s v="Public-Paid"/>
    <s v="3.3 kW"/>
    <s v="OCPP"/>
    <n v="9"/>
    <m/>
    <n v="91.81"/>
    <n v="132.88"/>
    <n v="131.87"/>
    <n v="88.95"/>
    <n v="132.41999999999999"/>
    <n v="105.57"/>
    <n v="137.46"/>
    <n v="126.54"/>
    <n v="128.34"/>
    <n v="117.68"/>
    <n v="111.29"/>
    <n v="132.85"/>
    <n v="117.85"/>
    <n v="133.55000000000001"/>
    <n v="100.62"/>
    <n v="99.4"/>
    <n v="110.04"/>
    <n v="86"/>
    <n v="100.74"/>
    <n v="109.81"/>
    <n v="127.15"/>
    <n v="128.78"/>
    <n v="95.34"/>
    <n v="132.86000000000001"/>
    <n v="125.63"/>
    <n v="118.94"/>
    <n v="117.14"/>
    <n v="136.97999999999999"/>
    <n v="121.07"/>
    <n v="117.39"/>
    <n v="135.28"/>
    <n v="117.81387096774195"/>
    <n v="13.090430107526883"/>
  </r>
  <r>
    <n v="3"/>
    <x v="0"/>
    <x v="2"/>
    <s v="Amazon"/>
    <s v="Public-Paid"/>
    <s v="3.3 kW"/>
    <s v="OCPP"/>
    <n v="3"/>
    <m/>
    <n v="67.23"/>
    <n v="45.9"/>
    <n v="36.68"/>
    <n v="60.65"/>
    <n v="61.87"/>
    <n v="44.23"/>
    <n v="45.25"/>
    <n v="46.39"/>
    <n v="32.36"/>
    <n v="40.39"/>
    <n v="40.68"/>
    <n v="37.43"/>
    <n v="44.45"/>
    <n v="53.7"/>
    <n v="36.520000000000003"/>
    <n v="38.5"/>
    <n v="42.36"/>
    <n v="41.05"/>
    <n v="37.78"/>
    <n v="37.89"/>
    <n v="47.27"/>
    <n v="46.33"/>
    <n v="34.159999999999997"/>
    <n v="28.1"/>
    <n v="32.36"/>
    <n v="57.57"/>
    <n v="39"/>
    <n v="44.24"/>
    <n v="36.74"/>
    <n v="38.29"/>
    <n v="28.52"/>
    <n v="42.706129032258055"/>
    <n v="14.235376344086019"/>
  </r>
  <r>
    <n v="4"/>
    <x v="0"/>
    <x v="3"/>
    <s v="Big Basket"/>
    <s v="Public-Paid"/>
    <s v="3.3 kW"/>
    <s v="OCPP"/>
    <n v="3"/>
    <n v="8"/>
    <n v="26.96"/>
    <n v="49.6"/>
    <n v="35.81"/>
    <n v="46.75"/>
    <n v="28.85"/>
    <n v="42.58"/>
    <n v="61.86"/>
    <n v="47.6"/>
    <n v="47.72"/>
    <n v="59.32"/>
    <n v="32.799999999999997"/>
    <n v="41.38"/>
    <n v="44.89"/>
    <n v="35.99"/>
    <n v="40.369999999999997"/>
    <n v="41.76"/>
    <n v="33.82"/>
    <n v="27.41"/>
    <n v="40.22"/>
    <n v="43.33"/>
    <n v="42.01"/>
    <n v="38.72"/>
    <n v="37.17"/>
    <n v="36.590000000000003"/>
    <n v="19.149999999999999"/>
    <n v="55.76"/>
    <n v="34.549999999999997"/>
    <n v="36.18"/>
    <n v="44.12"/>
    <n v="35.090000000000003"/>
    <n v="30.84"/>
    <n v="39.974193548387092"/>
    <n v="13.324731182795697"/>
  </r>
  <r>
    <n v="5"/>
    <x v="0"/>
    <x v="4"/>
    <s v="Deccan College of Engg.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0"/>
    <x v="5"/>
    <s v="ETO Driver"/>
    <s v="Public-Free"/>
    <s v="3.3 kW"/>
    <s v="LEVAC-BLE"/>
    <n v="5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x v="6"/>
    <s v="ETO"/>
    <s v="Public-Paid"/>
    <s v="3.3 kW"/>
    <s v="OCPP"/>
    <n v="8"/>
    <n v="10"/>
    <n v="83.57"/>
    <n v="77.599999999999994"/>
    <n v="54.31"/>
    <n v="48.12"/>
    <n v="51.86"/>
    <n v="76.7"/>
    <n v="55.37"/>
    <n v="35.01"/>
    <n v="55.61"/>
    <n v="43.29"/>
    <n v="32.94"/>
    <n v="27.32"/>
    <n v="44.09"/>
    <n v="41.2"/>
    <n v="40.35"/>
    <n v="41.84"/>
    <n v="28.87"/>
    <n v="22.38"/>
    <n v="33.729999999999997"/>
    <n v="51.33"/>
    <n v="20.62"/>
    <n v="49.14"/>
    <n v="46.2"/>
    <n v="26.87"/>
    <n v="13.7"/>
    <n v="23.06"/>
    <n v="45.64"/>
    <n v="60.76"/>
    <n v="33.69"/>
    <n v="53.47"/>
    <n v="51.28"/>
    <n v="44.190967741935488"/>
    <n v="5.523870967741936"/>
  </r>
  <r>
    <n v="8"/>
    <x v="0"/>
    <x v="7"/>
    <s v="HMRL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8"/>
    <s v="Trinity"/>
    <s v="Public-Paid"/>
    <s v="3.3 kW"/>
    <s v="OCPP"/>
    <n v="17"/>
    <n v="30"/>
    <n v="182.28"/>
    <n v="151.07"/>
    <n v="161.44999999999999"/>
    <n v="168.57"/>
    <n v="126.8"/>
    <n v="129.6"/>
    <n v="165.83"/>
    <n v="135.94999999999999"/>
    <n v="116.23"/>
    <n v="140.05000000000001"/>
    <n v="143.72999999999999"/>
    <n v="108.47"/>
    <n v="143.34"/>
    <n v="88.51"/>
    <n v="137.59"/>
    <n v="139.58000000000001"/>
    <n v="131.36000000000001"/>
    <n v="140.38"/>
    <n v="188.29"/>
    <n v="117.46"/>
    <n v="163.33000000000001"/>
    <n v="111.35"/>
    <n v="150.31"/>
    <n v="143.6"/>
    <n v="168.5"/>
    <n v="149.66"/>
    <n v="125.76"/>
    <n v="124.74"/>
    <n v="145.59"/>
    <n v="168.54"/>
    <n v="120.13"/>
    <n v="141.54999999999998"/>
    <n v="8.3264705882352938"/>
  </r>
  <r>
    <n v="10"/>
    <x v="0"/>
    <x v="8"/>
    <s v="Trinity"/>
    <s v="Public-Paid"/>
    <s v="3.3 kW"/>
    <s v="DC Charger"/>
    <n v="1"/>
    <n v="0"/>
    <n v="3.35"/>
    <n v="7.05"/>
    <n v="0.01"/>
    <n v="20.9"/>
    <n v="7.4"/>
    <n v="9.9499999999999993"/>
    <n v="0.26"/>
    <n v="11.87"/>
    <n v="9.9600000000000009"/>
    <n v="0.35"/>
    <n v="0"/>
    <n v="18.170000000000002"/>
    <n v="4.58"/>
    <n v="6.68"/>
    <n v="3.55"/>
    <n v="7.52"/>
    <n v="0"/>
    <n v="5.82"/>
    <n v="0"/>
    <n v="0"/>
    <n v="0"/>
    <n v="2.42"/>
    <n v="0"/>
    <n v="0"/>
    <n v="0"/>
    <n v="0"/>
    <n v="6.29"/>
    <n v="0"/>
    <n v="5.21"/>
    <n v="0"/>
    <n v="7.5"/>
    <n v="4.4787096774193547"/>
    <n v="4.4787096774193547"/>
  </r>
  <r>
    <n v="11"/>
    <x v="0"/>
    <x v="8"/>
    <s v="Trinity"/>
    <s v="Public-Paid"/>
    <s v="12kW"/>
    <s v="DC Charger"/>
    <n v="1"/>
    <n v="0"/>
    <n v="26.29"/>
    <n v="6.93"/>
    <n v="10.44"/>
    <n v="7.09"/>
    <n v="14.93"/>
    <n v="7.46"/>
    <n v="8.42"/>
    <n v="24.34"/>
    <n v="0"/>
    <n v="15.61"/>
    <n v="13.1"/>
    <n v="6.76"/>
    <n v="14.27"/>
    <n v="14.13"/>
    <n v="13.13"/>
    <n v="6.71"/>
    <n v="6.26"/>
    <n v="14.92"/>
    <n v="6.69"/>
    <n v="12.58"/>
    <n v="6.65"/>
    <n v="7.73"/>
    <n v="15.72"/>
    <n v="6.17"/>
    <n v="6.15"/>
    <n v="0"/>
    <n v="6.1"/>
    <n v="7.77"/>
    <n v="14.46"/>
    <n v="12.2"/>
    <n v="14.32"/>
    <n v="10.559032258064516"/>
    <n v="10.559032258064516"/>
  </r>
  <r>
    <n v="12"/>
    <x v="0"/>
    <x v="9"/>
    <s v="ETO"/>
    <s v="Public-Paid"/>
    <s v="3.3 kW"/>
    <s v="OCPP"/>
    <n v="6"/>
    <n v="9"/>
    <n v="0.14000000000000001"/>
    <n v="23.64"/>
    <n v="19.14"/>
    <n v="13.3"/>
    <n v="31.77"/>
    <n v="20.12"/>
    <n v="22.26"/>
    <n v="24.2"/>
    <n v="27.22"/>
    <n v="18.309999999999999"/>
    <n v="12.62"/>
    <n v="14.77"/>
    <n v="16.809999999999999"/>
    <n v="19.5"/>
    <n v="21.34"/>
    <n v="11.94"/>
    <n v="5.68"/>
    <n v="27.72"/>
    <n v="22.83"/>
    <n v="24.34"/>
    <n v="25.39"/>
    <n v="25.6"/>
    <n v="7.47"/>
    <n v="28.85"/>
    <n v="16.46"/>
    <n v="0"/>
    <n v="0"/>
    <n v="0"/>
    <n v="22.81"/>
    <n v="29.16"/>
    <n v="16.03"/>
    <n v="17.723225806451612"/>
    <n v="2.9538709677419352"/>
  </r>
  <r>
    <n v="13"/>
    <x v="0"/>
    <x v="10"/>
    <s v="Trinity"/>
    <s v="Public-Paid"/>
    <s v="3.3 kW"/>
    <s v="OCPP"/>
    <n v="6"/>
    <n v="13"/>
    <n v="0.32"/>
    <n v="21.19"/>
    <n v="34.270000000000003"/>
    <n v="38.4"/>
    <n v="32.19"/>
    <n v="26.96"/>
    <n v="25.14"/>
    <n v="28.22"/>
    <n v="35.700000000000003"/>
    <n v="35.04"/>
    <n v="36.26"/>
    <n v="27.83"/>
    <n v="34.75"/>
    <n v="33.26"/>
    <n v="46.59"/>
    <n v="37.799999999999997"/>
    <n v="33.85"/>
    <n v="33.44"/>
    <n v="26.53"/>
    <n v="35.47"/>
    <n v="44.24"/>
    <n v="24.03"/>
    <n v="25.66"/>
    <n v="18.670000000000002"/>
    <n v="28.76"/>
    <n v="32.65"/>
    <n v="37.56"/>
    <n v="39.729999999999997"/>
    <n v="36.82"/>
    <n v="37.130000000000003"/>
    <n v="26.83"/>
    <n v="31.460967741935487"/>
    <n v="5.2434946236559146"/>
  </r>
  <r>
    <n v="14"/>
    <x v="0"/>
    <x v="11"/>
    <s v="ETO"/>
    <s v="Public-Paid"/>
    <s v="3.3 kW"/>
    <s v="OCPP"/>
    <n v="3"/>
    <n v="10"/>
    <n v="14.5"/>
    <n v="40.340000000000003"/>
    <n v="43.8"/>
    <n v="20.5"/>
    <n v="46.15"/>
    <n v="31.75"/>
    <n v="42.44"/>
    <n v="39"/>
    <n v="53.44"/>
    <n v="55.36"/>
    <n v="76.84"/>
    <n v="51.42"/>
    <n v="67.959999999999994"/>
    <n v="68.23"/>
    <n v="30.13"/>
    <n v="45.42"/>
    <n v="59.15"/>
    <n v="45.74"/>
    <n v="56.98"/>
    <n v="50.52"/>
    <n v="70.260000000000005"/>
    <n v="79.92"/>
    <n v="66.66"/>
    <n v="54.02"/>
    <n v="50.93"/>
    <n v="66.42"/>
    <n v="78.67"/>
    <n v="68.97"/>
    <n v="61.42"/>
    <n v="54.28"/>
    <n v="69.010000000000005"/>
    <n v="53.555806451612909"/>
    <n v="17.851935483870971"/>
  </r>
  <r>
    <n v="15"/>
    <x v="0"/>
    <x v="12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x v="13"/>
    <s v="Bluedart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4"/>
    <s v="Dhuni Polymers"/>
    <s v="Public-Free"/>
    <s v="3.3 kW"/>
    <s v="LEVAC-BLE"/>
    <n v="1"/>
    <n v="0"/>
    <n v="0"/>
    <n v="0"/>
    <n v="0"/>
    <n v="0"/>
    <n v="3.0179999999999998"/>
    <n v="0"/>
    <n v="0"/>
    <n v="0"/>
    <n v="0"/>
    <n v="0"/>
    <n v="0"/>
    <n v="0"/>
    <n v="0"/>
    <n v="2.2360000000000002"/>
    <n v="0"/>
    <n v="0"/>
    <n v="0"/>
    <n v="0"/>
    <n v="0"/>
    <n v="0"/>
    <n v="0"/>
    <n v="0"/>
    <n v="0.69799999999999995"/>
    <n v="0"/>
    <n v="0"/>
    <n v="0"/>
    <n v="0"/>
    <n v="0"/>
    <n v="0"/>
    <n v="0"/>
    <n v="0"/>
    <n v="0.192"/>
    <n v="0.192"/>
  </r>
  <r>
    <n v="18"/>
    <x v="0"/>
    <x v="15"/>
    <s v="EFL"/>
    <s v="Public-Paid"/>
    <s v="12 kW"/>
    <s v="OCPP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"/>
    <x v="0"/>
    <x v="16"/>
    <s v="Trinity"/>
    <s v="Public-Paid"/>
    <s v="3.3 kW"/>
    <s v="OCPP"/>
    <n v="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7"/>
    <s v="Trinity"/>
    <s v="Public-Paid"/>
    <s v="3.3 kW"/>
    <s v="OCPP"/>
    <n v="5"/>
    <m/>
    <m/>
    <m/>
    <m/>
    <m/>
    <m/>
    <m/>
    <m/>
    <m/>
    <m/>
    <m/>
    <m/>
    <m/>
    <m/>
    <n v="0"/>
    <n v="0"/>
    <n v="0.01"/>
    <n v="0"/>
    <n v="7.76"/>
    <n v="44.01"/>
    <n v="48.99"/>
    <n v="74.25"/>
    <n v="47.76"/>
    <n v="50.19"/>
    <n v="60.96"/>
    <n v="82.96"/>
    <n v="45.1"/>
    <n v="56.61"/>
    <n v="60.89"/>
    <n v="71.69"/>
    <n v="82.33"/>
    <n v="78.09"/>
    <n v="45.088888888888896"/>
    <n v="9.0177777777777788"/>
  </r>
  <r>
    <n v="21"/>
    <x v="1"/>
    <x v="18"/>
    <s v="Trinity"/>
    <s v="Public-Paid"/>
    <s v="3.3 kW"/>
    <s v="OCPP"/>
    <n v="5"/>
    <m/>
    <n v="10.02"/>
    <n v="4"/>
    <n v="9.41"/>
    <n v="2.69"/>
    <n v="22.16"/>
    <n v="2.68"/>
    <n v="28.68"/>
    <n v="6.07"/>
    <n v="17.3"/>
    <n v="12.04"/>
    <n v="20.59"/>
    <n v="14.05"/>
    <n v="26.51"/>
    <n v="20.88"/>
    <n v="18.34"/>
    <n v="7.15"/>
    <n v="5.1100000000000003"/>
    <n v="15.86"/>
    <n v="28.66"/>
    <n v="12.14"/>
    <n v="13.09"/>
    <n v="20.03"/>
    <n v="17.309999999999999"/>
    <n v="0"/>
    <n v="10.130000000000001"/>
    <n v="14.75"/>
    <n v="11.33"/>
    <n v="20.11"/>
    <n v="10.61"/>
    <n v="13.68"/>
    <n v="14.92"/>
    <n v="13.880645161290325"/>
    <n v="2.7761290322580647"/>
  </r>
  <r>
    <n v="22"/>
    <x v="1"/>
    <x v="19"/>
    <s v="Big Basket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x v="1"/>
    <x v="20"/>
    <s v="Trinity"/>
    <s v="Public-Paid"/>
    <s v="3.3 kW"/>
    <s v="OCPP"/>
    <n v="10"/>
    <n v="10"/>
    <n v="69"/>
    <n v="45.83"/>
    <n v="119.09"/>
    <n v="39.869999999999997"/>
    <n v="69.319999999999993"/>
    <n v="148.37"/>
    <n v="111.48"/>
    <n v="77.42"/>
    <n v="101.3"/>
    <n v="94.27"/>
    <n v="70.33"/>
    <n v="95.41"/>
    <n v="71.89"/>
    <n v="76.67"/>
    <n v="80.260000000000005"/>
    <n v="89.83"/>
    <n v="78.36"/>
    <n v="89.48"/>
    <n v="77.260000000000005"/>
    <n v="74"/>
    <n v="77.22"/>
    <n v="73.52"/>
    <n v="64.95"/>
    <n v="84.41"/>
    <n v="74.06"/>
    <n v="82.29"/>
    <n v="66.78"/>
    <n v="52.96"/>
    <n v="84.3"/>
    <n v="64.599999999999994"/>
    <n v="73.23"/>
    <n v="79.927741935483894"/>
    <n v="7.9927741935483896"/>
  </r>
  <r>
    <n v="24"/>
    <x v="2"/>
    <x v="21"/>
    <s v="Trinity"/>
    <s v="Public-Paid"/>
    <s v="3.3 kW"/>
    <s v="OCPP"/>
    <n v="5"/>
    <m/>
    <n v="19.13"/>
    <n v="11.42"/>
    <n v="5.32"/>
    <n v="17.48"/>
    <n v="32.44"/>
    <n v="33.47"/>
    <n v="14.22"/>
    <n v="22.44"/>
    <n v="12.18"/>
    <n v="5.31"/>
    <n v="15.67"/>
    <n v="8.7799999999999994"/>
    <n v="12.32"/>
    <n v="15.25"/>
    <n v="17.649999999999999"/>
    <n v="18.010000000000002"/>
    <n v="0"/>
    <n v="22.19"/>
    <n v="6.52"/>
    <n v="29.74"/>
    <n v="17.28"/>
    <n v="13.84"/>
    <n v="0"/>
    <n v="0"/>
    <n v="27.29"/>
    <n v="8.44"/>
    <n v="9.49"/>
    <n v="12.52"/>
    <n v="15.13"/>
    <n v="14.52"/>
    <n v="0"/>
    <n v="14.130645161290319"/>
    <n v="2.8261290322580637"/>
  </r>
  <r>
    <n v="25"/>
    <x v="2"/>
    <x v="22"/>
    <s v="Trinity"/>
    <s v="Public-Paid"/>
    <s v="3.3 kW"/>
    <s v="OCPP"/>
    <n v="5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"/>
    <x v="3"/>
    <x v="23"/>
    <s v="Trinity"/>
    <s v="Public-Paid"/>
    <s v="3.3 kW"/>
    <s v="OCPP"/>
    <n v="5"/>
    <m/>
    <n v="22.09"/>
    <n v="23.07"/>
    <n v="26.97"/>
    <n v="36.58"/>
    <n v="6.58"/>
    <n v="25.54"/>
    <n v="59.2"/>
    <n v="24.6"/>
    <n v="23.76"/>
    <n v="29.22"/>
    <n v="43.21"/>
    <n v="21.32"/>
    <n v="25.1"/>
    <n v="25.95"/>
    <n v="43.19"/>
    <n v="21.5"/>
    <n v="26.91"/>
    <n v="43.96"/>
    <n v="29.26"/>
    <n v="16.739999999999998"/>
    <n v="29.42"/>
    <n v="29.13"/>
    <n v="21.82"/>
    <n v="32.869999999999997"/>
    <n v="18.559999999999999"/>
    <n v="29.5"/>
    <n v="16.850000000000001"/>
    <n v="38.1"/>
    <n v="29.43"/>
    <n v="12.25"/>
    <n v="25.4"/>
    <n v="27.679999999999996"/>
    <n v="5.5359999999999996"/>
  </r>
  <r>
    <n v="27"/>
    <x v="4"/>
    <x v="24"/>
    <s v="SOU"/>
    <s v="Public-Paid"/>
    <s v="3.3 kW"/>
    <s v="OCPP"/>
    <n v="40"/>
    <m/>
    <n v="408.54"/>
    <n v="407.83"/>
    <n v="498.7"/>
    <n v="210.88"/>
    <n v="259.24"/>
    <n v="479.06"/>
    <n v="373.64"/>
    <n v="354.59"/>
    <n v="462.36"/>
    <n v="564.57000000000005"/>
    <n v="281.38"/>
    <n v="220.39"/>
    <n v="502.67"/>
    <n v="486.35"/>
    <n v="333.93"/>
    <n v="519.33000000000004"/>
    <n v="526.48"/>
    <n v="250.07"/>
    <n v="296.19"/>
    <n v="517.83000000000004"/>
    <n v="477.32"/>
    <n v="525.58000000000004"/>
    <n v="550.02"/>
    <n v="553.37"/>
    <n v="504.75"/>
    <n v="302.68"/>
    <n v="246.15"/>
    <n v="588.59"/>
    <n v="521.01"/>
    <n v="579.29"/>
    <n v="450.06"/>
    <n v="427.51129032258063"/>
    <n v="10.687782258064516"/>
  </r>
  <r>
    <n v="28"/>
    <x v="5"/>
    <x v="25"/>
    <s v="ETO"/>
    <s v="Public-Free"/>
    <s v="3.3 kW"/>
    <s v="LEVAC-BLE"/>
    <n v="6"/>
    <n v="2"/>
    <n v="10.098000000000001"/>
    <n v="0.5"/>
    <n v="0"/>
    <n v="9.32"/>
    <n v="0"/>
    <n v="0"/>
    <n v="0"/>
    <n v="0"/>
    <n v="0"/>
    <n v="0.27600000000000002"/>
    <n v="10.3"/>
    <n v="0"/>
    <n v="0"/>
    <n v="0"/>
    <n v="0"/>
    <n v="4.0000000000000001E-3"/>
    <n v="0"/>
    <n v="0"/>
    <n v="0"/>
    <n v="0"/>
    <n v="0"/>
    <n v="10.275"/>
    <n v="2.6509999999999998"/>
    <n v="0"/>
    <n v="0"/>
    <n v="0.88"/>
    <n v="7.5999999999999998E-2"/>
    <n v="0"/>
    <n v="0"/>
    <n v="0"/>
    <n v="0"/>
    <n v="1.4316129032258067"/>
    <n v="0.23860215053763445"/>
  </r>
  <r>
    <n v="29"/>
    <x v="5"/>
    <x v="26"/>
    <s v="Flipkart"/>
    <s v="Public-Paid"/>
    <s v="3.3 kW"/>
    <s v="OCPP"/>
    <n v="3"/>
    <n v="36"/>
    <n v="63.18"/>
    <n v="65.45"/>
    <n v="83.3"/>
    <n v="75.56"/>
    <n v="68.069999999999993"/>
    <n v="64.89"/>
    <n v="96.31"/>
    <n v="60.94"/>
    <n v="61.96"/>
    <n v="82.38"/>
    <n v="76.3"/>
    <n v="47.92"/>
    <n v="90.35"/>
    <n v="57.5"/>
    <n v="89.41"/>
    <n v="81.75"/>
    <n v="64.739999999999995"/>
    <n v="81.99"/>
    <n v="56.09"/>
    <n v="62.95"/>
    <n v="70.33"/>
    <n v="84.3"/>
    <n v="65.25"/>
    <n v="56.28"/>
    <n v="62"/>
    <n v="70.12"/>
    <n v="53.43"/>
    <n v="62.56"/>
    <n v="72.95"/>
    <n v="66.84"/>
    <n v="65.930000000000007"/>
    <n v="69.710645161290316"/>
    <n v="23.236881720430105"/>
  </r>
  <r>
    <n v="30"/>
    <x v="5"/>
    <x v="27"/>
    <s v="Flipkart"/>
    <s v="Public-Paid"/>
    <s v="3.3 kW"/>
    <s v="OCPP"/>
    <n v="9"/>
    <n v="75"/>
    <n v="207.25"/>
    <n v="181.11"/>
    <n v="204.84"/>
    <n v="206.59"/>
    <n v="132.99"/>
    <n v="190.78"/>
    <n v="162.26"/>
    <n v="157.71"/>
    <n v="185.82"/>
    <n v="171.21"/>
    <n v="151.31"/>
    <n v="158.31"/>
    <n v="189.02"/>
    <n v="136.32"/>
    <n v="179.7"/>
    <n v="165.21"/>
    <n v="192.27"/>
    <n v="133.18"/>
    <n v="120.77"/>
    <n v="213.8"/>
    <n v="141.79"/>
    <n v="168.65"/>
    <n v="177.89"/>
    <n v="198.41"/>
    <n v="176.82"/>
    <n v="149.65"/>
    <n v="145.19"/>
    <n v="126.51"/>
    <n v="104.94"/>
    <n v="111.03"/>
    <n v="153.08000000000001"/>
    <n v="164.33580645161288"/>
    <n v="18.259534050179209"/>
  </r>
  <r>
    <n v="31"/>
    <x v="5"/>
    <x v="28"/>
    <s v="EFL"/>
    <s v="Public-Free"/>
    <s v="6 kW"/>
    <s v="OCPP"/>
    <n v="1"/>
    <m/>
    <n v="0"/>
    <n v="0"/>
    <n v="0"/>
    <n v="0"/>
    <n v="0"/>
    <n v="0"/>
    <n v="0"/>
    <n v="0"/>
    <n v="0"/>
    <n v="0"/>
    <n v="0"/>
    <n v="0"/>
    <n v="0"/>
    <n v="0"/>
    <n v="0"/>
    <n v="6.37"/>
    <n v="7.56"/>
    <n v="3.01"/>
    <n v="0"/>
    <n v="2.2200000000000002"/>
    <n v="0"/>
    <n v="0"/>
    <n v="0"/>
    <n v="0"/>
    <n v="0"/>
    <n v="0"/>
    <n v="0"/>
    <n v="0"/>
    <n v="0"/>
    <n v="0"/>
    <n v="0"/>
    <n v="0.61806451612903213"/>
    <n v="0.61806451612903213"/>
  </r>
  <r>
    <n v="32"/>
    <x v="5"/>
    <x v="29"/>
    <s v="Trinity"/>
    <s v="Public-Paid"/>
    <s v="3.3 kW"/>
    <s v="OCPP"/>
    <n v="7"/>
    <n v="45"/>
    <n v="224.19"/>
    <n v="220.46"/>
    <n v="231.46"/>
    <n v="248.37"/>
    <n v="212.34"/>
    <n v="150.52000000000001"/>
    <n v="224.88"/>
    <n v="223.32"/>
    <n v="227.05"/>
    <n v="226.75"/>
    <n v="185.41"/>
    <n v="232.18"/>
    <n v="180.37"/>
    <n v="184.53"/>
    <n v="202.59"/>
    <n v="208.84"/>
    <n v="162.66"/>
    <n v="213.17"/>
    <n v="154.20999999999998"/>
    <n v="170.92"/>
    <n v="109.32"/>
    <n v="161.83000000000001"/>
    <n v="207.88"/>
    <n v="131.4"/>
    <n v="211.25"/>
    <n v="200.63"/>
    <n v="210.75"/>
    <n v="220.54"/>
    <n v="179.61"/>
    <n v="196.74"/>
    <n v="192.94"/>
    <n v="197.00354838709674"/>
    <n v="28.143364055299536"/>
  </r>
  <r>
    <n v="33"/>
    <x v="6"/>
    <x v="30"/>
    <s v="MCD"/>
    <s v="Public-Paid"/>
    <s v="3.3 kW"/>
    <s v="LEVAC-BLE"/>
    <n v="105"/>
    <m/>
    <n v="3.92"/>
    <n v="4.2969999999999997"/>
    <n v="4.3440000000000003"/>
    <n v="1.4039999999999999"/>
    <n v="3.5779999999999998"/>
    <n v="2.456"/>
    <n v="2.35"/>
    <n v="3.2759999999999998"/>
    <n v="3.3660000000000001"/>
    <n v="3.8889999999999998"/>
    <n v="2.4990000000000001"/>
    <n v="5.9790000000000001"/>
    <n v="2.694"/>
    <n v="0"/>
    <n v="1.629"/>
    <n v="1.6379999999999999"/>
    <n v="3.3660000000000001"/>
    <n v="2.4740000000000002"/>
    <n v="1.4950000000000001"/>
    <n v="0"/>
    <n v="0"/>
    <n v="1.552"/>
    <n v="4.5060000000000002"/>
    <n v="2.0350000000000001"/>
    <n v="1.7749999999999999"/>
    <n v="3.1179999999999999"/>
    <n v="0.53600000000000003"/>
    <n v="0"/>
    <n v="0"/>
    <n v="0"/>
    <n v="0"/>
    <n v="2.1992258064516128"/>
    <n v="2.094500768049155E-2"/>
  </r>
  <r>
    <n v="34"/>
    <x v="6"/>
    <x v="31"/>
    <s v="Mahagun Hotel"/>
    <s v="Public-Paid"/>
    <s v="7.4 kW"/>
    <s v="OCPP"/>
    <n v="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x v="6"/>
    <x v="32"/>
    <m/>
    <s v="Public-Paid"/>
    <s v="3.3 kW"/>
    <s v="LEVAC-BLE"/>
    <n v="82"/>
    <m/>
    <n v="5.0860000000000003"/>
    <n v="4.9160000000000004"/>
    <n v="2.1989999999999998"/>
    <n v="8.1050000000000004"/>
    <n v="6.9539999999999997"/>
    <n v="17.417000000000002"/>
    <n v="11.22"/>
    <n v="2.2250000000000001"/>
    <n v="1.36"/>
    <n v="2.4849999999999999"/>
    <n v="20.995999999999999"/>
    <n v="0"/>
    <n v="6.3140000000000001"/>
    <n v="0"/>
    <n v="0"/>
    <n v="0"/>
    <n v="0"/>
    <n v="9.7940000000000005"/>
    <n v="11.478999999999999"/>
    <n v="5.5709999999999997"/>
    <n v="5.9459999999999997"/>
    <n v="6.0510000000000002"/>
    <n v="0"/>
    <n v="0"/>
    <n v="0"/>
    <n v="2.2730000000000001"/>
    <n v="0.65900000000000003"/>
    <n v="0"/>
    <n v="0"/>
    <n v="0"/>
    <n v="0"/>
    <n v="4.2274193548387089"/>
    <n v="5.1553894571203768E-2"/>
  </r>
  <r>
    <n v="36"/>
    <x v="6"/>
    <x v="33"/>
    <s v="ETO"/>
    <s v="Public-Paid"/>
    <s v="3.3 kW"/>
    <s v="OCPP"/>
    <n v="5"/>
    <n v="14"/>
    <n v="37.46"/>
    <n v="50.73"/>
    <n v="46.99"/>
    <n v="49.66"/>
    <n v="60"/>
    <n v="45.86"/>
    <n v="53.83"/>
    <n v="32.25"/>
    <n v="37.93"/>
    <n v="38.04"/>
    <n v="41.91"/>
    <n v="58.82"/>
    <n v="53.75"/>
    <n v="52.37"/>
    <n v="42.94"/>
    <n v="44.25"/>
    <n v="56.42"/>
    <n v="62.11"/>
    <n v="26.1"/>
    <n v="54.53"/>
    <n v="40.299999999999997"/>
    <n v="38.36"/>
    <n v="33.99"/>
    <n v="41.95"/>
    <n v="42.15"/>
    <n v="45.92"/>
    <n v="35.92"/>
    <n v="50.7"/>
    <n v="30.47"/>
    <n v="60.47"/>
    <n v="53.12"/>
    <n v="45.78387096774194"/>
    <n v="9.1567741935483884"/>
  </r>
  <r>
    <n v="37"/>
    <x v="6"/>
    <x v="34"/>
    <s v="ETO"/>
    <s v="Public-Free"/>
    <s v="3.3 kW"/>
    <s v="LEVAC-BLE"/>
    <n v="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x v="6"/>
    <x v="35"/>
    <s v="ETO"/>
    <s v="Public-Paid"/>
    <s v="3.3 kW"/>
    <s v="OCPP"/>
    <n v="16"/>
    <m/>
    <n v="11.59"/>
    <n v="0.01"/>
    <n v="0"/>
    <n v="0.22"/>
    <n v="26.24"/>
    <n v="16.7"/>
    <n v="17.16"/>
    <n v="24.69"/>
    <n v="12.23"/>
    <n v="36.69"/>
    <n v="7.39"/>
    <n v="14.86"/>
    <n v="12.48"/>
    <n v="30.34"/>
    <n v="7.01"/>
    <n v="36.44"/>
    <n v="0"/>
    <n v="16.29"/>
    <n v="32.65"/>
    <n v="16.03"/>
    <n v="22.43"/>
    <n v="13.85"/>
    <n v="19"/>
    <n v="22.77"/>
    <n v="11.83"/>
    <n v="13.51"/>
    <n v="16.510000000000002"/>
    <n v="3.92"/>
    <n v="29.31"/>
    <n v="27.28"/>
    <n v="13.19"/>
    <n v="16.536129032258064"/>
    <n v="1.033508064516129"/>
  </r>
  <r>
    <n v="39"/>
    <x v="6"/>
    <x v="36"/>
    <s v="ETO"/>
    <s v="Public-Paid"/>
    <s v="3.3 kW"/>
    <s v="OCPP"/>
    <n v="10"/>
    <n v="15"/>
    <n v="17.78"/>
    <n v="24.85"/>
    <n v="28.39"/>
    <n v="12"/>
    <n v="30.14"/>
    <n v="31.48"/>
    <n v="44.21"/>
    <n v="42.57"/>
    <n v="45.95"/>
    <n v="21.27"/>
    <n v="10.73"/>
    <n v="11.9"/>
    <n v="19.32"/>
    <n v="32.49"/>
    <n v="33.450000000000003"/>
    <n v="45.1"/>
    <n v="31.25"/>
    <n v="18.73"/>
    <n v="58.85"/>
    <n v="40.28"/>
    <n v="42.69"/>
    <n v="59.91"/>
    <n v="39.07"/>
    <n v="55.14"/>
    <n v="16.47"/>
    <n v="58.34"/>
    <n v="51.04"/>
    <n v="41.37"/>
    <n v="69.760000000000005"/>
    <n v="67.13"/>
    <n v="36.57"/>
    <n v="36.717096774193557"/>
    <n v="3.6717096774193556"/>
  </r>
  <r>
    <n v="40"/>
    <x v="6"/>
    <x v="37"/>
    <s v="ETO"/>
    <s v="Public-Paid"/>
    <s v="3.3 kW"/>
    <s v="OCPP"/>
    <n v="13"/>
    <n v="23"/>
    <n v="42.8"/>
    <n v="54.26"/>
    <n v="37.159999999999997"/>
    <n v="56.43"/>
    <n v="58.2"/>
    <n v="47.12"/>
    <n v="38.68"/>
    <n v="61.08"/>
    <n v="43.49"/>
    <n v="30.97"/>
    <n v="38.31"/>
    <n v="49.01"/>
    <n v="58.96"/>
    <n v="54.64"/>
    <n v="63.68"/>
    <n v="59.56"/>
    <n v="53.84"/>
    <n v="43.37"/>
    <n v="58.23"/>
    <n v="42.58"/>
    <n v="41.1"/>
    <n v="33.15"/>
    <n v="54.5"/>
    <n v="42.04"/>
    <n v="29.42"/>
    <n v="38.04"/>
    <n v="17.18"/>
    <n v="55.63"/>
    <n v="37.700000000000003"/>
    <n v="35.04"/>
    <n v="6.75"/>
    <n v="44.610322580645182"/>
    <n v="3.4315632754342449"/>
  </r>
  <r>
    <n v="41"/>
    <x v="6"/>
    <x v="38"/>
    <s v="ETO"/>
    <s v="Public-Paid"/>
    <s v="3.3 kW"/>
    <s v="OCPP"/>
    <n v="19"/>
    <n v="39"/>
    <n v="90.19"/>
    <n v="67.77"/>
    <n v="57.13"/>
    <n v="44.42"/>
    <n v="67.25"/>
    <n v="64.25"/>
    <n v="59.86"/>
    <n v="78"/>
    <n v="61.57"/>
    <n v="72.67"/>
    <n v="62.58"/>
    <n v="51.79"/>
    <n v="66.11"/>
    <n v="76.459999999999994"/>
    <n v="89.09"/>
    <n v="49.87"/>
    <n v="59.62"/>
    <n v="57.36"/>
    <n v="74.61"/>
    <n v="63.83"/>
    <n v="55.61"/>
    <n v="65.92"/>
    <n v="66.319999999999993"/>
    <n v="68.650000000000006"/>
    <n v="71.39"/>
    <n v="58.6"/>
    <n v="66.05"/>
    <n v="47.16"/>
    <n v="61.17"/>
    <n v="61.5"/>
    <n v="66.48"/>
    <n v="64.621935483870956"/>
    <n v="3.4011544991511031"/>
  </r>
  <r>
    <n v="42"/>
    <x v="6"/>
    <x v="39"/>
    <s v="ETO"/>
    <s v="Public-Free"/>
    <s v="3.3 kW"/>
    <s v="LEVAC-BLE"/>
    <n v="24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"/>
    <x v="40"/>
    <s v="ETO"/>
    <s v="Public-Free"/>
    <s v="3.3 kW"/>
    <s v="OCPP"/>
    <n v="3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6"/>
    <x v="41"/>
    <s v="ETO"/>
    <s v="Public-Paid"/>
    <s v="3.3 kW"/>
    <s v="OCPP"/>
    <n v="1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6"/>
    <x v="42"/>
    <s v="ETO"/>
    <s v="Public-Paid"/>
    <s v="3.3 kW"/>
    <s v="OCPP"/>
    <n v="1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6"/>
    <x v="43"/>
    <s v="Trinity"/>
    <s v="Public-Free"/>
    <s v="3.3 kW"/>
    <s v="OCPP"/>
    <n v="6"/>
    <m/>
    <n v="49.27"/>
    <n v="7.97"/>
    <n v="17.54"/>
    <n v="42.79"/>
    <n v="44.92"/>
    <n v="52.04"/>
    <n v="27.49"/>
    <n v="63.79"/>
    <n v="24.27"/>
    <n v="0"/>
    <n v="33.25"/>
    <n v="48.76"/>
    <n v="40.049999999999997"/>
    <n v="59.6"/>
    <n v="45.96"/>
    <n v="4.3"/>
    <n v="15.25"/>
    <n v="66.73"/>
    <n v="47.5"/>
    <n v="68.72"/>
    <n v="70.150000000000006"/>
    <n v="59.77"/>
    <n v="22.77"/>
    <n v="0"/>
    <n v="0"/>
    <n v="42.46"/>
    <n v="67.19"/>
    <n v="20.28"/>
    <n v="28.72"/>
    <n v="0"/>
    <n v="0"/>
    <n v="34.5658064516129"/>
    <n v="5.7609677419354837"/>
  </r>
  <r>
    <n v="47"/>
    <x v="6"/>
    <x v="43"/>
    <s v="Trinity"/>
    <s v="Public-Free"/>
    <s v="7.4 kW"/>
    <s v="OCPP"/>
    <n v="1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7"/>
    <n v="0"/>
    <n v="0"/>
    <n v="0"/>
    <n v="0"/>
    <n v="0"/>
    <n v="0"/>
    <n v="13"/>
    <n v="21.86"/>
    <n v="9.84"/>
    <n v="0"/>
    <n v="1.4570967741935485"/>
    <n v="1.4570967741935485"/>
  </r>
  <r>
    <n v="48"/>
    <x v="6"/>
    <x v="44"/>
    <s v="Log9"/>
    <s v="Public-Free"/>
    <s v="15 Kw"/>
    <s v="DC Charger"/>
    <n v="1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6"/>
    <x v="45"/>
    <s v="Log9"/>
    <s v="Public-Free"/>
    <s v="15kW"/>
    <s v="DC Charger"/>
    <n v="1"/>
    <m/>
    <n v="83.55"/>
    <n v="80.19"/>
    <n v="81.33"/>
    <n v="83.899999999999991"/>
    <n v="84.14"/>
    <n v="87.25"/>
    <n v="80.87"/>
    <n v="78.97999999999999"/>
    <n v="77.12"/>
    <n v="75.72"/>
    <n v="81.260000000000005"/>
    <n v="80.849999999999994"/>
    <n v="78.959999999999994"/>
    <n v="80.55"/>
    <n v="83.98"/>
    <n v="82.67"/>
    <n v="80.650000000000006"/>
    <n v="81.290000000000006"/>
    <n v="80.33"/>
    <n v="83.23"/>
    <n v="78.38"/>
    <n v="80.87"/>
    <n v="82.56"/>
    <n v="80.11"/>
    <n v="79.319999999999993"/>
    <n v="78.55"/>
    <n v="80.12"/>
    <n v="82.54"/>
    <n v="0"/>
    <n v="0"/>
    <n v="0"/>
    <n v="73.20225806451613"/>
    <n v="73.20225806451613"/>
  </r>
  <r>
    <n v="50"/>
    <x v="6"/>
    <x v="46"/>
    <s v="Log9"/>
    <s v="Public-Free"/>
    <s v="15kW"/>
    <s v="DC Charger"/>
    <n v="1"/>
    <m/>
    <n v="13.98"/>
    <n v="12.32"/>
    <n v="10.55"/>
    <n v="10.98"/>
    <n v="11.09"/>
    <n v="10.77"/>
    <n v="12.68"/>
    <n v="13.87"/>
    <n v="12.96"/>
    <n v="13.83"/>
    <n v="11.63"/>
    <n v="10.49"/>
    <n v="6.36"/>
    <n v="10.98"/>
    <n v="11.23"/>
    <n v="12.98"/>
    <n v="11.43"/>
    <n v="10.54"/>
    <n v="10.32"/>
    <n v="12.87"/>
    <n v="10.51"/>
    <n v="13.55"/>
    <n v="12.81"/>
    <n v="10.93"/>
    <n v="12.33"/>
    <n v="10.91"/>
    <n v="11.23"/>
    <n v="9.5500000000000007"/>
    <n v="0"/>
    <n v="0"/>
    <n v="0"/>
    <n v="10.441290322580647"/>
    <n v="10.441290322580647"/>
  </r>
  <r>
    <n v="51"/>
    <x v="7"/>
    <x v="47"/>
    <s v="ETO"/>
    <s v="Public-Paid"/>
    <s v="3.3kW"/>
    <s v="OCPP"/>
    <n v="20"/>
    <m/>
    <n v="142.53"/>
    <n v="128.49"/>
    <n v="130.52000000000001"/>
    <n v="139.52000000000001"/>
    <n v="218.71"/>
    <n v="187.54"/>
    <n v="145.84"/>
    <n v="177.29"/>
    <n v="141.55000000000001"/>
    <n v="131.05000000000001"/>
    <n v="115.59"/>
    <n v="147.1"/>
    <n v="133.93"/>
    <n v="159.9"/>
    <n v="163.85"/>
    <n v="125.25"/>
    <n v="107.85"/>
    <n v="103.17"/>
    <n v="141.44999999999999"/>
    <n v="137.19999999999999"/>
    <n v="109.97"/>
    <n v="129.04"/>
    <n v="105.33"/>
    <n v="88.97"/>
    <n v="87.2"/>
    <n v="126.53"/>
    <n v="94"/>
    <n v="71.56"/>
    <n v="71.7"/>
    <n v="60.65"/>
    <n v="35.15"/>
    <n v="124.46548387096769"/>
    <n v="6.2232741935483844"/>
  </r>
  <r>
    <n v="52"/>
    <x v="7"/>
    <x v="48"/>
    <s v="Trinity"/>
    <s v="Public-Paid"/>
    <s v="3.3kW"/>
    <s v="OCPP"/>
    <n v="2"/>
    <m/>
    <n v="0"/>
    <n v="0"/>
    <n v="0"/>
    <n v="0"/>
    <n v="0"/>
    <n v="0"/>
    <n v="0"/>
    <n v="0"/>
    <n v="0"/>
    <n v="0"/>
    <n v="0"/>
    <n v="0"/>
    <n v="0"/>
    <n v="11.78"/>
    <n v="5.24"/>
    <n v="10.45"/>
    <n v="8.08"/>
    <n v="2.11"/>
    <n v="16.95"/>
    <n v="9.83"/>
    <n v="12.32"/>
    <n v="10.91"/>
    <n v="7.21"/>
    <n v="12.39"/>
    <n v="0.21"/>
    <n v="15.58"/>
    <n v="8.16"/>
    <n v="12.17"/>
    <n v="14.17"/>
    <n v="28.31"/>
    <n v="6.37"/>
    <n v="6.2012903225806433"/>
    <n v="3.1006451612903216"/>
  </r>
  <r>
    <n v="53"/>
    <x v="6"/>
    <x v="49"/>
    <s v="ETO"/>
    <s v="Public-Free"/>
    <s v="3.3 kW"/>
    <s v="LEVAC-BLE"/>
    <n v="3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6"/>
    <x v="50"/>
    <s v="Trinity"/>
    <s v="Public-Paid"/>
    <s v="7.4 kW"/>
    <s v="OCPP"/>
    <n v="2"/>
    <m/>
    <n v="0"/>
    <n v="0"/>
    <n v="0"/>
    <n v="43.62"/>
    <n v="18.47"/>
    <n v="0"/>
    <n v="0"/>
    <n v="48.47"/>
    <n v="14.22"/>
    <n v="0"/>
    <n v="0"/>
    <n v="50.55"/>
    <n v="0"/>
    <n v="0"/>
    <n v="0"/>
    <n v="71.62"/>
    <n v="0"/>
    <n v="0"/>
    <n v="0"/>
    <n v="0"/>
    <n v="0"/>
    <n v="16.57"/>
    <n v="47.43"/>
    <n v="0"/>
    <n v="0"/>
    <n v="0"/>
    <n v="53.45"/>
    <n v="18.64"/>
    <n v="0"/>
    <n v="0"/>
    <n v="49.31"/>
    <n v="13.946774193548386"/>
    <n v="6.9733870967741929"/>
  </r>
  <r>
    <n v="55"/>
    <x v="6"/>
    <x v="51"/>
    <m/>
    <s v="Private-Paid"/>
    <s v="3.3kW"/>
    <s v="OCPP"/>
    <n v="2"/>
    <m/>
    <n v="21.76"/>
    <n v="0"/>
    <n v="0"/>
    <n v="28.06"/>
    <n v="18.420000000000002"/>
    <n v="30"/>
    <n v="40.9"/>
    <n v="27.55"/>
    <n v="5.98"/>
    <n v="0"/>
    <n v="31.29"/>
    <n v="13.68"/>
    <n v="11.87"/>
    <n v="23.28"/>
    <n v="9.6300000000000008"/>
    <n v="0.97"/>
    <n v="0"/>
    <n v="20.84"/>
    <n v="10.9"/>
    <n v="12.92"/>
    <n v="14.19"/>
    <n v="33.5"/>
    <n v="1.33"/>
    <n v="0"/>
    <n v="0.24"/>
    <n v="1.93"/>
    <n v="19.04"/>
    <n v="27.06"/>
    <n v="31.34"/>
    <n v="8.68"/>
    <n v="7.65"/>
    <n v="14.613225806451613"/>
    <n v="7.3066129032258065"/>
  </r>
  <r>
    <n v="56"/>
    <x v="6"/>
    <x v="52"/>
    <s v="Trinity"/>
    <s v="Public-Paid"/>
    <s v="3.3kW"/>
    <s v="OCPP"/>
    <n v="20"/>
    <m/>
    <n v="54.18"/>
    <n v="74.52"/>
    <n v="36.53"/>
    <n v="50.99"/>
    <n v="49.22"/>
    <n v="50.9"/>
    <n v="25.48"/>
    <n v="13.81"/>
    <n v="29.04"/>
    <n v="36.29"/>
    <n v="46.8"/>
    <n v="18.47"/>
    <n v="31.27"/>
    <n v="32.06"/>
    <n v="45.91"/>
    <n v="32.229999999999997"/>
    <n v="29.41"/>
    <n v="40.590000000000003"/>
    <n v="40.479999999999997"/>
    <n v="54.63"/>
    <n v="47.97"/>
    <n v="48.42"/>
    <n v="52.59"/>
    <n v="42.52"/>
    <n v="25.6"/>
    <n v="59.89"/>
    <n v="76.34"/>
    <n v="67.12"/>
    <n v="52.54"/>
    <n v="58.09"/>
    <n v="35.479999999999997"/>
    <n v="43.850645161290309"/>
    <n v="2.1925322580645155"/>
  </r>
  <r>
    <n v="57"/>
    <x v="6"/>
    <x v="53"/>
    <s v="Trinity"/>
    <s v="Public-Paid"/>
    <s v="3.3kW"/>
    <s v="OCPP"/>
    <n v="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6"/>
    <x v="53"/>
    <s v="Trinity"/>
    <s v="Public-Paid"/>
    <s v="7.4 kW"/>
    <s v="OCPP"/>
    <n v="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x v="6"/>
    <x v="54"/>
    <s v="Trinity"/>
    <s v="Public-Paid"/>
    <s v="3.3kW"/>
    <s v="LEVAC-BLE"/>
    <n v="2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">
  <r>
    <n v="1"/>
    <x v="0"/>
    <x v="0"/>
    <s v="Amazon"/>
    <s v="Public-Paid"/>
    <s v="3.3 kW"/>
    <s v="OCPP"/>
    <n v="6"/>
    <n v="52.7"/>
    <n v="30.29"/>
    <n v="52.91"/>
    <n v="34.229999999999997"/>
    <n v="67.599999999999994"/>
    <n v="75.63"/>
    <n v="59.57"/>
    <n v="65.89"/>
    <n v="59.86"/>
    <n v="46.59"/>
    <n v="62.8"/>
    <n v="53.65"/>
    <n v="39.909999999999997"/>
    <n v="63.64"/>
    <n v="70.89"/>
    <n v="41.45"/>
    <n v="66.069999999999993"/>
    <n v="52.89"/>
    <n v="44.04"/>
    <n v="33.68"/>
    <n v="50.3"/>
    <n v="35.340000000000003"/>
    <n v="43.67"/>
    <n v="50.31"/>
    <n v="70.849999999999994"/>
    <n v="47.01"/>
    <n v="45.23"/>
    <n v="43.23"/>
    <n v="23.87"/>
    <n v="52"/>
    <n v="51.203333333333326"/>
  </r>
  <r>
    <n v="2"/>
    <x v="0"/>
    <x v="1"/>
    <s v="Amazon"/>
    <s v="Public-Paid"/>
    <s v="3.3 kW"/>
    <s v="OCPP"/>
    <n v="9"/>
    <n v="141.85"/>
    <n v="101.9"/>
    <n v="151.97999999999999"/>
    <n v="119.5"/>
    <n v="118.87"/>
    <n v="120.17"/>
    <n v="106.84"/>
    <n v="151.56"/>
    <n v="143.83000000000001"/>
    <n v="135.53"/>
    <n v="141.69"/>
    <n v="112.18"/>
    <n v="71.56"/>
    <n v="111.83"/>
    <n v="125.77500000000001"/>
    <n v="137.59"/>
    <n v="105.9"/>
    <n v="139.79"/>
    <n v="81.790000000000006"/>
    <n v="94.77"/>
    <n v="116.97"/>
    <n v="113.87"/>
    <n v="76.95"/>
    <n v="138.32"/>
    <n v="88.83"/>
    <n v="112.46"/>
    <n v="72.739999999999995"/>
    <n v="104.26"/>
    <n v="86.18"/>
    <n v="35.1"/>
    <n v="112.01949999999997"/>
  </r>
  <r>
    <n v="3"/>
    <x v="0"/>
    <x v="2"/>
    <s v="Amazon"/>
    <s v="Public-Paid"/>
    <s v="3.3 kW"/>
    <s v="OCPP"/>
    <n v="3"/>
    <n v="74.489999999999995"/>
    <n v="76.41"/>
    <n v="80"/>
    <n v="75.819999999999993"/>
    <n v="54.78"/>
    <n v="77.27"/>
    <n v="67.680000000000007"/>
    <n v="68.430000000000007"/>
    <n v="72.739999999999995"/>
    <n v="89.37"/>
    <n v="82.3"/>
    <n v="46.08"/>
    <n v="65.89"/>
    <n v="54.22"/>
    <n v="64.069999999999993"/>
    <n v="67.099999999999994"/>
    <n v="39.79"/>
    <n v="58.15"/>
    <n v="50.77"/>
    <n v="46.95"/>
    <n v="49.75"/>
    <n v="52.93"/>
    <n v="60.41"/>
    <n v="38.06"/>
    <n v="54.53"/>
    <n v="49.72"/>
    <n v="52.24"/>
    <n v="50.01"/>
    <n v="47.65"/>
    <n v="13.48"/>
    <n v="59.369666666666674"/>
  </r>
  <r>
    <n v="4"/>
    <x v="0"/>
    <x v="3"/>
    <s v="Big Basket"/>
    <s v="Public-Free"/>
    <s v="3.3 kW"/>
    <s v="OCPP"/>
    <n v="3"/>
    <n v="48.27"/>
    <n v="42.18"/>
    <n v="49.11"/>
    <n v="52.06"/>
    <n v="47.31"/>
    <n v="51.78"/>
    <n v="28.06"/>
    <n v="51.67"/>
    <n v="39.03"/>
    <n v="64.680000000000007"/>
    <n v="53.12"/>
    <n v="49.75"/>
    <n v="45.47"/>
    <n v="22.14"/>
    <n v="29.73"/>
    <n v="21.32"/>
    <n v="38.28"/>
    <n v="32.19"/>
    <n v="32.6"/>
    <n v="37.380000000000003"/>
    <n v="60.11"/>
    <n v="64.790000000000006"/>
    <n v="46.06"/>
    <n v="41.32"/>
    <n v="56.89"/>
    <n v="57.72"/>
    <n v="50.12"/>
    <n v="42.21"/>
    <n v="37.61"/>
    <n v="12.1"/>
    <n v="43.501999999999995"/>
  </r>
  <r>
    <n v="5"/>
    <x v="0"/>
    <x v="4"/>
    <s v="Deccan College of Engg.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0"/>
    <x v="5"/>
    <s v="ETO Driver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x v="6"/>
    <s v="ETO"/>
    <s v="Public-Paid"/>
    <s v="3.3 kW"/>
    <s v="OCPP"/>
    <n v="8"/>
    <n v="37.020000000000003"/>
    <n v="66.67"/>
    <n v="56.28"/>
    <n v="70.34"/>
    <n v="66.849999999999994"/>
    <n v="60.49"/>
    <n v="69.650000000000006"/>
    <n v="82.91"/>
    <n v="71.98"/>
    <n v="92.97"/>
    <n v="102.39"/>
    <n v="59.57"/>
    <n v="51.25"/>
    <n v="58.2"/>
    <n v="51.23"/>
    <n v="57.78"/>
    <n v="48.6"/>
    <n v="85.39"/>
    <n v="65.900000000000006"/>
    <n v="63.49"/>
    <n v="61.48"/>
    <n v="67.53"/>
    <n v="55.43"/>
    <n v="79.239999999999995"/>
    <n v="67.89"/>
    <n v="68.22"/>
    <n v="55.51"/>
    <n v="57.74"/>
    <n v="47.67"/>
    <n v="46.71"/>
    <n v="64.212666666666692"/>
  </r>
  <r>
    <n v="8"/>
    <x v="0"/>
    <x v="7"/>
    <s v="HMRL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8"/>
    <s v="ETO"/>
    <s v="Public-Paid"/>
    <s v="3.3 kW"/>
    <s v="OCPP"/>
    <n v="17"/>
    <n v="174.26"/>
    <n v="211.54"/>
    <n v="166.08"/>
    <n v="161.63999999999999"/>
    <n v="174.57"/>
    <n v="156.96"/>
    <n v="150.44"/>
    <n v="112.46"/>
    <n v="127.37"/>
    <n v="105.27"/>
    <n v="140.4"/>
    <n v="114.71"/>
    <n v="94.28"/>
    <n v="95.8"/>
    <n v="124.68"/>
    <n v="120.37"/>
    <n v="130.79"/>
    <n v="165.16"/>
    <n v="139.96"/>
    <n v="122.92"/>
    <n v="114.98"/>
    <n v="152.1"/>
    <n v="164.58"/>
    <n v="127.83"/>
    <n v="101.67"/>
    <n v="169.16"/>
    <n v="158.94"/>
    <n v="127.22"/>
    <n v="148.77000000000001"/>
    <n v="123.57"/>
    <n v="139.28266666666664"/>
  </r>
  <r>
    <n v="10"/>
    <x v="0"/>
    <x v="8"/>
    <s v="ETO"/>
    <s v="Public-Paid"/>
    <s v="3.3 kW"/>
    <s v="DC Charger"/>
    <n v="1"/>
    <n v="0"/>
    <n v="0.02"/>
    <n v="2.17"/>
    <n v="2.34"/>
    <n v="5.58"/>
    <n v="22.21"/>
    <n v="23.82"/>
    <n v="18.13"/>
    <n v="18.420000000000002"/>
    <n v="20.239999999999998"/>
    <n v="16.86"/>
    <n v="28.58"/>
    <n v="15.08"/>
    <n v="13.16"/>
    <n v="25.87"/>
    <n v="15.71"/>
    <n v="24.33"/>
    <n v="11.58"/>
    <n v="16.920000000000002"/>
    <n v="12.01"/>
    <n v="43.03"/>
    <n v="19.16"/>
    <n v="24.9"/>
    <n v="8.9600000000000009"/>
    <n v="13.47"/>
    <n v="19.8"/>
    <n v="8.69"/>
    <n v="25.28"/>
    <n v="6.54"/>
    <n v="7.15"/>
    <n v="15.667000000000002"/>
  </r>
  <r>
    <n v="11"/>
    <x v="0"/>
    <x v="8"/>
    <s v="ETO"/>
    <s v="Public-Paid"/>
    <s v="12kW"/>
    <s v="DC Charger"/>
    <n v="1"/>
    <n v="0"/>
    <n v="0"/>
    <n v="0"/>
    <n v="0"/>
    <n v="0"/>
    <n v="0"/>
    <n v="0"/>
    <n v="22.27"/>
    <n v="9.5399999999999991"/>
    <n v="16.25"/>
    <n v="8.82"/>
    <n v="4.38"/>
    <n v="9.2799999999999994"/>
    <n v="4.53"/>
    <n v="16.670000000000002"/>
    <n v="19.7"/>
    <n v="11.82"/>
    <n v="16.260000000000002"/>
    <n v="13.49"/>
    <n v="15.45"/>
    <n v="6.95"/>
    <n v="8.8000000000000007"/>
    <n v="0.01"/>
    <n v="0.01"/>
    <n v="0.28999999999999998"/>
    <n v="3.71"/>
    <n v="7.6"/>
    <n v="13.19"/>
    <n v="11.92"/>
    <n v="14.18"/>
    <n v="7.8373333333333326"/>
  </r>
  <r>
    <n v="12"/>
    <x v="0"/>
    <x v="9"/>
    <s v="ETO"/>
    <s v="Public-Free"/>
    <s v="3.3 kW"/>
    <s v="OCPP"/>
    <n v="6"/>
    <n v="30.76"/>
    <n v="43.84"/>
    <n v="40.11"/>
    <n v="26.15"/>
    <n v="22.75"/>
    <n v="14.06"/>
    <n v="32.979999999999997"/>
    <n v="14.29"/>
    <n v="16.5"/>
    <n v="24.75"/>
    <n v="24.78"/>
    <n v="33.159999999999997"/>
    <n v="23.35"/>
    <n v="19.579999999999998"/>
    <n v="22.5"/>
    <n v="24.69"/>
    <n v="36.56"/>
    <n v="27.56"/>
    <n v="25.09"/>
    <n v="17.010000000000002"/>
    <n v="32.020000000000003"/>
    <n v="17.95"/>
    <n v="30.83"/>
    <n v="24.06"/>
    <n v="25.02"/>
    <n v="27.97"/>
    <n v="18.010000000000002"/>
    <n v="20.440000000000001"/>
    <n v="22.82"/>
    <n v="26.55"/>
    <n v="25.538000000000004"/>
  </r>
  <r>
    <n v="13"/>
    <x v="0"/>
    <x v="10"/>
    <s v="ETO"/>
    <s v="Public-Paid"/>
    <s v="3.3 kW"/>
    <s v="OCPP"/>
    <n v="6"/>
    <n v="36.92"/>
    <n v="40.96"/>
    <n v="32.270000000000003"/>
    <n v="52.44"/>
    <n v="46.16"/>
    <n v="39.28"/>
    <n v="43.05"/>
    <n v="45.88"/>
    <n v="43.01"/>
    <n v="52.04"/>
    <n v="41.77"/>
    <n v="41.63"/>
    <n v="30.18"/>
    <n v="33.94"/>
    <n v="34.340000000000003"/>
    <n v="23.12"/>
    <n v="43.16"/>
    <n v="44.99"/>
    <n v="48.02"/>
    <n v="32.79"/>
    <n v="38.32"/>
    <n v="31.19"/>
    <n v="36.96"/>
    <n v="41.2"/>
    <n v="17.75"/>
    <n v="43.77"/>
    <n v="34.08"/>
    <n v="36.619999999999997"/>
    <n v="29.47"/>
    <n v="31.48"/>
    <n v="38.226333333333329"/>
  </r>
  <r>
    <n v="14"/>
    <x v="0"/>
    <x v="11"/>
    <s v="ETO"/>
    <s v="Public-Free"/>
    <s v="3.3 kW"/>
    <s v="OCPP"/>
    <n v="3"/>
    <n v="53.63"/>
    <n v="33.76"/>
    <n v="38.79"/>
    <n v="27.63"/>
    <n v="47.05"/>
    <n v="53.38"/>
    <n v="26.64"/>
    <n v="42.36"/>
    <n v="53.44"/>
    <n v="38.57"/>
    <n v="42.66"/>
    <n v="59.78"/>
    <n v="29.58"/>
    <n v="40.799999999999997"/>
    <n v="40.369999999999997"/>
    <n v="44.63"/>
    <n v="51.66"/>
    <n v="50.89"/>
    <n v="17.350000000000001"/>
    <n v="58.49"/>
    <n v="32.53"/>
    <n v="57.55"/>
    <n v="34.75"/>
    <n v="45.47"/>
    <n v="44.57"/>
    <n v="31.76"/>
    <n v="48.82"/>
    <n v="39.72"/>
    <n v="5.39"/>
    <n v="25.22"/>
    <n v="40.574666666666666"/>
  </r>
  <r>
    <n v="15"/>
    <x v="0"/>
    <x v="12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0"/>
    <x v="13"/>
    <s v="Bluedart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14"/>
    <s v="Dhuni Polymers"/>
    <s v="Public-Free"/>
    <s v="3.3 kW"/>
    <s v="LEVAC-BLE"/>
    <n v="1"/>
    <n v="0"/>
    <n v="0"/>
    <n v="0"/>
    <n v="0"/>
    <n v="0"/>
    <n v="3.0000000000000001E-3"/>
    <n v="2.5110000000000001"/>
    <n v="0"/>
    <n v="0"/>
    <n v="0"/>
    <n v="0"/>
    <n v="0"/>
    <n v="0"/>
    <n v="0"/>
    <n v="0"/>
    <n v="0"/>
    <n v="0"/>
    <n v="0"/>
    <n v="0"/>
    <n v="0"/>
    <n v="0"/>
    <n v="0"/>
    <n v="3.5939999999999999"/>
    <n v="0"/>
    <n v="0"/>
    <n v="0"/>
    <n v="4.8769999999999998"/>
    <n v="0"/>
    <n v="0"/>
    <n v="0"/>
    <n v="0.36616666666666664"/>
  </r>
  <r>
    <n v="18"/>
    <x v="0"/>
    <x v="15"/>
    <s v="Trinity"/>
    <s v="Public-Paid"/>
    <s v="12 kW"/>
    <s v="OCPP"/>
    <n v="1"/>
    <n v="0"/>
    <n v="0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E-3"/>
  </r>
  <r>
    <n v="19"/>
    <x v="0"/>
    <x v="16"/>
    <s v="Trinity"/>
    <s v="Public-Paid"/>
    <s v="3.3 kW"/>
    <s v="OCPP"/>
    <n v="2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</r>
  <r>
    <n v="20"/>
    <x v="1"/>
    <x v="17"/>
    <s v="Trinity"/>
    <s v="Public-Paid"/>
    <s v="3.3 kW"/>
    <s v="OCPP"/>
    <n v="5"/>
    <n v="22.69"/>
    <n v="6.95"/>
    <n v="28.85"/>
    <n v="6.73"/>
    <n v="0"/>
    <n v="15.41"/>
    <n v="19.149999999999999"/>
    <n v="5.55"/>
    <n v="18.47"/>
    <n v="5.33"/>
    <n v="33.26"/>
    <n v="17.57"/>
    <n v="11.17"/>
    <n v="23.5"/>
    <n v="6.44"/>
    <n v="21.54"/>
    <n v="30.01"/>
    <n v="4.1100000000000003"/>
    <n v="13.22"/>
    <n v="19.760000000000002"/>
    <n v="21.63"/>
    <n v="17.28"/>
    <n v="36.69"/>
    <n v="27.49"/>
    <n v="24.1"/>
    <n v="8.92"/>
    <n v="9.99"/>
    <n v="9.6"/>
    <n v="19.66"/>
    <n v="20.36"/>
    <n v="16.847666666666672"/>
  </r>
  <r>
    <n v="21"/>
    <x v="1"/>
    <x v="18"/>
    <s v="Big Basket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"/>
    <x v="1"/>
    <x v="19"/>
    <s v="Trinity"/>
    <s v="Public-Paid"/>
    <s v="3.3 kW"/>
    <s v="OCPP"/>
    <n v="10"/>
    <n v="73.22"/>
    <n v="81.64"/>
    <n v="87.26"/>
    <n v="59.78"/>
    <n v="52.69"/>
    <n v="135.49"/>
    <n v="64.31"/>
    <n v="75.8"/>
    <n v="77.319999999999993"/>
    <n v="100.98"/>
    <n v="80.64"/>
    <n v="95.6"/>
    <n v="71.739999999999995"/>
    <n v="60.54"/>
    <n v="64.69"/>
    <n v="37.520000000000003"/>
    <n v="95.87"/>
    <n v="58.49"/>
    <n v="68.680000000000007"/>
    <n v="68.67"/>
    <n v="59.6"/>
    <n v="75.27"/>
    <n v="64.459999999999994"/>
    <n v="86.28"/>
    <n v="58.25"/>
    <n v="67.44"/>
    <n v="75.28"/>
    <n v="84.26"/>
    <n v="73.680000000000007"/>
    <n v="51.03"/>
    <n v="73.549333333333351"/>
  </r>
  <r>
    <n v="23"/>
    <x v="2"/>
    <x v="20"/>
    <s v="Trinity"/>
    <s v="Public-Free"/>
    <s v="3.3 kW"/>
    <s v="OCPP"/>
    <n v="5"/>
    <n v="30.36"/>
    <n v="22.84"/>
    <n v="24.98"/>
    <n v="6.53"/>
    <n v="6.65"/>
    <n v="23.45"/>
    <n v="38.33"/>
    <n v="13.56"/>
    <n v="28.33"/>
    <n v="18.690000000000001"/>
    <n v="23.32"/>
    <n v="2.91"/>
    <n v="24.29"/>
    <n v="16.36"/>
    <n v="26.9"/>
    <n v="5.96"/>
    <n v="0"/>
    <n v="0"/>
    <n v="0"/>
    <n v="0"/>
    <n v="0"/>
    <n v="0"/>
    <n v="0"/>
    <n v="17.05"/>
    <n v="11.94"/>
    <n v="2.88"/>
    <n v="10.5"/>
    <n v="29.9"/>
    <n v="19.87"/>
    <n v="24.45"/>
    <n v="14.334999999999999"/>
  </r>
  <r>
    <n v="24"/>
    <x v="2"/>
    <x v="21"/>
    <s v="Trinity"/>
    <s v="Public-Paid"/>
    <s v="3.3 kW"/>
    <s v="OCPP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"/>
    <x v="22"/>
    <s v="Trinity"/>
    <s v="Public-Paid"/>
    <s v="3.3 kW"/>
    <s v="OCPP"/>
    <n v="5"/>
    <n v="20.66"/>
    <n v="24.94"/>
    <n v="31.73"/>
    <n v="12.24"/>
    <n v="36.99"/>
    <n v="29.87"/>
    <n v="28.57"/>
    <n v="43.02"/>
    <n v="27.79"/>
    <n v="14.17"/>
    <n v="32.39"/>
    <n v="15.4"/>
    <n v="36.67"/>
    <n v="17.34"/>
    <n v="32.74"/>
    <n v="29.85"/>
    <n v="24.13"/>
    <n v="23.56"/>
    <n v="22.93"/>
    <n v="27.28"/>
    <n v="27.39"/>
    <n v="23.91"/>
    <n v="25.35"/>
    <n v="21.42"/>
    <n v="17.489999999999998"/>
    <n v="29.37"/>
    <n v="27.1"/>
    <n v="26.22"/>
    <n v="32.18"/>
    <n v="39.28"/>
    <n v="26.732666666666663"/>
  </r>
  <r>
    <n v="26"/>
    <x v="4"/>
    <x v="23"/>
    <s v="SOU"/>
    <s v="Public-Free"/>
    <s v="3.3 kW"/>
    <s v="OCPP"/>
    <n v="40"/>
    <n v="140.55000000000001"/>
    <n v="501.29"/>
    <n v="331.28"/>
    <n v="390.2"/>
    <n v="466.31"/>
    <n v="291.17"/>
    <n v="227.17"/>
    <n v="459.12"/>
    <n v="392.76"/>
    <n v="462.23"/>
    <n v="293.99"/>
    <n v="455.02"/>
    <n v="248.26"/>
    <n v="257.92"/>
    <n v="758.99"/>
    <n v="646.66999999999996"/>
    <n v="601.52"/>
    <n v="578.32000000000005"/>
    <n v="546.4"/>
    <n v="351.11"/>
    <n v="205.43"/>
    <n v="544.88"/>
    <n v="395.72"/>
    <n v="510.85"/>
    <n v="520.41"/>
    <n v="556.49"/>
    <n v="461.61"/>
    <n v="208.11"/>
    <n v="239.75"/>
    <n v="462.07"/>
    <n v="416.85333333333335"/>
  </r>
  <r>
    <n v="27"/>
    <x v="5"/>
    <x v="24"/>
    <s v="ETO"/>
    <s v="Public-Free"/>
    <s v="3.3 kW"/>
    <s v="LEVAC-BLE"/>
    <n v="6"/>
    <n v="6.69"/>
    <n v="9.3149999999999995"/>
    <n v="6.2789999999999999"/>
    <n v="8.5239999999999991"/>
    <n v="17.12"/>
    <n v="6.7489999999999997"/>
    <n v="17.702999999999999"/>
    <n v="8.6769999999999996"/>
    <n v="8.67"/>
    <n v="4.47"/>
    <n v="14.718999999999999"/>
    <n v="0"/>
    <n v="4.0609999999999999"/>
    <n v="0"/>
    <n v="3.7080000000000002"/>
    <n v="0"/>
    <n v="0"/>
    <n v="12.250999999999999"/>
    <n v="8.4009999999999998"/>
    <n v="7.0090000000000003"/>
    <n v="13.756"/>
    <n v="7.06"/>
    <n v="0"/>
    <n v="10.241"/>
    <n v="0"/>
    <n v="0"/>
    <n v="10.366"/>
    <n v="0"/>
    <n v="10.148"/>
    <n v="15.303000000000001"/>
    <n v="7.0406666666666666"/>
  </r>
  <r>
    <n v="28"/>
    <x v="5"/>
    <x v="25"/>
    <s v="Flipkart"/>
    <s v="Public-Free"/>
    <s v="3.3 kW"/>
    <s v="OCPP"/>
    <n v="3"/>
    <n v="61.06"/>
    <n v="47.23"/>
    <n v="67.02"/>
    <n v="81.400000000000006"/>
    <n v="56.45"/>
    <n v="91.39"/>
    <n v="70.03"/>
    <n v="85.48"/>
    <n v="103.11"/>
    <n v="75.760000000000005"/>
    <n v="60.25"/>
    <n v="88.48"/>
    <n v="69.77"/>
    <n v="22.05"/>
    <n v="55.33"/>
    <n v="50.72"/>
    <n v="67.95"/>
    <n v="58.58"/>
    <n v="63.1"/>
    <n v="50.2"/>
    <n v="77.7"/>
    <n v="83.17"/>
    <n v="53.34"/>
    <n v="68.12"/>
    <n v="60.46"/>
    <n v="75.23"/>
    <n v="59.34"/>
    <n v="83.2"/>
    <n v="44.27"/>
    <n v="75.239999999999995"/>
    <n v="66.847666666666669"/>
  </r>
  <r>
    <n v="29"/>
    <x v="5"/>
    <x v="26"/>
    <s v="Flipkart"/>
    <s v="Public-Free"/>
    <s v="3.3 kW"/>
    <s v="OCPP"/>
    <n v="9"/>
    <n v="143.09"/>
    <n v="81.11"/>
    <n v="216.28"/>
    <n v="203.47"/>
    <n v="200.55"/>
    <n v="166.29"/>
    <n v="194.15"/>
    <n v="160.74"/>
    <n v="175.67"/>
    <n v="205.28"/>
    <n v="167.29"/>
    <n v="215.25"/>
    <n v="131.19"/>
    <n v="45"/>
    <n v="79.930000000000007"/>
    <n v="170.82"/>
    <n v="114"/>
    <n v="135.52000000000001"/>
    <n v="125.15"/>
    <n v="111.27"/>
    <n v="101.97"/>
    <n v="128.18"/>
    <n v="123.99"/>
    <n v="97.97"/>
    <n v="143.5"/>
    <n v="117.84"/>
    <n v="116.08"/>
    <n v="119.73"/>
    <n v="104.05"/>
    <n v="97.43"/>
    <n v="139.75966666666667"/>
  </r>
  <r>
    <n v="30"/>
    <x v="5"/>
    <x v="27"/>
    <s v="EFL"/>
    <s v="Public-Free"/>
    <s v="6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5"/>
    <n v="0"/>
    <n v="0"/>
    <n v="0.13499999999999998"/>
  </r>
  <r>
    <n v="31"/>
    <x v="5"/>
    <x v="28"/>
    <s v="ETO"/>
    <s v="Public-Free"/>
    <s v="3.3 kW"/>
    <s v="OCPP"/>
    <n v="7"/>
    <n v="162.96"/>
    <n v="183.25"/>
    <n v="222.55"/>
    <n v="284.67"/>
    <n v="218.99"/>
    <n v="262.98"/>
    <n v="187.35"/>
    <n v="255.57"/>
    <n v="225.75"/>
    <n v="237.81"/>
    <n v="217.09"/>
    <n v="168.99"/>
    <n v="145.16999999999999"/>
    <n v="81.150000000000006"/>
    <n v="178.82"/>
    <n v="153.72999999999999"/>
    <n v="192.39"/>
    <n v="202.26"/>
    <n v="163.63999999999999"/>
    <n v="156.63999999999999"/>
    <n v="151.72"/>
    <n v="197.61"/>
    <n v="155.29"/>
    <n v="163.51"/>
    <n v="146.28"/>
    <n v="146.33000000000001"/>
    <n v="143.62"/>
    <n v="134.21"/>
    <n v="143.26"/>
    <n v="191.49"/>
    <n v="182.50266666666667"/>
  </r>
  <r>
    <n v="32"/>
    <x v="6"/>
    <x v="29"/>
    <s v="MCD"/>
    <s v="Public-Paid"/>
    <s v="3.3 kW"/>
    <s v="LEVAC-BLE"/>
    <n v="105"/>
    <n v="0"/>
    <n v="2.1629999999999998"/>
    <n v="0"/>
    <n v="1.02"/>
    <n v="1.262"/>
    <n v="2.14"/>
    <n v="0"/>
    <n v="3.0539999999999998"/>
    <n v="4.4020000000000001"/>
    <n v="1.583"/>
    <n v="2.173"/>
    <n v="1.4750000000000001"/>
    <n v="2.0499999999999998"/>
    <n v="1.8919999999999999"/>
    <n v="0"/>
    <n v="1.2310000000000001"/>
    <n v="0"/>
    <n v="0"/>
    <n v="4.2560000000000002"/>
    <n v="0"/>
    <n v="2.883"/>
    <n v="2.1829999999999998"/>
    <n v="0"/>
    <n v="1.776"/>
    <n v="0"/>
    <n v="0"/>
    <n v="1.8720000000000001"/>
    <n v="3.758"/>
    <n v="4.6239999999999997"/>
    <n v="3.5939999999999999"/>
    <n v="1.646366666666667"/>
  </r>
  <r>
    <n v="33"/>
    <x v="6"/>
    <x v="30"/>
    <s v="Mahagun Hotel"/>
    <s v="Public-Paid"/>
    <s v="7.4 kW"/>
    <s v="OCPP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4"/>
    <x v="6"/>
    <x v="31"/>
    <m/>
    <s v="Public-Paid"/>
    <s v="3.3 kW"/>
    <s v="LEVAC-BLE"/>
    <n v="82"/>
    <n v="9.2880000000000003"/>
    <n v="14.489000000000001"/>
    <n v="28.914000000000001"/>
    <n v="6.2729999999999997"/>
    <n v="2.6160000000000001"/>
    <n v="21.109000000000002"/>
    <n v="20.273"/>
    <n v="11.318"/>
    <n v="47.055999999999997"/>
    <n v="23.629000000000001"/>
    <n v="5.17"/>
    <n v="0"/>
    <n v="2.9860000000000002"/>
    <n v="2.0840000000000001"/>
    <n v="6.5250000000000004"/>
    <n v="15.388999999999999"/>
    <n v="19.382999999999999"/>
    <n v="0"/>
    <n v="3.8530000000000002"/>
    <n v="36.46"/>
    <n v="20.213999999999999"/>
    <n v="12.888999999999999"/>
    <n v="1.893"/>
    <n v="9.1989999999999998"/>
    <n v="1.5669999999999999"/>
    <n v="35.447000000000003"/>
    <n v="2.206"/>
    <n v="5.008"/>
    <n v="0"/>
    <n v="0"/>
    <n v="12.1746"/>
  </r>
  <r>
    <n v="35"/>
    <x v="6"/>
    <x v="32"/>
    <s v="ETO"/>
    <s v="Public-Free"/>
    <s v="3.3 kW"/>
    <s v="OCPP"/>
    <n v="5"/>
    <n v="54.99"/>
    <n v="55.36"/>
    <n v="62.35"/>
    <n v="45.95"/>
    <n v="65.34"/>
    <n v="87.18"/>
    <n v="52.52"/>
    <n v="61.74"/>
    <n v="70.42"/>
    <n v="59.43"/>
    <n v="54.2"/>
    <n v="28.47"/>
    <n v="34.64"/>
    <n v="45.35"/>
    <n v="38.020000000000003"/>
    <n v="46.36"/>
    <n v="78.16"/>
    <n v="59.73"/>
    <n v="48.58"/>
    <n v="48.54"/>
    <n v="36.61"/>
    <n v="29.6"/>
    <n v="41.93"/>
    <n v="37.96"/>
    <n v="21.09"/>
    <n v="42.97"/>
    <n v="40.78"/>
    <n v="31.79"/>
    <n v="43.22"/>
    <n v="56.68"/>
    <n v="49.331999999999994"/>
  </r>
  <r>
    <n v="36"/>
    <x v="6"/>
    <x v="33"/>
    <s v="ETO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x v="6"/>
    <x v="34"/>
    <s v="ETO"/>
    <s v="Public-Free"/>
    <s v="3.3 kW"/>
    <s v="OCPP"/>
    <n v="16"/>
    <n v="4.0199999999999996"/>
    <n v="21.01"/>
    <n v="23.6"/>
    <n v="34.25"/>
    <n v="21.34"/>
    <n v="11.21"/>
    <n v="15.65"/>
    <n v="23.29"/>
    <n v="8.75"/>
    <n v="11.39"/>
    <n v="0.24"/>
    <n v="0"/>
    <n v="2.4900000000000002"/>
    <n v="4.34"/>
    <n v="0"/>
    <n v="0"/>
    <n v="0"/>
    <n v="4.6900000000000004"/>
    <n v="5.8"/>
    <n v="0"/>
    <n v="0"/>
    <n v="10.81"/>
    <n v="0"/>
    <n v="0.03"/>
    <n v="9.7899999999999991"/>
    <n v="5.56"/>
    <n v="0"/>
    <n v="0"/>
    <n v="3.67"/>
    <n v="0"/>
    <n v="7.3976666666666668"/>
  </r>
  <r>
    <n v="38"/>
    <x v="6"/>
    <x v="35"/>
    <s v="ETO"/>
    <s v="Public-Free"/>
    <s v="3.3 kW"/>
    <s v="OCPP"/>
    <n v="10"/>
    <n v="6.4"/>
    <n v="0"/>
    <n v="0"/>
    <n v="0"/>
    <n v="0"/>
    <n v="0"/>
    <n v="0"/>
    <n v="0"/>
    <n v="4.7300000000000004"/>
    <n v="6.51"/>
    <n v="0"/>
    <n v="0"/>
    <n v="0"/>
    <n v="0"/>
    <n v="0"/>
    <n v="1.35"/>
    <n v="0"/>
    <n v="10.08"/>
    <n v="5.18"/>
    <n v="0"/>
    <n v="0.12"/>
    <n v="46.45"/>
    <n v="15.93"/>
    <n v="23.39"/>
    <n v="43.56"/>
    <n v="16.45"/>
    <n v="21.44"/>
    <n v="26.86"/>
    <n v="46.79"/>
    <n v="35.46"/>
    <n v="10.356666666666666"/>
  </r>
  <r>
    <n v="39"/>
    <x v="6"/>
    <x v="36"/>
    <s v="ETO"/>
    <s v="Public-Free"/>
    <s v="3.3 kW"/>
    <s v="OCPP"/>
    <n v="13"/>
    <n v="16.04"/>
    <n v="42.87"/>
    <n v="54.3"/>
    <n v="51.39"/>
    <n v="38.89"/>
    <n v="71.55"/>
    <n v="64.73"/>
    <n v="52.25"/>
    <n v="61.91"/>
    <n v="49.09"/>
    <n v="40.14"/>
    <n v="21.72"/>
    <n v="21.11"/>
    <n v="44.46"/>
    <n v="29.83"/>
    <n v="57.57"/>
    <n v="39.700000000000003"/>
    <n v="43.69"/>
    <n v="35.28"/>
    <n v="39.270000000000003"/>
    <n v="73.27"/>
    <n v="77.58"/>
    <n v="61.64"/>
    <n v="73.19"/>
    <n v="56.99"/>
    <n v="39.6"/>
    <n v="55.76"/>
    <n v="46.47"/>
    <n v="55.16"/>
    <n v="50.62"/>
    <n v="48.869000000000007"/>
  </r>
  <r>
    <n v="40"/>
    <x v="6"/>
    <x v="37"/>
    <s v="ETO"/>
    <s v="Public-Free"/>
    <s v="3.3 kW"/>
    <s v="OCPP"/>
    <n v="19"/>
    <n v="92.05"/>
    <n v="56"/>
    <n v="92.33"/>
    <n v="96.84"/>
    <n v="79.47"/>
    <n v="100.37"/>
    <n v="115.94"/>
    <n v="100.22"/>
    <n v="55.81"/>
    <n v="6.97"/>
    <n v="5"/>
    <n v="3.63"/>
    <n v="5.29"/>
    <n v="0"/>
    <n v="0.97"/>
    <n v="0.16"/>
    <n v="0"/>
    <n v="6.61"/>
    <n v="63.17"/>
    <n v="55.45"/>
    <n v="85.04"/>
    <n v="78.39"/>
    <n v="63.71"/>
    <n v="85.57"/>
    <n v="87.62"/>
    <n v="87.4"/>
    <n v="55.94"/>
    <n v="74.22"/>
    <n v="77.459999999999994"/>
    <n v="76.08"/>
    <n v="56.923666666666676"/>
  </r>
  <r>
    <n v="41"/>
    <x v="6"/>
    <x v="38"/>
    <s v="ETO"/>
    <s v="Public-Free"/>
    <s v="3.3 kW"/>
    <s v="LEVAC-BL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x v="6"/>
    <x v="39"/>
    <s v="ETO"/>
    <s v="Public-Free"/>
    <s v="3.3 kW"/>
    <s v="OCPP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"/>
    <x v="40"/>
    <s v="ETO"/>
    <s v="Public-Paid"/>
    <s v="7.4 kW"/>
    <s v="OCP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6"/>
    <x v="40"/>
    <s v="ETO"/>
    <s v="Public-Paid"/>
    <s v="3.3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6"/>
    <x v="41"/>
    <s v="ETO"/>
    <s v="Public-Paid"/>
    <s v="7.4 kW"/>
    <s v="OCPP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6"/>
    <x v="41"/>
    <s v="ETO"/>
    <s v="Public-Paid"/>
    <s v="3.3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6"/>
    <x v="42"/>
    <s v="Trinity"/>
    <s v="Public-Free"/>
    <s v="3.3 kW"/>
    <s v="OCPP"/>
    <n v="6"/>
    <n v="32.799999999999997"/>
    <n v="29.95"/>
    <n v="44.65"/>
    <n v="25.62"/>
    <n v="0"/>
    <n v="51.13"/>
    <n v="49.05"/>
    <n v="45.74"/>
    <n v="49.31"/>
    <n v="64.63"/>
    <n v="23"/>
    <n v="17.37"/>
    <n v="55.13"/>
    <n v="43.68"/>
    <n v="26.53"/>
    <n v="54.28"/>
    <n v="24"/>
    <n v="0"/>
    <n v="0"/>
    <n v="75.790000000000006"/>
    <n v="51.39"/>
    <n v="30.05"/>
    <n v="41.18"/>
    <n v="60.39"/>
    <n v="17.77"/>
    <n v="30.45"/>
    <n v="0"/>
    <n v="54"/>
    <n v="40.43"/>
    <n v="53.17"/>
    <n v="36.382999999999996"/>
  </r>
  <r>
    <n v="48"/>
    <x v="6"/>
    <x v="42"/>
    <s v="Trinity"/>
    <s v="Public-Free"/>
    <s v="7.4 kW"/>
    <s v="OCPP"/>
    <n v="1"/>
    <n v="3.57"/>
    <n v="0.46"/>
    <n v="5.03"/>
    <n v="0"/>
    <n v="0.17"/>
    <n v="0"/>
    <n v="0.21"/>
    <n v="3.58"/>
    <n v="2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79"/>
    <n v="0.56199999999999994"/>
  </r>
  <r>
    <n v="49"/>
    <x v="6"/>
    <x v="43"/>
    <s v="Log9"/>
    <s v="Public-Free"/>
    <s v="15 Kw"/>
    <s v="DC Charger"/>
    <n v="1"/>
    <n v="10.89"/>
    <n v="12.86"/>
    <n v="12.03"/>
    <n v="10.220000000000001"/>
    <n v="10.97"/>
    <n v="12.13"/>
    <n v="10.25"/>
    <n v="14.08"/>
    <n v="12.38"/>
    <n v="13.21"/>
    <n v="12.83"/>
    <n v="12.56"/>
    <n v="14.09"/>
    <n v="13.87"/>
    <n v="12.33"/>
    <n v="14.67"/>
    <n v="11.54"/>
    <n v="14.09"/>
    <n v="12.76"/>
    <n v="15.23"/>
    <n v="13.44"/>
    <n v="12.67"/>
    <n v="14.98"/>
    <n v="11.26"/>
    <n v="12.45"/>
    <n v="13.21"/>
    <n v="0"/>
    <n v="0"/>
    <n v="0"/>
    <n v="0"/>
    <n v="11.033333333333333"/>
  </r>
  <r>
    <n v="50"/>
    <x v="6"/>
    <x v="44"/>
    <s v="Log9"/>
    <s v="Public-Free"/>
    <s v="15kW"/>
    <s v="DC Charger"/>
    <n v="1"/>
    <n v="85.12"/>
    <n v="80.430000000000007"/>
    <n v="81.540000000000006"/>
    <n v="80.23"/>
    <n v="89.54"/>
    <n v="88.23"/>
    <n v="84.55"/>
    <n v="79.430000000000007"/>
    <n v="80.87"/>
    <n v="86.55"/>
    <n v="87.9"/>
    <n v="85.09"/>
    <n v="84.67"/>
    <n v="89.52"/>
    <n v="85.54"/>
    <n v="83.29"/>
    <n v="84.98"/>
    <n v="80.22"/>
    <n v="79.650000000000006"/>
    <n v="80.209999999999994"/>
    <n v="79.98"/>
    <n v="84.24"/>
    <n v="83.56"/>
    <n v="84.98"/>
    <n v="90.55"/>
    <n v="86.55"/>
    <n v="81.430000000000007"/>
    <n v="82.56"/>
    <n v="84.55"/>
    <n v="82.34"/>
    <n v="83.943333333333356"/>
  </r>
  <r>
    <n v="51"/>
    <x v="6"/>
    <x v="45"/>
    <s v="Log9"/>
    <s v="Public-Free"/>
    <s v="15kW"/>
    <s v="DC Charger"/>
    <n v="1"/>
    <n v="11.93"/>
    <n v="15.22"/>
    <n v="16.489999999999998"/>
    <n v="14.27"/>
    <n v="13.98"/>
    <n v="12.78"/>
    <n v="15.56"/>
    <n v="14.54"/>
    <n v="17.34"/>
    <n v="18.350000000000001"/>
    <n v="15.99"/>
    <n v="14.83"/>
    <n v="15.67"/>
    <n v="16.78"/>
    <n v="13.22"/>
    <n v="14.32"/>
    <n v="13.98"/>
    <n v="11.32"/>
    <n v="12.32"/>
    <n v="11.55"/>
    <n v="12.86"/>
    <n v="12.56"/>
    <n v="11.22"/>
    <n v="12.36"/>
    <n v="13.24"/>
    <n v="14.82"/>
    <n v="12.33"/>
    <n v="12.64"/>
    <n v="13.56"/>
    <n v="15.32"/>
    <n v="14.045"/>
  </r>
  <r>
    <n v="52"/>
    <x v="7"/>
    <x v="46"/>
    <s v="ETO"/>
    <s v="Public-Free"/>
    <s v="3.3kW"/>
    <s v="OCPP"/>
    <n v="20"/>
    <n v="144.18"/>
    <n v="166.45"/>
    <n v="173.74"/>
    <n v="169.04"/>
    <n v="171.71"/>
    <n v="130.79"/>
    <n v="184.41"/>
    <n v="169.44"/>
    <n v="174.25"/>
    <n v="194.82"/>
    <n v="182.28"/>
    <n v="85.65"/>
    <n v="41.33"/>
    <n v="52.42"/>
    <n v="102.06"/>
    <n v="118.28"/>
    <n v="116.78"/>
    <n v="109.37"/>
    <n v="96.23"/>
    <n v="117.47"/>
    <n v="156.25"/>
    <n v="167.13"/>
    <n v="169.8"/>
    <n v="187.17"/>
    <n v="168.97"/>
    <n v="164.74"/>
    <n v="167.26"/>
    <n v="162.81"/>
    <n v="150.97"/>
    <n v="144.67000000000002"/>
    <n v="144.68233333333333"/>
  </r>
  <r>
    <n v="53"/>
    <x v="7"/>
    <x v="47"/>
    <s v="Trinity"/>
    <s v="Public-Free"/>
    <s v="3.3kW"/>
    <s v="OCPP"/>
    <n v="1"/>
    <m/>
    <m/>
    <m/>
    <m/>
    <n v="3.57"/>
    <n v="9.6300000000000008"/>
    <n v="5.09"/>
    <n v="4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576923076923086"/>
  </r>
  <r>
    <n v="54"/>
    <x v="6"/>
    <x v="48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x v="6"/>
    <x v="49"/>
    <s v="Trinity"/>
    <s v="Public-Paid"/>
    <s v="7.4 kW"/>
    <s v="OCPP"/>
    <n v="2"/>
    <n v="47.69"/>
    <n v="0"/>
    <n v="0"/>
    <n v="0"/>
    <n v="0"/>
    <n v="0"/>
    <n v="0"/>
    <n v="17.7"/>
    <n v="49.19"/>
    <n v="0"/>
    <n v="0"/>
    <n v="50.99"/>
    <n v="0"/>
    <n v="0"/>
    <n v="0"/>
    <n v="19.21"/>
    <n v="0"/>
    <n v="50.26"/>
    <n v="0"/>
    <n v="0"/>
    <n v="0"/>
    <n v="0"/>
    <n v="6.19"/>
    <n v="0"/>
    <n v="40.22"/>
    <n v="4.51"/>
    <n v="0"/>
    <n v="0"/>
    <n v="15.88"/>
    <n v="64.87"/>
    <n v="12.223666666666666"/>
  </r>
  <r>
    <n v="56"/>
    <x v="6"/>
    <x v="50"/>
    <m/>
    <s v="Private-Paid"/>
    <s v="3.3kW"/>
    <s v="OCPP"/>
    <n v="2"/>
    <n v="22.68"/>
    <n v="14.6"/>
    <n v="15.09"/>
    <n v="0"/>
    <n v="0"/>
    <n v="3.99"/>
    <n v="7.22"/>
    <n v="42.14"/>
    <n v="16.8"/>
    <n v="4.4400000000000004"/>
    <n v="0"/>
    <n v="20.2"/>
    <n v="21.1"/>
    <n v="12.04"/>
    <n v="37.68"/>
    <n v="24.58"/>
    <n v="24.14"/>
    <n v="7.55"/>
    <n v="0"/>
    <n v="32.75"/>
    <n v="15.84"/>
    <n v="1.0900000000000001"/>
    <n v="0.16"/>
    <n v="19.23"/>
    <n v="3.89"/>
    <n v="0"/>
    <n v="0.89"/>
    <n v="22.55"/>
    <n v="6.02"/>
    <n v="4.37"/>
    <n v="12.701333333333332"/>
  </r>
  <r>
    <n v="57"/>
    <x v="6"/>
    <x v="51"/>
    <s v="Trinity"/>
    <s v="Public-Free"/>
    <s v="3.3kW"/>
    <s v="OCPP"/>
    <n v="20"/>
    <n v="0"/>
    <n v="0"/>
    <n v="0"/>
    <n v="0"/>
    <n v="0"/>
    <n v="8.17"/>
    <n v="26.87"/>
    <n v="0.02"/>
    <n v="0"/>
    <n v="0"/>
    <n v="0"/>
    <n v="0"/>
    <n v="0"/>
    <n v="0"/>
    <n v="0"/>
    <n v="0"/>
    <n v="21.91"/>
    <n v="5.85"/>
    <n v="19.649999999999999"/>
    <n v="33.36"/>
    <n v="24.82"/>
    <n v="29.37"/>
    <n v="16.989999999999998"/>
    <n v="14.16"/>
    <n v="37.840000000000003"/>
    <n v="15.2"/>
    <n v="40.29"/>
    <n v="27.9"/>
    <n v="50.54"/>
    <n v="56.07"/>
    <n v="14.300333333333333"/>
  </r>
  <r>
    <n v="58"/>
    <x v="6"/>
    <x v="52"/>
    <s v="Trinity"/>
    <s v="Public-Paid"/>
    <s v="3.3kW"/>
    <s v="OCPP"/>
    <n v="2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</r>
  <r>
    <n v="59"/>
    <x v="6"/>
    <x v="52"/>
    <s v="Trinity"/>
    <s v="Public-Paid"/>
    <s v="7.4 kW"/>
    <s v="OCPP"/>
    <n v="2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n v="1"/>
    <x v="0"/>
    <x v="0"/>
    <s v="Amazon"/>
    <s v="Public-Paid"/>
    <s v="3.3 kW"/>
    <s v="OCPP"/>
    <n v="6"/>
    <n v="17.2"/>
    <n v="50.879999999999995"/>
    <n v="102.42"/>
    <n v="27.900000000000002"/>
    <n v="62.08"/>
    <n v="50.66"/>
    <n v="19.55"/>
    <n v="36.53"/>
    <n v="100.82"/>
    <n v="60.01"/>
    <n v="52.77"/>
    <n v="40.270000000000003"/>
    <n v="59.39"/>
    <n v="33.129999999999995"/>
    <n v="66.13"/>
    <n v="63.38"/>
    <n v="34.42"/>
    <n v="68.77"/>
    <n v="57.86"/>
    <n v="47.89"/>
    <n v="45.08"/>
    <n v="61.47"/>
    <n v="29.13"/>
    <n v="44.85"/>
    <n v="36.94"/>
    <n v="69.849999999999994"/>
    <n v="44"/>
    <n v="36.18"/>
    <n v="29.63"/>
    <n v="23.21"/>
    <n v="59.35"/>
    <n v="49.411290322580648"/>
  </r>
  <r>
    <n v="2"/>
    <x v="0"/>
    <x v="1"/>
    <s v="Amazon"/>
    <s v="Public-Paid"/>
    <s v="3.3 kW"/>
    <s v="OCPP"/>
    <n v="9"/>
    <n v="171.22"/>
    <n v="137.72999999999999"/>
    <n v="174.58"/>
    <n v="148.24"/>
    <n v="132.85"/>
    <n v="147.4"/>
    <n v="170.25"/>
    <n v="147.02000000000001"/>
    <n v="184.85"/>
    <n v="139.88"/>
    <n v="192"/>
    <n v="181.51"/>
    <n v="159.69999999999999"/>
    <n v="163.41999999999999"/>
    <n v="147.16"/>
    <n v="144.49"/>
    <n v="173.244"/>
    <n v="168.86"/>
    <n v="143.5"/>
    <n v="137.72"/>
    <n v="191.31"/>
    <n v="122.51"/>
    <n v="85.49"/>
    <n v="91.45"/>
    <n v="98.11"/>
    <n v="128.68"/>
    <n v="111.2"/>
    <n v="145.66999999999999"/>
    <n v="127.38"/>
    <n v="135.33000000000001"/>
    <n v="121.03"/>
    <n v="145.92851612903226"/>
  </r>
  <r>
    <n v="3"/>
    <x v="0"/>
    <x v="2"/>
    <s v="Amazon"/>
    <s v="Public-Paid"/>
    <s v="3.3 kW"/>
    <s v="OCPP"/>
    <n v="3"/>
    <n v="79.959999999999994"/>
    <n v="71.150000000000006"/>
    <n v="93.83"/>
    <n v="64.77"/>
    <n v="79.89"/>
    <n v="106.86"/>
    <n v="84.59"/>
    <n v="91.59"/>
    <n v="94.59"/>
    <n v="118.8"/>
    <n v="89.1"/>
    <n v="75.73"/>
    <n v="101.92"/>
    <n v="103.74"/>
    <n v="85.5"/>
    <n v="96.23"/>
    <n v="73.430000000000007"/>
    <n v="77.03"/>
    <n v="75.12"/>
    <n v="84.08"/>
    <n v="61.52"/>
    <n v="98.16"/>
    <n v="69.25"/>
    <n v="61.28"/>
    <n v="58.98"/>
    <n v="49.66"/>
    <n v="79.56"/>
    <n v="70.67"/>
    <n v="75.459999999999994"/>
    <n v="57.26"/>
    <n v="80.12"/>
    <n v="80.962258064516121"/>
  </r>
  <r>
    <n v="4"/>
    <x v="0"/>
    <x v="3"/>
    <s v="Big Basket"/>
    <s v="Public-Free"/>
    <s v="3.3 kW"/>
    <s v="LEVAC-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0"/>
    <x v="4"/>
    <s v="Big Basket"/>
    <s v="Public-Free"/>
    <s v="3.3 kW"/>
    <s v="OCPP"/>
    <n v="3"/>
    <n v="51.52"/>
    <n v="60.75"/>
    <n v="59.66"/>
    <n v="55.97"/>
    <n v="63.14"/>
    <n v="45.21"/>
    <n v="62.92"/>
    <n v="34.33"/>
    <n v="59.2"/>
    <n v="24.01"/>
    <n v="45.79"/>
    <n v="33.450000000000003"/>
    <n v="21.36"/>
    <n v="24.88"/>
    <n v="28.86"/>
    <n v="49.02"/>
    <n v="51.37"/>
    <n v="39"/>
    <n v="38.6"/>
    <n v="37.67"/>
    <n v="53.84"/>
    <n v="45"/>
    <n v="42.86"/>
    <n v="35.33"/>
    <n v="39.700000000000003"/>
    <n v="26.38"/>
    <n v="45.56"/>
    <n v="44.49"/>
    <n v="48.31"/>
    <n v="40.03"/>
    <n v="44.66"/>
    <n v="43.640967741935491"/>
  </r>
  <r>
    <n v="6"/>
    <x v="0"/>
    <x v="5"/>
    <s v="Deccan College of Engg.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0"/>
    <x v="6"/>
    <s v="ETO Driver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7"/>
    <s v="ETO"/>
    <s v="Public-Free"/>
    <s v="3.3 kW"/>
    <s v="LEVAC-BLE"/>
    <n v="0"/>
    <n v="59.86"/>
    <n v="51.85"/>
    <n v="78.75"/>
    <n v="57.34"/>
    <n v="22.54"/>
    <n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032258064516142"/>
  </r>
  <r>
    <n v="9"/>
    <x v="0"/>
    <x v="7"/>
    <s v="ETO"/>
    <s v="Public-Paid"/>
    <s v="3.3 kW"/>
    <s v="OCPP"/>
    <n v="8"/>
    <m/>
    <m/>
    <m/>
    <m/>
    <m/>
    <n v="33.29"/>
    <n v="79.989999999999995"/>
    <n v="58.73"/>
    <n v="96.72"/>
    <n v="52.52"/>
    <n v="108.14"/>
    <n v="89.47"/>
    <n v="51.38"/>
    <n v="72.22"/>
    <n v="71.290000000000006"/>
    <n v="60.71"/>
    <n v="54.9"/>
    <n v="65.78"/>
    <n v="85.7"/>
    <n v="95.47"/>
    <n v="95.89"/>
    <n v="90.57"/>
    <n v="77.97"/>
    <n v="58.84"/>
    <n v="87.12"/>
    <n v="97.85"/>
    <n v="63.16"/>
    <n v="98.93"/>
    <n v="61.1"/>
    <n v="66.56"/>
    <n v="72.069999999999993"/>
    <n v="74.860384615384604"/>
  </r>
  <r>
    <n v="10"/>
    <x v="0"/>
    <x v="8"/>
    <s v="HMRL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x v="0"/>
    <x v="9"/>
    <s v="ETO"/>
    <s v="Public-Paid"/>
    <s v="3.3 kW"/>
    <s v="LEVAC-BLE"/>
    <n v="0"/>
    <n v="0"/>
    <n v="0"/>
    <n v="0"/>
    <n v="0.7"/>
    <n v="0.85"/>
    <n v="7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225806451612891E-2"/>
  </r>
  <r>
    <n v="12"/>
    <x v="0"/>
    <x v="9"/>
    <s v="ETO"/>
    <s v="Public-Paid"/>
    <s v="3.3 kW"/>
    <s v="OCPP"/>
    <n v="17"/>
    <n v="221.6"/>
    <n v="182.53"/>
    <n v="168.35"/>
    <n v="134.44999999999999"/>
    <n v="128.49"/>
    <n v="142.19000000000003"/>
    <n v="153.16999999999999"/>
    <n v="154.44999999999999"/>
    <n v="159.21"/>
    <n v="164.11"/>
    <n v="168.78"/>
    <n v="142.30000000000001"/>
    <n v="167.82"/>
    <n v="171.59"/>
    <n v="161.94"/>
    <n v="188.18"/>
    <n v="164.3"/>
    <n v="177.31"/>
    <n v="162.91"/>
    <n v="162.41999999999999"/>
    <n v="173.94"/>
    <n v="218.78"/>
    <n v="159.94999999999999"/>
    <n v="174.47"/>
    <n v="184.4"/>
    <n v="226.57"/>
    <n v="208.84"/>
    <n v="194.11"/>
    <n v="123.3"/>
    <n v="133.5"/>
    <n v="172.45"/>
    <n v="169.2390322580645"/>
  </r>
  <r>
    <n v="13"/>
    <x v="0"/>
    <x v="9"/>
    <s v="ETO"/>
    <s v="Public-Paid"/>
    <s v="3.3 kW"/>
    <s v="DC Charger"/>
    <n v="1"/>
    <n v="0"/>
    <n v="0"/>
    <n v="0"/>
    <n v="0"/>
    <n v="0"/>
    <n v="0"/>
    <n v="0"/>
    <n v="0"/>
    <n v="0"/>
    <n v="0"/>
    <n v="0"/>
    <n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38709677419355E-2"/>
  </r>
  <r>
    <n v="14"/>
    <x v="0"/>
    <x v="9"/>
    <s v="ETO"/>
    <s v="Public-Free"/>
    <s v="12kW"/>
    <s v="DC Charger"/>
    <n v="1"/>
    <n v="0"/>
    <n v="0"/>
    <n v="0"/>
    <n v="0"/>
    <n v="0"/>
    <n v="0"/>
    <n v="0"/>
    <n v="0"/>
    <n v="0"/>
    <n v="0"/>
    <n v="0"/>
    <n v="0"/>
    <n v="0"/>
    <n v="0"/>
    <n v="0"/>
    <n v="0"/>
    <n v="0.44"/>
    <n v="4.9400000000000004"/>
    <n v="12.7"/>
    <n v="0"/>
    <n v="0"/>
    <n v="0"/>
    <n v="0"/>
    <n v="0"/>
    <n v="0"/>
    <n v="0"/>
    <n v="4.6500000000000004"/>
    <n v="5.88"/>
    <n v="0"/>
    <n v="0"/>
    <n v="0"/>
    <n v="0.92290322580645145"/>
  </r>
  <r>
    <n v="15"/>
    <x v="0"/>
    <x v="10"/>
    <s v="ETO"/>
    <s v="Public-Free"/>
    <s v="3.3 kW"/>
    <s v="OCPP"/>
    <n v="6"/>
    <n v="47.75"/>
    <n v="45.08"/>
    <n v="58.76"/>
    <n v="42.61"/>
    <n v="31.51"/>
    <n v="55.04"/>
    <n v="40.24"/>
    <n v="21.78"/>
    <n v="0"/>
    <n v="58.65"/>
    <n v="52.26"/>
    <n v="27.97"/>
    <n v="23.26"/>
    <n v="33.340000000000003"/>
    <n v="32.68"/>
    <n v="21.06"/>
    <n v="35.83"/>
    <n v="23.3"/>
    <n v="18.71"/>
    <n v="17.309999999999999"/>
    <n v="33.64"/>
    <n v="20.48"/>
    <n v="19.87"/>
    <n v="22.15"/>
    <n v="23.33"/>
    <n v="18.62"/>
    <n v="30.31"/>
    <n v="33.04"/>
    <n v="43.52"/>
    <n v="22.56"/>
    <n v="46.18"/>
    <n v="32.28516129032257"/>
  </r>
  <r>
    <n v="16"/>
    <x v="0"/>
    <x v="11"/>
    <s v="ETO"/>
    <s v="Public-Paid"/>
    <s v="3.3 kW"/>
    <s v="OCPP"/>
    <n v="6"/>
    <n v="35.85"/>
    <n v="41.39"/>
    <n v="57.23"/>
    <n v="44.72"/>
    <n v="36.01"/>
    <n v="34.090000000000003"/>
    <n v="33"/>
    <n v="38.53"/>
    <n v="59.7"/>
    <n v="43.57"/>
    <n v="63.34"/>
    <n v="51.74"/>
    <n v="67.27"/>
    <n v="91.3"/>
    <n v="53.55"/>
    <n v="42.1"/>
    <n v="55.06"/>
    <n v="54.85"/>
    <n v="54.66"/>
    <n v="45.98"/>
    <n v="59.38"/>
    <n v="55.68"/>
    <n v="34.39"/>
    <n v="43.33"/>
    <n v="37.06"/>
    <n v="46.58"/>
    <n v="42.55"/>
    <n v="61.9"/>
    <n v="52.77"/>
    <n v="30.28"/>
    <n v="33.72"/>
    <n v="48.438064516129032"/>
  </r>
  <r>
    <n v="17"/>
    <x v="0"/>
    <x v="12"/>
    <s v="ETO"/>
    <s v="Public-Free"/>
    <s v="3.3 kW"/>
    <s v="OCPP"/>
    <n v="3"/>
    <n v="26.82"/>
    <n v="42.59"/>
    <n v="75.53"/>
    <n v="56.45"/>
    <n v="65.56"/>
    <n v="89.95"/>
    <n v="85.65"/>
    <n v="66.17"/>
    <n v="98.15"/>
    <n v="64.44"/>
    <n v="63.45"/>
    <n v="66.45"/>
    <n v="64.47"/>
    <n v="78.11"/>
    <n v="56.43"/>
    <n v="47.87"/>
    <n v="77.37"/>
    <n v="60.77"/>
    <n v="53.53"/>
    <n v="50.97"/>
    <n v="53.81"/>
    <n v="67.19"/>
    <n v="60.3"/>
    <n v="27.86"/>
    <n v="46.12"/>
    <n v="54.56"/>
    <n v="55.29"/>
    <n v="53.08"/>
    <n v="65.819999999999993"/>
    <n v="49.8"/>
    <n v="55.52"/>
    <n v="60.647741935483857"/>
  </r>
  <r>
    <n v="18"/>
    <x v="0"/>
    <x v="13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"/>
    <x v="0"/>
    <x v="14"/>
    <s v="Bluedart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0"/>
    <x v="15"/>
    <s v="Dhuni Polymers"/>
    <s v="Public-Free"/>
    <s v="3.3 kW"/>
    <s v="LEVAC-BLE"/>
    <n v="1"/>
    <n v="0"/>
    <n v="0"/>
    <n v="0"/>
    <n v="4.55"/>
    <n v="0"/>
    <n v="0"/>
    <n v="0"/>
    <n v="0"/>
    <n v="0"/>
    <n v="0"/>
    <n v="0"/>
    <n v="0"/>
    <n v="0"/>
    <n v="0"/>
    <n v="0"/>
    <n v="4.66"/>
    <n v="0"/>
    <n v="0"/>
    <n v="0"/>
    <n v="0"/>
    <n v="0"/>
    <n v="0"/>
    <n v="0"/>
    <n v="0"/>
    <n v="0"/>
    <n v="0"/>
    <n v="0"/>
    <n v="0"/>
    <n v="0"/>
    <n v="0"/>
    <n v="0"/>
    <n v="0.29709677419354841"/>
  </r>
  <r>
    <n v="21"/>
    <x v="0"/>
    <x v="16"/>
    <s v="Trinity"/>
    <s v="Public-Paid"/>
    <s v="12 kW"/>
    <s v="OCPP"/>
    <n v="1"/>
    <m/>
    <m/>
    <m/>
    <m/>
    <m/>
    <m/>
    <m/>
    <m/>
    <m/>
    <m/>
    <m/>
    <m/>
    <m/>
    <m/>
    <m/>
    <n v="5.5"/>
    <n v="0"/>
    <n v="0"/>
    <n v="0"/>
    <n v="0.06"/>
    <n v="0"/>
    <n v="0"/>
    <n v="0"/>
    <n v="0"/>
    <n v="0"/>
    <n v="0"/>
    <n v="0"/>
    <n v="0"/>
    <n v="0"/>
    <n v="0"/>
    <n v="0"/>
    <n v="0.34749999999999998"/>
  </r>
  <r>
    <n v="22"/>
    <x v="1"/>
    <x v="17"/>
    <s v="ETO"/>
    <s v="Public-Free"/>
    <s v="3.3 kW"/>
    <s v="LEVAC-BLE"/>
    <n v="0"/>
    <n v="0"/>
    <n v="16.34"/>
    <n v="15.1"/>
    <n v="22.32"/>
    <n v="33.42"/>
    <n v="23.13"/>
    <n v="12.03"/>
    <n v="0"/>
    <n v="27.93"/>
    <n v="6.95"/>
    <n v="19.309999999999999"/>
    <n v="22.95"/>
    <n v="19.03"/>
    <n v="7.61"/>
    <n v="9.3699999999999992"/>
    <n v="10.98"/>
    <n v="28.11"/>
    <n v="25.69"/>
    <n v="17.149999999999999"/>
    <n v="32.01"/>
    <n v="11.85"/>
    <n v="14.87"/>
    <n v="3.96"/>
    <n v="9.81"/>
    <n v="3.38"/>
    <n v="12"/>
    <n v="9.9600000000000009"/>
    <n v="0"/>
    <n v="0"/>
    <n v="0"/>
    <n v="0"/>
    <n v="13.395483870967739"/>
  </r>
  <r>
    <n v="23"/>
    <x v="1"/>
    <x v="17"/>
    <s v="Trinity"/>
    <s v="Public-Paid"/>
    <s v="3.3 kW"/>
    <s v="OCPP"/>
    <n v="5"/>
    <m/>
    <m/>
    <m/>
    <m/>
    <m/>
    <m/>
    <m/>
    <m/>
    <m/>
    <m/>
    <m/>
    <m/>
    <m/>
    <m/>
    <m/>
    <m/>
    <m/>
    <m/>
    <m/>
    <m/>
    <m/>
    <m/>
    <m/>
    <m/>
    <m/>
    <m/>
    <n v="0"/>
    <n v="8.39"/>
    <n v="18.2"/>
    <n v="17.13"/>
    <n v="9.7799999999999994"/>
    <n v="10.7"/>
  </r>
  <r>
    <n v="24"/>
    <x v="1"/>
    <x v="18"/>
    <s v="Big Basket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"/>
    <x v="19"/>
    <s v="Flipkart"/>
    <s v="Public-Free"/>
    <s v="3.3 kW"/>
    <s v="LEVAC-BLE"/>
    <n v="0"/>
    <n v="63.88"/>
    <n v="77.540000000000006"/>
    <n v="57.29"/>
    <n v="107.59"/>
    <n v="76.94"/>
    <n v="70.63"/>
    <n v="77.739999999999995"/>
    <n v="52.51"/>
    <n v="84.03"/>
    <n v="116.52"/>
    <n v="97.41"/>
    <n v="75.23"/>
    <n v="109.01"/>
    <n v="83"/>
    <n v="77.569999999999993"/>
    <n v="84.8"/>
    <n v="71.12"/>
    <n v="82.15"/>
    <n v="63.75"/>
    <n v="62.26"/>
    <n v="60.9"/>
    <n v="67.06"/>
    <n v="77.86"/>
    <n v="67.959999999999994"/>
    <n v="79.400000000000006"/>
    <n v="63.88"/>
    <n v="32.450000000000003"/>
    <n v="0"/>
    <n v="0"/>
    <n v="0"/>
    <n v="0"/>
    <n v="65.821935483870973"/>
  </r>
  <r>
    <n v="26"/>
    <x v="1"/>
    <x v="19"/>
    <s v="Trinity"/>
    <s v="Public-Paid"/>
    <s v="3.3 kW"/>
    <s v="OCPP"/>
    <n v="10"/>
    <m/>
    <m/>
    <m/>
    <m/>
    <m/>
    <m/>
    <m/>
    <m/>
    <m/>
    <m/>
    <m/>
    <m/>
    <m/>
    <m/>
    <m/>
    <m/>
    <m/>
    <m/>
    <m/>
    <m/>
    <m/>
    <m/>
    <m/>
    <m/>
    <m/>
    <m/>
    <n v="0"/>
    <n v="43.95"/>
    <n v="73.3"/>
    <n v="94.3"/>
    <n v="56.99"/>
    <n v="53.708000000000006"/>
  </r>
  <r>
    <n v="27"/>
    <x v="2"/>
    <x v="20"/>
    <s v="GATI"/>
    <s v="Public-Free"/>
    <s v="3.3 kW"/>
    <s v="LEVAC-BLE"/>
    <n v="0"/>
    <n v="7.34"/>
    <n v="0"/>
    <n v="29.42"/>
    <n v="20.23"/>
    <n v="4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887096774193551"/>
  </r>
  <r>
    <n v="28"/>
    <x v="2"/>
    <x v="20"/>
    <s v="Trinity"/>
    <s v="Public-Free"/>
    <s v="3.3 kW"/>
    <s v="OCPP"/>
    <n v="5"/>
    <m/>
    <m/>
    <m/>
    <m/>
    <m/>
    <m/>
    <m/>
    <m/>
    <m/>
    <m/>
    <m/>
    <n v="12.36"/>
    <n v="18.399999999999999"/>
    <n v="0"/>
    <n v="6.72"/>
    <n v="23.52"/>
    <n v="12.24"/>
    <n v="22.12"/>
    <n v="4.3099999999999996"/>
    <n v="34.29"/>
    <n v="17.190000000000001"/>
    <n v="3.99"/>
    <n v="17.059999999999999"/>
    <n v="11.33"/>
    <n v="19.54"/>
    <n v="26.29"/>
    <n v="8.09"/>
    <n v="23.83"/>
    <n v="0"/>
    <n v="17.62"/>
    <n v="10.44"/>
    <n v="14.467000000000002"/>
  </r>
  <r>
    <n v="29"/>
    <x v="2"/>
    <x v="21"/>
    <s v="Trinity"/>
    <s v="Public-Paid"/>
    <s v="3.3 kW"/>
    <s v="OCPP"/>
    <n v="5"/>
    <m/>
    <m/>
    <m/>
    <m/>
    <m/>
    <m/>
    <m/>
    <m/>
    <m/>
    <m/>
    <n v="2.69"/>
    <n v="39.18"/>
    <n v="40.26"/>
    <n v="0"/>
    <n v="0"/>
    <n v="5.1100000000000003"/>
    <n v="0"/>
    <n v="0"/>
    <n v="0"/>
    <n v="0"/>
    <n v="0"/>
    <n v="0"/>
    <n v="0"/>
    <n v="0"/>
    <n v="0"/>
    <n v="0"/>
    <n v="0"/>
    <n v="0"/>
    <n v="0"/>
    <n v="0"/>
    <n v="0"/>
    <n v="4.1542857142857139"/>
  </r>
  <r>
    <n v="30"/>
    <x v="3"/>
    <x v="22"/>
    <s v="Trinity"/>
    <s v="Public-Paid"/>
    <s v="3.3 kW"/>
    <s v="OCPP"/>
    <n v="5"/>
    <m/>
    <m/>
    <m/>
    <m/>
    <m/>
    <m/>
    <m/>
    <m/>
    <m/>
    <m/>
    <m/>
    <m/>
    <m/>
    <m/>
    <m/>
    <m/>
    <m/>
    <m/>
    <m/>
    <m/>
    <m/>
    <m/>
    <m/>
    <m/>
    <m/>
    <m/>
    <n v="0"/>
    <n v="0"/>
    <n v="16.13"/>
    <n v="22.74"/>
    <n v="34.21"/>
    <n v="14.616"/>
  </r>
  <r>
    <n v="31"/>
    <x v="4"/>
    <x v="23"/>
    <s v="SOU"/>
    <s v="Public-Free"/>
    <s v="3.3 kW"/>
    <s v="LEVAC-BLE"/>
    <n v="0"/>
    <n v="98"/>
    <n v="38.24"/>
    <n v="17.760000000000002"/>
    <n v="59.52"/>
    <n v="62.89"/>
    <n v="25.45"/>
    <n v="43.71"/>
    <n v="13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581290322580644"/>
  </r>
  <r>
    <n v="32"/>
    <x v="4"/>
    <x v="23"/>
    <s v="SOU"/>
    <s v="Public-Free"/>
    <s v="3.3 kW"/>
    <s v="OCPP"/>
    <n v="40"/>
    <n v="338.41"/>
    <n v="314.55"/>
    <n v="150.41999999999999"/>
    <n v="142.58000000000001"/>
    <n v="264.45999999999998"/>
    <n v="300.49"/>
    <n v="240.93"/>
    <n v="332.82"/>
    <n v="244.06"/>
    <n v="253.1"/>
    <n v="357.92"/>
    <n v="414.94"/>
    <n v="401.43"/>
    <n v="469.77"/>
    <n v="486.86"/>
    <n v="207.53"/>
    <n v="281.57"/>
    <n v="403.29"/>
    <n v="445.6"/>
    <n v="378.84"/>
    <n v="439.23"/>
    <n v="616.02"/>
    <n v="425.74"/>
    <n v="227.41"/>
    <n v="480.15"/>
    <n v="426.74"/>
    <n v="408.99"/>
    <n v="390.01"/>
    <n v="411.06"/>
    <n v="39.17"/>
    <n v="20.28"/>
    <n v="332.72161290322578"/>
  </r>
  <r>
    <n v="33"/>
    <x v="5"/>
    <x v="24"/>
    <s v="ETO"/>
    <s v="Public-Free"/>
    <s v="3.3 kW"/>
    <s v="LEVAC-BLE"/>
    <n v="6"/>
    <n v="0"/>
    <n v="0"/>
    <n v="0"/>
    <n v="11.03"/>
    <n v="8.4499999999999993"/>
    <n v="10.94"/>
    <n v="8.74"/>
    <n v="6.38"/>
    <n v="12.17"/>
    <n v="10.75"/>
    <n v="9.3800000000000008"/>
    <n v="10.27"/>
    <n v="12.17"/>
    <n v="8.2200000000000006"/>
    <n v="5.42"/>
    <n v="8.31"/>
    <n v="10.25"/>
    <n v="0"/>
    <n v="9.41"/>
    <n v="19.62"/>
    <n v="9.59"/>
    <n v="11.38"/>
    <n v="0.14000000000000001"/>
    <n v="0"/>
    <n v="0"/>
    <n v="0"/>
    <n v="0"/>
    <n v="0.28000000000000003"/>
    <n v="10.31"/>
    <n v="4.75"/>
    <n v="10.68"/>
    <n v="6.7303225806451614"/>
  </r>
  <r>
    <n v="34"/>
    <x v="5"/>
    <x v="25"/>
    <s v="Flipkart"/>
    <s v="Public-Free"/>
    <s v="3.3 kW"/>
    <s v="OCPP"/>
    <n v="3"/>
    <n v="83.62"/>
    <n v="65.34"/>
    <n v="58.39"/>
    <n v="69.34"/>
    <n v="82.1"/>
    <n v="79.760000000000005"/>
    <n v="60.92"/>
    <n v="74.33"/>
    <n v="77.709999999999994"/>
    <n v="78.72"/>
    <n v="67.349999999999994"/>
    <n v="87.54"/>
    <n v="77.11"/>
    <n v="95.3"/>
    <n v="78.23"/>
    <n v="70.099999999999994"/>
    <n v="86.8"/>
    <n v="60.97"/>
    <n v="75.77"/>
    <n v="75.73"/>
    <n v="85.59"/>
    <n v="61.98"/>
    <n v="69.8"/>
    <n v="25.53"/>
    <n v="56.62"/>
    <n v="98.4"/>
    <n v="63.7"/>
    <n v="70.02"/>
    <n v="70.58"/>
    <n v="95.93"/>
    <n v="51.41"/>
    <n v="72.731935483870956"/>
  </r>
  <r>
    <n v="35"/>
    <x v="5"/>
    <x v="26"/>
    <s v="Flipkart"/>
    <s v="Public-Free"/>
    <s v="3.3 kW"/>
    <s v="OCPP"/>
    <n v="9"/>
    <n v="127.51"/>
    <n v="156.78"/>
    <n v="209.59000000000003"/>
    <n v="237.81"/>
    <n v="223.37"/>
    <n v="195.96999999999997"/>
    <n v="187.5"/>
    <n v="196.34000000000003"/>
    <n v="209.08"/>
    <n v="238.54"/>
    <n v="237.87"/>
    <n v="214.16"/>
    <n v="225.96"/>
    <n v="213.85"/>
    <n v="214.09"/>
    <n v="223.04"/>
    <n v="214.44"/>
    <n v="183.44"/>
    <n v="143.55000000000001"/>
    <n v="173.71"/>
    <n v="85.62"/>
    <n v="156.27000000000001"/>
    <n v="120.07"/>
    <n v="95.6"/>
    <n v="63.5"/>
    <n v="191.87"/>
    <n v="150.41999999999999"/>
    <n v="127.62"/>
    <n v="151.07"/>
    <n v="134.21"/>
    <n v="145.93"/>
    <n v="175.76709677419356"/>
  </r>
  <r>
    <n v="36"/>
    <x v="5"/>
    <x v="27"/>
    <s v="EFL"/>
    <s v="Public-Free"/>
    <s v="6 kW"/>
    <s v="OCPP"/>
    <n v="1"/>
    <n v="0"/>
    <n v="6.55"/>
    <n v="0"/>
    <n v="0"/>
    <n v="0"/>
    <n v="0"/>
    <n v="0"/>
    <n v="0"/>
    <n v="0"/>
    <n v="5.86"/>
    <n v="3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122580645161291"/>
  </r>
  <r>
    <n v="37"/>
    <x v="5"/>
    <x v="28"/>
    <s v="ETO"/>
    <s v="Public-Free"/>
    <s v="3.3 kW"/>
    <s v="OCPP"/>
    <n v="7"/>
    <n v="210.67"/>
    <n v="243.99"/>
    <n v="204.79"/>
    <n v="215.68"/>
    <n v="260.22000000000003"/>
    <n v="236.35"/>
    <n v="240.93"/>
    <n v="214.64"/>
    <n v="234.84"/>
    <n v="244.31"/>
    <n v="264.14"/>
    <n v="267.51"/>
    <n v="240.11"/>
    <n v="269.39999999999998"/>
    <n v="236.06"/>
    <n v="218.96"/>
    <n v="223.17"/>
    <n v="232.69"/>
    <n v="226.29"/>
    <n v="140.34"/>
    <n v="215.48"/>
    <n v="200.75"/>
    <n v="149.9"/>
    <n v="36.07"/>
    <n v="114.81"/>
    <n v="177.53"/>
    <n v="218.61"/>
    <n v="261.72000000000003"/>
    <n v="175.17"/>
    <n v="202.75"/>
    <n v="212.89"/>
    <n v="212.60548387096773"/>
  </r>
  <r>
    <n v="38"/>
    <x v="6"/>
    <x v="29"/>
    <s v="MCD"/>
    <s v="Public-Paid"/>
    <s v="3.3 kW"/>
    <s v="LEVAC-BLE"/>
    <n v="105"/>
    <n v="0"/>
    <n v="0"/>
    <n v="0"/>
    <n v="0"/>
    <n v="0"/>
    <n v="0"/>
    <n v="4.18"/>
    <n v="4.3600000000000003"/>
    <n v="0"/>
    <n v="0"/>
    <n v="0.83"/>
    <n v="2.1"/>
    <n v="0.74"/>
    <n v="5.9"/>
    <n v="5.4"/>
    <n v="0.03"/>
    <n v="2.87"/>
    <n v="2.44"/>
    <n v="2.04"/>
    <n v="2.74"/>
    <n v="3.05"/>
    <n v="4.03"/>
    <n v="0"/>
    <n v="3.36"/>
    <n v="2.88"/>
    <n v="2.4300000000000002"/>
    <n v="3.94"/>
    <n v="3.58"/>
    <n v="0"/>
    <n v="2.39"/>
    <n v="0.96"/>
    <n v="1.9435483870967742"/>
  </r>
  <r>
    <n v="39"/>
    <x v="6"/>
    <x v="30"/>
    <s v="Mahagun Hotel"/>
    <s v="Public-Paid"/>
    <s v="7.4 kW"/>
    <s v="OCPP"/>
    <n v="2"/>
    <n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774193548387099E-2"/>
  </r>
  <r>
    <n v="40"/>
    <x v="6"/>
    <x v="31"/>
    <m/>
    <s v="Public-Paid"/>
    <s v="3.3 kW"/>
    <s v="LEVAC-BLE"/>
    <n v="82"/>
    <n v="7.07"/>
    <n v="5.4"/>
    <n v="21.51"/>
    <n v="41.53"/>
    <n v="21.13"/>
    <n v="11.24"/>
    <n v="8.69"/>
    <n v="28.41"/>
    <n v="46.55"/>
    <n v="25.06"/>
    <n v="13.37"/>
    <n v="3.26"/>
    <n v="47.34"/>
    <n v="0"/>
    <n v="0"/>
    <n v="18.739999999999998"/>
    <n v="29.02"/>
    <n v="15.05"/>
    <n v="15.4"/>
    <n v="2.68"/>
    <n v="4.3600000000000003"/>
    <n v="22.58"/>
    <n v="8.09"/>
    <n v="1.53"/>
    <n v="2.1"/>
    <n v="21.35"/>
    <n v="11.82"/>
    <n v="1.03"/>
    <n v="25.45"/>
    <n v="10.25"/>
    <n v="18.98"/>
    <n v="15.773870967741932"/>
  </r>
  <r>
    <n v="41"/>
    <x v="6"/>
    <x v="32"/>
    <s v="ETO"/>
    <s v="Public-Free"/>
    <s v="3.3 kW"/>
    <s v="OCPP"/>
    <n v="5"/>
    <n v="43.15"/>
    <n v="64.900000000000006"/>
    <n v="69.09"/>
    <n v="56.820000000000007"/>
    <n v="60.73"/>
    <n v="74.989999999999995"/>
    <n v="62.83"/>
    <n v="68.39"/>
    <n v="56.339999999999996"/>
    <n v="45.120000000000005"/>
    <n v="39.86"/>
    <n v="74.39"/>
    <n v="74.430000000000007"/>
    <n v="61.72"/>
    <n v="45.33"/>
    <n v="33.57"/>
    <n v="60.45"/>
    <n v="65.959999999999994"/>
    <n v="37.92"/>
    <n v="48.14"/>
    <n v="43.92"/>
    <n v="53.57"/>
    <n v="50.6"/>
    <n v="36.74"/>
    <n v="19.170000000000002"/>
    <n v="42"/>
    <n v="50.62"/>
    <n v="48.45"/>
    <n v="49.85"/>
    <n v="52.27"/>
    <n v="65.5"/>
    <n v="53.44580645161291"/>
  </r>
  <r>
    <n v="42"/>
    <x v="6"/>
    <x v="33"/>
    <s v="ETO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"/>
    <x v="34"/>
    <s v="ETO"/>
    <s v="Public-Free"/>
    <s v="3.3 kW"/>
    <s v="OCPP"/>
    <n v="16"/>
    <n v="13"/>
    <n v="20.23"/>
    <n v="18.170000000000002"/>
    <n v="16.829999999999998"/>
    <n v="16.809999999999999"/>
    <n v="37.32"/>
    <n v="31.44"/>
    <n v="29.49"/>
    <n v="20.149999999999999"/>
    <n v="21.97"/>
    <n v="27.16"/>
    <n v="33.32"/>
    <n v="24.98"/>
    <n v="39.5"/>
    <n v="27.84"/>
    <n v="15.77"/>
    <n v="33.19"/>
    <n v="26.22"/>
    <n v="21.78"/>
    <n v="18.18"/>
    <n v="18.23"/>
    <n v="12.66"/>
    <n v="24.91"/>
    <n v="1.0900000000000001"/>
    <n v="3.8"/>
    <n v="11.2"/>
    <n v="12.81"/>
    <n v="20.59"/>
    <n v="22.85"/>
    <n v="18.02"/>
    <n v="21.26"/>
    <n v="21.315161290322582"/>
  </r>
  <r>
    <n v="44"/>
    <x v="6"/>
    <x v="35"/>
    <s v="ETO"/>
    <s v="Public-Free"/>
    <s v="3.3 kW"/>
    <s v="OCPP"/>
    <n v="10"/>
    <n v="0"/>
    <n v="4.8499999999999996"/>
    <n v="7.89"/>
    <n v="16.82"/>
    <n v="14.2"/>
    <n v="28.9"/>
    <n v="17.13"/>
    <n v="14.97"/>
    <n v="16.559999999999999"/>
    <n v="34.46"/>
    <n v="15.31"/>
    <n v="36.06"/>
    <n v="29.45"/>
    <n v="6.76"/>
    <n v="0.48"/>
    <n v="7.17"/>
    <n v="3.68"/>
    <n v="8.5399999999999991"/>
    <n v="8.52"/>
    <n v="11.24"/>
    <n v="5.31"/>
    <n v="4.04"/>
    <n v="4.8499999999999996"/>
    <n v="0"/>
    <n v="0.98"/>
    <n v="8.4"/>
    <n v="21.26"/>
    <n v="15.24"/>
    <n v="7.89"/>
    <n v="0"/>
    <n v="0"/>
    <n v="11.321290322580644"/>
  </r>
  <r>
    <n v="45"/>
    <x v="6"/>
    <x v="36"/>
    <s v="ETO"/>
    <s v="Public-Free"/>
    <s v="3.3 kW"/>
    <s v="OCPP"/>
    <n v="13"/>
    <n v="11.93"/>
    <n v="17.079999999999998"/>
    <n v="58.81"/>
    <n v="58.51"/>
    <n v="56.14"/>
    <n v="72.180000000000007"/>
    <n v="63.54"/>
    <n v="15.290000000000006"/>
    <n v="19.52"/>
    <n v="53.07"/>
    <n v="32.590000000000003"/>
    <n v="62.16"/>
    <n v="40.39"/>
    <n v="47.81"/>
    <n v="10.44"/>
    <n v="34.54"/>
    <n v="41.91"/>
    <n v="41.44"/>
    <n v="47.35"/>
    <n v="52.3"/>
    <n v="58.83"/>
    <n v="15.64"/>
    <n v="22.87"/>
    <n v="44.73"/>
    <n v="54.75"/>
    <n v="53.26"/>
    <n v="70.92"/>
    <n v="67.33"/>
    <n v="20.27"/>
    <n v="77.77"/>
    <n v="63.52"/>
    <n v="44.73838709677419"/>
  </r>
  <r>
    <n v="46"/>
    <x v="6"/>
    <x v="37"/>
    <s v="ETO"/>
    <s v="Public-Free"/>
    <s v="3.3 kW"/>
    <s v="LEVAC-B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"/>
    <x v="6"/>
    <x v="37"/>
    <s v="ETO"/>
    <s v="Public-Free"/>
    <s v="3.3 kW"/>
    <s v="OCPP"/>
    <n v="19"/>
    <n v="92.81"/>
    <n v="69.789999999999992"/>
    <n v="88.17"/>
    <n v="111.7"/>
    <n v="122.59"/>
    <n v="111.13999999999999"/>
    <n v="110.35000000000001"/>
    <n v="90.07"/>
    <n v="100.5"/>
    <n v="94.170000000000016"/>
    <n v="94.320000000000007"/>
    <n v="122.46000000000001"/>
    <n v="114.6"/>
    <n v="79.62"/>
    <n v="91.94"/>
    <n v="99.27"/>
    <n v="108.38"/>
    <n v="100.95"/>
    <n v="133.57"/>
    <n v="119.88"/>
    <n v="110.18"/>
    <n v="107.24"/>
    <n v="83.68"/>
    <n v="113.61"/>
    <n v="114.77"/>
    <n v="87.93"/>
    <n v="95.5"/>
    <n v="92.4"/>
    <n v="100.25"/>
    <n v="100.39"/>
    <n v="106.3"/>
    <n v="102.21064516129032"/>
  </r>
  <r>
    <n v="48"/>
    <x v="6"/>
    <x v="38"/>
    <s v="ETO"/>
    <s v="Public-Free"/>
    <s v="3.3 kW"/>
    <s v="LEVAC-BL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6"/>
    <x v="39"/>
    <s v="ETO"/>
    <s v="Public-Free"/>
    <s v="3.3 kW"/>
    <s v="OCPP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8"/>
    <n v="26.08"/>
    <n v="23.52"/>
    <n v="30.2"/>
    <n v="43.2"/>
    <n v="14.87"/>
    <n v="5.056451612903226"/>
  </r>
  <r>
    <n v="50"/>
    <x v="6"/>
    <x v="40"/>
    <s v="ETO"/>
    <s v="Public-Paid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6"/>
    <x v="40"/>
    <s v="ETO"/>
    <s v="Public-Paid"/>
    <s v="3.3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6"/>
    <x v="41"/>
    <s v="ETO"/>
    <s v="Public-Paid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6"/>
    <x v="41"/>
    <s v="ETO"/>
    <s v="Public-Paid"/>
    <s v="3.3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x v="6"/>
    <x v="42"/>
    <s v="ETO"/>
    <s v="Public-Free"/>
    <s v="3.3 kW"/>
    <s v="LEVAC-BLE"/>
    <n v="0"/>
    <n v="0"/>
    <n v="0"/>
    <n v="77.28"/>
    <n v="48.31"/>
    <n v="65.319999999999993"/>
    <n v="52.62"/>
    <n v="20.9"/>
    <n v="11.08"/>
    <n v="40.03"/>
    <n v="30.06"/>
    <n v="75.349999999999994"/>
    <n v="66.72"/>
    <n v="27.12"/>
    <n v="18.18"/>
    <n v="14.68"/>
    <n v="41.01"/>
    <n v="39.25"/>
    <n v="54.09"/>
    <n v="50.67"/>
    <n v="63.8"/>
    <n v="0.41"/>
    <n v="0"/>
    <n v="52.22"/>
    <n v="0"/>
    <n v="62.51"/>
    <n v="58.52"/>
    <n v="61.88"/>
    <n v="36.06"/>
    <n v="0"/>
    <n v="63.98"/>
    <n v="31.12"/>
    <n v="37.521612903225794"/>
  </r>
  <r>
    <n v="55"/>
    <x v="6"/>
    <x v="42"/>
    <s v="Trinity"/>
    <s v="Public-Free"/>
    <s v="3.3 kW"/>
    <s v="OCPP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66"/>
    <n v="8.66"/>
  </r>
  <r>
    <n v="56"/>
    <x v="6"/>
    <x v="42"/>
    <s v="Trinity"/>
    <s v="Public-Free"/>
    <s v="7.4 kW"/>
    <s v="OCPP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</r>
  <r>
    <n v="57"/>
    <x v="6"/>
    <x v="43"/>
    <s v="Log9"/>
    <s v="Public-Free"/>
    <s v="15 Kw"/>
    <s v="DC Charger"/>
    <n v="1"/>
    <n v="9.89"/>
    <n v="10.220000000000001"/>
    <n v="11.09"/>
    <n v="12.11"/>
    <n v="10.97"/>
    <n v="13.2"/>
    <n v="11.23"/>
    <n v="12.09"/>
    <n v="14.22"/>
    <n v="13.85"/>
    <n v="11.41"/>
    <n v="10.9"/>
    <n v="13.87"/>
    <n v="12.52"/>
    <n v="11.29"/>
    <n v="14.98"/>
    <n v="16.32"/>
    <n v="14.43"/>
    <n v="15.98"/>
    <n v="14.46"/>
    <n v="15.32"/>
    <n v="12.98"/>
    <n v="18.32"/>
    <n v="21.43"/>
    <n v="18.68"/>
    <n v="16.32"/>
    <n v="17.420000000000002"/>
    <n v="15.98"/>
    <n v="15.09"/>
    <n v="14.78"/>
    <n v="13.97"/>
    <n v="14.042580645161292"/>
  </r>
  <r>
    <n v="58"/>
    <x v="6"/>
    <x v="44"/>
    <s v="Log9"/>
    <s v="Public-Free"/>
    <s v="15kW"/>
    <s v="DC Charger"/>
    <n v="1"/>
    <n v="81.22"/>
    <n v="78.02"/>
    <n v="76.010000000000005"/>
    <n v="85.24"/>
    <n v="82.91"/>
    <n v="90.87"/>
    <n v="84.55"/>
    <n v="89.23"/>
    <n v="86.34"/>
    <n v="88.56"/>
    <n v="84.23"/>
    <n v="89.33"/>
    <n v="82.9"/>
    <n v="80.239999999999995"/>
    <n v="88.34"/>
    <n v="82.09"/>
    <n v="87.33"/>
    <n v="82.07"/>
    <n v="80.55"/>
    <n v="79.91"/>
    <n v="71.23"/>
    <n v="78.680000000000007"/>
    <n v="81.239999999999995"/>
    <n v="83.98"/>
    <n v="78.22"/>
    <n v="86.09"/>
    <n v="88.12"/>
    <n v="89.45"/>
    <n v="87.76"/>
    <n v="90.12"/>
    <n v="81.92"/>
    <n v="83.766129032258064"/>
  </r>
  <r>
    <n v="59"/>
    <x v="6"/>
    <x v="45"/>
    <s v="Log9"/>
    <s v="Public-Free"/>
    <s v="15kW"/>
    <s v="DC Charger"/>
    <n v="1"/>
    <n v="14.22"/>
    <n v="13.22"/>
    <n v="16.329999999999998"/>
    <n v="14.2"/>
    <n v="16.98"/>
    <n v="19.22"/>
    <n v="18.98"/>
    <n v="17.22"/>
    <n v="15.98"/>
    <n v="19.329999999999998"/>
    <n v="18.98"/>
    <n v="17.989999999999998"/>
    <n v="19.23"/>
    <n v="21.19"/>
    <n v="15.97"/>
    <n v="10.220000000000001"/>
    <n v="19.23"/>
    <n v="18.329999999999998"/>
    <n v="13.54"/>
    <n v="14.32"/>
    <n v="18.32"/>
    <n v="17.23"/>
    <n v="19.329999999999998"/>
    <n v="18.149999999999999"/>
    <n v="17.440000000000001"/>
    <n v="19.440000000000001"/>
    <n v="18.23"/>
    <n v="17.55"/>
    <n v="20.11"/>
    <n v="18.329999999999998"/>
    <n v="19.07"/>
    <n v="17.350967741935488"/>
  </r>
  <r>
    <n v="60"/>
    <x v="7"/>
    <x v="46"/>
    <s v="ETO"/>
    <s v="Public-Free"/>
    <s v="3.3kW"/>
    <s v="OCPP"/>
    <n v="20"/>
    <n v="170.78"/>
    <n v="125.94"/>
    <n v="187.28000000000003"/>
    <n v="170.28999999999996"/>
    <n v="213.08999999999997"/>
    <n v="190.52999999999997"/>
    <n v="181.39"/>
    <n v="159.64999999999998"/>
    <n v="167.25"/>
    <n v="242.92"/>
    <n v="196.02999999999997"/>
    <n v="186.83"/>
    <n v="193.27"/>
    <n v="167.23"/>
    <n v="124.29"/>
    <n v="154.72"/>
    <n v="172.12"/>
    <n v="156.25"/>
    <n v="159.04"/>
    <n v="145.75"/>
    <n v="155.94"/>
    <n v="130.38999999999999"/>
    <n v="123.39"/>
    <n v="133.22999999999999"/>
    <n v="132.5"/>
    <n v="181.47"/>
    <n v="126.42"/>
    <n v="184.6"/>
    <n v="156.56"/>
    <n v="144.94999999999999"/>
    <n v="197.98"/>
    <n v="165.55096774193549"/>
  </r>
  <r>
    <n v="61"/>
    <x v="6"/>
    <x v="47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6"/>
    <x v="48"/>
    <s v="Trinity"/>
    <s v="Public-Paid"/>
    <s v="7.4 kW"/>
    <s v="OCPP"/>
    <n v="2"/>
    <n v="0"/>
    <n v="0"/>
    <n v="0"/>
    <n v="43.92"/>
    <n v="0"/>
    <n v="0"/>
    <n v="0"/>
    <n v="42.56"/>
    <n v="0"/>
    <n v="0"/>
    <n v="0"/>
    <n v="0"/>
    <n v="0"/>
    <n v="0"/>
    <n v="0"/>
    <n v="37.54"/>
    <n v="19.739999999999998"/>
    <n v="24.84"/>
    <n v="26.66"/>
    <n v="0"/>
    <n v="10.02"/>
    <n v="0"/>
    <n v="15.19"/>
    <n v="41.57"/>
    <n v="0"/>
    <n v="20.440000000000001"/>
    <n v="0"/>
    <n v="41.36"/>
    <n v="0"/>
    <n v="0"/>
    <n v="17.559999999999999"/>
    <n v="11.012903225806452"/>
  </r>
  <r>
    <n v="63"/>
    <x v="6"/>
    <x v="49"/>
    <m/>
    <s v="Private-Paid"/>
    <s v="3.3kW"/>
    <s v="OCPP"/>
    <n v="2"/>
    <n v="0"/>
    <n v="0"/>
    <n v="0"/>
    <n v="0"/>
    <n v="0"/>
    <n v="0"/>
    <n v="0"/>
    <n v="0"/>
    <n v="0"/>
    <n v="11.09"/>
    <n v="7.5"/>
    <n v="3.5499999999999829"/>
    <n v="5.34"/>
    <n v="0"/>
    <n v="0"/>
    <n v="12.37"/>
    <n v="18.47"/>
    <n v="13.97"/>
    <n v="12.55"/>
    <n v="9.44"/>
    <n v="5.62"/>
    <n v="0"/>
    <n v="14.19"/>
    <n v="0"/>
    <n v="12.46"/>
    <n v="2.0900000000000034"/>
    <n v="7.94"/>
    <n v="0"/>
    <n v="0"/>
    <n v="25.64"/>
    <n v="16.579999999999998"/>
    <n v="5.767741935483869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1"/>
    <x v="0"/>
    <x v="0"/>
    <s v="Amazon"/>
    <s v="Public-Paid"/>
    <s v="3.3 kW"/>
    <s v="LEVAC-BLE"/>
    <n v="0"/>
    <n v="6.65"/>
    <n v="0"/>
    <n v="0"/>
    <n v="2.94"/>
    <n v="0.66"/>
    <n v="3.02"/>
    <n v="6.29"/>
    <n v="6.86"/>
    <n v="5"/>
    <n v="6.96"/>
    <n v="6.78"/>
    <n v="5.7"/>
    <n v="2.2000000000000002"/>
    <n v="0"/>
    <n v="4.84"/>
    <n v="4.95"/>
    <n v="5.25"/>
    <n v="8.58"/>
    <n v="9.7899999999999991"/>
    <n v="5.21"/>
    <n v="1.64"/>
    <n v="0"/>
    <n v="0"/>
    <n v="0"/>
    <n v="0"/>
    <n v="0"/>
    <n v="0"/>
    <n v="0"/>
    <n v="0"/>
    <n v="0"/>
    <n v="3.1106666666666665"/>
  </r>
  <r>
    <n v="2"/>
    <x v="0"/>
    <x v="0"/>
    <s v="Amazon"/>
    <s v="Public-Paid"/>
    <s v="3.3 kW"/>
    <s v="OCPP"/>
    <n v="6"/>
    <m/>
    <m/>
    <m/>
    <m/>
    <m/>
    <m/>
    <m/>
    <m/>
    <m/>
    <m/>
    <m/>
    <m/>
    <m/>
    <m/>
    <m/>
    <m/>
    <m/>
    <m/>
    <m/>
    <m/>
    <n v="0"/>
    <n v="30.24"/>
    <n v="21.11"/>
    <n v="21.4"/>
    <n v="16.37"/>
    <n v="6.52"/>
    <n v="0"/>
    <n v="0"/>
    <n v="0"/>
    <n v="50.69"/>
    <n v="14.632999999999999"/>
  </r>
  <r>
    <n v="3"/>
    <x v="0"/>
    <x v="1"/>
    <s v="Amazon"/>
    <s v="Public-Paid"/>
    <s v="3.3 kW"/>
    <s v="LEVAC-BLE"/>
    <n v="0"/>
    <n v="56.18"/>
    <n v="94.21"/>
    <n v="109.03"/>
    <n v="87.36"/>
    <n v="103.7"/>
    <n v="122.76"/>
    <n v="106.18"/>
    <n v="119"/>
    <n v="119.61"/>
    <n v="126.14"/>
    <n v="104.32"/>
    <n v="92.42"/>
    <n v="131.16999999999999"/>
    <n v="110.46"/>
    <n v="144.97999999999999"/>
    <n v="112.06"/>
    <n v="117.9"/>
    <n v="123.04"/>
    <n v="101.43"/>
    <n v="27.71"/>
    <n v="0"/>
    <n v="0"/>
    <n v="0"/>
    <n v="0"/>
    <n v="0"/>
    <n v="0"/>
    <n v="0"/>
    <n v="0"/>
    <n v="0"/>
    <n v="0"/>
    <n v="70.322000000000017"/>
  </r>
  <r>
    <n v="4"/>
    <x v="0"/>
    <x v="1"/>
    <s v="Amazon"/>
    <s v="Public-Paid"/>
    <s v="3.3 kW"/>
    <s v="OCPP"/>
    <n v="9"/>
    <m/>
    <m/>
    <m/>
    <m/>
    <m/>
    <m/>
    <m/>
    <m/>
    <m/>
    <m/>
    <m/>
    <m/>
    <m/>
    <m/>
    <m/>
    <m/>
    <m/>
    <m/>
    <m/>
    <n v="34.799999999999997"/>
    <n v="65.56"/>
    <n v="124.7"/>
    <n v="105.89"/>
    <n v="138.25"/>
    <n v="121.46"/>
    <n v="139.88"/>
    <n v="102.02"/>
    <n v="140.08000000000001"/>
    <n v="74.2"/>
    <n v="118.63"/>
    <n v="105.95181818181817"/>
  </r>
  <r>
    <n v="5"/>
    <x v="0"/>
    <x v="2"/>
    <s v="Amazon"/>
    <s v="Public-Paid"/>
    <s v="3.3 kW"/>
    <s v="LEVAC-BLE"/>
    <n v="0"/>
    <n v="29.65"/>
    <n v="40.700000000000003"/>
    <n v="42.95"/>
    <n v="25.04"/>
    <n v="44.54"/>
    <n v="28.89"/>
    <n v="60.83"/>
    <n v="36.26"/>
    <n v="26.91"/>
    <n v="57.27"/>
    <n v="31.66"/>
    <n v="21.4"/>
    <n v="42.64"/>
    <n v="68.61"/>
    <n v="96.48"/>
    <n v="75.010000000000005"/>
    <n v="98.18"/>
    <n v="87.66"/>
    <n v="24.35"/>
    <n v="0"/>
    <n v="0"/>
    <n v="0"/>
    <n v="0"/>
    <n v="0"/>
    <n v="0"/>
    <n v="0"/>
    <n v="0"/>
    <n v="0"/>
    <n v="0"/>
    <n v="0"/>
    <n v="31.300999999999998"/>
  </r>
  <r>
    <n v="6"/>
    <x v="0"/>
    <x v="2"/>
    <s v="Amazon"/>
    <s v="Public-Paid"/>
    <s v="3.3 kW"/>
    <s v="OCPP"/>
    <n v="3"/>
    <m/>
    <m/>
    <m/>
    <m/>
    <m/>
    <m/>
    <m/>
    <m/>
    <m/>
    <m/>
    <m/>
    <m/>
    <m/>
    <m/>
    <m/>
    <m/>
    <m/>
    <m/>
    <n v="16.649999999999999"/>
    <n v="51.94"/>
    <n v="51.04"/>
    <n v="27.83"/>
    <n v="93.16"/>
    <n v="48.67"/>
    <n v="85.95"/>
    <n v="60.07"/>
    <n v="71.14"/>
    <n v="54.28"/>
    <n v="64.62"/>
    <n v="78.2"/>
    <n v="58.629166666666663"/>
  </r>
  <r>
    <n v="7"/>
    <x v="0"/>
    <x v="3"/>
    <s v="Big Basket"/>
    <s v="Public-Free"/>
    <s v="3.3 kW"/>
    <s v="LEVAC-BLE"/>
    <n v="1"/>
    <n v="5.44"/>
    <n v="25.42"/>
    <n v="33.15"/>
    <n v="3.26"/>
    <n v="8.7200000000000006"/>
    <n v="10.029999999999999"/>
    <n v="9.3699999999999992"/>
    <n v="9.67"/>
    <n v="0.05"/>
    <n v="10.02"/>
    <n v="9.26"/>
    <n v="14.95"/>
    <n v="0.11"/>
    <n v="0"/>
    <n v="0"/>
    <n v="0"/>
    <n v="0"/>
    <n v="0"/>
    <n v="0"/>
    <n v="0"/>
    <n v="0"/>
    <n v="0"/>
    <n v="0"/>
    <n v="0"/>
    <n v="0"/>
    <n v="0"/>
    <n v="0"/>
    <n v="0"/>
    <n v="0"/>
    <n v="0"/>
    <n v="4.6483333333333343"/>
  </r>
  <r>
    <n v="8"/>
    <x v="0"/>
    <x v="4"/>
    <s v="Big Basket"/>
    <s v="Public-Free"/>
    <s v="3.3 kW"/>
    <s v="LEVAC-BLE"/>
    <n v="0"/>
    <n v="36.46"/>
    <n v="23.3"/>
    <n v="45.21"/>
    <n v="48.08"/>
    <n v="37.380000000000003"/>
    <n v="44.38"/>
    <n v="48.14"/>
    <n v="66.16"/>
    <n v="52.46"/>
    <n v="66.069999999999993"/>
    <n v="46.33"/>
    <n v="38.869999999999997"/>
    <n v="41.81"/>
    <n v="42.57"/>
    <n v="38.799999999999997"/>
    <n v="51.37"/>
    <n v="29.93"/>
    <n v="40.200000000000003"/>
    <n v="47.07"/>
    <n v="16.72"/>
    <n v="9.5"/>
    <n v="30.2"/>
    <n v="18.11"/>
    <n v="11.33"/>
    <n v="8.69"/>
    <n v="8.1999999999999993"/>
    <n v="18.420000000000002"/>
    <n v="8.1199999999999992"/>
    <n v="0.15"/>
    <n v="0"/>
    <n v="32.46766666666668"/>
  </r>
  <r>
    <n v="9"/>
    <x v="0"/>
    <x v="4"/>
    <s v="Big Basket"/>
    <s v="Public-Free"/>
    <s v="3.3 kW"/>
    <s v="OCPP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34.61"/>
    <n v="26.83"/>
    <n v="30.72"/>
  </r>
  <r>
    <n v="10"/>
    <x v="0"/>
    <x v="5"/>
    <s v="Deccan College of Engg.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x v="0"/>
    <x v="6"/>
    <s v="ETO Driver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7"/>
    <s v="ETO"/>
    <s v="Public-Free"/>
    <s v="3.3 kW"/>
    <s v="LEVAC-BLE"/>
    <n v="8"/>
    <n v="19.77"/>
    <n v="36.29"/>
    <n v="31.37"/>
    <n v="27.52"/>
    <n v="33.090000000000003"/>
    <n v="36.409999999999997"/>
    <n v="57.83"/>
    <n v="43.16"/>
    <n v="44.22"/>
    <n v="14.01"/>
    <n v="51.98"/>
    <n v="46.97"/>
    <n v="18.75"/>
    <n v="33.979999999999997"/>
    <n v="26.79"/>
    <n v="45.48"/>
    <n v="37.770000000000003"/>
    <n v="47.64"/>
    <n v="45.7"/>
    <n v="48.5"/>
    <n v="67.290000000000006"/>
    <n v="43.44"/>
    <n v="77.989999999999995"/>
    <n v="67.849999999999994"/>
    <n v="63.46"/>
    <n v="73.040000000000006"/>
    <n v="36.229999999999997"/>
    <n v="53.39"/>
    <n v="55.42"/>
    <n v="41.86"/>
    <n v="44.24"/>
  </r>
  <r>
    <n v="13"/>
    <x v="0"/>
    <x v="8"/>
    <s v="HMRL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0"/>
    <x v="9"/>
    <s v="ETO"/>
    <s v="Public-Paid"/>
    <s v="3.3 kW"/>
    <s v="LEVAC-BLE"/>
    <n v="2"/>
    <n v="0.88"/>
    <n v="0.06"/>
    <n v="0"/>
    <n v="0.1"/>
    <n v="0"/>
    <n v="0"/>
    <n v="3.35"/>
    <n v="3.81"/>
    <n v="0"/>
    <n v="0"/>
    <n v="7.06"/>
    <n v="0.05"/>
    <n v="0"/>
    <n v="0"/>
    <n v="0"/>
    <n v="0"/>
    <n v="0"/>
    <n v="0"/>
    <n v="1.1000000000000001"/>
    <n v="0"/>
    <n v="0"/>
    <n v="0"/>
    <n v="0"/>
    <n v="0"/>
    <n v="8.93"/>
    <n v="0"/>
    <n v="0.55000000000000004"/>
    <n v="0"/>
    <n v="0"/>
    <n v="0"/>
    <n v="0.8630000000000001"/>
  </r>
  <r>
    <n v="15"/>
    <x v="0"/>
    <x v="9"/>
    <s v="ETO"/>
    <s v="Public-Paid"/>
    <s v="3.3 kW"/>
    <s v="OCPP"/>
    <n v="15"/>
    <n v="56.589999999999918"/>
    <n v="237.13"/>
    <n v="204.35999999999999"/>
    <n v="73.010000000000048"/>
    <n v="94.95"/>
    <n v="137.16"/>
    <n v="133.98000000000002"/>
    <n v="165.56"/>
    <n v="124.68"/>
    <n v="64.06"/>
    <n v="134.72000000000003"/>
    <n v="128.06"/>
    <n v="116.75999999999999"/>
    <n v="107.89000000000004"/>
    <n v="109.32"/>
    <n v="174.67"/>
    <n v="142.22"/>
    <n v="109.56"/>
    <n v="131.29000000000002"/>
    <n v="107.67"/>
    <n v="210.64999999999998"/>
    <n v="155.25"/>
    <n v="128.22"/>
    <n v="110.84"/>
    <n v="138.38"/>
    <n v="165.3"/>
    <n v="170.43"/>
    <n v="155.39000000000001"/>
    <n v="173.09"/>
    <n v="187.03"/>
    <n v="138.274"/>
  </r>
  <r>
    <n v="16"/>
    <x v="0"/>
    <x v="9"/>
    <s v="ETO"/>
    <s v="Public-Paid"/>
    <s v="3.3 kW"/>
    <s v="DC Charger"/>
    <n v="1"/>
    <n v="0"/>
    <n v="12.01"/>
    <n v="8.67"/>
    <n v="6.2"/>
    <n v="10.74"/>
    <n v="8.9600000000000009"/>
    <n v="0.79"/>
    <n v="2.23"/>
    <n v="23.68"/>
    <n v="0"/>
    <n v="0"/>
    <n v="0.12"/>
    <n v="2.0499999999999998"/>
    <n v="9.11"/>
    <n v="5.35"/>
    <n v="0"/>
    <n v="0"/>
    <n v="0"/>
    <n v="0"/>
    <n v="0"/>
    <n v="0"/>
    <n v="0"/>
    <n v="0"/>
    <n v="0"/>
    <n v="1.85"/>
    <n v="0.37"/>
    <n v="0"/>
    <n v="0"/>
    <n v="0"/>
    <n v="1.0900000000000001"/>
    <n v="3.1073333333333335"/>
  </r>
  <r>
    <n v="17"/>
    <x v="0"/>
    <x v="9"/>
    <s v="ETO"/>
    <s v="Public-Free"/>
    <s v="12kW"/>
    <s v="DC Charger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x v="0"/>
    <x v="10"/>
    <s v="ETO"/>
    <s v="Public-Free"/>
    <s v="3.3 kW"/>
    <s v="OCPP"/>
    <n v="6"/>
    <n v="60.36"/>
    <n v="44.4"/>
    <n v="52.22"/>
    <n v="62.4"/>
    <n v="54.32"/>
    <n v="58.069999999999993"/>
    <n v="59.180000000000007"/>
    <n v="33.169999999999995"/>
    <n v="58.68"/>
    <n v="60.8"/>
    <n v="41.38"/>
    <n v="46.4"/>
    <n v="46.13"/>
    <n v="39.43"/>
    <n v="63.649999999999991"/>
    <n v="29.68"/>
    <n v="42.58"/>
    <n v="38.18"/>
    <n v="9.9"/>
    <n v="43.25"/>
    <n v="62.13"/>
    <n v="42.94"/>
    <n v="32.69"/>
    <n v="48.47"/>
    <n v="79.069999999999993"/>
    <n v="44.3"/>
    <n v="30.73"/>
    <n v="27.43"/>
    <n v="22.4"/>
    <n v="84.95"/>
    <n v="47.309666666666665"/>
  </r>
  <r>
    <n v="19"/>
    <x v="0"/>
    <x v="11"/>
    <s v="ETO"/>
    <s v="Public-Paid"/>
    <s v="3.3 kW"/>
    <s v="OCPP"/>
    <n v="6"/>
    <n v="29.84"/>
    <n v="25.69"/>
    <n v="34.07"/>
    <n v="34.380000000000003"/>
    <n v="22.15"/>
    <n v="41.7"/>
    <n v="31.980000000000004"/>
    <n v="30.659999999999997"/>
    <n v="43.990000000000009"/>
    <n v="31.33"/>
    <n v="39.92"/>
    <n v="35.71"/>
    <n v="27.9"/>
    <n v="36.15"/>
    <n v="36.22"/>
    <n v="31.54"/>
    <n v="29.08"/>
    <n v="29"/>
    <n v="32.68"/>
    <n v="28.63"/>
    <n v="28.68"/>
    <n v="38.08"/>
    <n v="36.61999999999999"/>
    <n v="16.940000000000005"/>
    <n v="30.11"/>
    <n v="32.070000000000022"/>
    <n v="38.75"/>
    <n v="29.83"/>
    <n v="22.06"/>
    <n v="40.659999999999997"/>
    <n v="32.213999999999999"/>
  </r>
  <r>
    <n v="20"/>
    <x v="0"/>
    <x v="12"/>
    <s v="ETO"/>
    <s v="Public-Free"/>
    <s v="3.3 kW"/>
    <s v="OCPP"/>
    <n v="3"/>
    <n v="38.64"/>
    <n v="36.42"/>
    <n v="53.07"/>
    <n v="28.58"/>
    <n v="29.94"/>
    <n v="40.950000000000003"/>
    <n v="53.56"/>
    <n v="40.770000000000003"/>
    <n v="25.51"/>
    <n v="36.869999999999997"/>
    <n v="34.71"/>
    <n v="52.77"/>
    <n v="41.97"/>
    <n v="47.27"/>
    <n v="39.15"/>
    <n v="32.630000000000003"/>
    <n v="43.67"/>
    <n v="13.39"/>
    <n v="36.19"/>
    <n v="4.1100000000000003"/>
    <n v="44.52"/>
    <n v="44.62"/>
    <n v="53.72"/>
    <n v="72.55"/>
    <n v="40.14"/>
    <n v="44.42"/>
    <n v="50.68"/>
    <n v="31.62"/>
    <n v="20.2"/>
    <n v="41.75"/>
    <n v="39.146333333333324"/>
  </r>
  <r>
    <n v="21"/>
    <x v="0"/>
    <x v="13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5.0000000000000001E-3"/>
    <n v="0"/>
    <n v="0"/>
    <n v="0"/>
    <n v="0"/>
    <n v="0"/>
    <n v="0"/>
    <n v="0"/>
    <n v="0"/>
    <n v="0"/>
    <n v="0"/>
    <n v="0"/>
    <n v="0"/>
    <n v="0"/>
    <n v="0"/>
    <n v="1.6666666666666666E-4"/>
  </r>
  <r>
    <n v="22"/>
    <x v="0"/>
    <x v="13"/>
    <s v="ETO"/>
    <s v="Public-Free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3"/>
    <n v="6.4333333333333326E-2"/>
  </r>
  <r>
    <n v="23"/>
    <x v="0"/>
    <x v="13"/>
    <s v="ETO"/>
    <s v="Public-Free"/>
    <s v="22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"/>
    <x v="0"/>
    <x v="14"/>
    <s v="Bluedart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0"/>
    <x v="15"/>
    <s v="Dhuni Polymers"/>
    <s v="Public-Free"/>
    <s v="3.3 kW"/>
    <s v="LEVAC-BLE"/>
    <n v="1"/>
    <n v="0"/>
    <n v="0"/>
    <n v="0"/>
    <n v="0"/>
    <n v="0"/>
    <n v="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333333333333333"/>
  </r>
  <r>
    <n v="26"/>
    <x v="1"/>
    <x v="16"/>
    <s v="ETO"/>
    <s v="Public-Free"/>
    <s v="3.3 kW"/>
    <s v="LEVAC-BLE"/>
    <n v="7"/>
    <n v="22.65"/>
    <n v="12.75"/>
    <n v="12.72"/>
    <n v="30.31"/>
    <n v="19.55"/>
    <n v="16.88"/>
    <n v="26.85"/>
    <n v="26.45"/>
    <n v="6.55"/>
    <n v="16.850000000000001"/>
    <n v="15.22"/>
    <n v="14.62"/>
    <n v="21.72"/>
    <n v="18.649999999999999"/>
    <n v="23.16"/>
    <n v="16.73"/>
    <n v="20.76"/>
    <n v="9.1300000000000008"/>
    <n v="31.54"/>
    <n v="26.98"/>
    <n v="32.61"/>
    <n v="29.91"/>
    <n v="23.33"/>
    <n v="24.15"/>
    <n v="17.010000000000002"/>
    <n v="34.869999999999997"/>
    <n v="13.92"/>
    <n v="23.67"/>
    <n v="16.98"/>
    <n v="12.94"/>
    <n v="20.648666666666667"/>
  </r>
  <r>
    <n v="27"/>
    <x v="1"/>
    <x v="17"/>
    <s v="Big Basket"/>
    <s v="Public-Free"/>
    <s v="3.3 kW"/>
    <s v="LEVAC-BLE"/>
    <n v="5"/>
    <n v="5.65"/>
    <n v="0"/>
    <n v="0"/>
    <n v="0"/>
    <n v="0"/>
    <n v="0"/>
    <n v="0"/>
    <n v="0"/>
    <n v="0"/>
    <n v="0"/>
    <n v="0"/>
    <n v="0"/>
    <n v="0"/>
    <n v="0"/>
    <n v="0.15"/>
    <n v="0"/>
    <n v="0"/>
    <n v="0"/>
    <n v="0"/>
    <n v="0"/>
    <n v="0"/>
    <n v="0"/>
    <n v="0"/>
    <n v="0"/>
    <n v="0"/>
    <n v="0"/>
    <n v="0"/>
    <n v="0"/>
    <n v="0"/>
    <n v="0"/>
    <n v="0.19333333333333336"/>
  </r>
  <r>
    <n v="28"/>
    <x v="1"/>
    <x v="18"/>
    <s v="Flipkart"/>
    <s v="Public-Free"/>
    <s v="3.3 kW"/>
    <s v="LEVAC-BLE"/>
    <n v="10"/>
    <n v="49"/>
    <n v="54.73"/>
    <n v="55.75"/>
    <n v="60.43"/>
    <n v="62.7"/>
    <n v="59.78"/>
    <n v="59.84"/>
    <n v="60.71"/>
    <n v="57.62"/>
    <n v="55.16"/>
    <n v="54.7"/>
    <n v="63.41"/>
    <n v="46.65"/>
    <n v="61.6"/>
    <n v="46.61"/>
    <n v="50.19"/>
    <n v="51.03"/>
    <n v="51.74"/>
    <n v="5.57"/>
    <n v="52.05"/>
    <n v="62.58"/>
    <n v="58.18"/>
    <n v="52.96"/>
    <n v="56.37"/>
    <n v="78.790000000000006"/>
    <n v="68.88"/>
    <n v="55.49"/>
    <n v="78.56"/>
    <n v="56.28"/>
    <n v="102.89"/>
    <n v="57.67499999999999"/>
  </r>
  <r>
    <n v="29"/>
    <x v="2"/>
    <x v="19"/>
    <s v="GATI"/>
    <s v="Public-Free"/>
    <s v="3.3 kW"/>
    <s v="LEVAC-BLE"/>
    <n v="5"/>
    <n v="0"/>
    <n v="0"/>
    <n v="0"/>
    <n v="0"/>
    <n v="0"/>
    <n v="0"/>
    <n v="2.52"/>
    <n v="0"/>
    <n v="0"/>
    <n v="0"/>
    <n v="0"/>
    <n v="0"/>
    <n v="14.33"/>
    <n v="20.260000000000002"/>
    <n v="19.239999999999998"/>
    <n v="7.68"/>
    <n v="0"/>
    <n v="17.13"/>
    <n v="0"/>
    <n v="0"/>
    <n v="0"/>
    <n v="0"/>
    <n v="0"/>
    <n v="0"/>
    <n v="0"/>
    <n v="0"/>
    <n v="0"/>
    <n v="0"/>
    <n v="0"/>
    <n v="0"/>
    <n v="2.7053333333333334"/>
  </r>
  <r>
    <n v="30"/>
    <x v="3"/>
    <x v="20"/>
    <s v="SOU"/>
    <s v="Public-Free"/>
    <s v="3.3 kW"/>
    <s v="LEVAC-BLE"/>
    <n v="25"/>
    <n v="132.81"/>
    <n v="170.05"/>
    <n v="87.11"/>
    <n v="39.9"/>
    <n v="96.36"/>
    <n v="63.54"/>
    <n v="169.54"/>
    <n v="114.24"/>
    <n v="166.16"/>
    <n v="82.88"/>
    <n v="29.08"/>
    <n v="45.1"/>
    <n v="47.83"/>
    <n v="56.33"/>
    <n v="30.74"/>
    <n v="31.65"/>
    <n v="28.89"/>
    <n v="39.46"/>
    <n v="6.61"/>
    <n v="9.18"/>
    <n v="12.9"/>
    <n v="23.32"/>
    <n v="30.09"/>
    <n v="28.63"/>
    <n v="51.08"/>
    <n v="41.01"/>
    <n v="23.3"/>
    <n v="66.91"/>
    <n v="77.08"/>
    <n v="76.09"/>
    <n v="62.595666666666666"/>
  </r>
  <r>
    <n v="31"/>
    <x v="3"/>
    <x v="20"/>
    <s v="SOU"/>
    <s v="Public-Free"/>
    <s v="3.3 kW"/>
    <s v="OCPP"/>
    <n v="15"/>
    <n v="125.19"/>
    <n v="152.24"/>
    <n v="186.2"/>
    <n v="114.58"/>
    <n v="73.64"/>
    <n v="103.48"/>
    <n v="213.69"/>
    <n v="285.94"/>
    <n v="238.84"/>
    <n v="294.14999999999998"/>
    <n v="171.76"/>
    <n v="97.53"/>
    <n v="190.58"/>
    <n v="175.62"/>
    <n v="143.97999999999999"/>
    <n v="194.43"/>
    <n v="129.63999999999999"/>
    <n v="61.89"/>
    <n v="179.01"/>
    <n v="31.87"/>
    <n v="35.06"/>
    <n v="31.9"/>
    <n v="207.59"/>
    <n v="235.21"/>
    <n v="61.69"/>
    <n v="133.37"/>
    <n v="166.58"/>
    <n v="207.44"/>
    <n v="300.25"/>
    <n v="290.10000000000002"/>
    <n v="161.11499999999998"/>
  </r>
  <r>
    <n v="32"/>
    <x v="4"/>
    <x v="21"/>
    <s v="ETO"/>
    <s v="Public-Free"/>
    <s v="3.3 kW"/>
    <s v="LEVAC-BLE"/>
    <n v="6"/>
    <n v="12.85"/>
    <n v="14.84"/>
    <n v="16.57"/>
    <n v="15.76"/>
    <n v="14.21"/>
    <n v="13.9"/>
    <n v="10.31"/>
    <n v="12.26"/>
    <n v="12.41"/>
    <n v="6.18"/>
    <n v="10.1"/>
    <n v="9.34"/>
    <n v="3.1"/>
    <n v="8.42"/>
    <n v="9.86"/>
    <n v="13.36"/>
    <n v="10.81"/>
    <n v="0"/>
    <n v="0"/>
    <n v="0.43"/>
    <n v="13.11"/>
    <n v="12.11"/>
    <n v="0"/>
    <n v="0"/>
    <n v="0"/>
    <n v="12.84"/>
    <n v="0"/>
    <n v="11.68"/>
    <n v="10.32"/>
    <n v="11.62"/>
    <n v="8.879666666666667"/>
  </r>
  <r>
    <n v="33"/>
    <x v="4"/>
    <x v="22"/>
    <s v="Flipkart"/>
    <s v="Public-Free"/>
    <s v="3.3 kW"/>
    <s v="OCPP"/>
    <n v="3"/>
    <n v="71.209999999999994"/>
    <n v="69.180000000000007"/>
    <n v="69.84"/>
    <n v="64.67"/>
    <n v="73.77000000000001"/>
    <n v="69.859999999999985"/>
    <n v="87.07"/>
    <n v="83.71"/>
    <n v="87.61"/>
    <n v="53.96"/>
    <n v="87.71"/>
    <n v="81.03"/>
    <n v="65.650000000000006"/>
    <n v="78.790000000000006"/>
    <n v="61.68"/>
    <n v="73.400000000000006"/>
    <n v="71.819999999999993"/>
    <n v="58.97"/>
    <n v="32.86"/>
    <n v="49.48"/>
    <n v="78.88"/>
    <n v="57.07"/>
    <n v="59.74"/>
    <n v="71.260000000000005"/>
    <n v="71.95"/>
    <n v="69.55"/>
    <n v="66.88"/>
    <n v="69.05"/>
    <n v="82.99"/>
    <n v="48.65"/>
    <n v="68.942999999999998"/>
  </r>
  <r>
    <n v="34"/>
    <x v="4"/>
    <x v="23"/>
    <s v="Flipkart"/>
    <s v="Public-Free"/>
    <s v="3.3 kW"/>
    <s v="OCPP"/>
    <n v="9"/>
    <n v="81.96999999999997"/>
    <n v="160.11000000000001"/>
    <n v="154.35"/>
    <n v="184.01"/>
    <n v="182.61"/>
    <n v="210.5"/>
    <n v="201.42"/>
    <n v="176.35"/>
    <n v="189.77"/>
    <n v="188.11"/>
    <n v="196.2"/>
    <n v="211.27"/>
    <n v="228.1"/>
    <n v="215.59"/>
    <n v="181.7"/>
    <n v="139.86000000000001"/>
    <n v="138.05000000000001"/>
    <n v="168.79000000000002"/>
    <n v="101.08"/>
    <n v="91.22"/>
    <n v="174.53000000000003"/>
    <n v="159.79"/>
    <n v="204.12"/>
    <n v="151.77000000000001"/>
    <n v="117.63"/>
    <n v="194.87"/>
    <n v="107.63"/>
    <n v="121.7"/>
    <n v="170.49"/>
    <n v="126.24"/>
    <n v="164.32766666666663"/>
  </r>
  <r>
    <n v="35"/>
    <x v="4"/>
    <x v="24"/>
    <s v="EFL"/>
    <s v="Public-Free"/>
    <s v="6 kW"/>
    <s v="OCPP"/>
    <n v="1"/>
    <n v="15.68"/>
    <n v="15.82"/>
    <n v="8.18"/>
    <n v="7.97"/>
    <n v="14.79"/>
    <n v="11.77"/>
    <n v="25.23"/>
    <n v="0"/>
    <n v="15.33"/>
    <n v="15.92"/>
    <n v="0"/>
    <n v="4.2300000000000004"/>
    <n v="0"/>
    <n v="0"/>
    <n v="0"/>
    <n v="8.81"/>
    <n v="5.6779999999999999"/>
    <n v="5.33"/>
    <n v="6.23"/>
    <n v="0"/>
    <n v="6.58"/>
    <n v="0"/>
    <n v="0"/>
    <n v="5.7"/>
    <n v="1.51"/>
    <n v="0"/>
    <n v="0"/>
    <n v="0"/>
    <n v="0"/>
    <n v="3.94"/>
    <n v="5.956599999999999"/>
  </r>
  <r>
    <n v="36"/>
    <x v="4"/>
    <x v="25"/>
    <s v="ETO"/>
    <s v="Public-Free"/>
    <s v="3.3 kW"/>
    <s v="OCPP"/>
    <n v="7"/>
    <n v="192.99"/>
    <n v="230.41"/>
    <n v="223.14"/>
    <n v="247.64"/>
    <n v="242.4"/>
    <n v="303.33999999999997"/>
    <n v="272.42"/>
    <n v="313.35000000000002"/>
    <n v="230.31"/>
    <n v="231.21"/>
    <n v="244.3"/>
    <n v="259.60000000000002"/>
    <n v="242.5"/>
    <n v="238.62"/>
    <n v="246.1"/>
    <n v="210.55"/>
    <n v="248.61"/>
    <n v="162.1"/>
    <n v="141.76"/>
    <n v="202.35"/>
    <n v="259.98"/>
    <n v="237.27"/>
    <n v="229.49"/>
    <n v="223.92"/>
    <n v="208.13"/>
    <n v="155.24"/>
    <n v="211.32"/>
    <n v="223.06"/>
    <n v="235.35"/>
    <n v="144.94999999999999"/>
    <n v="227.08033333333336"/>
  </r>
  <r>
    <n v="37"/>
    <x v="5"/>
    <x v="26"/>
    <s v="MCD"/>
    <s v="Public-Paid"/>
    <s v="3.3 kW"/>
    <s v="LEVAC-BLE"/>
    <n v="105"/>
    <n v="8.56"/>
    <n v="5.57"/>
    <n v="5.72"/>
    <n v="5.55"/>
    <n v="3.78"/>
    <n v="7.39"/>
    <n v="6.22"/>
    <n v="5.05"/>
    <n v="5.3"/>
    <n v="5.71"/>
    <n v="4.12"/>
    <n v="5.17"/>
    <n v="5.74"/>
    <n v="2.0299999999999998"/>
    <n v="2.58"/>
    <n v="0.33"/>
    <n v="1.83"/>
    <n v="0.1"/>
    <n v="0"/>
    <n v="0.19"/>
    <n v="0.77"/>
    <n v="1.2"/>
    <n v="0.19"/>
    <n v="0.08"/>
    <n v="0.04"/>
    <n v="0.11"/>
    <n v="0.91"/>
    <n v="0.52"/>
    <n v="0"/>
    <n v="0"/>
    <n v="2.8253333333333321"/>
  </r>
  <r>
    <n v="38"/>
    <x v="5"/>
    <x v="27"/>
    <s v="Mahagun Hotel"/>
    <s v="Public-Paid"/>
    <s v="7.4 kW"/>
    <s v="OCPP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6"/>
    <n v="0"/>
    <n v="0"/>
    <n v="0"/>
    <n v="0"/>
    <n v="0"/>
    <n v="9.8666666666666666E-2"/>
  </r>
  <r>
    <n v="39"/>
    <x v="5"/>
    <x v="28"/>
    <m/>
    <s v="Public-Paid"/>
    <s v="3.3 kW"/>
    <s v="LEVAC-BLE"/>
    <n v="82"/>
    <n v="23.02"/>
    <n v="30.5"/>
    <n v="6.6"/>
    <n v="24.29"/>
    <n v="21.09"/>
    <n v="7.3"/>
    <n v="0.11"/>
    <n v="24.66"/>
    <n v="2.93"/>
    <n v="2.4500000000000002"/>
    <n v="23.54"/>
    <n v="43.18"/>
    <n v="19.239999999999998"/>
    <n v="9.07"/>
    <n v="15.08"/>
    <n v="0"/>
    <n v="0.4"/>
    <n v="18.04"/>
    <n v="38.31"/>
    <n v="15.05"/>
    <n v="17.079999999999998"/>
    <n v="7.58"/>
    <n v="0"/>
    <n v="0.41"/>
    <n v="17.78"/>
    <n v="9.68"/>
    <n v="43.18"/>
    <n v="0.5"/>
    <n v="15.47"/>
    <n v="24.41"/>
    <n v="15.365000000000004"/>
  </r>
  <r>
    <n v="40"/>
    <x v="5"/>
    <x v="29"/>
    <s v="ETO"/>
    <s v="Public-Free"/>
    <s v="3.3 kW"/>
    <s v="OCPP"/>
    <n v="5"/>
    <n v="57.7"/>
    <n v="67.400000000000006"/>
    <n v="60.830000000000005"/>
    <n v="67.37"/>
    <n v="5.3899999999999864"/>
    <n v="41.639999999999986"/>
    <n v="71.069999999999993"/>
    <n v="26.7"/>
    <n v="0"/>
    <n v="0"/>
    <n v="36.010000000000005"/>
    <n v="72.92"/>
    <n v="66.58"/>
    <n v="52.72"/>
    <n v="57.64"/>
    <n v="57.47"/>
    <n v="60.86"/>
    <n v="60.45"/>
    <n v="49.57"/>
    <n v="48.74"/>
    <n v="46.26"/>
    <n v="58.18"/>
    <n v="56.02"/>
    <n v="46.319999999999993"/>
    <n v="57.68"/>
    <n v="56.73"/>
    <n v="40.97"/>
    <n v="66.94"/>
    <n v="47.24"/>
    <n v="78.209999999999994"/>
    <n v="50.520333333333348"/>
  </r>
  <r>
    <n v="41"/>
    <x v="5"/>
    <x v="30"/>
    <s v="ETO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x v="5"/>
    <x v="31"/>
    <s v="ETO"/>
    <s v="Public-Free"/>
    <s v="3.3 kW"/>
    <s v="OCPP"/>
    <n v="16"/>
    <n v="35.39"/>
    <n v="21.4"/>
    <n v="10.76"/>
    <n v="6.47"/>
    <n v="30.82"/>
    <n v="16.820000000000007"/>
    <n v="38.880000000000003"/>
    <n v="0.12"/>
    <n v="0.03"/>
    <n v="0"/>
    <n v="17.13"/>
    <n v="20.51"/>
    <n v="38.07"/>
    <n v="47.49"/>
    <n v="20.509999999999991"/>
    <n v="6.98"/>
    <n v="6.24"/>
    <n v="10.92"/>
    <n v="24.87"/>
    <n v="16.28"/>
    <n v="10.88"/>
    <n v="27.17"/>
    <n v="39.18"/>
    <n v="7.49"/>
    <n v="32.75"/>
    <n v="21.64"/>
    <n v="18.91"/>
    <n v="14.89"/>
    <n v="27.94"/>
    <n v="9.14"/>
    <n v="19.32266666666667"/>
  </r>
  <r>
    <n v="43"/>
    <x v="5"/>
    <x v="32"/>
    <s v="ETO"/>
    <s v="Public-Free"/>
    <s v="3.3 kW"/>
    <s v="OCPP"/>
    <n v="10"/>
    <n v="0.03"/>
    <n v="33.08"/>
    <n v="8.43"/>
    <n v="17"/>
    <n v="27.57"/>
    <n v="52.04"/>
    <n v="26.75"/>
    <n v="14.71"/>
    <n v="0"/>
    <n v="0"/>
    <n v="2.37"/>
    <n v="64.650000000000006"/>
    <n v="38.31"/>
    <n v="36.39"/>
    <n v="27.16"/>
    <n v="60.94"/>
    <n v="11.83"/>
    <n v="12.42"/>
    <n v="60.87"/>
    <n v="27.8"/>
    <n v="64.680000000000007"/>
    <n v="35.68"/>
    <n v="41.3"/>
    <n v="14.47"/>
    <n v="40.17"/>
    <n v="28.99"/>
    <n v="35.89"/>
    <n v="46.82"/>
    <n v="5.5"/>
    <n v="0.25"/>
    <n v="27.869999999999997"/>
  </r>
  <r>
    <n v="44"/>
    <x v="5"/>
    <x v="33"/>
    <s v="ETO"/>
    <s v="Public-Free"/>
    <s v="3.3 kW"/>
    <s v="OCPP"/>
    <n v="13"/>
    <n v="44.01"/>
    <n v="60.32"/>
    <n v="40.76"/>
    <n v="21.79"/>
    <n v="43.54"/>
    <n v="35.450000000000003"/>
    <n v="54.2"/>
    <n v="24.54"/>
    <n v="29.17"/>
    <n v="0"/>
    <n v="41.129999999999995"/>
    <n v="31.599999999999994"/>
    <n v="45.24"/>
    <n v="38.61"/>
    <n v="54.34"/>
    <n v="52.63"/>
    <n v="20.7"/>
    <n v="48.41"/>
    <n v="70.540000000000006"/>
    <n v="49.51"/>
    <n v="42.68"/>
    <n v="36.520000000000003"/>
    <n v="51.69"/>
    <n v="18.39"/>
    <n v="67.86"/>
    <n v="72.03"/>
    <n v="54.769999999999996"/>
    <n v="37.270000000000003"/>
    <n v="55.23"/>
    <n v="52.41"/>
    <n v="43.177999999999997"/>
  </r>
  <r>
    <n v="45"/>
    <x v="5"/>
    <x v="34"/>
    <s v="ETO"/>
    <s v="Public-Free"/>
    <s v="3.3 kW"/>
    <s v="LEVAC-BL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5"/>
    <x v="34"/>
    <s v="ETO"/>
    <s v="Public-Free"/>
    <s v="3.3 kW"/>
    <s v="OCPP"/>
    <n v="19"/>
    <n v="82.950000000000017"/>
    <n v="83.98"/>
    <n v="73.69"/>
    <n v="106.83"/>
    <n v="103.64000000000001"/>
    <n v="116.39000000000001"/>
    <n v="61.47"/>
    <n v="91.73"/>
    <n v="116.31"/>
    <n v="90.63"/>
    <n v="104.72"/>
    <n v="132.29"/>
    <n v="121.67"/>
    <n v="122.08999999999999"/>
    <n v="87.87"/>
    <n v="67.650000000000006"/>
    <n v="119.45"/>
    <n v="116.32000000000001"/>
    <n v="182.46"/>
    <n v="88.3"/>
    <n v="110.25"/>
    <n v="116.51"/>
    <n v="137.75"/>
    <n v="73.02"/>
    <n v="164.39"/>
    <n v="95.35"/>
    <n v="109.85000000000002"/>
    <n v="100.09"/>
    <n v="86.4"/>
    <n v="144.52000000000001"/>
    <n v="106.95233333333334"/>
  </r>
  <r>
    <n v="47"/>
    <x v="5"/>
    <x v="35"/>
    <s v="ETO"/>
    <s v="Public-Free"/>
    <s v="3.3 kW"/>
    <s v="LEVAC-BL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x v="5"/>
    <x v="36"/>
    <s v="ETO"/>
    <s v="Public-Free"/>
    <s v="3.3 kW"/>
    <s v="OCPP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5"/>
    <x v="37"/>
    <s v="ETO"/>
    <s v="Public-Paid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5"/>
    <x v="37"/>
    <s v="ETO"/>
    <s v="Public-Paid"/>
    <s v="3.3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5"/>
    <x v="38"/>
    <s v="ETO"/>
    <s v="Public-Paid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5"/>
    <x v="38"/>
    <s v="ETO"/>
    <s v="Public-Paid"/>
    <s v="3.3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5"/>
    <x v="39"/>
    <s v="ETO"/>
    <s v="Public-Free"/>
    <s v="3.3 kW"/>
    <s v="LEVAC-BLE"/>
    <n v="10"/>
    <n v="68.5"/>
    <n v="0"/>
    <n v="0"/>
    <n v="45.51"/>
    <n v="86.51"/>
    <n v="40.049999999999997"/>
    <n v="0"/>
    <n v="0"/>
    <n v="0"/>
    <n v="0"/>
    <n v="22.73"/>
    <n v="74.83"/>
    <n v="53.74"/>
    <n v="30.71"/>
    <n v="58.17"/>
    <n v="0"/>
    <n v="0"/>
    <n v="46.63"/>
    <n v="59.07"/>
    <n v="57.09"/>
    <n v="65.86"/>
    <n v="50.65"/>
    <n v="0"/>
    <n v="0"/>
    <n v="50.04"/>
    <n v="61.24"/>
    <n v="61.68"/>
    <n v="17.04"/>
    <n v="52.04"/>
    <n v="12.48"/>
    <n v="33.818999999999996"/>
  </r>
  <r>
    <n v="54"/>
    <x v="5"/>
    <x v="40"/>
    <s v="Log9"/>
    <s v="Public-Free"/>
    <s v="15 Kw"/>
    <s v="DC Charger"/>
    <n v="1"/>
    <n v="9.89"/>
    <n v="10.220000000000001"/>
    <n v="11.09"/>
    <n v="9.23"/>
    <n v="9.89"/>
    <n v="10.220000000000001"/>
    <n v="11.09"/>
    <n v="9.23"/>
    <n v="10.220000000000001"/>
    <n v="11.09"/>
    <n v="9.23"/>
    <n v="9.89"/>
    <n v="10.220000000000001"/>
    <n v="11.09"/>
    <n v="10.220000000000001"/>
    <n v="11.09"/>
    <n v="11.09"/>
    <n v="9.23"/>
    <n v="9.89"/>
    <n v="10.220000000000001"/>
    <n v="11.09"/>
    <n v="10.220000000000001"/>
    <n v="11.09"/>
    <n v="9.23"/>
    <n v="9.89"/>
    <n v="10.220000000000001"/>
    <n v="11.09"/>
    <n v="10.220000000000001"/>
    <n v="12.21"/>
    <n v="14.09"/>
    <n v="10.456333333333333"/>
  </r>
  <r>
    <n v="55"/>
    <x v="5"/>
    <x v="41"/>
    <s v="Log9"/>
    <s v="Public-Free"/>
    <s v="15kW"/>
    <s v="DC Charger"/>
    <n v="1"/>
    <n v="69.5"/>
    <n v="67.03"/>
    <n v="69.44"/>
    <n v="66.94"/>
    <n v="89.130000000000038"/>
    <n v="65.239999999999995"/>
    <n v="70.2"/>
    <n v="68.03"/>
    <n v="60.07"/>
    <n v="65.03"/>
    <n v="67.099999999999994"/>
    <n v="70.66"/>
    <n v="71.22"/>
    <n v="69.34"/>
    <n v="68.400000000000006"/>
    <n v="65.33"/>
    <n v="68.09"/>
    <n v="69.22"/>
    <n v="64.11"/>
    <n v="69.09"/>
    <n v="67.099999999999994"/>
    <n v="69.12"/>
    <n v="65.22"/>
    <n v="65.349999999999994"/>
    <n v="68.33"/>
    <n v="67.22"/>
    <n v="67.33"/>
    <n v="68.33"/>
    <n v="61.22"/>
    <n v="70.11"/>
    <n v="68.083333333333314"/>
  </r>
  <r>
    <n v="56"/>
    <x v="5"/>
    <x v="42"/>
    <s v="Log9"/>
    <s v="Public-Free"/>
    <s v="15kW"/>
    <s v="DC Charger"/>
    <n v="1"/>
    <n v="14.22"/>
    <n v="13.22"/>
    <n v="16.329999999999998"/>
    <n v="14.43"/>
    <n v="13.22"/>
    <n v="16.329999999999998"/>
    <n v="13.22"/>
    <n v="16.329999999999998"/>
    <n v="14.22"/>
    <n v="13.22"/>
    <n v="16.329999999999998"/>
    <n v="14.43"/>
    <n v="13.22"/>
    <n v="16.329999999999998"/>
    <n v="13.22"/>
    <n v="16.329999999999998"/>
    <n v="16.329999999999998"/>
    <n v="14.43"/>
    <n v="13.22"/>
    <n v="16.329999999999998"/>
    <n v="13.22"/>
    <n v="16.329999999999998"/>
    <n v="14.22"/>
    <n v="13.22"/>
    <n v="16.329999999999998"/>
    <n v="14.43"/>
    <n v="13.22"/>
    <n v="16.329999999999998"/>
    <n v="13.22"/>
    <n v="16.329999999999998"/>
    <n v="14.725333333333337"/>
  </r>
  <r>
    <n v="57"/>
    <x v="6"/>
    <x v="43"/>
    <s v="ETO"/>
    <s v="Public-Free"/>
    <s v="3.3kW"/>
    <s v="OCPP"/>
    <n v="20"/>
    <n v="199.76999999999998"/>
    <n v="92.860000000000014"/>
    <n v="149.16999999999999"/>
    <n v="157.73999999999998"/>
    <n v="129.98000000000002"/>
    <n v="138.05000000000001"/>
    <n v="148.91999999999996"/>
    <n v="189.95000000000002"/>
    <n v="194.24"/>
    <n v="165.03"/>
    <n v="154.07"/>
    <n v="165.00999999999993"/>
    <n v="160.25"/>
    <n v="192.94"/>
    <n v="132.96999999999997"/>
    <n v="90.789999999999992"/>
    <n v="150.93"/>
    <n v="131.90999999999997"/>
    <n v="158.47"/>
    <n v="125.16999999999999"/>
    <n v="166.41"/>
    <n v="162.47"/>
    <n v="135.44999999999999"/>
    <n v="128.94999999999999"/>
    <n v="172.31"/>
    <n v="173.89"/>
    <n v="188.78"/>
    <n v="209.45"/>
    <n v="144.74"/>
    <n v="164.48000000000002"/>
    <n v="155.83833333333325"/>
  </r>
  <r>
    <n v="58"/>
    <x v="5"/>
    <x v="44"/>
    <s v="ETO"/>
    <s v="Public-Free"/>
    <s v="3.3 kW"/>
    <s v="LEVAC-BLE"/>
    <n v="3"/>
    <n v="0.1"/>
    <n v="4.17"/>
    <n v="0"/>
    <n v="0.03"/>
    <n v="6.96"/>
    <n v="3.38"/>
    <n v="7.11"/>
    <n v="11"/>
    <n v="8.07"/>
    <n v="4.24"/>
    <n v="9.9"/>
    <n v="13.03"/>
    <n v="7.0000000000000007E-2"/>
    <n v="3.0000000000000001E-3"/>
    <n v="0"/>
    <n v="0.02"/>
    <n v="0"/>
    <n v="0"/>
    <n v="0"/>
    <n v="0"/>
    <n v="0"/>
    <n v="0"/>
    <n v="0"/>
    <n v="0"/>
    <n v="0"/>
    <n v="0"/>
    <n v="0"/>
    <n v="0.36"/>
    <n v="5.05"/>
    <n v="0"/>
    <n v="2.4497666666666662"/>
  </r>
  <r>
    <n v="59"/>
    <x v="5"/>
    <x v="45"/>
    <s v="Trinity"/>
    <s v="Public-Paid"/>
    <s v="7.4 kW"/>
    <s v="OCPP"/>
    <n v="2"/>
    <m/>
    <m/>
    <m/>
    <m/>
    <m/>
    <m/>
    <m/>
    <m/>
    <m/>
    <m/>
    <m/>
    <m/>
    <n v="0"/>
    <n v="18.920000000000002"/>
    <n v="0"/>
    <n v="0"/>
    <n v="0"/>
    <n v="0"/>
    <n v="0"/>
    <n v="0"/>
    <n v="0"/>
    <n v="21.1"/>
    <n v="1.06"/>
    <n v="48.88"/>
    <n v="0"/>
    <n v="9.02"/>
    <n v="0"/>
    <n v="19.84"/>
    <n v="0"/>
    <n v="51.84"/>
    <n v="9.4811111111111117"/>
  </r>
  <r>
    <n v="60"/>
    <x v="5"/>
    <x v="46"/>
    <m/>
    <s v="Private-Paid"/>
    <s v="3.3kW"/>
    <s v="OCPP"/>
    <n v="2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1"/>
    <x v="0"/>
    <x v="0"/>
    <s v="Amazon"/>
    <s v="Public-Paid"/>
    <s v="3.3 kW"/>
    <s v="LEVAC-BLE"/>
    <n v="6"/>
    <n v="1.86"/>
    <n v="0"/>
    <n v="0"/>
    <n v="0"/>
    <n v="0"/>
    <n v="0"/>
    <n v="0"/>
    <n v="0"/>
    <n v="0"/>
    <n v="0"/>
    <n v="0"/>
    <n v="0"/>
    <n v="5.5"/>
    <n v="2.96"/>
    <n v="0"/>
    <n v="29.57"/>
    <n v="0"/>
    <n v="8.02"/>
    <n v="0"/>
    <n v="5.79"/>
    <n v="0.03"/>
    <n v="7.38"/>
    <n v="17.02"/>
    <n v="9.7899999999999991"/>
    <n v="17.86"/>
    <n v="0.17"/>
    <n v="11.55"/>
    <n v="10.039999999999999"/>
    <n v="0.02"/>
    <n v="5.94"/>
    <n v="6.05"/>
    <n v="4.5016129032258068"/>
  </r>
  <r>
    <n v="2"/>
    <x v="0"/>
    <x v="1"/>
    <s v="Amazon"/>
    <s v="Public-Paid"/>
    <s v="3.3 kW"/>
    <s v="LEVAC-BLE"/>
    <n v="9"/>
    <n v="76.98"/>
    <n v="94.08"/>
    <n v="82.19"/>
    <n v="81.650000000000006"/>
    <n v="100.66"/>
    <n v="80.13"/>
    <n v="85.8"/>
    <n v="70.36"/>
    <n v="49"/>
    <n v="55.18"/>
    <n v="72.290000000000006"/>
    <n v="55.23"/>
    <n v="75.03"/>
    <n v="74.63"/>
    <n v="101"/>
    <n v="56.15"/>
    <n v="97.31"/>
    <n v="78.3"/>
    <n v="81.400000000000006"/>
    <n v="95.41"/>
    <n v="98.35"/>
    <n v="68.31"/>
    <n v="79.959999999999994"/>
    <n v="91.39"/>
    <n v="89.08"/>
    <n v="79.19"/>
    <n v="71.22"/>
    <n v="55.56"/>
    <n v="55.88"/>
    <n v="79.75"/>
    <n v="39.369999999999997"/>
    <n v="76.478709677419346"/>
  </r>
  <r>
    <n v="3"/>
    <x v="0"/>
    <x v="2"/>
    <s v="Amazon"/>
    <s v="Public-Paid"/>
    <s v="3.3 kW"/>
    <s v="LEVAC-BLE"/>
    <n v="3"/>
    <n v="36.15"/>
    <n v="41.79"/>
    <n v="53.11"/>
    <n v="54.39"/>
    <n v="49.29"/>
    <n v="65.599999999999994"/>
    <n v="55.83"/>
    <n v="57.69"/>
    <n v="51.3"/>
    <n v="45"/>
    <n v="39.24"/>
    <n v="44.36"/>
    <n v="55.5"/>
    <n v="71.53"/>
    <n v="41.09"/>
    <n v="43.07"/>
    <n v="35.44"/>
    <n v="33.44"/>
    <n v="28.67"/>
    <n v="33.4"/>
    <n v="21.13"/>
    <n v="52.26"/>
    <n v="43.91"/>
    <n v="32.520000000000003"/>
    <n v="31.07"/>
    <n v="24.99"/>
    <n v="45.16"/>
    <n v="33.869999999999997"/>
    <n v="33.86"/>
    <n v="39.07"/>
    <n v="40.53"/>
    <n v="43.040645161290314"/>
  </r>
  <r>
    <n v="4"/>
    <x v="0"/>
    <x v="3"/>
    <s v="Big Basket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0"/>
    <x v="4"/>
    <s v="Big Basket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0"/>
    <x v="5"/>
    <s v="Big Basket"/>
    <s v="Public-Free"/>
    <s v="3.3 kW"/>
    <s v="LEVAC-BLE"/>
    <n v="5"/>
    <n v="26.72"/>
    <n v="18.91"/>
    <n v="30.16"/>
    <n v="21.64"/>
    <n v="15.58"/>
    <n v="10.45"/>
    <n v="13.88"/>
    <n v="40.01"/>
    <n v="30.59"/>
    <n v="18.97"/>
    <n v="12.54"/>
    <n v="16.41"/>
    <n v="9.8800000000000008"/>
    <n v="10.97"/>
    <n v="0.65"/>
    <n v="0.14000000000000001"/>
    <n v="6.88"/>
    <n v="9.26"/>
    <n v="7.82"/>
    <n v="7.0000000000000007E-2"/>
    <n v="0"/>
    <n v="9.7100000000000009"/>
    <n v="0.06"/>
    <n v="10.53"/>
    <n v="8.23"/>
    <n v="5.91"/>
    <n v="6.11"/>
    <n v="7.01"/>
    <n v="7.9"/>
    <n v="9.25"/>
    <n v="5.73"/>
    <n v="11.999032258064515"/>
  </r>
  <r>
    <n v="7"/>
    <x v="0"/>
    <x v="6"/>
    <s v="Big Basket"/>
    <s v="Public-Free"/>
    <s v="3.3 kW"/>
    <s v="LEVAC-BLE"/>
    <n v="3"/>
    <n v="53.07"/>
    <n v="59.58"/>
    <n v="50.77"/>
    <n v="67.819999999999993"/>
    <n v="59.05"/>
    <n v="73.760000000000005"/>
    <n v="67.67"/>
    <n v="78.36"/>
    <n v="67.42"/>
    <n v="73.36"/>
    <n v="66.64"/>
    <n v="46.46"/>
    <n v="53.94"/>
    <n v="68.75"/>
    <n v="64.09"/>
    <n v="62.08"/>
    <n v="68.25"/>
    <n v="62.48"/>
    <n v="59.68"/>
    <n v="38.840000000000003"/>
    <n v="67.22"/>
    <n v="69.11"/>
    <n v="46.32"/>
    <n v="79.430000000000007"/>
    <n v="62.88"/>
    <n v="74.59"/>
    <n v="43.69"/>
    <n v="35.28"/>
    <n v="45.39"/>
    <n v="51.86"/>
    <n v="68.22"/>
    <n v="60.840645161290325"/>
  </r>
  <r>
    <n v="8"/>
    <x v="0"/>
    <x v="7"/>
    <s v="Deccan College of Engg.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0"/>
    <x v="8"/>
    <s v="ETO Driver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0"/>
    <x v="9"/>
    <s v="ETO"/>
    <s v="Public-Free"/>
    <s v="3.3 kW"/>
    <s v="LEVAC-BLE"/>
    <n v="8"/>
    <n v="45.42"/>
    <n v="61.16"/>
    <n v="57.92"/>
    <n v="49.05"/>
    <n v="64.33"/>
    <n v="41.55"/>
    <n v="41.89"/>
    <n v="41.9"/>
    <n v="53.46"/>
    <n v="30.64"/>
    <n v="44.22"/>
    <n v="68.91"/>
    <n v="43.74"/>
    <n v="35.880000000000003"/>
    <n v="51.04"/>
    <n v="28.44"/>
    <n v="51.32"/>
    <n v="53.67"/>
    <n v="70.790000000000006"/>
    <n v="20.05"/>
    <n v="30.44"/>
    <n v="42.65"/>
    <n v="50.52"/>
    <n v="61.77"/>
    <n v="32.479999999999997"/>
    <n v="71.819999999999993"/>
    <n v="38.43"/>
    <n v="62.47"/>
    <n v="45.41"/>
    <n v="40.56"/>
    <n v="20.54"/>
    <n v="46.853870967741933"/>
  </r>
  <r>
    <n v="11"/>
    <x v="0"/>
    <x v="10"/>
    <s v="HMRL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x v="0"/>
    <x v="11"/>
    <s v="ETO"/>
    <s v="Public-Free"/>
    <s v="3.3 kW"/>
    <s v="LEVAC-BLE"/>
    <n v="4"/>
    <n v="13.2"/>
    <n v="0"/>
    <n v="8.64"/>
    <n v="10.38"/>
    <n v="9.92"/>
    <n v="1.33"/>
    <n v="11.68"/>
    <n v="4.71"/>
    <n v="16.010000000000002"/>
    <n v="3.51"/>
    <n v="10.75"/>
    <n v="7.69"/>
    <n v="7.49"/>
    <n v="0"/>
    <n v="0.11"/>
    <n v="0.05"/>
    <n v="3.4"/>
    <n v="0.37"/>
    <n v="10.49"/>
    <n v="2.81"/>
    <n v="0.06"/>
    <n v="2.13"/>
    <n v="7.22"/>
    <n v="8.74"/>
    <n v="6.41"/>
    <n v="17.23"/>
    <n v="0.14000000000000001"/>
    <n v="3.17"/>
    <n v="0"/>
    <n v="0"/>
    <n v="0"/>
    <n v="5.4077419354838705"/>
  </r>
  <r>
    <n v="13"/>
    <x v="0"/>
    <x v="12"/>
    <s v="ETO"/>
    <s v="Public-Free"/>
    <s v="3.3 kW"/>
    <s v="LEVAC-BLE"/>
    <n v="8"/>
    <n v="138.99"/>
    <n v="180.4"/>
    <n v="151.78"/>
    <n v="208.26"/>
    <n v="169.84"/>
    <n v="184.13"/>
    <n v="143.83000000000001"/>
    <n v="127.46"/>
    <n v="160.09"/>
    <n v="117.39"/>
    <n v="145.77000000000001"/>
    <n v="178.02"/>
    <n v="146.72999999999999"/>
    <n v="201.54"/>
    <n v="102.38"/>
    <n v="116.99"/>
    <n v="139.53"/>
    <n v="168.63"/>
    <n v="120.74"/>
    <n v="107.14"/>
    <n v="63.91"/>
    <n v="29.28"/>
    <n v="11.4"/>
    <n v="15.3"/>
    <n v="22.63"/>
    <n v="29.31"/>
    <n v="12.65"/>
    <n v="29.8"/>
    <n v="28.82"/>
    <n v="0.09"/>
    <n v="0.64"/>
    <n v="104.95064516129034"/>
  </r>
  <r>
    <n v="14"/>
    <x v="0"/>
    <x v="12"/>
    <s v="ETO"/>
    <s v="Public-Free"/>
    <s v="3.3 kW"/>
    <s v="OCPP"/>
    <n v="9"/>
    <m/>
    <m/>
    <m/>
    <m/>
    <m/>
    <m/>
    <m/>
    <m/>
    <m/>
    <m/>
    <m/>
    <m/>
    <m/>
    <m/>
    <m/>
    <m/>
    <m/>
    <m/>
    <m/>
    <m/>
    <n v="58.269999999999996"/>
    <n v="171.25"/>
    <n v="149.16"/>
    <n v="161.20999999999998"/>
    <n v="132.18999999999991"/>
    <n v="227.99999999999997"/>
    <n v="111.46000000000001"/>
    <n v="182.96999999999997"/>
    <n v="169.91"/>
    <n v="126.98000000000002"/>
    <n v="133.81000000000006"/>
    <n v="147.74636363636364"/>
  </r>
  <r>
    <n v="15"/>
    <x v="0"/>
    <x v="12"/>
    <s v="ETO"/>
    <s v="Public-Free"/>
    <s v="3.3 kW"/>
    <s v="DC Charger"/>
    <n v="1"/>
    <n v="0.75"/>
    <n v="0"/>
    <n v="0"/>
    <n v="0"/>
    <n v="0"/>
    <n v="0"/>
    <n v="0.31"/>
    <n v="0.95"/>
    <n v="0"/>
    <n v="1.29"/>
    <n v="0.49"/>
    <n v="1.57"/>
    <n v="0"/>
    <n v="0"/>
    <n v="0"/>
    <n v="0.06"/>
    <n v="5.45"/>
    <n v="8.98"/>
    <n v="2.84"/>
    <n v="3.64"/>
    <n v="6.11"/>
    <n v="1.24"/>
    <n v="0.17"/>
    <n v="1.03"/>
    <n v="8.24"/>
    <n v="0.03"/>
    <n v="4.1500000000000004"/>
    <n v="0.03"/>
    <n v="0"/>
    <n v="4.38"/>
    <n v="0"/>
    <n v="1.6680645161290328"/>
  </r>
  <r>
    <n v="16"/>
    <x v="0"/>
    <x v="12"/>
    <s v="ETO"/>
    <s v="Public-Free"/>
    <s v="12 kW"/>
    <s v="DC Charger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x v="0"/>
    <x v="13"/>
    <s v="ETO"/>
    <s v="Public-Free"/>
    <s v="3.3 kW"/>
    <s v="OCPP"/>
    <m/>
    <n v="22.54"/>
    <n v="36.340000000000003"/>
    <n v="36.729999999999997"/>
    <n v="39.450000000000003"/>
    <n v="40.81"/>
    <n v="60.8"/>
    <n v="44.97"/>
    <n v="39.729999999999997"/>
    <n v="44.48"/>
    <n v="40.53"/>
    <n v="41.53"/>
    <n v="40.33"/>
    <n v="36.97"/>
    <n v="28.31"/>
    <n v="36.69"/>
    <n v="37.99"/>
    <n v="28.92"/>
    <m/>
    <m/>
    <m/>
    <m/>
    <m/>
    <m/>
    <m/>
    <m/>
    <m/>
    <m/>
    <m/>
    <m/>
    <m/>
    <m/>
    <m/>
  </r>
  <r>
    <n v="17"/>
    <x v="0"/>
    <x v="13"/>
    <s v="ETO"/>
    <s v="Public-Free"/>
    <s v="3.3 kW"/>
    <s v="OCPP"/>
    <n v="6"/>
    <m/>
    <m/>
    <m/>
    <m/>
    <m/>
    <m/>
    <m/>
    <m/>
    <m/>
    <m/>
    <m/>
    <m/>
    <m/>
    <m/>
    <m/>
    <m/>
    <n v="1.51"/>
    <n v="51.96"/>
    <n v="52.93"/>
    <n v="58.46"/>
    <n v="63.6"/>
    <n v="60.05"/>
    <n v="44.94"/>
    <n v="75.58"/>
    <n v="55.13"/>
    <n v="74.5"/>
    <n v="32.32"/>
    <n v="58.19"/>
    <n v="54.29"/>
    <n v="62.57"/>
    <n v="64.78"/>
    <n v="54.054000000000002"/>
  </r>
  <r>
    <m/>
    <x v="0"/>
    <x v="14"/>
    <s v="ETO"/>
    <s v="Public-Free"/>
    <s v="3.3 kW"/>
    <s v="LEVAC-BLE"/>
    <m/>
    <n v="35.79"/>
    <n v="33.17"/>
    <n v="40.159999999999997"/>
    <n v="34.57"/>
    <n v="41.05"/>
    <n v="28.51"/>
    <n v="31.06"/>
    <n v="31.6"/>
    <n v="45.68"/>
    <n v="38.94"/>
    <n v="31.91"/>
    <n v="46.56"/>
    <n v="24.08"/>
    <n v="17.329999999999998"/>
    <n v="44.82"/>
    <n v="23.09"/>
    <m/>
    <m/>
    <m/>
    <m/>
    <m/>
    <m/>
    <m/>
    <m/>
    <m/>
    <m/>
    <m/>
    <m/>
    <m/>
    <m/>
    <m/>
    <m/>
  </r>
  <r>
    <n v="18"/>
    <x v="0"/>
    <x v="14"/>
    <s v="ETO"/>
    <s v="Public-Free"/>
    <s v="3.3 kW"/>
    <s v="OCPP"/>
    <n v="6"/>
    <m/>
    <m/>
    <m/>
    <m/>
    <m/>
    <m/>
    <m/>
    <m/>
    <m/>
    <m/>
    <m/>
    <m/>
    <m/>
    <m/>
    <m/>
    <n v="2.87"/>
    <n v="39.24"/>
    <n v="41.87"/>
    <n v="42.6"/>
    <n v="40.99"/>
    <n v="49.9"/>
    <n v="32.9"/>
    <n v="53.68"/>
    <n v="36.64"/>
    <n v="31.75"/>
    <n v="46.56"/>
    <n v="37.29"/>
    <n v="44.63"/>
    <n v="49.8"/>
    <n v="23"/>
    <n v="27.48"/>
    <n v="37.575000000000003"/>
  </r>
  <r>
    <m/>
    <x v="0"/>
    <x v="15"/>
    <s v="ETO"/>
    <s v="Public-Free"/>
    <s v="3.3 kW"/>
    <s v="LEVAC-BLE"/>
    <m/>
    <n v="30.43"/>
    <n v="15.86"/>
    <n v="36.21"/>
    <n v="50.44"/>
    <n v="29.96"/>
    <n v="45.81"/>
    <n v="36.76"/>
    <n v="51.15"/>
    <n v="18.72"/>
    <n v="20.260000000000002"/>
    <n v="26.37"/>
    <n v="28.25"/>
    <n v="23.34"/>
    <n v="31.1"/>
    <n v="19.940000000000001"/>
    <n v="20.85"/>
    <n v="17.89"/>
    <m/>
    <m/>
    <m/>
    <m/>
    <m/>
    <m/>
    <m/>
    <m/>
    <m/>
    <m/>
    <m/>
    <m/>
    <m/>
    <m/>
    <m/>
  </r>
  <r>
    <n v="19"/>
    <x v="0"/>
    <x v="15"/>
    <s v="ETO"/>
    <s v="Public-Free"/>
    <s v="3.3 kW"/>
    <s v="OCPP"/>
    <n v="3"/>
    <m/>
    <m/>
    <m/>
    <m/>
    <m/>
    <m/>
    <m/>
    <m/>
    <m/>
    <m/>
    <m/>
    <m/>
    <m/>
    <m/>
    <m/>
    <m/>
    <n v="9.33"/>
    <n v="14.53"/>
    <n v="15.67"/>
    <n v="8.99"/>
    <n v="24.56"/>
    <n v="24.58"/>
    <n v="21.13"/>
    <n v="36.19"/>
    <n v="13.36"/>
    <n v="38.92"/>
    <n v="28.15"/>
    <n v="22.49"/>
    <n v="29.25"/>
    <n v="37"/>
    <n v="15.66"/>
    <n v="22.654"/>
  </r>
  <r>
    <n v="20"/>
    <x v="0"/>
    <x v="16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x v="0"/>
    <x v="16"/>
    <s v="ETO"/>
    <s v="Public-Free"/>
    <s v="7.4 kW"/>
    <s v="OCPP"/>
    <n v="1"/>
    <n v="0"/>
    <n v="0"/>
    <n v="0"/>
    <n v="0"/>
    <n v="0"/>
    <n v="0"/>
    <n v="0"/>
    <n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870967741935489E-2"/>
  </r>
  <r>
    <n v="22"/>
    <x v="0"/>
    <x v="16"/>
    <s v="ETO"/>
    <s v="Public-Free"/>
    <s v="22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x v="0"/>
    <x v="17"/>
    <s v="Bluedart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"/>
    <x v="0"/>
    <x v="18"/>
    <s v="Dhuni Polymers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5.83"/>
    <n v="0"/>
    <n v="0"/>
    <n v="0"/>
    <n v="0"/>
    <n v="0"/>
    <n v="0"/>
    <n v="0"/>
    <n v="0"/>
    <n v="0"/>
    <n v="0"/>
    <n v="0"/>
    <n v="0"/>
    <n v="0"/>
    <n v="0"/>
    <n v="0.18806451612903227"/>
  </r>
  <r>
    <n v="25"/>
    <x v="1"/>
    <x v="19"/>
    <s v="ETO"/>
    <s v="Public-Free"/>
    <s v="3.3 kW"/>
    <s v="LEVAC-BLE"/>
    <n v="7"/>
    <n v="19.260000000000002"/>
    <n v="25.76"/>
    <n v="38.64"/>
    <n v="39.369999999999997"/>
    <n v="13.11"/>
    <n v="0"/>
    <n v="24.12"/>
    <n v="31.38"/>
    <n v="18.57"/>
    <n v="22.63"/>
    <n v="7.87"/>
    <n v="33.270000000000003"/>
    <n v="17.149999999999999"/>
    <n v="8.2899999999999991"/>
    <n v="11.39"/>
    <n v="15.21"/>
    <n v="18.77"/>
    <n v="13.32"/>
    <n v="8.1"/>
    <n v="7.8"/>
    <n v="12.92"/>
    <n v="22.89"/>
    <n v="26.45"/>
    <n v="22.22"/>
    <n v="19.86"/>
    <n v="19.760000000000002"/>
    <n v="17.8"/>
    <n v="26.36"/>
    <n v="17.739999999999998"/>
    <n v="18.54"/>
    <n v="15.73"/>
    <n v="19.170322580645156"/>
  </r>
  <r>
    <n v="26"/>
    <x v="1"/>
    <x v="20"/>
    <s v="Big Basket"/>
    <s v="Public-Free"/>
    <s v="3.3 kW"/>
    <s v="LEVAC-BLE"/>
    <n v="5"/>
    <n v="13.61"/>
    <n v="5.22"/>
    <n v="20.32"/>
    <n v="15.98"/>
    <n v="21.49"/>
    <n v="25.31"/>
    <n v="18.940000000000001"/>
    <n v="23.88"/>
    <n v="24.04"/>
    <n v="33.67"/>
    <n v="23.39"/>
    <n v="28.23"/>
    <n v="15.25"/>
    <n v="26.45"/>
    <n v="20.62"/>
    <n v="21.98"/>
    <n v="15.95"/>
    <n v="12.68"/>
    <n v="12.61"/>
    <n v="26.63"/>
    <n v="12.99"/>
    <n v="11.36"/>
    <n v="17.5"/>
    <n v="24.79"/>
    <n v="21.4"/>
    <n v="32.6"/>
    <n v="11.83"/>
    <n v="21.67"/>
    <n v="13.87"/>
    <n v="22.63"/>
    <n v="15.82"/>
    <n v="19.76483870967742"/>
  </r>
  <r>
    <n v="27"/>
    <x v="1"/>
    <x v="21"/>
    <s v="Flipkart"/>
    <s v="Public-Free"/>
    <s v="3.3 kW"/>
    <s v="LEVAC-BLE"/>
    <n v="10"/>
    <n v="53.68"/>
    <n v="47.01"/>
    <n v="43.87"/>
    <n v="49.04"/>
    <n v="55.33"/>
    <n v="50.33"/>
    <n v="50.97"/>
    <n v="47.51"/>
    <n v="48.56"/>
    <n v="49.61"/>
    <n v="40.32"/>
    <n v="40.24"/>
    <n v="34.119999999999997"/>
    <n v="51.55"/>
    <n v="67.540000000000006"/>
    <n v="44.6"/>
    <n v="62.21"/>
    <n v="49.7"/>
    <n v="48.29"/>
    <n v="46.85"/>
    <n v="41.44"/>
    <n v="41.65"/>
    <n v="47.45"/>
    <n v="45.45"/>
    <n v="50.44"/>
    <n v="41.28"/>
    <n v="41.02"/>
    <n v="48.11"/>
    <n v="46.08"/>
    <n v="51.57"/>
    <n v="50.22"/>
    <n v="47.936774193548388"/>
  </r>
  <r>
    <n v="28"/>
    <x v="2"/>
    <x v="22"/>
    <s v="GATI"/>
    <s v="Public-Free"/>
    <s v="3.3 kW"/>
    <s v="LEVAC-BLE"/>
    <n v="5"/>
    <n v="11.2"/>
    <n v="17.940000000000001"/>
    <n v="25.69"/>
    <n v="19.62"/>
    <n v="8.3800000000000008"/>
    <n v="27.44"/>
    <n v="6.91"/>
    <n v="28.93"/>
    <n v="43.26"/>
    <n v="15"/>
    <n v="0.76"/>
    <n v="0"/>
    <n v="0"/>
    <n v="0"/>
    <n v="0"/>
    <n v="0"/>
    <n v="0"/>
    <n v="0"/>
    <n v="0"/>
    <n v="0"/>
    <n v="0"/>
    <n v="0"/>
    <n v="52.39"/>
    <n v="38.590000000000003"/>
    <n v="0"/>
    <n v="0"/>
    <n v="0"/>
    <n v="0"/>
    <n v="9.3000000000000007"/>
    <n v="0.82"/>
    <n v="1.17"/>
    <n v="9.9161290322580662"/>
  </r>
  <r>
    <n v="29"/>
    <x v="3"/>
    <x v="23"/>
    <s v="SOU"/>
    <s v="Public-Free"/>
    <s v="3.3 kW"/>
    <s v="LEVAC-BLE"/>
    <n v="25"/>
    <n v="166.8"/>
    <n v="195.9"/>
    <n v="225.06"/>
    <n v="163.93"/>
    <n v="300.37"/>
    <n v="137.97999999999999"/>
    <n v="58.49"/>
    <n v="116.38"/>
    <n v="173.31"/>
    <n v="110.05"/>
    <n v="173.66"/>
    <n v="203.5"/>
    <n v="189.07"/>
    <n v="87.03"/>
    <n v="194.38"/>
    <n v="160.75"/>
    <n v="180.16"/>
    <n v="117.87"/>
    <n v="140.66999999999999"/>
    <n v="135.06"/>
    <n v="70.709999999999994"/>
    <n v="127.77"/>
    <n v="86.54"/>
    <n v="101.43"/>
    <n v="118.26"/>
    <n v="123.21"/>
    <n v="119.09"/>
    <n v="52.14"/>
    <n v="99.62"/>
    <n v="127.14"/>
    <n v="147.13"/>
    <n v="142.04709677419359"/>
  </r>
  <r>
    <n v="30"/>
    <x v="3"/>
    <x v="23"/>
    <s v="SOU"/>
    <s v="Public-Free"/>
    <s v="3.3 kW"/>
    <s v="OCPP"/>
    <n v="15"/>
    <n v="22.84"/>
    <n v="43.52"/>
    <n v="28.33"/>
    <n v="22.09"/>
    <n v="127.23"/>
    <n v="116.96"/>
    <n v="126.86"/>
    <n v="98.69"/>
    <n v="157.49"/>
    <n v="145.1"/>
    <n v="156.18"/>
    <n v="146.54"/>
    <n v="331.99"/>
    <n v="250.05"/>
    <n v="74.64"/>
    <n v="225.79"/>
    <n v="212.3"/>
    <n v="141.82"/>
    <n v="149.18"/>
    <n v="103.84"/>
    <n v="130.03"/>
    <n v="39.65"/>
    <n v="104.2"/>
    <n v="108.79"/>
    <n v="148.82"/>
    <n v="169.79"/>
    <n v="155.59"/>
    <n v="106.81"/>
    <n v="59.23"/>
    <n v="150.62"/>
    <n v="173.17"/>
    <n v="129.94000000000003"/>
  </r>
  <r>
    <n v="31"/>
    <x v="4"/>
    <x v="24"/>
    <s v="ETO"/>
    <s v="Public-Free"/>
    <s v="3.3 kW"/>
    <s v="LEVAC-BLE"/>
    <n v="6"/>
    <n v="0"/>
    <n v="22.33"/>
    <n v="6.82"/>
    <n v="16.32"/>
    <n v="10.63"/>
    <n v="13.88"/>
    <n v="13.64"/>
    <n v="0"/>
    <n v="12.36"/>
    <n v="19.190000000000001"/>
    <n v="14.32"/>
    <n v="15.06"/>
    <n v="7.52"/>
    <n v="11.28"/>
    <n v="7.08"/>
    <n v="32.58"/>
    <n v="22.9"/>
    <n v="23"/>
    <n v="16.07"/>
    <n v="9.2799999999999994"/>
    <n v="12.7"/>
    <n v="12.09"/>
    <n v="17.489999999999998"/>
    <n v="8.6199999999999992"/>
    <n v="3.9"/>
    <n v="15.43"/>
    <n v="9.7899999999999991"/>
    <n v="11.35"/>
    <n v="15.09"/>
    <n v="8.61"/>
    <n v="3.2"/>
    <n v="12.662258064516131"/>
  </r>
  <r>
    <n v="32"/>
    <x v="4"/>
    <x v="25"/>
    <s v="Flipkart"/>
    <s v="Public-Free"/>
    <s v="3.3 kW"/>
    <s v="OCPP"/>
    <n v="3"/>
    <m/>
    <m/>
    <m/>
    <m/>
    <m/>
    <m/>
    <m/>
    <m/>
    <m/>
    <m/>
    <m/>
    <m/>
    <m/>
    <m/>
    <m/>
    <m/>
    <m/>
    <n v="22.71"/>
    <n v="71.17"/>
    <n v="56.81"/>
    <n v="62.18"/>
    <n v="50.91"/>
    <n v="61.45"/>
    <n v="76.56"/>
    <n v="65.180000000000007"/>
    <n v="64.290000000000006"/>
    <n v="70.91"/>
    <n v="65.62"/>
    <n v="69.14"/>
    <n v="73.13"/>
    <n v="64.91"/>
    <n v="62.497857142857136"/>
  </r>
  <r>
    <n v="33"/>
    <x v="4"/>
    <x v="26"/>
    <s v="Flipkart"/>
    <s v="Public-Free"/>
    <s v="3.3 kW"/>
    <s v="OCPP"/>
    <n v="9"/>
    <m/>
    <m/>
    <m/>
    <m/>
    <m/>
    <m/>
    <m/>
    <m/>
    <m/>
    <m/>
    <m/>
    <m/>
    <m/>
    <m/>
    <m/>
    <m/>
    <m/>
    <m/>
    <m/>
    <m/>
    <m/>
    <m/>
    <m/>
    <n v="185.55"/>
    <n v="215.65"/>
    <n v="172.75"/>
    <n v="168.49"/>
    <n v="140.13"/>
    <n v="188.63"/>
    <n v="185.09000000000003"/>
    <n v="166.01999999999998"/>
    <n v="177.78874999999999"/>
  </r>
  <r>
    <n v="34"/>
    <x v="4"/>
    <x v="27"/>
    <s v="EFL"/>
    <s v="Public-Free"/>
    <s v="6 kW"/>
    <s v="OCPP"/>
    <n v="1"/>
    <n v="1.02"/>
    <n v="22.46"/>
    <n v="4.9400000000000004"/>
    <n v="7.67"/>
    <n v="7.01"/>
    <n v="0"/>
    <n v="0"/>
    <n v="7.64"/>
    <n v="5.89"/>
    <n v="11.09"/>
    <n v="2.9"/>
    <n v="0"/>
    <n v="7.11"/>
    <n v="9.0399999999999991"/>
    <n v="11.71"/>
    <n v="5.81"/>
    <n v="21.1"/>
    <n v="0"/>
    <n v="0"/>
    <n v="0"/>
    <n v="0"/>
    <n v="0"/>
    <n v="0"/>
    <n v="12.22"/>
    <n v="0"/>
    <n v="13.99"/>
    <n v="15.38"/>
    <n v="14.69"/>
    <n v="5.0199999999999996"/>
    <n v="13.45"/>
    <n v="16.649999999999999"/>
    <n v="6.9932258064516137"/>
  </r>
  <r>
    <n v="35"/>
    <x v="4"/>
    <x v="28"/>
    <s v="ETO"/>
    <s v="Public-Free"/>
    <s v="3.3 kW"/>
    <s v="OCPP"/>
    <n v="7"/>
    <n v="0"/>
    <n v="0"/>
    <n v="0"/>
    <n v="0"/>
    <n v="0"/>
    <n v="0"/>
    <n v="0"/>
    <n v="0"/>
    <n v="0"/>
    <n v="0"/>
    <n v="0"/>
    <n v="0"/>
    <n v="0"/>
    <n v="49.04"/>
    <n v="95.74"/>
    <n v="326.18"/>
    <n v="165.49"/>
    <n v="206.47"/>
    <n v="233.08"/>
    <n v="244.87"/>
    <n v="216.94"/>
    <n v="200.54"/>
    <n v="211.72"/>
    <n v="203.25"/>
    <n v="167.39"/>
    <n v="175.95"/>
    <n v="204.19"/>
    <n v="194.97"/>
    <n v="232.62"/>
    <n v="229.95"/>
    <n v="210.96"/>
    <n v="115.14032258064513"/>
  </r>
  <r>
    <n v="36"/>
    <x v="5"/>
    <x v="29"/>
    <s v="MCD"/>
    <s v="Public-Paid"/>
    <s v="3.3 kW"/>
    <s v="LEVAC-BLE"/>
    <n v="105"/>
    <n v="3.76"/>
    <n v="1.0900000000000001"/>
    <n v="2.13"/>
    <n v="0.72"/>
    <n v="0.02"/>
    <n v="0.37"/>
    <n v="0.33"/>
    <n v="0.66"/>
    <n v="1.64"/>
    <n v="0.73"/>
    <n v="0"/>
    <n v="0"/>
    <n v="0"/>
    <n v="0"/>
    <n v="0"/>
    <n v="0"/>
    <n v="0"/>
    <n v="0"/>
    <n v="0"/>
    <n v="0"/>
    <n v="0"/>
    <n v="0"/>
    <n v="0"/>
    <n v="0"/>
    <n v="0"/>
    <n v="0"/>
    <n v="0.05"/>
    <n v="2.91"/>
    <n v="3.13"/>
    <n v="4.24"/>
    <n v="6.29"/>
    <n v="0.90548387096774197"/>
  </r>
  <r>
    <n v="37"/>
    <x v="5"/>
    <x v="30"/>
    <s v="Mahagun Hotel"/>
    <s v="Public-Paid"/>
    <s v="7.4 kW"/>
    <s v="OCPP"/>
    <n v="2"/>
    <n v="0"/>
    <n v="0"/>
    <n v="0"/>
    <n v="0"/>
    <n v="0"/>
    <n v="0"/>
    <n v="0"/>
    <n v="0"/>
    <n v="0"/>
    <n v="0"/>
    <n v="0"/>
    <n v="3.78"/>
    <n v="0"/>
    <n v="0"/>
    <n v="0"/>
    <n v="0"/>
    <n v="0"/>
    <n v="0"/>
    <n v="0.56999999999999995"/>
    <n v="0.56999999999999995"/>
    <n v="0"/>
    <n v="0"/>
    <n v="0"/>
    <n v="0"/>
    <n v="0"/>
    <n v="0"/>
    <n v="0"/>
    <n v="0"/>
    <n v="0"/>
    <n v="0"/>
    <n v="0"/>
    <n v="0.15870967741935485"/>
  </r>
  <r>
    <n v="38"/>
    <x v="5"/>
    <x v="31"/>
    <m/>
    <s v="Public-Paid"/>
    <s v="3.3 kW"/>
    <s v="LEVAC-BLE"/>
    <n v="82"/>
    <n v="19.11"/>
    <n v="45.61"/>
    <n v="7.82"/>
    <n v="3.41"/>
    <n v="0"/>
    <n v="3.36"/>
    <n v="50.59"/>
    <n v="5.67"/>
    <n v="17.829999999999998"/>
    <n v="43.88"/>
    <n v="8.14"/>
    <n v="12.64"/>
    <n v="4.5"/>
    <n v="13.95"/>
    <n v="28.48"/>
    <n v="7.76"/>
    <n v="13.54"/>
    <n v="3.45"/>
    <n v="25.65"/>
    <n v="6.94"/>
    <n v="24.61"/>
    <n v="9.07"/>
    <n v="21.26"/>
    <n v="21.76"/>
    <n v="26.68"/>
    <n v="1.81"/>
    <n v="0.55000000000000004"/>
    <n v="9.99"/>
    <n v="9.17"/>
    <n v="2.97"/>
    <n v="12.92"/>
    <n v="14.939354838709678"/>
  </r>
  <r>
    <n v="39"/>
    <x v="5"/>
    <x v="32"/>
    <s v="ETO"/>
    <s v="Public-Free"/>
    <s v="3.3 kW"/>
    <s v="OCPP"/>
    <n v="5"/>
    <n v="0"/>
    <n v="0"/>
    <n v="0"/>
    <n v="0"/>
    <n v="0"/>
    <n v="0"/>
    <n v="0"/>
    <n v="0"/>
    <n v="0"/>
    <n v="0"/>
    <n v="37.72"/>
    <n v="44.83"/>
    <n v="38"/>
    <n v="42.9"/>
    <n v="0"/>
    <n v="14.75"/>
    <n v="61.8"/>
    <n v="87.61"/>
    <n v="68.95"/>
    <n v="77.150000000000006"/>
    <n v="49.43"/>
    <n v="57.3"/>
    <n v="50.16"/>
    <n v="58.59"/>
    <n v="60.91"/>
    <n v="50.17"/>
    <n v="38.909999999999997"/>
    <n v="57.79"/>
    <n v="87.72"/>
    <n v="24.56"/>
    <n v="29.66"/>
    <n v="33.513225806451608"/>
  </r>
  <r>
    <n v="40"/>
    <x v="5"/>
    <x v="33"/>
    <s v="ETO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"/>
    <x v="5"/>
    <x v="34"/>
    <s v="ETO"/>
    <s v="Public-Free"/>
    <s v="3.3 kW"/>
    <s v="OCPP"/>
    <n v="16"/>
    <n v="54.72"/>
    <n v="45.69"/>
    <n v="50.6"/>
    <n v="49.53"/>
    <n v="46.38"/>
    <n v="39.4"/>
    <n v="29.79"/>
    <n v="38.020000000000003"/>
    <n v="86.14"/>
    <n v="43.42"/>
    <n v="41.34"/>
    <n v="40.08"/>
    <n v="0"/>
    <n v="0"/>
    <n v="0"/>
    <n v="33.4"/>
    <n v="38.090000000000003"/>
    <n v="81.59"/>
    <n v="167.95"/>
    <n v="4.46"/>
    <n v="38.64"/>
    <n v="60.06"/>
    <n v="57.55"/>
    <n v="30.6"/>
    <n v="171.29"/>
    <n v="46.8"/>
    <n v="31.72"/>
    <n v="35.29"/>
    <n v="32.020000000000003"/>
    <n v="39.380000000000003"/>
    <n v="42.77"/>
    <n v="47.636129032258069"/>
  </r>
  <r>
    <n v="42"/>
    <x v="5"/>
    <x v="35"/>
    <s v="ETO"/>
    <s v="Public-Free"/>
    <s v="3.3 kW"/>
    <s v="OCPP"/>
    <n v="10"/>
    <n v="0"/>
    <n v="0"/>
    <n v="0"/>
    <n v="0"/>
    <n v="0"/>
    <n v="0"/>
    <n v="0"/>
    <n v="0"/>
    <n v="8.92"/>
    <n v="41.43"/>
    <n v="52.71"/>
    <n v="37.729999999999997"/>
    <n v="12.27"/>
    <n v="49.62"/>
    <n v="15.57"/>
    <n v="9.4600000000000009"/>
    <n v="22.13"/>
    <n v="66.040000000000006"/>
    <n v="63.91"/>
    <n v="27.75"/>
    <n v="32.93"/>
    <n v="42.53"/>
    <n v="18.62"/>
    <n v="42.31"/>
    <n v="42.17"/>
    <n v="44.77"/>
    <n v="19.510000000000002"/>
    <n v="38.99"/>
    <n v="26.44"/>
    <n v="18.28"/>
    <n v="15.2"/>
    <n v="24.170645161290324"/>
  </r>
  <r>
    <n v="43"/>
    <x v="5"/>
    <x v="36"/>
    <s v="ETO"/>
    <s v="Public-Free"/>
    <s v="3.3 kW"/>
    <s v="OCPP"/>
    <n v="13"/>
    <n v="6.49"/>
    <n v="36.770000000000003"/>
    <n v="47.63"/>
    <n v="33.1"/>
    <n v="36.17"/>
    <n v="30.2"/>
    <n v="6.87"/>
    <n v="21.05"/>
    <n v="0"/>
    <n v="1.82"/>
    <n v="74.47"/>
    <n v="58.93"/>
    <n v="15.8"/>
    <n v="55.95"/>
    <n v="2.4300000000000002"/>
    <n v="48.61"/>
    <n v="59.83"/>
    <n v="73.42"/>
    <n v="71.040000000000006"/>
    <n v="28.6"/>
    <n v="45.26"/>
    <n v="60"/>
    <n v="66.7"/>
    <n v="82.58"/>
    <n v="89.45"/>
    <n v="65.95"/>
    <n v="38.06"/>
    <n v="63.43"/>
    <n v="88.09"/>
    <n v="64.92"/>
    <n v="24.77"/>
    <n v="45.109354838709677"/>
  </r>
  <r>
    <n v="44"/>
    <x v="5"/>
    <x v="37"/>
    <s v="ETO"/>
    <s v="Public-Free"/>
    <s v="3.3 kW"/>
    <s v="LEVAC-BLE"/>
    <n v="11"/>
    <n v="11.53"/>
    <n v="22.8"/>
    <n v="17.399999999999999"/>
    <n v="16.63"/>
    <n v="13.88"/>
    <n v="17.46"/>
    <n v="15.54"/>
    <n v="14.58"/>
    <n v="21.93"/>
    <n v="33.590000000000003"/>
    <n v="26.82"/>
    <n v="25.17"/>
    <n v="23"/>
    <n v="22.42"/>
    <n v="13.99"/>
    <n v="25.59"/>
    <n v="17.86"/>
    <n v="16.71"/>
    <n v="16.21"/>
    <n v="7.92"/>
    <n v="18.260000000000002"/>
    <n v="19.64"/>
    <n v="12.66"/>
    <n v="19.09"/>
    <n v="16.91"/>
    <n v="11.55"/>
    <n v="9.06"/>
    <n v="0.05"/>
    <n v="4.0000000000000001E-3"/>
    <n v="0"/>
    <n v="0"/>
    <n v="15.750129032258066"/>
  </r>
  <r>
    <n v="45"/>
    <x v="5"/>
    <x v="37"/>
    <s v="ETO"/>
    <s v="Public-Free"/>
    <s v="3.3 kW"/>
    <s v="OCPP"/>
    <n v="14"/>
    <m/>
    <m/>
    <m/>
    <m/>
    <m/>
    <m/>
    <m/>
    <m/>
    <m/>
    <m/>
    <m/>
    <m/>
    <m/>
    <m/>
    <m/>
    <m/>
    <m/>
    <m/>
    <m/>
    <m/>
    <m/>
    <m/>
    <m/>
    <m/>
    <m/>
    <m/>
    <m/>
    <n v="64.86"/>
    <n v="96.19"/>
    <n v="71.63"/>
    <n v="74.12"/>
    <n v="76.7"/>
  </r>
  <r>
    <n v="45"/>
    <x v="5"/>
    <x v="38"/>
    <s v="ETO"/>
    <s v="Public-Free"/>
    <s v="3.3 kW"/>
    <s v="LEVAC-BL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x v="5"/>
    <x v="39"/>
    <s v="ETO"/>
    <s v="Public-Free"/>
    <s v="3.3 kW"/>
    <s v="OCPP"/>
    <n v="3"/>
    <n v="0"/>
    <n v="1.22"/>
    <n v="0"/>
    <n v="0"/>
    <n v="2.5099999999999998"/>
    <n v="6.8"/>
    <n v="0"/>
    <n v="0"/>
    <n v="2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64516129032258"/>
  </r>
  <r>
    <n v="47"/>
    <x v="5"/>
    <x v="40"/>
    <s v="ETO"/>
    <s v="Public-Paid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x v="5"/>
    <x v="40"/>
    <s v="ETO"/>
    <s v="Public-Paid"/>
    <s v="3.3 kW"/>
    <s v="OCPP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5"/>
    <x v="41"/>
    <s v="ETO"/>
    <s v="Public-Paid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5"/>
    <x v="41"/>
    <s v="ETO"/>
    <s v="Public-Paid"/>
    <s v="3.3 kW"/>
    <s v="OCPP"/>
    <n v="1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5"/>
    <x v="42"/>
    <s v="ETO"/>
    <s v="Public-Free"/>
    <s v="3.3 kW"/>
    <s v="LEVAC-BLE"/>
    <n v="10"/>
    <n v="63.91"/>
    <n v="47.32"/>
    <n v="53.07"/>
    <n v="54.49"/>
    <n v="16.03"/>
    <n v="0"/>
    <n v="72.83"/>
    <n v="74.930000000000007"/>
    <n v="56.15"/>
    <n v="52.72"/>
    <n v="97.48"/>
    <n v="27.18"/>
    <n v="23.55"/>
    <n v="68.3"/>
    <n v="14.88"/>
    <n v="55.86"/>
    <n v="68"/>
    <n v="72.739999999999995"/>
    <n v="4.68"/>
    <n v="20.149999999999999"/>
    <n v="51.48"/>
    <n v="47.43"/>
    <n v="33.83"/>
    <n v="32.42"/>
    <n v="29.01"/>
    <n v="0"/>
    <n v="0"/>
    <n v="76.010000000000005"/>
    <n v="80.430000000000007"/>
    <n v="47.85"/>
    <n v="32.44"/>
    <n v="44.360322580645153"/>
  </r>
  <r>
    <n v="52"/>
    <x v="5"/>
    <x v="43"/>
    <s v="Log9"/>
    <s v="Public-Free"/>
    <s v="15 Kw"/>
    <s v="DC Charger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5"/>
    <x v="44"/>
    <s v="Log9"/>
    <s v="Public-Free"/>
    <s v="15kW"/>
    <s v="DC Charger"/>
    <n v="1"/>
    <n v="44.830000000000005"/>
    <n v="41.690000000000005"/>
    <n v="83.84"/>
    <n v="85.460000000000008"/>
    <n v="81.469999999999985"/>
    <n v="70.639999999999986"/>
    <n v="67.320000000000007"/>
    <n v="64.319999999999993"/>
    <n v="55"/>
    <n v="61.99"/>
    <n v="85.759999999999991"/>
    <n v="56.790000000000006"/>
    <n v="34.82"/>
    <n v="48.58"/>
    <n v="28.82"/>
    <n v="54.04"/>
    <n v="65.689999999999984"/>
    <n v="62.379999999999995"/>
    <n v="72.910000000000025"/>
    <n v="66.839999999999989"/>
    <n v="69.680000000000021"/>
    <n v="46.969999999999992"/>
    <n v="66.67"/>
    <n v="77.470000000000013"/>
    <n v="60.16"/>
    <n v="61.140000000000008"/>
    <n v="57.450000000000017"/>
    <n v="62.390000000000008"/>
    <n v="52.949999999999982"/>
    <n v="63.610000000000007"/>
    <n v="32.650000000000006"/>
    <n v="60.784838709677437"/>
  </r>
  <r>
    <n v="54"/>
    <x v="5"/>
    <x v="45"/>
    <s v="Log9"/>
    <s v="Public-Free"/>
    <s v="15kW"/>
    <s v="DC Charger"/>
    <n v="1"/>
    <n v="0"/>
    <n v="0"/>
    <n v="0"/>
    <n v="0"/>
    <n v="0"/>
    <n v="0"/>
    <n v="0"/>
    <s v="Live Date"/>
    <n v="0"/>
    <n v="0"/>
    <n v="0"/>
    <n v="0"/>
    <n v="0"/>
    <n v="0"/>
    <n v="0"/>
    <n v="0"/>
    <n v="0"/>
    <n v="0"/>
    <n v="0"/>
    <n v="0"/>
    <n v="1.21"/>
    <n v="0"/>
    <n v="0"/>
    <n v="0"/>
    <n v="14.790000000000001"/>
    <n v="0"/>
    <n v="0"/>
    <n v="5.36"/>
    <n v="0"/>
    <n v="0"/>
    <n v="0"/>
    <n v="0.71199999999999997"/>
  </r>
  <r>
    <n v="55"/>
    <x v="6"/>
    <x v="46"/>
    <s v="ETO"/>
    <s v="Public-Free"/>
    <s v="3.3kW"/>
    <s v="OCPP"/>
    <n v="20"/>
    <m/>
    <m/>
    <m/>
    <m/>
    <m/>
    <m/>
    <m/>
    <m/>
    <m/>
    <m/>
    <m/>
    <m/>
    <m/>
    <m/>
    <m/>
    <m/>
    <m/>
    <m/>
    <m/>
    <m/>
    <m/>
    <m/>
    <m/>
    <n v="73.08"/>
    <n v="202.57"/>
    <n v="160.66"/>
    <n v="197.95000000000002"/>
    <n v="202.3"/>
    <n v="192.88"/>
    <n v="197.24"/>
    <n v="191.67999999999998"/>
    <n v="177.29500000000002"/>
  </r>
  <r>
    <n v="56"/>
    <x v="5"/>
    <x v="47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200000000000006"/>
    <n v="0"/>
    <n v="13.33"/>
    <n v="0.8"/>
    <n v="0"/>
    <n v="10.28"/>
    <n v="1.06870967741935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">
  <r>
    <n v="1"/>
    <x v="0"/>
    <x v="0"/>
    <s v="Amazon"/>
    <s v="Public-Paid"/>
    <s v="3.3 kW"/>
    <s v="LEVAC-BL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4"/>
    <n v="0.47870967741935483"/>
  </r>
  <r>
    <n v="2"/>
    <x v="0"/>
    <x v="1"/>
    <s v="Amazon"/>
    <s v="Public-Paid"/>
    <s v="3.3 kW"/>
    <s v="LEVAC-BLE"/>
    <n v="9"/>
    <n v="51.59"/>
    <n v="90.27"/>
    <n v="68.95"/>
    <n v="48.26"/>
    <n v="65.87"/>
    <n v="70.349999999999994"/>
    <n v="82.85"/>
    <n v="73.59"/>
    <n v="79.680000000000007"/>
    <n v="62.67"/>
    <n v="49.3"/>
    <n v="44.42"/>
    <n v="84"/>
    <n v="65.52"/>
    <n v="92.93"/>
    <n v="97.77"/>
    <n v="101.48"/>
    <n v="88.47"/>
    <n v="134.84"/>
    <n v="83.79"/>
    <n v="86.42"/>
    <n v="130.84"/>
    <n v="150"/>
    <n v="91.87"/>
    <n v="107.73"/>
    <n v="121.66"/>
    <n v="132.07"/>
    <n v="110.64"/>
    <n v="147.94999999999999"/>
    <n v="86.98"/>
    <n v="133.22999999999999"/>
    <n v="91.483548387096761"/>
  </r>
  <r>
    <n v="3"/>
    <x v="0"/>
    <x v="2"/>
    <s v="Amazon"/>
    <s v="Public-Paid"/>
    <s v="3.3 kW"/>
    <s v="LEVAC-BLE"/>
    <n v="3"/>
    <n v="0.22"/>
    <n v="1.43"/>
    <n v="17.809999999999999"/>
    <n v="15.49"/>
    <n v="32.799999999999997"/>
    <n v="5.75"/>
    <n v="49.38"/>
    <n v="30.96"/>
    <n v="34"/>
    <n v="36.01"/>
    <n v="37.700000000000003"/>
    <n v="70.09"/>
    <n v="52.84"/>
    <n v="44.48"/>
    <n v="48.78"/>
    <n v="36.75"/>
    <n v="28.31"/>
    <n v="16.61"/>
    <n v="21.02"/>
    <n v="31.76"/>
    <n v="16.36"/>
    <n v="30.16"/>
    <n v="30.44"/>
    <n v="29.39"/>
    <n v="44.97"/>
    <n v="29.21"/>
    <n v="28.16"/>
    <n v="26.15"/>
    <n v="26.39"/>
    <n v="53.42"/>
    <n v="55.87"/>
    <n v="31.70032258064516"/>
  </r>
  <r>
    <n v="4"/>
    <x v="0"/>
    <x v="3"/>
    <s v="Big Basket"/>
    <s v="Public-Free"/>
    <s v="3.3 kW"/>
    <s v="LEVAC-BLE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0"/>
    <x v="4"/>
    <s v="Big Basket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0"/>
    <x v="5"/>
    <s v="Big Basket"/>
    <s v="Public-Free"/>
    <s v="3.3 kW"/>
    <s v="LEVAC-BLE"/>
    <n v="5"/>
    <n v="54.52"/>
    <n v="41.25"/>
    <n v="31.16"/>
    <n v="33.57"/>
    <n v="37.85"/>
    <n v="23.35"/>
    <n v="15.22"/>
    <n v="5.54"/>
    <n v="12.02"/>
    <n v="24.33"/>
    <n v="24.39"/>
    <n v="29.83"/>
    <n v="14.61"/>
    <n v="17.09"/>
    <n v="5.73"/>
    <n v="12.09"/>
    <n v="11.55"/>
    <n v="19.98"/>
    <n v="16.34"/>
    <n v="19.43"/>
    <n v="21.52"/>
    <n v="19.61"/>
    <n v="29.33"/>
    <n v="35.76"/>
    <n v="21.71"/>
    <n v="36.72"/>
    <n v="6.37"/>
    <n v="28.21"/>
    <n v="39.4"/>
    <n v="26.66"/>
    <n v="14.53"/>
    <n v="23.537741935483869"/>
  </r>
  <r>
    <n v="7"/>
    <x v="0"/>
    <x v="6"/>
    <s v="Big Basket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7"/>
    <s v="Big Basket"/>
    <s v="Public-Free"/>
    <s v="3.3 kW"/>
    <s v="LEVAC-BLE"/>
    <n v="3"/>
    <n v="13.76"/>
    <n v="39.770000000000003"/>
    <n v="34.799999999999997"/>
    <n v="33.25"/>
    <n v="41.29"/>
    <n v="23.72"/>
    <n v="35.56"/>
    <n v="40.22"/>
    <n v="30.88"/>
    <n v="28.8"/>
    <n v="27.94"/>
    <n v="16.36"/>
    <n v="21.55"/>
    <n v="31.76"/>
    <n v="22.12"/>
    <n v="17.63"/>
    <n v="38.33"/>
    <n v="22.46"/>
    <n v="29.11"/>
    <n v="42.52"/>
    <n v="26.39"/>
    <n v="28.23"/>
    <n v="13.1"/>
    <n v="28.55"/>
    <n v="17.100000000000001"/>
    <n v="24.02"/>
    <n v="27.7"/>
    <n v="38.020000000000003"/>
    <n v="21.05"/>
    <n v="37.83"/>
    <n v="53.07"/>
    <n v="29.254516129032261"/>
  </r>
  <r>
    <n v="9"/>
    <x v="0"/>
    <x v="8"/>
    <s v="Deccan College of Engg.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0"/>
    <x v="9"/>
    <s v="ETO Driver"/>
    <s v="Public-Free"/>
    <s v="3.3 kW"/>
    <s v="LEVAC-BLE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x v="0"/>
    <x v="10"/>
    <s v="ETO"/>
    <s v="Public-Free"/>
    <s v="3.3 kW"/>
    <s v="LEVAC-BLE"/>
    <n v="8"/>
    <n v="10.87"/>
    <n v="31.21"/>
    <n v="39.049999999999997"/>
    <n v="41.68"/>
    <n v="26.66"/>
    <n v="27.25"/>
    <n v="59.47"/>
    <n v="41.91"/>
    <n v="41.92"/>
    <n v="36.950000000000003"/>
    <n v="49.98"/>
    <n v="63.81"/>
    <n v="35.54"/>
    <n v="55.5"/>
    <n v="39.700000000000003"/>
    <n v="45.47"/>
    <n v="45.17"/>
    <n v="36.69"/>
    <n v="37.96"/>
    <n v="40.07"/>
    <n v="24.77"/>
    <n v="28.46"/>
    <n v="16.72"/>
    <n v="20.53"/>
    <n v="57.84"/>
    <n v="40.92"/>
    <n v="42.29"/>
    <n v="54.77"/>
    <n v="33.89"/>
    <n v="23.83"/>
    <n v="42.06"/>
    <n v="38.481935483870977"/>
  </r>
  <r>
    <n v="12"/>
    <x v="0"/>
    <x v="11"/>
    <s v="HMRL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0"/>
    <x v="12"/>
    <s v="ETO"/>
    <s v="Public-Free"/>
    <s v="3.3 kW"/>
    <s v="LEVAC-BLE"/>
    <n v="4"/>
    <n v="0"/>
    <n v="0"/>
    <n v="0"/>
    <n v="0"/>
    <n v="0"/>
    <n v="0"/>
    <n v="6.65"/>
    <n v="0"/>
    <n v="0"/>
    <n v="10.96"/>
    <n v="5.2"/>
    <n v="10.56"/>
    <n v="0"/>
    <n v="0.74"/>
    <n v="0"/>
    <n v="0"/>
    <n v="0"/>
    <n v="0"/>
    <n v="0"/>
    <n v="7.57"/>
    <n v="6.22"/>
    <n v="4.5999999999999996"/>
    <n v="0.71"/>
    <n v="2.91"/>
    <n v="0"/>
    <n v="0"/>
    <n v="0"/>
    <n v="0"/>
    <n v="0"/>
    <n v="0"/>
    <n v="0"/>
    <n v="1.8103225806451615"/>
  </r>
  <r>
    <n v="14"/>
    <x v="0"/>
    <x v="13"/>
    <s v="ETO"/>
    <s v="Public-Free"/>
    <s v="3.3 kW"/>
    <s v="LEVAC-BLE"/>
    <n v="20"/>
    <n v="133.13999999999999"/>
    <n v="119.25"/>
    <n v="119.1"/>
    <n v="129.22"/>
    <n v="166.53"/>
    <n v="157.36000000000001"/>
    <n v="180.73"/>
    <n v="180.12"/>
    <n v="153.32"/>
    <n v="180.12"/>
    <n v="114.41"/>
    <n v="172"/>
    <n v="75.55"/>
    <n v="143.44"/>
    <n v="117.78"/>
    <n v="76.42"/>
    <n v="77.36"/>
    <n v="75.77"/>
    <n v="72.72"/>
    <n v="44.82"/>
    <n v="81.96"/>
    <n v="60.71"/>
    <n v="65.87"/>
    <n v="137.06"/>
    <n v="116.1"/>
    <n v="172.26"/>
    <n v="91"/>
    <n v="187.01"/>
    <n v="121.54"/>
    <n v="171.18"/>
    <n v="131.62"/>
    <n v="123.40225806451612"/>
  </r>
  <r>
    <n v="15"/>
    <x v="0"/>
    <x v="13"/>
    <s v="ETO"/>
    <s v="Public-Free"/>
    <s v="3.3 kW"/>
    <s v="DC Charger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"/>
    <n v="7.87"/>
    <n v="13.51"/>
    <n v="7.7"/>
    <n v="0"/>
    <n v="0"/>
    <n v="1.0445161290322582"/>
  </r>
  <r>
    <n v="16"/>
    <x v="0"/>
    <x v="14"/>
    <s v="ETO"/>
    <s v="Public-Free"/>
    <s v="3.3 kW"/>
    <s v="LEVAC-BLE"/>
    <n v="6"/>
    <n v="42.45"/>
    <n v="32.409999999999997"/>
    <n v="36.15"/>
    <n v="56.63"/>
    <n v="44.32"/>
    <n v="29.16"/>
    <n v="47.36"/>
    <n v="39.44"/>
    <n v="17.13"/>
    <n v="24.26"/>
    <n v="23.81"/>
    <n v="24.37"/>
    <n v="23.81"/>
    <n v="17.899999999999999"/>
    <n v="41.09"/>
    <n v="26.89"/>
    <n v="12.53"/>
    <n v="14.29"/>
    <n v="8.9499999999999993"/>
    <n v="12.28"/>
    <n v="30"/>
    <n v="30.74"/>
    <n v="7.04"/>
    <n v="36.71"/>
    <n v="19.46"/>
    <n v="21.99"/>
    <n v="14.58"/>
    <n v="2.82"/>
    <n v="18.829999999999998"/>
    <n v="13.43"/>
    <n v="7.57"/>
    <n v="25.109677419354842"/>
  </r>
  <r>
    <n v="17"/>
    <x v="0"/>
    <x v="15"/>
    <s v="ETO"/>
    <s v="Public-Free"/>
    <s v="3.3 kW"/>
    <s v="LEVAC-BLE"/>
    <n v="6"/>
    <n v="9.24"/>
    <n v="29.25"/>
    <n v="16.809999999999999"/>
    <n v="3.75"/>
    <n v="10.199999999999999"/>
    <n v="8.9"/>
    <n v="15.3"/>
    <n v="14.91"/>
    <n v="9.42"/>
    <n v="10.94"/>
    <n v="14.84"/>
    <n v="18.27"/>
    <n v="6.81"/>
    <n v="3.3"/>
    <n v="13.17"/>
    <n v="8.7899999999999991"/>
    <n v="16.489999999999998"/>
    <n v="15.08"/>
    <n v="25.71"/>
    <n v="18.72"/>
    <n v="18.36"/>
    <n v="27.99"/>
    <n v="8.2360000000000007"/>
    <n v="28.44"/>
    <n v="33.409999999999997"/>
    <n v="24.73"/>
    <n v="13.35"/>
    <n v="36.32"/>
    <n v="31.9"/>
    <n v="38.979999999999997"/>
    <n v="35.76"/>
    <n v="18.302451612903226"/>
  </r>
  <r>
    <n v="18"/>
    <x v="0"/>
    <x v="16"/>
    <s v="ETO"/>
    <s v="Public-Free"/>
    <s v="3.3 kW"/>
    <s v="LEVAC-BLE"/>
    <n v="3"/>
    <n v="19.75"/>
    <n v="10.48"/>
    <n v="31.17"/>
    <n v="15.93"/>
    <n v="34.07"/>
    <n v="14.97"/>
    <n v="13.59"/>
    <n v="23.68"/>
    <n v="12.18"/>
    <n v="41.05"/>
    <n v="14"/>
    <n v="36.880000000000003"/>
    <n v="22.27"/>
    <n v="24.09"/>
    <n v="21.06"/>
    <n v="16.36"/>
    <n v="31.95"/>
    <n v="29.67"/>
    <n v="42.43"/>
    <n v="30.212"/>
    <n v="34.68"/>
    <n v="18.760000000000002"/>
    <n v="54.06"/>
    <n v="24.93"/>
    <n v="41.13"/>
    <n v="9.01"/>
    <n v="39.700000000000003"/>
    <n v="41.4"/>
    <n v="21.91"/>
    <n v="27.1"/>
    <n v="35.31"/>
    <n v="26.896193548387096"/>
  </r>
  <r>
    <n v="19"/>
    <x v="0"/>
    <x v="17"/>
    <s v="ETO"/>
    <s v="Public-Free"/>
    <s v="3.3 kW"/>
    <s v="LEVAC-BLE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4"/>
    <n v="0"/>
    <n v="0"/>
    <n v="2.9"/>
    <n v="0"/>
    <n v="0"/>
    <n v="0"/>
    <n v="0"/>
    <n v="0"/>
    <n v="0"/>
    <n v="0.19483870967741937"/>
  </r>
  <r>
    <n v="20"/>
    <x v="0"/>
    <x v="17"/>
    <s v="ETO"/>
    <s v="Public-Free"/>
    <s v="7.4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"/>
    <n v="0"/>
    <n v="0"/>
    <n v="0"/>
    <n v="0"/>
    <n v="0"/>
    <n v="0"/>
    <n v="0"/>
    <n v="7.3870967741935481E-2"/>
  </r>
  <r>
    <n v="21"/>
    <x v="0"/>
    <x v="17"/>
    <s v="ETO"/>
    <s v="Public-Free"/>
    <s v="22 kW"/>
    <s v="OCPP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"/>
    <x v="0"/>
    <x v="18"/>
    <s v="Bluedart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x v="0"/>
    <x v="19"/>
    <s v="Dhuni Polymers"/>
    <s v="Public-Free"/>
    <s v="3.3 kW"/>
    <s v="LEVAC-B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"/>
    <x v="1"/>
    <x v="20"/>
    <s v="ETO"/>
    <s v="Public-Free"/>
    <s v="3.3 kW"/>
    <s v="LEVAC-BLE"/>
    <n v="7"/>
    <n v="38.17"/>
    <n v="0.01"/>
    <n v="15.52"/>
    <n v="29.63"/>
    <n v="28.63"/>
    <n v="27.77"/>
    <n v="21.8"/>
    <n v="13.13"/>
    <n v="13.26"/>
    <n v="34.86"/>
    <n v="32.380000000000003"/>
    <n v="16.760000000000002"/>
    <n v="11.59"/>
    <n v="3.65"/>
    <n v="11.79"/>
    <n v="17.22"/>
    <n v="16.649999999999999"/>
    <n v="18.010000000000002"/>
    <n v="27.04"/>
    <n v="23.35"/>
    <n v="36.01"/>
    <n v="15.51"/>
    <n v="6.4"/>
    <n v="26.53"/>
    <n v="38.25"/>
    <n v="5.8769999999999998"/>
    <n v="11.07"/>
    <n v="6.62"/>
    <n v="24.09"/>
    <n v="3.97"/>
    <n v="5.18"/>
    <n v="18.733129032258063"/>
  </r>
  <r>
    <n v="25"/>
    <x v="1"/>
    <x v="21"/>
    <s v="Big Basket"/>
    <s v="Public-Free"/>
    <s v="3.3 kW"/>
    <s v="LEVAC-BLE"/>
    <n v="5"/>
    <n v="6.48"/>
    <n v="16.559999999999999"/>
    <n v="18.91"/>
    <n v="27.26"/>
    <n v="18.72"/>
    <n v="16.899999999999999"/>
    <n v="22.06"/>
    <n v="21.87"/>
    <n v="28.15"/>
    <n v="13"/>
    <n v="18.350000000000001"/>
    <n v="9.1"/>
    <n v="7.84"/>
    <n v="5.64"/>
    <n v="7.98"/>
    <n v="11.42"/>
    <n v="9.43"/>
    <n v="23.43"/>
    <n v="22.74"/>
    <n v="21.4"/>
    <n v="17.850000000000001"/>
    <n v="10.39"/>
    <n v="31.71"/>
    <n v="15.41"/>
    <n v="11.59"/>
    <n v="18.100000000000001"/>
    <n v="15.59"/>
    <n v="17.5"/>
    <n v="9.65"/>
    <n v="32.97"/>
    <n v="21.83"/>
    <n v="17.091290322580644"/>
  </r>
  <r>
    <n v="26"/>
    <x v="1"/>
    <x v="22"/>
    <s v="Flipkart"/>
    <s v="Public-Free"/>
    <s v="3.3 kW"/>
    <s v="LEVAC-BLE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09"/>
    <n v="48.07"/>
    <n v="44.39"/>
    <n v="48.38"/>
    <n v="40.08"/>
    <n v="28.68"/>
    <n v="55.43"/>
    <n v="34.69"/>
    <n v="44.5"/>
    <n v="49.41"/>
    <n v="49.71"/>
    <n v="52.61"/>
    <n v="40.31"/>
    <n v="17.785483870967742"/>
  </r>
  <r>
    <n v="27"/>
    <x v="2"/>
    <x v="23"/>
    <s v="GATI"/>
    <s v="Public-Free"/>
    <s v="3.3 kW"/>
    <s v="LEVAC-BLE"/>
    <n v="5"/>
    <n v="21.88"/>
    <n v="15.72"/>
    <n v="24.88"/>
    <n v="34.450000000000003"/>
    <n v="52.82"/>
    <n v="2.71"/>
    <n v="35.03"/>
    <n v="11.97"/>
    <n v="0"/>
    <n v="30.77"/>
    <n v="16.16"/>
    <n v="31.15"/>
    <n v="35.67"/>
    <n v="22.26"/>
    <n v="10.199999999999999"/>
    <n v="13.69"/>
    <n v="29.18"/>
    <n v="23.56"/>
    <n v="11.29"/>
    <n v="48.36"/>
    <n v="20.66"/>
    <n v="36.6"/>
    <n v="26.87"/>
    <n v="39.47"/>
    <n v="10.14"/>
    <n v="20.58"/>
    <n v="33.76"/>
    <n v="22.78"/>
    <n v="9.86"/>
    <n v="23.57"/>
    <n v="22.32"/>
    <n v="23.818064516129041"/>
  </r>
  <r>
    <n v="28"/>
    <x v="3"/>
    <x v="24"/>
    <s v="SOU"/>
    <s v="Public-Free"/>
    <s v="3.3 kW"/>
    <s v="LEVAC-BLE"/>
    <n v="38"/>
    <n v="77.59"/>
    <n v="58.59"/>
    <n v="29.23"/>
    <n v="155.91999999999999"/>
    <n v="154.99"/>
    <n v="225.47"/>
    <n v="255.31"/>
    <n v="410.78"/>
    <n v="299.55"/>
    <n v="286.2"/>
    <n v="164.04"/>
    <n v="319.97000000000003"/>
    <n v="218.7"/>
    <n v="261.76"/>
    <n v="325.47000000000003"/>
    <n v="402.41"/>
    <n v="164.4"/>
    <n v="196.08"/>
    <n v="300.08999999999997"/>
    <n v="150.36000000000001"/>
    <n v="216.22"/>
    <n v="356.16"/>
    <n v="68.23"/>
    <n v="8.25"/>
    <n v="204.29"/>
    <n v="135.07"/>
    <n v="180.22"/>
    <n v="222.41"/>
    <n v="247.18"/>
    <n v="412.26"/>
    <n v="172.1"/>
    <n v="215.46129032258065"/>
  </r>
  <r>
    <n v="29"/>
    <x v="3"/>
    <x v="24"/>
    <s v="SOU"/>
    <s v="Public-Free"/>
    <s v="3.3 kW"/>
    <s v="OCPP"/>
    <n v="2"/>
    <n v="0"/>
    <n v="0"/>
    <n v="0"/>
    <n v="0"/>
    <n v="0"/>
    <n v="7.75"/>
    <n v="21.53"/>
    <n v="7.47"/>
    <n v="0"/>
    <n v="0"/>
    <n v="11.07"/>
    <n v="38.630000000000003"/>
    <n v="38.799999999999997"/>
    <n v="20.45"/>
    <n v="55.84"/>
    <n v="63.25"/>
    <n v="65.33"/>
    <n v="34.99"/>
    <n v="34"/>
    <n v="30.8"/>
    <n v="5.92"/>
    <n v="54.72"/>
    <n v="36.11"/>
    <n v="0"/>
    <n v="10.34"/>
    <n v="18.670000000000002"/>
    <n v="11.46"/>
    <n v="21.11"/>
    <n v="44.83"/>
    <n v="75.33"/>
    <n v="30.57"/>
    <n v="23.837741935483876"/>
  </r>
  <r>
    <n v="30"/>
    <x v="4"/>
    <x v="25"/>
    <s v="ETO"/>
    <s v="Public-Free"/>
    <s v="3.3 kW"/>
    <s v="LEVAC-BLE"/>
    <n v="6"/>
    <n v="0"/>
    <n v="0"/>
    <n v="21.9"/>
    <n v="25.05"/>
    <n v="32.76"/>
    <n v="18.03"/>
    <n v="1.88"/>
    <n v="1.9"/>
    <n v="3.45"/>
    <n v="0.63"/>
    <n v="0"/>
    <n v="0"/>
    <n v="0"/>
    <n v="0"/>
    <n v="0"/>
    <n v="0"/>
    <n v="0"/>
    <n v="0"/>
    <n v="0"/>
    <n v="0"/>
    <n v="0"/>
    <n v="0"/>
    <n v="0"/>
    <n v="3.62"/>
    <n v="0.47"/>
    <n v="0"/>
    <n v="0"/>
    <n v="0"/>
    <n v="3.46"/>
    <n v="0"/>
    <n v="0"/>
    <n v="3.6500000000000004"/>
  </r>
  <r>
    <n v="31"/>
    <x v="4"/>
    <x v="26"/>
    <s v="Flipkart"/>
    <s v="Public-Free"/>
    <s v="3.3 kW"/>
    <s v="LEVAC-BLE"/>
    <n v="3"/>
    <n v="59.21"/>
    <n v="46.35"/>
    <n v="22.66"/>
    <n v="23.76"/>
    <n v="38.99"/>
    <n v="11.8"/>
    <n v="17.21"/>
    <n v="11.46"/>
    <n v="15.31"/>
    <n v="12.34"/>
    <n v="10.59"/>
    <n v="7.37"/>
    <n v="8.8800000000000008"/>
    <n v="31.93"/>
    <n v="33.18"/>
    <n v="13.94"/>
    <n v="11.21"/>
    <n v="25.18"/>
    <n v="34.36"/>
    <n v="13.36"/>
    <n v="12.91"/>
    <n v="9.56"/>
    <n v="12.53"/>
    <n v="18.309999999999999"/>
    <n v="34.700000000000003"/>
    <n v="18.03"/>
    <n v="12.67"/>
    <n v="73.42"/>
    <n v="79.239999999999995"/>
    <n v="65.36"/>
    <n v="78.16"/>
    <n v="27.870322580645158"/>
  </r>
  <r>
    <n v="32"/>
    <x v="4"/>
    <x v="27"/>
    <s v="Flipkart"/>
    <s v="Public-Free"/>
    <s v="3.3 kW"/>
    <s v="LEVAC-BLE"/>
    <n v="9"/>
    <n v="0"/>
    <n v="0"/>
    <n v="0"/>
    <n v="0"/>
    <n v="13.17"/>
    <n v="98.07"/>
    <n v="45.39"/>
    <n v="118.19"/>
    <n v="72.8"/>
    <n v="54.99"/>
    <n v="64.95"/>
    <n v="64.59"/>
    <n v="105.78"/>
    <n v="82.82"/>
    <n v="128.12"/>
    <n v="185.44"/>
    <n v="194.35"/>
    <n v="218.16"/>
    <n v="216.84"/>
    <n v="227.52"/>
    <n v="233.35"/>
    <n v="225.1"/>
    <n v="183.19"/>
    <n v="251.1"/>
    <n v="199.81"/>
    <n v="211.1"/>
    <n v="210.23"/>
    <n v="157.58000000000001"/>
    <n v="190.82"/>
    <n v="144.58000000000001"/>
    <n v="184.48"/>
    <n v="131.69419354838709"/>
  </r>
  <r>
    <n v="33"/>
    <x v="4"/>
    <x v="27"/>
    <s v="EFL"/>
    <s v="Public-Free"/>
    <s v="6 kW"/>
    <s v="OCPP"/>
    <n v="1"/>
    <n v="0"/>
    <n v="0"/>
    <n v="0"/>
    <n v="0"/>
    <n v="0"/>
    <n v="0"/>
    <n v="0"/>
    <n v="11.64"/>
    <n v="3.17"/>
    <n v="4.0999999999999996"/>
    <n v="2.0699999999999998"/>
    <n v="7.4"/>
    <n v="0"/>
    <n v="13.36"/>
    <n v="16.98"/>
    <n v="23.22"/>
    <n v="27.15"/>
    <n v="23.45"/>
    <n v="11.91"/>
    <n v="13.39"/>
    <n v="17.23"/>
    <n v="4.45"/>
    <n v="4.6100000000000003"/>
    <n v="5.0199999999999996"/>
    <n v="0.5"/>
    <n v="0.06"/>
    <n v="0"/>
    <n v="0.24"/>
    <n v="5.87"/>
    <n v="2.88"/>
    <n v="0"/>
    <n v="6.4096774193548383"/>
  </r>
  <r>
    <n v="34"/>
    <x v="5"/>
    <x v="28"/>
    <s v="MCD"/>
    <s v="Public-Paid"/>
    <s v="3.3 kW"/>
    <s v="LEVAC-BLE"/>
    <n v="105"/>
    <n v="5.2"/>
    <n v="4.59"/>
    <n v="4.95"/>
    <n v="5.48"/>
    <n v="3.58"/>
    <n v="4.96"/>
    <n v="11.31"/>
    <n v="3.25"/>
    <n v="2.86"/>
    <n v="3.57"/>
    <n v="3.15"/>
    <n v="4.32"/>
    <n v="3.98"/>
    <n v="3.39"/>
    <n v="4.83"/>
    <n v="4.4800000000000004"/>
    <n v="4.3899999999999997"/>
    <n v="3.32"/>
    <n v="2.5"/>
    <n v="3.81"/>
    <n v="0.26"/>
    <n v="2.4129999999999998"/>
    <n v="2.54"/>
    <n v="1.83"/>
    <n v="0.53"/>
    <n v="0.69"/>
    <n v="1.25"/>
    <n v="1.92"/>
    <n v="1.59"/>
    <n v="2.4500000000000002"/>
    <n v="0.76"/>
    <n v="3.3597741935483874"/>
  </r>
  <r>
    <n v="35"/>
    <x v="5"/>
    <x v="29"/>
    <s v="Mahagun Hotel"/>
    <s v="Public-Paid"/>
    <s v="7.4 kW"/>
    <s v="OCPP"/>
    <n v="2"/>
    <n v="12.47"/>
    <n v="22.44"/>
    <n v="0"/>
    <n v="0"/>
    <n v="0"/>
    <n v="0"/>
    <n v="0"/>
    <n v="0"/>
    <n v="29.56"/>
    <n v="0"/>
    <n v="0"/>
    <n v="0"/>
    <n v="0"/>
    <n v="0"/>
    <n v="1.86"/>
    <n v="26.3"/>
    <n v="0"/>
    <n v="0"/>
    <n v="0"/>
    <n v="0"/>
    <n v="0"/>
    <n v="0"/>
    <n v="34"/>
    <n v="0"/>
    <n v="0"/>
    <n v="0"/>
    <n v="0"/>
    <n v="0"/>
    <n v="25.14"/>
    <n v="25.14"/>
    <n v="0"/>
    <n v="5.7067741935483864"/>
  </r>
  <r>
    <n v="36"/>
    <x v="5"/>
    <x v="30"/>
    <m/>
    <s v="Public-Paid"/>
    <s v="3.3 kW"/>
    <s v="LEVAC-BLE"/>
    <n v="82"/>
    <n v="4.59"/>
    <n v="2.2000000000000002"/>
    <n v="10.32"/>
    <n v="13.43"/>
    <n v="9.92"/>
    <n v="13.62"/>
    <n v="2.54"/>
    <n v="0.25"/>
    <n v="2.6"/>
    <n v="6.84"/>
    <n v="19.079999999999998"/>
    <n v="9.51"/>
    <n v="19.72"/>
    <n v="8.52"/>
    <n v="0.06"/>
    <n v="0.82"/>
    <n v="5.49"/>
    <n v="7.83"/>
    <n v="12.36"/>
    <n v="7.4"/>
    <n v="12.49"/>
    <n v="4.07"/>
    <n v="0.37"/>
    <n v="10.79"/>
    <n v="9.75"/>
    <n v="21.6"/>
    <n v="0.26"/>
    <n v="0.66"/>
    <n v="0"/>
    <n v="8.2899999999999991"/>
    <n v="12.02"/>
    <n v="7.6580645161290315"/>
  </r>
  <r>
    <n v="37"/>
    <x v="5"/>
    <x v="31"/>
    <s v="ETO"/>
    <s v="Public-Free"/>
    <s v="3.3 kW"/>
    <s v="LEVAC-BLE"/>
    <n v="3"/>
    <n v="21.8"/>
    <n v="21.12"/>
    <n v="16.96"/>
    <n v="15.91"/>
    <n v="6.41"/>
    <n v="9.69"/>
    <n v="2.2000000000000002"/>
    <n v="3.13"/>
    <n v="3.15"/>
    <n v="2.14"/>
    <n v="0.44"/>
    <n v="2.0299999999999998"/>
    <n v="5.99"/>
    <n v="0.99"/>
    <n v="0.28000000000000003"/>
    <n v="0"/>
    <n v="2.5499999999999998"/>
    <n v="11.24"/>
    <n v="11.12"/>
    <n v="5.05"/>
    <n v="21.41"/>
    <n v="8.36"/>
    <n v="12.79"/>
    <n v="22.39"/>
    <n v="13"/>
    <n v="17.47"/>
    <n v="11.78"/>
    <n v="12.18"/>
    <n v="9.34"/>
    <n v="8.9499999999999993"/>
    <n v="7.16"/>
    <n v="9.259032258064515"/>
  </r>
  <r>
    <n v="38"/>
    <x v="5"/>
    <x v="32"/>
    <s v="ETO"/>
    <s v="Public-Free"/>
    <s v="3.3 kW"/>
    <s v="LEVAC-BLE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"/>
    <x v="5"/>
    <x v="33"/>
    <s v="ETO"/>
    <s v="Public-Free"/>
    <s v="3.3 kW"/>
    <s v="LEVAC-BLE"/>
    <n v="20"/>
    <n v="52.43"/>
    <n v="0.78"/>
    <n v="55.92"/>
    <n v="15.01"/>
    <n v="40.69"/>
    <n v="45.92"/>
    <n v="24.49"/>
    <n v="10.8"/>
    <n v="0"/>
    <n v="23.35"/>
    <n v="13.03"/>
    <n v="20.329999999999998"/>
    <n v="42.87"/>
    <n v="27.08"/>
    <n v="28.79"/>
    <n v="6.45"/>
    <n v="15.04"/>
    <n v="19.600000000000001"/>
    <n v="38.090000000000003"/>
    <n v="44.06"/>
    <n v="19.14"/>
    <n v="10.85"/>
    <n v="8.5399999999999991"/>
    <n v="1.6"/>
    <n v="16.940000000000001"/>
    <n v="17.850000000000001"/>
    <n v="50.61"/>
    <n v="38.659999999999997"/>
    <n v="37.64"/>
    <n v="11.06"/>
    <n v="28.1"/>
    <n v="24.700645161290325"/>
  </r>
  <r>
    <n v="40"/>
    <x v="5"/>
    <x v="34"/>
    <s v="ETO"/>
    <s v="Public-Free"/>
    <s v="3.3 kW"/>
    <s v="LEVAC-BLE"/>
    <n v="7"/>
    <n v="39.549999999999997"/>
    <n v="8.7899999999999991"/>
    <n v="30.84"/>
    <n v="62.79"/>
    <n v="40.17"/>
    <n v="25.42"/>
    <n v="20.16"/>
    <n v="8.3800000000000008"/>
    <n v="27.16"/>
    <n v="58.02"/>
    <n v="29.54"/>
    <n v="47.57"/>
    <n v="30.46"/>
    <n v="32.46"/>
    <n v="0"/>
    <n v="32.06"/>
    <n v="46.27"/>
    <n v="29.87"/>
    <n v="25.19"/>
    <n v="41.98"/>
    <n v="44.55"/>
    <n v="12.09"/>
    <n v="32.5"/>
    <n v="14.54"/>
    <n v="47.96"/>
    <n v="45.86"/>
    <n v="58.42"/>
    <n v="43.03"/>
    <n v="28.89"/>
    <n v="15.81"/>
    <n v="37.979999999999997"/>
    <n v="32.84870967741935"/>
  </r>
  <r>
    <n v="41"/>
    <x v="5"/>
    <x v="35"/>
    <s v="ETO"/>
    <s v="Public-Free"/>
    <s v="3.3 kW"/>
    <s v="LEVAC-BLE"/>
    <n v="12"/>
    <n v="5.5"/>
    <n v="10.68"/>
    <n v="42.4"/>
    <n v="54.17"/>
    <n v="33.24"/>
    <n v="29.82"/>
    <n v="45.78"/>
    <n v="12.19"/>
    <n v="11.47"/>
    <n v="33.26"/>
    <n v="29.88"/>
    <n v="50.48"/>
    <n v="24.24"/>
    <n v="7.32"/>
    <n v="20.9"/>
    <n v="19.260000000000002"/>
    <n v="25.48"/>
    <n v="29.69"/>
    <n v="18.52"/>
    <n v="41.25"/>
    <n v="52.59"/>
    <n v="48.03"/>
    <n v="30.01"/>
    <n v="68.91"/>
    <n v="39.4"/>
    <n v="43.01"/>
    <n v="31.95"/>
    <n v="40.380000000000003"/>
    <n v="21.34"/>
    <n v="30.8"/>
    <n v="12.34"/>
    <n v="31.106129032258064"/>
  </r>
  <r>
    <n v="42"/>
    <x v="5"/>
    <x v="35"/>
    <s v="ETO"/>
    <s v="Public-Free"/>
    <s v="3.3 kW"/>
    <s v="OCPP"/>
    <n v="5"/>
    <n v="0"/>
    <n v="0"/>
    <n v="0"/>
    <n v="0"/>
    <n v="0"/>
    <n v="0"/>
    <n v="0"/>
    <n v="0"/>
    <n v="0"/>
    <n v="0"/>
    <n v="0"/>
    <n v="0"/>
    <n v="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967741935483869"/>
  </r>
  <r>
    <n v="43"/>
    <x v="5"/>
    <x v="36"/>
    <s v="ETO"/>
    <s v="Public-Free"/>
    <s v="3.3 kW"/>
    <s v="LEVAC-BLE"/>
    <n v="25"/>
    <n v="69.83"/>
    <n v="60.44"/>
    <n v="97.33"/>
    <n v="86.17"/>
    <n v="78.31"/>
    <n v="62.66"/>
    <n v="55.12"/>
    <n v="59.68"/>
    <n v="43.63"/>
    <n v="28.14"/>
    <n v="55.86"/>
    <n v="36.15"/>
    <n v="34.200000000000003"/>
    <n v="29.09"/>
    <n v="16.239999999999998"/>
    <n v="23.3"/>
    <n v="27.71"/>
    <n v="40.67"/>
    <n v="35.549999999999997"/>
    <n v="43.55"/>
    <n v="41.69"/>
    <n v="24.97"/>
    <n v="19.03"/>
    <n v="11.02"/>
    <n v="20.64"/>
    <n v="2.74"/>
    <n v="29.46"/>
    <n v="5.03"/>
    <n v="15.54"/>
    <n v="19.29"/>
    <n v="24.8"/>
    <n v="38.64"/>
  </r>
  <r>
    <n v="44"/>
    <x v="5"/>
    <x v="37"/>
    <s v="ETO"/>
    <s v="Public-Free"/>
    <s v="3.3 kW"/>
    <s v="LEVAC-BLE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3:C42" firstHeaderRow="0" firstDataRow="1" firstDataCol="1" rowPageCount="1" colPageCount="1"/>
  <pivotFields count="40">
    <pivotField compact="0" outline="0" showAll="0"/>
    <pivotField axis="axisPage" compact="0" outline="0" showAll="0">
      <items count="7">
        <item x="4"/>
        <item x="5"/>
        <item x="0"/>
        <item x="3"/>
        <item x="1"/>
        <item x="2"/>
        <item t="default"/>
      </items>
    </pivotField>
    <pivotField axis="axisRow" compact="0" outline="0" showAll="0">
      <items count="39">
        <item x="0"/>
        <item x="3"/>
        <item x="30"/>
        <item x="29"/>
        <item x="14"/>
        <item x="20"/>
        <item x="35"/>
        <item x="15"/>
        <item x="28"/>
        <item x="32"/>
        <item x="33"/>
        <item x="37"/>
        <item x="10"/>
        <item x="12"/>
        <item x="13"/>
        <item x="16"/>
        <item x="36"/>
        <item x="17"/>
        <item x="31"/>
        <item x="25"/>
        <item x="34"/>
        <item x="9"/>
        <item x="22"/>
        <item x="1"/>
        <item x="21"/>
        <item x="11"/>
        <item x="26"/>
        <item x="4"/>
        <item x="5"/>
        <item x="19"/>
        <item x="6"/>
        <item x="23"/>
        <item x="2"/>
        <item x="8"/>
        <item x="18"/>
        <item x="7"/>
        <item x="24"/>
        <item x="2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outline="0" showAll="0"/>
    <pivotField compact="0" outline="0" showAll="0"/>
    <pivotField compact="0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compact="0" numFmtId="4" outline="0" showAll="0"/>
    <pivotField dataField="1" compact="0" numFmtId="4" outline="0"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No. of Chargers" fld="7" baseField="0" baseItem="0"/>
    <dataField name="Sum of Average" fld="39" baseField="0" baseItem="0" numFmtId="164"/>
  </dataFields>
  <formats count="7">
    <format dxfId="673">
      <pivotArea type="all" dataOnly="0" outline="0" fieldPosition="0"/>
    </format>
    <format dxfId="672">
      <pivotArea outline="0" collapsedLevelsAreSubtotals="1" fieldPosition="0"/>
    </format>
    <format dxfId="671">
      <pivotArea field="2" type="button" dataOnly="0" labelOnly="1" outline="0" axis="axisRow" fieldPosition="0"/>
    </format>
    <format dxfId="670">
      <pivotArea dataOnly="0" labelOnly="1" outline="0" fieldPosition="0">
        <references count="1">
          <reference field="2" count="0"/>
        </references>
      </pivotArea>
    </format>
    <format dxfId="669">
      <pivotArea dataOnly="0" labelOnly="1" grandRow="1" outline="0" fieldPosition="0"/>
    </format>
    <format dxfId="6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7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3:C52" firstHeaderRow="0" firstDataRow="1" firstDataCol="1" rowPageCount="1" colPageCount="1"/>
  <pivotFields count="40">
    <pivotField compact="0" outline="0" showAll="0"/>
    <pivotField axis="axisPage" compact="0" outline="0" showAll="0">
      <items count="8">
        <item x="4"/>
        <item x="5"/>
        <item x="0"/>
        <item x="3"/>
        <item x="6"/>
        <item x="1"/>
        <item x="2"/>
        <item t="default"/>
      </items>
    </pivotField>
    <pivotField axis="axisRow" compact="0" outline="0" showAll="0">
      <items count="49">
        <item x="46"/>
        <item x="0"/>
        <item x="1"/>
        <item x="2"/>
        <item x="3"/>
        <item x="20"/>
        <item x="4"/>
        <item x="5"/>
        <item x="6"/>
        <item x="17"/>
        <item x="31"/>
        <item x="30"/>
        <item x="7"/>
        <item x="18"/>
        <item x="27"/>
        <item x="13"/>
        <item x="19"/>
        <item x="36"/>
        <item x="14"/>
        <item x="29"/>
        <item x="33"/>
        <item x="34"/>
        <item x="37"/>
        <item x="38"/>
        <item x="9"/>
        <item x="39"/>
        <item x="11"/>
        <item x="12"/>
        <item x="15"/>
        <item x="16"/>
        <item x="32"/>
        <item x="24"/>
        <item x="35"/>
        <item x="8"/>
        <item x="25"/>
        <item x="21"/>
        <item x="26"/>
        <item x="22"/>
        <item x="40"/>
        <item x="10"/>
        <item x="45"/>
        <item x="44"/>
        <item x="43"/>
        <item x="47"/>
        <item x="28"/>
        <item x="23"/>
        <item x="42"/>
        <item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</pivotFields>
  <rowFields count="1">
    <field x="2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No. of Chargers" fld="7" baseField="0" baseItem="0"/>
    <dataField name="Sum of Average" fld="39" baseField="2" baseItem="0" numFmtId="2"/>
  </dataFields>
  <formats count="7">
    <format dxfId="666">
      <pivotArea type="all" dataOnly="0" outline="0" fieldPosition="0"/>
    </format>
    <format dxfId="665">
      <pivotArea outline="0" collapsedLevelsAreSubtotals="1" fieldPosition="0"/>
    </format>
    <format dxfId="664">
      <pivotArea field="2" type="button" dataOnly="0" labelOnly="1" outline="0" axis="axisRow" fieldPosition="0"/>
    </format>
    <format dxfId="663">
      <pivotArea dataOnly="0" labelOnly="1" outline="0" fieldPosition="0">
        <references count="1">
          <reference field="2" count="0"/>
        </references>
      </pivotArea>
    </format>
    <format dxfId="662">
      <pivotArea dataOnly="0" labelOnly="1" grandRow="1" outline="0" fieldPosition="0"/>
    </format>
    <format dxfId="6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0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3" cacheId="15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3:C51" firstHeaderRow="0" firstDataRow="1" firstDataCol="1" rowPageCount="1" colPageCount="1"/>
  <pivotFields count="39">
    <pivotField compact="0" outline="0" showAll="0"/>
    <pivotField axis="axisPage" compact="0" outline="0" showAll="0">
      <items count="8">
        <item x="4"/>
        <item x="5"/>
        <item x="0"/>
        <item x="3"/>
        <item x="6"/>
        <item x="1"/>
        <item x="2"/>
        <item t="default"/>
      </items>
    </pivotField>
    <pivotField axis="axisRow" compact="0" outline="0" showAll="0">
      <items count="48">
        <item x="43"/>
        <item x="0"/>
        <item x="1"/>
        <item x="2"/>
        <item x="17"/>
        <item x="3"/>
        <item x="4"/>
        <item x="14"/>
        <item x="28"/>
        <item x="27"/>
        <item x="5"/>
        <item x="15"/>
        <item x="24"/>
        <item x="10"/>
        <item x="16"/>
        <item x="33"/>
        <item x="11"/>
        <item x="26"/>
        <item x="30"/>
        <item x="31"/>
        <item x="34"/>
        <item x="35"/>
        <item x="7"/>
        <item x="36"/>
        <item x="9"/>
        <item x="12"/>
        <item x="13"/>
        <item x="29"/>
        <item x="21"/>
        <item x="32"/>
        <item x="6"/>
        <item x="22"/>
        <item x="18"/>
        <item x="23"/>
        <item x="19"/>
        <item x="37"/>
        <item x="8"/>
        <item x="42"/>
        <item x="41"/>
        <item x="40"/>
        <item x="44"/>
        <item x="45"/>
        <item x="25"/>
        <item x="20"/>
        <item x="46"/>
        <item x="39"/>
        <item x="3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No. of Chargers" fld="7" baseField="0" baseItem="0"/>
    <dataField name="Sum of Average" fld="38" baseField="2" baseItem="0" numFmtId="164"/>
  </dataFields>
  <formats count="7">
    <format dxfId="659">
      <pivotArea type="all" dataOnly="0" outline="0" fieldPosition="0"/>
    </format>
    <format dxfId="658">
      <pivotArea outline="0" collapsedLevelsAreSubtotals="1" fieldPosition="0"/>
    </format>
    <format dxfId="657">
      <pivotArea field="2" type="button" dataOnly="0" labelOnly="1" outline="0" axis="axisRow" fieldPosition="0"/>
    </format>
    <format dxfId="656">
      <pivotArea dataOnly="0" labelOnly="1" outline="0" fieldPosition="0">
        <references count="1">
          <reference field="2" count="0"/>
        </references>
      </pivotArea>
    </format>
    <format dxfId="655">
      <pivotArea dataOnly="0" labelOnly="1" grandRow="1" outline="0" fieldPosition="0"/>
    </format>
    <format dxfId="6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3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3" cacheId="15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 chartFormat="6">
  <location ref="A3:H4" firstHeaderRow="1" firstDataRow="2" firstDataCol="0"/>
  <pivotFields count="39">
    <pivotField compact="0" outline="0" showAll="0"/>
    <pivotField axis="axisCol" compact="0" outline="0" showAll="0">
      <items count="8">
        <item x="4"/>
        <item x="5"/>
        <item x="0"/>
        <item x="3"/>
        <item x="6"/>
        <item x="1"/>
        <item x="2"/>
        <item t="default"/>
      </items>
    </pivotField>
    <pivotField compact="0" outline="0" showAll="0">
      <items count="48">
        <item x="43"/>
        <item x="0"/>
        <item x="1"/>
        <item x="2"/>
        <item x="17"/>
        <item x="3"/>
        <item x="4"/>
        <item x="14"/>
        <item x="28"/>
        <item x="27"/>
        <item x="5"/>
        <item x="15"/>
        <item x="24"/>
        <item x="10"/>
        <item x="16"/>
        <item x="33"/>
        <item x="11"/>
        <item x="26"/>
        <item x="30"/>
        <item x="31"/>
        <item x="34"/>
        <item x="35"/>
        <item x="7"/>
        <item x="36"/>
        <item x="9"/>
        <item x="12"/>
        <item x="13"/>
        <item x="29"/>
        <item x="21"/>
        <item x="32"/>
        <item x="6"/>
        <item x="22"/>
        <item x="18"/>
        <item x="23"/>
        <item x="19"/>
        <item x="37"/>
        <item x="8"/>
        <item x="42"/>
        <item x="41"/>
        <item x="40"/>
        <item x="44"/>
        <item x="45"/>
        <item x="25"/>
        <item x="20"/>
        <item x="46"/>
        <item x="39"/>
        <item x="3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</pivotFields>
  <rowItems count="1">
    <i/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formats count="4">
    <format dxfId="652">
      <pivotArea type="all" dataOnly="0" outline="0" fieldPosition="0"/>
    </format>
    <format dxfId="651">
      <pivotArea outline="0" collapsedLevelsAreSubtotals="1" fieldPosition="0"/>
    </format>
    <format dxfId="650">
      <pivotArea field="2" type="button" dataOnly="0" labelOnly="1" outline="0"/>
    </format>
    <format dxfId="6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PivotTable4" cacheId="15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3:C54" firstHeaderRow="0" firstDataRow="1" firstDataCol="1" rowPageCount="1" colPageCount="1"/>
  <pivotFields count="40">
    <pivotField compact="0" outline="0" showAll="0"/>
    <pivotField axis="axisPage" compact="0" outline="0" showAll="0">
      <items count="9">
        <item x="5"/>
        <item x="6"/>
        <item x="0"/>
        <item x="4"/>
        <item x="7"/>
        <item x="1"/>
        <item x="2"/>
        <item x="3"/>
        <item t="default"/>
      </items>
    </pivotField>
    <pivotField axis="axisRow" compact="0" outline="0" showAll="0">
      <items count="53">
        <item x="46"/>
        <item x="0"/>
        <item x="1"/>
        <item x="2"/>
        <item x="18"/>
        <item x="3"/>
        <item x="4"/>
        <item x="14"/>
        <item x="31"/>
        <item x="30"/>
        <item x="5"/>
        <item x="15"/>
        <item x="27"/>
        <item x="10"/>
        <item x="17"/>
        <item x="36"/>
        <item x="11"/>
        <item x="29"/>
        <item x="33"/>
        <item x="34"/>
        <item x="37"/>
        <item x="38"/>
        <item x="7"/>
        <item x="39"/>
        <item x="9"/>
        <item x="12"/>
        <item x="13"/>
        <item x="32"/>
        <item x="24"/>
        <item x="35"/>
        <item x="6"/>
        <item x="25"/>
        <item x="19"/>
        <item x="26"/>
        <item x="20"/>
        <item x="40"/>
        <item x="8"/>
        <item x="45"/>
        <item x="44"/>
        <item x="43"/>
        <item x="47"/>
        <item x="48"/>
        <item x="28"/>
        <item x="23"/>
        <item x="49"/>
        <item x="42"/>
        <item x="41"/>
        <item x="21"/>
        <item m="1" x="50"/>
        <item x="22"/>
        <item m="1" x="51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2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No. of Chargers" fld="7" baseField="0" baseItem="0"/>
    <dataField name="Sum of Average" fld="39" baseField="2" baseItem="0" numFmtId="164"/>
  </dataFields>
  <formats count="11">
    <format dxfId="648">
      <pivotArea type="all" dataOnly="0" outline="0" fieldPosition="0"/>
    </format>
    <format dxfId="647">
      <pivotArea outline="0" collapsedLevelsAreSubtotals="1" fieldPosition="0"/>
    </format>
    <format dxfId="646">
      <pivotArea field="2" type="button" dataOnly="0" labelOnly="1" outline="0" axis="axisRow" fieldPosition="0"/>
    </format>
    <format dxfId="645">
      <pivotArea dataOnly="0" labelOnly="1" outline="0" fieldPosition="0">
        <references count="1">
          <reference field="2" count="0"/>
        </references>
      </pivotArea>
    </format>
    <format dxfId="644">
      <pivotArea dataOnly="0" labelOnly="1" grandRow="1" outline="0" fieldPosition="0"/>
    </format>
    <format dxfId="6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2">
      <pivotArea outline="0" fieldPosition="0">
        <references count="1">
          <reference field="4294967294" count="1" selected="0">
            <x v="1"/>
          </reference>
        </references>
      </pivotArea>
    </format>
    <format dxfId="641">
      <pivotArea outline="0" fieldPosition="0">
        <references count="1">
          <reference field="4294967294" count="1" selected="0">
            <x v="1"/>
          </reference>
        </references>
      </pivotArea>
    </format>
    <format dxfId="640">
      <pivotArea outline="0" fieldPosition="0">
        <references count="1">
          <reference field="4294967294" count="1" selected="0">
            <x v="1"/>
          </reference>
        </references>
      </pivotArea>
    </format>
    <format dxfId="639">
      <pivotArea outline="0" fieldPosition="0">
        <references count="1">
          <reference field="4294967294" count="1" selected="0">
            <x v="1"/>
          </reference>
        </references>
      </pivotArea>
    </format>
    <format dxfId="638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5000000}" name="PivotTable4" cacheId="15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 chartFormat="29">
  <location ref="A3:I4" firstHeaderRow="1" firstDataRow="2" firstDataCol="0"/>
  <pivotFields count="40">
    <pivotField compact="0" outline="0" showAll="0"/>
    <pivotField axis="axisCol" compact="0" outline="0" showAll="0">
      <items count="9">
        <item x="5"/>
        <item x="6"/>
        <item x="0"/>
        <item x="4"/>
        <item x="7"/>
        <item x="1"/>
        <item x="2"/>
        <item x="3"/>
        <item t="default"/>
      </items>
    </pivotField>
    <pivotField compact="0" outline="0" showAll="0">
      <items count="53">
        <item x="46"/>
        <item x="0"/>
        <item x="1"/>
        <item x="2"/>
        <item x="18"/>
        <item x="3"/>
        <item x="4"/>
        <item x="14"/>
        <item x="31"/>
        <item x="30"/>
        <item x="5"/>
        <item x="15"/>
        <item x="27"/>
        <item x="10"/>
        <item x="17"/>
        <item x="36"/>
        <item x="11"/>
        <item x="29"/>
        <item x="33"/>
        <item x="34"/>
        <item x="37"/>
        <item x="38"/>
        <item x="7"/>
        <item x="39"/>
        <item x="9"/>
        <item x="12"/>
        <item x="13"/>
        <item x="32"/>
        <item x="24"/>
        <item x="35"/>
        <item x="6"/>
        <item x="25"/>
        <item x="19"/>
        <item x="26"/>
        <item x="20"/>
        <item x="40"/>
        <item x="8"/>
        <item x="45"/>
        <item x="44"/>
        <item x="43"/>
        <item x="47"/>
        <item x="48"/>
        <item x="28"/>
        <item x="23"/>
        <item x="49"/>
        <item x="42"/>
        <item x="41"/>
        <item x="21"/>
        <item m="1" x="50"/>
        <item x="22"/>
        <item m="1" x="51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formats count="4">
    <format dxfId="637">
      <pivotArea type="all" dataOnly="0" outline="0" fieldPosition="0"/>
    </format>
    <format dxfId="636">
      <pivotArea outline="0" collapsedLevelsAreSubtotals="1" fieldPosition="0"/>
    </format>
    <format dxfId="635">
      <pivotArea field="2" type="button" dataOnly="0" labelOnly="1" outline="0"/>
    </format>
    <format dxfId="6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6000000}" name="PivotTable1" cacheId="14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3:C57" firstHeaderRow="0" firstDataRow="1" firstDataCol="1" rowPageCount="1" colPageCount="1"/>
  <pivotFields count="39">
    <pivotField compact="0" outline="0" showAll="0"/>
    <pivotField axis="axisPage" compact="0" outline="0" showAll="0">
      <items count="9">
        <item x="5"/>
        <item x="6"/>
        <item x="3"/>
        <item x="0"/>
        <item x="4"/>
        <item x="7"/>
        <item x="1"/>
        <item x="2"/>
        <item t="default"/>
      </items>
    </pivotField>
    <pivotField axis="axisRow" compact="0" outline="0" showAll="0">
      <items count="54">
        <item x="46"/>
        <item x="0"/>
        <item x="1"/>
        <item x="2"/>
        <item x="22"/>
        <item x="21"/>
        <item x="17"/>
        <item x="18"/>
        <item x="3"/>
        <item x="47"/>
        <item x="13"/>
        <item x="31"/>
        <item x="30"/>
        <item x="4"/>
        <item x="14"/>
        <item x="51"/>
        <item x="27"/>
        <item x="15"/>
        <item x="9"/>
        <item x="36"/>
        <item x="10"/>
        <item x="29"/>
        <item x="33"/>
        <item x="34"/>
        <item x="37"/>
        <item x="38"/>
        <item x="6"/>
        <item x="39"/>
        <item x="8"/>
        <item x="11"/>
        <item x="12"/>
        <item x="32"/>
        <item x="24"/>
        <item x="35"/>
        <item x="5"/>
        <item x="25"/>
        <item x="19"/>
        <item x="26"/>
        <item x="20"/>
        <item x="40"/>
        <item x="7"/>
        <item x="45"/>
        <item x="44"/>
        <item x="43"/>
        <item x="48"/>
        <item x="49"/>
        <item x="52"/>
        <item x="28"/>
        <item x="23"/>
        <item x="50"/>
        <item x="42"/>
        <item x="16"/>
        <item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dataField="1" compact="0" numFmtId="2" outline="0" showAll="0"/>
  </pivotFields>
  <rowFields count="1">
    <field x="2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No. of Chargers" fld="7" baseField="0" baseItem="0"/>
    <dataField name="Sum of Average" fld="38" baseField="0" baseItem="0" numFmtId="164"/>
  </dataFields>
  <formats count="9">
    <format dxfId="633">
      <pivotArea type="all" dataOnly="0" outline="0" fieldPosition="0"/>
    </format>
    <format dxfId="632">
      <pivotArea outline="0" collapsedLevelsAreSubtotals="1" fieldPosition="0"/>
    </format>
    <format dxfId="631">
      <pivotArea field="2" type="button" dataOnly="0" labelOnly="1" outline="0" axis="axisRow" fieldPosition="0"/>
    </format>
    <format dxfId="63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29">
      <pivotArea dataOnly="0" labelOnly="1" fieldPosition="0">
        <references count="1">
          <reference field="2" count="3">
            <x v="50"/>
            <x v="51"/>
            <x v="52"/>
          </reference>
        </references>
      </pivotArea>
    </format>
    <format dxfId="628">
      <pivotArea dataOnly="0" labelOnly="1" grandRow="1" outline="0" fieldPosition="0"/>
    </format>
    <format dxfId="6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7000000}" name="PivotTable3" cacheId="14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 chartFormat="22">
  <location ref="A3:I4" firstHeaderRow="1" firstDataRow="2" firstDataCol="0"/>
  <pivotFields count="39">
    <pivotField compact="0" outline="0" showAll="0"/>
    <pivotField axis="axisCol" compact="0" outline="0" showAll="0">
      <items count="9">
        <item x="5"/>
        <item x="6"/>
        <item x="3"/>
        <item x="0"/>
        <item x="4"/>
        <item x="7"/>
        <item x="1"/>
        <item x="2"/>
        <item t="default"/>
      </items>
    </pivotField>
    <pivotField compact="0" outline="0" showAll="0">
      <items count="54">
        <item x="46"/>
        <item x="0"/>
        <item x="1"/>
        <item x="2"/>
        <item x="22"/>
        <item x="21"/>
        <item x="18"/>
        <item x="3"/>
        <item x="13"/>
        <item x="31"/>
        <item x="30"/>
        <item x="4"/>
        <item x="14"/>
        <item x="51"/>
        <item x="27"/>
        <item x="9"/>
        <item x="36"/>
        <item x="10"/>
        <item x="29"/>
        <item x="33"/>
        <item x="34"/>
        <item x="37"/>
        <item x="38"/>
        <item x="6"/>
        <item x="39"/>
        <item x="8"/>
        <item x="11"/>
        <item x="12"/>
        <item x="32"/>
        <item x="24"/>
        <item x="35"/>
        <item x="5"/>
        <item x="25"/>
        <item x="19"/>
        <item x="26"/>
        <item x="20"/>
        <item x="40"/>
        <item x="7"/>
        <item x="45"/>
        <item x="44"/>
        <item x="43"/>
        <item x="48"/>
        <item x="49"/>
        <item x="28"/>
        <item x="23"/>
        <item x="50"/>
        <item x="42"/>
        <item x="41"/>
        <item x="47"/>
        <item x="15"/>
        <item x="16"/>
        <item x="17"/>
        <item x="5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  <pivotField compact="0" numFmtId="2" outline="0" showAll="0"/>
  </pivotFields>
  <rowItems count="1">
    <i/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formats count="8">
    <format dxfId="624">
      <pivotArea type="all" dataOnly="0" outline="0" fieldPosition="0"/>
    </format>
    <format dxfId="623">
      <pivotArea outline="0" collapsedLevelsAreSubtotals="1" fieldPosition="0"/>
    </format>
    <format dxfId="622">
      <pivotArea field="2" type="button" dataOnly="0" labelOnly="1" outline="0"/>
    </format>
    <format dxfId="621">
      <pivotArea dataOnly="0" labelOnly="1" grandRow="1" outline="0" fieldPosition="0"/>
    </format>
    <format dxfId="620">
      <pivotArea type="all" dataOnly="0" outline="0" fieldPosition="0"/>
    </format>
    <format dxfId="619">
      <pivotArea outline="0" collapsedLevelsAreSubtotals="1" fieldPosition="0"/>
    </format>
    <format dxfId="618">
      <pivotArea field="2" type="button" dataOnly="0" labelOnly="1" outline="0"/>
    </format>
    <format dxfId="61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8000000}" name="PivotTable1" cacheId="14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3:D59" firstHeaderRow="0" firstDataRow="1" firstDataCol="1" rowPageCount="1" colPageCount="1"/>
  <pivotFields count="42">
    <pivotField compact="0" outline="0" showAll="0"/>
    <pivotField axis="axisPage" compact="0" outline="0" showAll="0">
      <items count="9">
        <item x="5"/>
        <item x="6"/>
        <item x="3"/>
        <item x="0"/>
        <item x="4"/>
        <item x="7"/>
        <item x="1"/>
        <item x="2"/>
        <item t="default"/>
      </items>
    </pivotField>
    <pivotField axis="axisRow" compact="0" outline="0" showAll="0">
      <items count="56">
        <item x="47"/>
        <item x="0"/>
        <item x="1"/>
        <item x="2"/>
        <item x="23"/>
        <item x="22"/>
        <item x="18"/>
        <item x="19"/>
        <item x="3"/>
        <item x="48"/>
        <item x="13"/>
        <item x="32"/>
        <item x="31"/>
        <item x="4"/>
        <item x="14"/>
        <item x="28"/>
        <item x="15"/>
        <item x="9"/>
        <item x="37"/>
        <item x="30"/>
        <item x="34"/>
        <item x="35"/>
        <item x="38"/>
        <item x="39"/>
        <item x="6"/>
        <item x="40"/>
        <item x="11"/>
        <item x="12"/>
        <item x="33"/>
        <item x="25"/>
        <item x="36"/>
        <item x="5"/>
        <item x="26"/>
        <item x="20"/>
        <item x="27"/>
        <item x="21"/>
        <item x="41"/>
        <item x="7"/>
        <item x="46"/>
        <item x="45"/>
        <item x="44"/>
        <item x="49"/>
        <item x="50"/>
        <item x="53"/>
        <item x="54"/>
        <item x="24"/>
        <item x="51"/>
        <item x="43"/>
        <item x="10"/>
        <item x="52"/>
        <item x="8"/>
        <item x="29"/>
        <item x="17"/>
        <item x="16"/>
        <item x="4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numFmtId="2" outline="0" showAll="0"/>
    <pivotField dataField="1" compact="0" outline="0" showAll="0"/>
    <pivotField dataField="1" compact="0" numFmtId="165" outline="0" showAll="0" defaultSubtotal="0"/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No. of Chargers" fld="7" baseField="2" baseItem="0"/>
    <dataField name="Sum of Average" fld="40" baseField="2" baseItem="0" numFmtId="164"/>
    <dataField name="Sum of Avg Consumption / Charger" fld="41" baseField="0" baseItem="0" numFmtId="165"/>
  </dataFields>
  <formats count="11">
    <format dxfId="616">
      <pivotArea type="all" dataOnly="0" outline="0" fieldPosition="0"/>
    </format>
    <format dxfId="615">
      <pivotArea outline="0" collapsedLevelsAreSubtotals="1" fieldPosition="0"/>
    </format>
    <format dxfId="614">
      <pivotArea field="2" type="button" dataOnly="0" labelOnly="1" outline="0" axis="axisRow" fieldPosition="0"/>
    </format>
    <format dxfId="613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2">
      <pivotArea dataOnly="0" labelOnly="1" outline="0" fieldPosition="0">
        <references count="1">
          <reference field="2" count="5">
            <x v="50"/>
            <x v="51"/>
            <x v="52"/>
            <x v="53"/>
            <x v="54"/>
          </reference>
        </references>
      </pivotArea>
    </format>
    <format dxfId="611">
      <pivotArea dataOnly="0" labelOnly="1" grandRow="1" outline="0" fieldPosition="0"/>
    </format>
    <format dxfId="6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09">
      <pivotArea outline="0" fieldPosition="0">
        <references count="1">
          <reference field="4294967294" count="1" selected="0">
            <x v="1"/>
          </reference>
        </references>
      </pivotArea>
    </format>
    <format dxfId="608">
      <pivotArea outline="0" fieldPosition="0">
        <references count="1">
          <reference field="4294967294" count="1" selected="0">
            <x v="1"/>
          </reference>
        </references>
      </pivotArea>
    </format>
    <format dxfId="607">
      <pivotArea outline="0" fieldPosition="0">
        <references count="1">
          <reference field="4294967294" count="1" selected="0">
            <x v="1"/>
          </reference>
        </references>
      </pivotArea>
    </format>
    <format dxfId="606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9000000}" name="PivotTable3" cacheId="14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4">
  <location ref="A3:I4" firstHeaderRow="1" firstDataRow="2" firstDataCol="0"/>
  <pivotFields count="42">
    <pivotField showAll="0"/>
    <pivotField axis="axisCol" showAll="0">
      <items count="9">
        <item x="5"/>
        <item x="6"/>
        <item x="3"/>
        <item x="0"/>
        <item x="4"/>
        <item x="7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showAll="0"/>
    <pivotField numFmtId="165" showAll="0" defaultSubtotal="0"/>
  </pivotFields>
  <rowItems count="1">
    <i/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B000000}" name="PivotTable2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AI61" firstHeaderRow="0" firstDataRow="1" firstDataCol="1" rowPageCount="1" colPageCount="1"/>
  <pivotFields count="42">
    <pivotField compact="0" outline="0" showAll="0"/>
    <pivotField axis="axisPage" compact="0" outline="0" showAll="0">
      <items count="10">
        <item x="5"/>
        <item x="6"/>
        <item x="3"/>
        <item x="0"/>
        <item x="4"/>
        <item x="7"/>
        <item x="1"/>
        <item x="2"/>
        <item x="8"/>
        <item t="default"/>
      </items>
    </pivotField>
    <pivotField axis="axisRow" compact="0" outline="0" showAll="0">
      <items count="58">
        <item x="49"/>
        <item x="0"/>
        <item x="1"/>
        <item x="2"/>
        <item x="25"/>
        <item x="24"/>
        <item x="20"/>
        <item x="21"/>
        <item x="3"/>
        <item x="50"/>
        <item x="13"/>
        <item x="34"/>
        <item x="4"/>
        <item x="14"/>
        <item x="30"/>
        <item x="15"/>
        <item x="9"/>
        <item x="39"/>
        <item x="32"/>
        <item x="36"/>
        <item x="37"/>
        <item x="40"/>
        <item x="41"/>
        <item x="6"/>
        <item x="42"/>
        <item x="11"/>
        <item x="12"/>
        <item x="35"/>
        <item x="27"/>
        <item x="38"/>
        <item x="5"/>
        <item x="28"/>
        <item x="22"/>
        <item x="29"/>
        <item x="23"/>
        <item x="43"/>
        <item x="7"/>
        <item x="48"/>
        <item x="47"/>
        <item x="46"/>
        <item x="51"/>
        <item x="52"/>
        <item x="55"/>
        <item x="26"/>
        <item x="53"/>
        <item x="45"/>
        <item x="10"/>
        <item x="54"/>
        <item x="8"/>
        <item x="31"/>
        <item x="17"/>
        <item x="16"/>
        <item x="44"/>
        <item x="33"/>
        <item x="18"/>
        <item x="56"/>
        <item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165" outline="0" showAll="0" defaultSubtotal="0"/>
  </pivotFields>
  <rowFields count="1">
    <field x="2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</colItems>
  <pageFields count="1">
    <pageField fld="1" hier="-1"/>
  </pageFields>
  <dataFields count="34">
    <dataField name="Total Chargers" fld="7" baseField="2" baseItem="0"/>
    <dataField name="Sum of 01-01-24" fld="9" baseField="0" baseItem="0" numFmtId="164"/>
    <dataField name="Sum of 02-01-24" fld="10" baseField="2" baseItem="0" numFmtId="164"/>
    <dataField name="Sum of 03-01-24" fld="11" baseField="0" baseItem="0" numFmtId="164"/>
    <dataField name="Sum of 04-01-24" fld="12" baseField="2" baseItem="0" numFmtId="164"/>
    <dataField name="Sum of 05-01-24" fld="13" baseField="2" baseItem="0" numFmtId="164"/>
    <dataField name="Sum of 06-01-24" fld="14" baseField="2" baseItem="0" numFmtId="164"/>
    <dataField name="Sum of 07-01-24" fld="15" baseField="2" baseItem="0" numFmtId="164"/>
    <dataField name="Sum of 08-01-24" fld="16" baseField="2" baseItem="0" numFmtId="164"/>
    <dataField name="Sum of 09-01-24" fld="17" baseField="2" baseItem="0" numFmtId="164"/>
    <dataField name="Sum of 10-01-24" fld="18" baseField="2" baseItem="0" numFmtId="164"/>
    <dataField name="Sum of 11-01-24" fld="19" baseField="2" baseItem="0" numFmtId="164"/>
    <dataField name="Sum of 12-01-24" fld="20" baseField="2" baseItem="0" numFmtId="164"/>
    <dataField name="Sum of 13-01-24" fld="21" baseField="2" baseItem="0" numFmtId="164"/>
    <dataField name="Sum of 14-01-24" fld="22" baseField="2" baseItem="0" numFmtId="164"/>
    <dataField name="Sum of 15-01-24" fld="23" baseField="2" baseItem="0" numFmtId="164"/>
    <dataField name="Sum of 16-01-24" fld="24" baseField="2" baseItem="0" numFmtId="164"/>
    <dataField name="Sum of 17-01-24" fld="25" baseField="2" baseItem="0" numFmtId="164"/>
    <dataField name="Sum of 18-01-24" fld="26" baseField="2" baseItem="0" numFmtId="164"/>
    <dataField name="Sum of 19-01-24" fld="27" baseField="2" baseItem="0" numFmtId="164"/>
    <dataField name="Sum of 20-01-24" fld="28" baseField="2" baseItem="0" numFmtId="164"/>
    <dataField name="Sum of 21-01-24" fld="29" baseField="2" baseItem="0" numFmtId="164"/>
    <dataField name="Sum of 22-01-24" fld="30" baseField="2" baseItem="0" numFmtId="164"/>
    <dataField name="Sum of 23-01-24" fld="31" baseField="2" baseItem="0" numFmtId="164"/>
    <dataField name="Sum of 24-01-24" fld="32" baseField="2" baseItem="0" numFmtId="164"/>
    <dataField name="Sum of 25-01-24" fld="33" baseField="2" baseItem="0" numFmtId="164"/>
    <dataField name="Sum of 26-01-24" fld="34" baseField="2" baseItem="0" numFmtId="164"/>
    <dataField name="Sum of 27-01-24" fld="35" baseField="2" baseItem="0" numFmtId="164"/>
    <dataField name="Sum of 28-01-24" fld="36" baseField="2" baseItem="0" numFmtId="164"/>
    <dataField name="Sum of 29-01-24" fld="37" baseField="2" baseItem="0" numFmtId="164"/>
    <dataField name="Sum of 30-01-24" fld="38" baseField="2" baseItem="0" numFmtId="164"/>
    <dataField name="Sum of 31-01-24" fld="39" baseField="0" baseItem="0"/>
    <dataField name="Sum of Average" fld="40" baseField="0" baseItem="0" numFmtId="164"/>
    <dataField name="Sum of Avg consumption/Charger" fld="41" baseField="0" baseItem="0" numFmtId="164"/>
  </dataFields>
  <formats count="26">
    <format dxfId="592">
      <pivotArea type="all" dataOnly="0" outline="0" fieldPosition="0"/>
    </format>
    <format dxfId="591">
      <pivotArea outline="0" collapsedLevelsAreSubtotals="1" fieldPosition="0"/>
    </format>
    <format dxfId="590">
      <pivotArea field="2" type="button" dataOnly="0" labelOnly="1" outline="0" axis="axisRow" fieldPosition="0"/>
    </format>
    <format dxfId="589">
      <pivotArea dataOnly="0" labelOnly="1" outline="0" fieldPosition="0">
        <references count="1">
          <reference field="2" count="4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</reference>
        </references>
      </pivotArea>
    </format>
    <format dxfId="588">
      <pivotArea dataOnly="0" labelOnly="1" outline="0" fieldPosition="0">
        <references count="1">
          <reference field="2" count="5">
            <x v="48"/>
            <x v="49"/>
            <x v="50"/>
            <x v="51"/>
            <x v="52"/>
          </reference>
        </references>
      </pivotArea>
    </format>
    <format dxfId="587">
      <pivotArea dataOnly="0" labelOnly="1" grandRow="1" outline="0" fieldPosition="0"/>
    </format>
    <format dxfId="5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5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84">
      <pivotArea outline="0" fieldPosition="0">
        <references count="1">
          <reference field="4294967294" count="1" selected="0">
            <x v="3"/>
          </reference>
        </references>
      </pivotArea>
    </format>
    <format dxfId="583">
      <pivotArea outline="0" fieldPosition="0">
        <references count="1">
          <reference field="4294967294" count="1" selected="0">
            <x v="4"/>
          </reference>
        </references>
      </pivotArea>
    </format>
    <format dxfId="582">
      <pivotArea outline="0" fieldPosition="0">
        <references count="1">
          <reference field="4294967294" count="3" selected="0">
            <x v="5"/>
            <x v="6"/>
            <x v="7"/>
          </reference>
        </references>
      </pivotArea>
    </format>
    <format dxfId="581">
      <pivotArea outline="0" fieldPosition="0">
        <references count="1">
          <reference field="4294967294" count="1" selected="0">
            <x v="8"/>
          </reference>
        </references>
      </pivotArea>
    </format>
    <format dxfId="580">
      <pivotArea outline="0" fieldPosition="0">
        <references count="1">
          <reference field="4294967294" count="1" selected="0">
            <x v="9"/>
          </reference>
        </references>
      </pivotArea>
    </format>
    <format dxfId="579">
      <pivotArea outline="0" fieldPosition="0">
        <references count="1">
          <reference field="4294967294" count="2" selected="0">
            <x v="10"/>
            <x v="11"/>
          </reference>
        </references>
      </pivotArea>
    </format>
    <format dxfId="578">
      <pivotArea outline="0" fieldPosition="0">
        <references count="1">
          <reference field="4294967294" count="5" selected="0">
            <x v="12"/>
            <x v="13"/>
            <x v="14"/>
            <x v="15"/>
            <x v="16"/>
          </reference>
        </references>
      </pivotArea>
    </format>
    <format dxfId="577">
      <pivotArea outline="0" fieldPosition="0">
        <references count="1">
          <reference field="4294967294" count="1" selected="0">
            <x v="17"/>
          </reference>
        </references>
      </pivotArea>
    </format>
    <format dxfId="576">
      <pivotArea outline="0" fieldPosition="0">
        <references count="1">
          <reference field="4294967294" count="1" selected="0">
            <x v="18"/>
          </reference>
        </references>
      </pivotArea>
    </format>
    <format dxfId="575">
      <pivotArea outline="0" fieldPosition="0">
        <references count="1">
          <reference field="4294967294" count="1" selected="0">
            <x v="19"/>
          </reference>
        </references>
      </pivotArea>
    </format>
    <format dxfId="574">
      <pivotArea outline="0" fieldPosition="0">
        <references count="1">
          <reference field="4294967294" count="2" selected="0">
            <x v="20"/>
            <x v="21"/>
          </reference>
        </references>
      </pivotArea>
    </format>
    <format dxfId="573">
      <pivotArea outline="0" fieldPosition="0">
        <references count="1">
          <reference field="4294967294" count="1" selected="0">
            <x v="22"/>
          </reference>
        </references>
      </pivotArea>
    </format>
    <format dxfId="572">
      <pivotArea outline="0" fieldPosition="0">
        <references count="1">
          <reference field="4294967294" count="1" selected="0">
            <x v="23"/>
          </reference>
        </references>
      </pivotArea>
    </format>
    <format dxfId="571">
      <pivotArea outline="0" fieldPosition="0">
        <references count="1">
          <reference field="4294967294" count="1" selected="0">
            <x v="24"/>
          </reference>
        </references>
      </pivotArea>
    </format>
    <format dxfId="570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569">
      <pivotArea outline="0" fieldPosition="0">
        <references count="1">
          <reference field="4294967294" count="6" selected="0">
            <x v="25"/>
            <x v="26"/>
            <x v="27"/>
            <x v="28"/>
            <x v="32"/>
            <x v="33"/>
          </reference>
        </references>
      </pivotArea>
    </format>
    <format dxfId="568">
      <pivotArea outline="0" fieldPosition="0">
        <references count="1">
          <reference field="4294967294" count="3" selected="0">
            <x v="29"/>
            <x v="32"/>
            <x v="33"/>
          </reference>
        </references>
      </pivotArea>
    </format>
    <format dxfId="567">
      <pivotArea outline="0" fieldPosition="0">
        <references count="1">
          <reference field="4294967294" count="1" selected="0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A000000}" name="PivotTable1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64:AH70" firstHeaderRow="0" firstDataRow="1" firstDataCol="2"/>
  <pivotFields count="42">
    <pivotField compact="0" outline="0" showAll="0"/>
    <pivotField compact="0" outline="0" showAll="0"/>
    <pivotField axis="axisRow" compact="0" outline="0" showAll="0">
      <items count="58">
        <item x="49"/>
        <item x="0"/>
        <item x="1"/>
        <item x="2"/>
        <item x="25"/>
        <item x="24"/>
        <item x="20"/>
        <item x="21"/>
        <item x="3"/>
        <item x="50"/>
        <item x="13"/>
        <item x="34"/>
        <item x="4"/>
        <item x="14"/>
        <item x="30"/>
        <item x="15"/>
        <item x="9"/>
        <item x="39"/>
        <item x="32"/>
        <item x="36"/>
        <item x="37"/>
        <item x="40"/>
        <item x="41"/>
        <item x="6"/>
        <item x="42"/>
        <item x="11"/>
        <item x="12"/>
        <item x="35"/>
        <item x="27"/>
        <item x="38"/>
        <item x="5"/>
        <item x="28"/>
        <item x="22"/>
        <item x="29"/>
        <item x="23"/>
        <item x="43"/>
        <item x="7"/>
        <item x="48"/>
        <item x="47"/>
        <item x="46"/>
        <item x="51"/>
        <item x="52"/>
        <item x="55"/>
        <item x="26"/>
        <item x="53"/>
        <item x="45"/>
        <item x="10"/>
        <item x="54"/>
        <item x="8"/>
        <item x="31"/>
        <item x="17"/>
        <item x="16"/>
        <item x="44"/>
        <item x="33"/>
        <item x="18"/>
        <item x="56"/>
        <item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6">
        <item sd="0" x="1"/>
        <item sd="0" x="3"/>
        <item sd="0" x="2"/>
        <item sd="0" x="0"/>
        <item sd="0" x="4"/>
        <item t="default"/>
      </items>
    </pivotField>
    <pivotField dataField="1" compact="0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2">
    <field x="8"/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dataFields count="32">
    <dataField name="Total Chargers" fld="7" baseField="8" baseItem="0" numFmtId="166"/>
    <dataField name="Sum of 01-01-24" fld="9" baseField="0" baseItem="0"/>
    <dataField name="Sum of 02-01-24" fld="10" baseField="0" baseItem="0"/>
    <dataField name="Sum of 03-01-24" fld="11" baseField="0" baseItem="0"/>
    <dataField name="Sum of 04-01-24" fld="12" baseField="0" baseItem="0"/>
    <dataField name="Sum of 05-01-24" fld="13" baseField="0" baseItem="0"/>
    <dataField name="Sum of 06-01-24" fld="14" baseField="0" baseItem="0"/>
    <dataField name="Sum of 07-01-24" fld="15" baseField="0" baseItem="0"/>
    <dataField name="Sum of 08-01-24" fld="16" baseField="0" baseItem="0"/>
    <dataField name="Sum of 09-01-24" fld="17" baseField="0" baseItem="0"/>
    <dataField name="Sum of 10-01-24" fld="18" baseField="0" baseItem="0"/>
    <dataField name="Sum of 11-01-24" fld="19" baseField="0" baseItem="0"/>
    <dataField name="Sum of 12-01-24" fld="20" baseField="0" baseItem="0"/>
    <dataField name="Sum of 13-01-24" fld="21" baseField="0" baseItem="0"/>
    <dataField name="Sum of 14-01-24" fld="22" baseField="0" baseItem="0"/>
    <dataField name="Sum of 15-01-24" fld="23" baseField="0" baseItem="0"/>
    <dataField name="Sum of 16-01-24" fld="24" baseField="0" baseItem="0"/>
    <dataField name="Sum of 17-01-24" fld="25" baseField="0" baseItem="0"/>
    <dataField name="Sum of 18-01-24" fld="26" baseField="0" baseItem="0"/>
    <dataField name="Sum of 19-01-24" fld="27" baseField="8" baseItem="0"/>
    <dataField name="Sum of 20-01-24" fld="28" baseField="0" baseItem="0"/>
    <dataField name="Sum of 21-01-24" fld="29" baseField="0" baseItem="0"/>
    <dataField name="Sum of 22-01-24" fld="30" baseField="0" baseItem="0"/>
    <dataField name="Sum of 23-01-24" fld="31" baseField="8" baseItem="0"/>
    <dataField name="Sum of 24-01-24" fld="32" baseField="8" baseItem="0"/>
    <dataField name="Sum of 25-01-24" fld="33" baseField="0" baseItem="0"/>
    <dataField name="Sum of 26-01-24" fld="34" baseField="0" baseItem="0"/>
    <dataField name="Sum of 27-01-24" fld="35" baseField="0" baseItem="0"/>
    <dataField name="Sum of 28-01-24" fld="36" baseField="0" baseItem="0"/>
    <dataField name="Sum of 29-01-24" fld="37" baseField="8" baseItem="0"/>
    <dataField name="Sum of 30-01-24" fld="38" baseField="8" baseItem="0"/>
    <dataField name="Sum of 31-01-24" fld="39" baseField="0" baseItem="0"/>
  </dataFields>
  <formats count="13">
    <format dxfId="605">
      <pivotArea type="all" dataOnly="0" outline="0" fieldPosition="0"/>
    </format>
    <format dxfId="604">
      <pivotArea outline="0" collapsedLevelsAreSubtotals="1" fieldPosition="0"/>
    </format>
    <format dxfId="603">
      <pivotArea field="8" type="button" dataOnly="0" labelOnly="1" outline="0" axis="axisRow" fieldPosition="0"/>
    </format>
    <format dxfId="602">
      <pivotArea dataOnly="0" labelOnly="1" fieldPosition="0">
        <references count="1">
          <reference field="8" count="0"/>
        </references>
      </pivotArea>
    </format>
    <format dxfId="601">
      <pivotArea dataOnly="0" labelOnly="1" grandRow="1" outline="0" fieldPosition="0"/>
    </format>
    <format dxfId="60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99">
      <pivotArea type="all" dataOnly="0" outline="0" fieldPosition="0"/>
    </format>
    <format dxfId="598">
      <pivotArea outline="0" collapsedLevelsAreSubtotals="1" fieldPosition="0"/>
    </format>
    <format dxfId="597">
      <pivotArea field="8" type="button" dataOnly="0" labelOnly="1" outline="0" axis="axisRow" fieldPosition="0"/>
    </format>
    <format dxfId="596">
      <pivotArea dataOnly="0" labelOnly="1" fieldPosition="0">
        <references count="1">
          <reference field="8" count="0"/>
        </references>
      </pivotArea>
    </format>
    <format dxfId="595">
      <pivotArea dataOnly="0" labelOnly="1" grandRow="1" outline="0" fieldPosition="0"/>
    </format>
    <format dxfId="594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9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C000000}" name="PivotTable3" cacheId="30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9">
  <location ref="A3:K35" firstHeaderRow="1" firstDataRow="2" firstDataCol="1"/>
  <pivotFields count="42">
    <pivotField showAll="0"/>
    <pivotField axis="axisCol" showAll="0">
      <items count="10">
        <item x="5"/>
        <item x="6"/>
        <item x="3"/>
        <item x="0"/>
        <item x="4"/>
        <item x="7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165" showAll="0" defaultSubtota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31">
    <dataField name="Sum of 01-01-24" fld="9" baseField="1" baseItem="0"/>
    <dataField name="Sum of 02-01-24" fld="10" baseField="1" baseItem="0"/>
    <dataField name="Sum of 03-01-24" fld="11" baseField="0" baseItem="0"/>
    <dataField name="Sum of 04-01-24" fld="12" baseField="0" baseItem="0"/>
    <dataField name="Sum of 05-01-24" fld="13" baseField="0" baseItem="0"/>
    <dataField name="Sum of 06-01-24" fld="14" baseField="0" baseItem="0"/>
    <dataField name="Sum of 07-01-24" fld="15" baseField="0" baseItem="0"/>
    <dataField name="Sum of 08-01-24" fld="16" baseField="0" baseItem="0"/>
    <dataField name="Sum of 09-01-24" fld="17" baseField="0" baseItem="0"/>
    <dataField name="Sum of 10-01-24" fld="18" baseField="0" baseItem="0"/>
    <dataField name="Sum of 11-01-24" fld="19" baseField="0" baseItem="0"/>
    <dataField name="Sum of 12-01-24" fld="20" baseField="0" baseItem="0"/>
    <dataField name="Sum of 13-01-24" fld="21" baseField="0" baseItem="0"/>
    <dataField name="Sum of 14-01-24" fld="22" baseField="0" baseItem="0"/>
    <dataField name="Sum of 15-01-24" fld="23" baseField="0" baseItem="0"/>
    <dataField name="Sum of 16-01-24" fld="24" baseField="0" baseItem="0"/>
    <dataField name="Sum of 17-01-24" fld="25" baseField="0" baseItem="0"/>
    <dataField name="Sum of 18-01-24" fld="26" baseField="0" baseItem="0"/>
    <dataField name="Sum of 19-01-24" fld="27" baseField="1" baseItem="0"/>
    <dataField name="Sum of 20-01-24" fld="28" baseField="0" baseItem="0"/>
    <dataField name="Sum of 21-01-24" fld="29" baseField="0" baseItem="0"/>
    <dataField name="Sum of 22-01-24" fld="30" baseField="0" baseItem="0"/>
    <dataField name="Sum of 23-01-24" fld="31" baseField="0" baseItem="0"/>
    <dataField name="Sum of 24-01-24" fld="32" baseField="0" baseItem="0"/>
    <dataField name="Sum of 25-01-24" fld="33" baseField="0" baseItem="0"/>
    <dataField name="Sum of 26-01-24" fld="34" baseField="0" baseItem="0"/>
    <dataField name="Sum of 27-01-24" fld="35" baseField="0" baseItem="0"/>
    <dataField name="Sum of 28-01-24" fld="36" baseField="0" baseItem="0"/>
    <dataField name="Sum of 29-01-24" fld="37" baseField="0" baseItem="0"/>
    <dataField name="Sum of 30-01-24" fld="38" baseField="0" baseItem="0"/>
    <dataField name="Sum of 31-01-24" fld="39" baseField="0" baseItem="0"/>
  </dataFields>
  <formats count="10">
    <format dxfId="566">
      <pivotArea outline="0" collapsedLevelsAreSubtotals="1" fieldPosition="0"/>
    </format>
    <format dxfId="565">
      <pivotArea field="-2" type="button" dataOnly="0" labelOnly="1" outline="0" axis="axisRow" fieldPosition="0"/>
    </format>
    <format dxfId="5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63">
      <pivotArea dataOnly="0" labelOnly="1" fieldPosition="0">
        <references count="1">
          <reference field="1" count="0"/>
        </references>
      </pivotArea>
    </format>
    <format dxfId="562">
      <pivotArea dataOnly="0" labelOnly="1" grandCol="1" outline="0" fieldPosition="0"/>
    </format>
    <format dxfId="561">
      <pivotArea outline="0" collapsedLevelsAreSubtotals="1" fieldPosition="0"/>
    </format>
    <format dxfId="560">
      <pivotArea dataOnly="0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59">
      <pivotArea dataOnly="0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58">
      <pivotArea outline="0" collapsedLevelsAreSubtotals="1" fieldPosition="0">
        <references count="1">
          <reference field="1" count="2" selected="0">
            <x v="0"/>
            <x v="1"/>
          </reference>
        </references>
      </pivotArea>
    </format>
    <format dxfId="557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1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9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9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9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9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9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D000000}" name="PivotTable6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69:C75" firstHeaderRow="1" firstDataRow="1" firstDataCol="2"/>
  <pivotFields count="40">
    <pivotField compact="0" outline="0" showAll="0"/>
    <pivotField compact="0" outline="0" showAll="0"/>
    <pivotField axis="axisRow" compact="0" outline="0" showAll="0">
      <items count="64">
        <item x="24"/>
        <item x="18"/>
        <item x="39"/>
        <item x="37"/>
        <item x="38"/>
        <item x="58"/>
        <item x="53"/>
        <item x="52"/>
        <item x="51"/>
        <item x="14"/>
        <item x="19"/>
        <item x="57"/>
        <item x="59"/>
        <item x="17"/>
        <item x="30"/>
        <item x="15"/>
        <item x="42"/>
        <item x="31"/>
        <item x="0"/>
        <item x="1"/>
        <item x="2"/>
        <item x="20"/>
        <item x="23"/>
        <item x="43"/>
        <item x="32"/>
        <item m="1" x="62"/>
        <item x="41"/>
        <item x="34"/>
        <item x="21"/>
        <item x="22"/>
        <item x="6"/>
        <item x="26"/>
        <item x="3"/>
        <item x="7"/>
        <item x="28"/>
        <item x="46"/>
        <item x="50"/>
        <item x="40"/>
        <item x="47"/>
        <item x="48"/>
        <item x="8"/>
        <item x="27"/>
        <item x="44"/>
        <item x="16"/>
        <item x="33"/>
        <item x="56"/>
        <item x="55"/>
        <item x="35"/>
        <item x="60"/>
        <item x="61"/>
        <item x="9"/>
        <item x="11"/>
        <item x="36"/>
        <item x="5"/>
        <item x="49"/>
        <item x="4"/>
        <item x="29"/>
        <item x="13"/>
        <item x="12"/>
        <item x="45"/>
        <item x="10"/>
        <item x="25"/>
        <item x="5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6">
        <item sd="0" x="1"/>
        <item sd="0" x="3"/>
        <item sd="0" x="2"/>
        <item sd="0" x="0"/>
        <item sd="0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</pivotFields>
  <rowFields count="2">
    <field x="8"/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o. of Chargers" fld="7" baseField="0" baseItem="0"/>
  </dataFields>
  <formats count="5">
    <format dxfId="539">
      <pivotArea type="all" dataOnly="0" outline="0" fieldPosition="0"/>
    </format>
    <format dxfId="538">
      <pivotArea outline="0" collapsedLevelsAreSubtotals="1" fieldPosition="0"/>
    </format>
    <format dxfId="537">
      <pivotArea field="8" type="button" dataOnly="0" labelOnly="1" outline="0" axis="axisRow" fieldPosition="0"/>
    </format>
    <format dxfId="536">
      <pivotArea dataOnly="0" labelOnly="1" fieldPosition="0">
        <references count="1">
          <reference field="8" count="0"/>
        </references>
      </pivotArea>
    </format>
    <format dxfId="5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E000000}" name="PivotTable5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4:D67" firstHeaderRow="0" firstDataRow="1" firstDataCol="1" rowPageCount="2" colPageCount="1"/>
  <pivotFields count="40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1"/>
        <item x="2"/>
        <item x="4"/>
        <item t="default"/>
      </items>
    </pivotField>
    <pivotField axis="axisRow" compact="0" outline="0" showAll="0">
      <items count="64">
        <item x="24"/>
        <item x="18"/>
        <item x="39"/>
        <item x="37"/>
        <item x="38"/>
        <item x="58"/>
        <item x="53"/>
        <item x="52"/>
        <item x="51"/>
        <item x="14"/>
        <item x="19"/>
        <item x="57"/>
        <item x="59"/>
        <item x="17"/>
        <item x="30"/>
        <item x="15"/>
        <item x="42"/>
        <item x="31"/>
        <item x="0"/>
        <item x="1"/>
        <item x="2"/>
        <item x="20"/>
        <item x="23"/>
        <item x="43"/>
        <item x="32"/>
        <item m="1" x="62"/>
        <item x="41"/>
        <item x="34"/>
        <item x="21"/>
        <item x="22"/>
        <item x="6"/>
        <item x="26"/>
        <item x="3"/>
        <item x="7"/>
        <item x="28"/>
        <item x="46"/>
        <item x="50"/>
        <item x="40"/>
        <item x="47"/>
        <item x="48"/>
        <item x="8"/>
        <item x="27"/>
        <item x="44"/>
        <item x="16"/>
        <item x="33"/>
        <item x="56"/>
        <item x="55"/>
        <item x="35"/>
        <item x="60"/>
        <item x="61"/>
        <item x="9"/>
        <item x="11"/>
        <item x="36"/>
        <item x="5"/>
        <item x="49"/>
        <item x="4"/>
        <item x="29"/>
        <item x="13"/>
        <item x="12"/>
        <item x="45"/>
        <item x="10"/>
        <item x="25"/>
        <item x="5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dataField="1" compact="0" outline="0" showAll="0"/>
    <pivotField dataField="1" compact="0" outline="0" showAll="0"/>
  </pivotFields>
  <rowFields count="1">
    <field x="2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8" hier="-1"/>
  </pageFields>
  <dataFields count="3">
    <dataField name="Sum of No. of Chargers" fld="7" baseField="0" baseItem="0"/>
    <dataField name="Sum of Average" fld="38" baseField="2" baseItem="0" numFmtId="164"/>
    <dataField name="Sum of Avg consumption/Charger" fld="39" baseField="2" baseItem="0" numFmtId="164"/>
  </dataFields>
  <formats count="17">
    <format dxfId="556">
      <pivotArea type="all" dataOnly="0" outline="0" fieldPosition="0"/>
    </format>
    <format dxfId="555">
      <pivotArea outline="0" collapsedLevelsAreSubtotals="1" fieldPosition="0"/>
    </format>
    <format dxfId="554">
      <pivotArea field="2" type="button" dataOnly="0" labelOnly="1" outline="0" axis="axisRow" fieldPosition="0"/>
    </format>
    <format dxfId="553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52">
      <pivotArea dataOnly="0" labelOnly="1" outline="0" fieldPosition="0">
        <references count="1">
          <reference field="2" count="9">
            <x v="51"/>
            <x v="52"/>
            <x v="53"/>
            <x v="54"/>
            <x v="55"/>
            <x v="56"/>
            <x v="57"/>
            <x v="58"/>
            <x v="59"/>
          </reference>
        </references>
      </pivotArea>
    </format>
    <format dxfId="551">
      <pivotArea dataOnly="0" labelOnly="1" grandRow="1" outline="0" fieldPosition="0"/>
    </format>
    <format dxfId="55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49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8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7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5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4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3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2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0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F000000}" name="PivotTable4" cacheId="135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7">
  <location ref="A3:M4" firstHeaderRow="1" firstDataRow="2" firstDataCol="0"/>
  <pivotFields count="40">
    <pivotField showAll="0"/>
    <pivotField axis="axisCol" showAll="0">
      <items count="13">
        <item x="10"/>
        <item x="5"/>
        <item x="11"/>
        <item x="9"/>
        <item x="3"/>
        <item x="0"/>
        <item x="7"/>
        <item x="6"/>
        <item x="8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165" showAll="0"/>
  </pivotFields>
  <rowItems count="1">
    <i/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formats count="4">
    <format dxfId="534">
      <pivotArea outline="0" collapsedLevelsAreSubtotals="1" fieldPosition="0"/>
    </format>
    <format dxfId="533">
      <pivotArea field="-2" type="button" dataOnly="0" labelOnly="1" outline="0" axis="axisRow" fieldPosition="0"/>
    </format>
    <format dxfId="532">
      <pivotArea dataOnly="0" labelOnly="1" fieldPosition="0">
        <references count="1">
          <reference field="1" count="0"/>
        </references>
      </pivotArea>
    </format>
    <format dxfId="53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10000000}" name="PivotTable3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4:D72" firstHeaderRow="0" firstDataRow="1" firstDataCol="1" rowPageCount="2" colPageCount="1"/>
  <pivotFields count="42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68">
        <item x="24"/>
        <item x="41"/>
        <item x="39"/>
        <item x="40"/>
        <item x="63"/>
        <item x="58"/>
        <item x="57"/>
        <item x="56"/>
        <item x="55"/>
        <item x="16"/>
        <item x="19"/>
        <item x="62"/>
        <item x="64"/>
        <item x="32"/>
        <item x="17"/>
        <item x="44"/>
        <item x="33"/>
        <item x="0"/>
        <item x="1"/>
        <item x="2"/>
        <item x="20"/>
        <item x="23"/>
        <item x="45"/>
        <item x="34"/>
        <item x="43"/>
        <item x="7"/>
        <item x="36"/>
        <item x="21"/>
        <item x="22"/>
        <item x="6"/>
        <item x="26"/>
        <item x="3"/>
        <item x="8"/>
        <item x="28"/>
        <item x="48"/>
        <item x="53"/>
        <item x="42"/>
        <item x="49"/>
        <item x="50"/>
        <item x="9"/>
        <item x="27"/>
        <item x="46"/>
        <item x="18"/>
        <item x="35"/>
        <item x="61"/>
        <item x="60"/>
        <item x="37"/>
        <item x="65"/>
        <item x="66"/>
        <item x="10"/>
        <item x="11"/>
        <item x="12"/>
        <item x="38"/>
        <item x="5"/>
        <item x="51"/>
        <item x="30"/>
        <item x="13"/>
        <item x="4"/>
        <item x="25"/>
        <item x="29"/>
        <item x="15"/>
        <item x="14"/>
        <item x="47"/>
        <item x="54"/>
        <item x="59"/>
        <item x="52"/>
        <item x="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7">
        <item x="1"/>
        <item x="2"/>
        <item x="3"/>
        <item x="0"/>
        <item x="4"/>
        <item m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dataField="1" compact="0" numFmtId="2" outline="0" showAll="0"/>
    <pivotField dataField="1" compact="0" numFmtId="165" outline="0" showAll="0"/>
  </pivotFields>
  <rowFields count="1">
    <field x="2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8" hier="-1"/>
  </pageFields>
  <dataFields count="3">
    <dataField name="Sum of No. of Chargers" fld="7" baseField="0" baseItem="0"/>
    <dataField name="Sum of Average" fld="40" baseField="0" baseItem="0" numFmtId="164"/>
    <dataField name="Sum of Avg consumption/Charger" fld="41" baseField="0" baseItem="0" numFmtId="164"/>
  </dataFields>
  <formats count="21">
    <format dxfId="524">
      <pivotArea type="all" dataOnly="0" outline="0" fieldPosition="0"/>
    </format>
    <format dxfId="523">
      <pivotArea outline="0" collapsedLevelsAreSubtotals="1" fieldPosition="0"/>
    </format>
    <format dxfId="522">
      <pivotArea field="2" type="button" dataOnly="0" labelOnly="1" outline="0" axis="axisRow" fieldPosition="0"/>
    </format>
    <format dxfId="521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0">
      <pivotArea dataOnly="0" labelOnly="1" outline="0" fieldPosition="0">
        <references count="1">
          <reference field="2" count="1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519">
      <pivotArea dataOnly="0" labelOnly="1" grandRow="1" outline="0" fieldPosition="0"/>
    </format>
    <format dxfId="5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17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16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15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1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13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1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11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10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0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08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07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06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0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04">
      <pivotArea outline="0" fieldPosition="0">
        <references count="2">
          <reference field="4294967294" count="2" selected="0">
            <x v="1"/>
            <x v="2"/>
          </reference>
          <reference field="2" count="6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11000000}" name="PivotTable4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88:B94" firstHeaderRow="1" firstDataRow="1" firstDataCol="2"/>
  <pivotFields count="4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8">
        <item x="24"/>
        <item x="41"/>
        <item x="39"/>
        <item x="40"/>
        <item x="63"/>
        <item x="58"/>
        <item x="57"/>
        <item x="56"/>
        <item x="55"/>
        <item x="16"/>
        <item x="19"/>
        <item x="62"/>
        <item x="64"/>
        <item x="32"/>
        <item x="17"/>
        <item x="44"/>
        <item x="33"/>
        <item x="0"/>
        <item x="1"/>
        <item x="2"/>
        <item x="20"/>
        <item x="23"/>
        <item x="45"/>
        <item x="34"/>
        <item x="43"/>
        <item x="7"/>
        <item x="36"/>
        <item x="21"/>
        <item x="22"/>
        <item x="6"/>
        <item x="26"/>
        <item x="3"/>
        <item x="8"/>
        <item x="28"/>
        <item x="48"/>
        <item x="53"/>
        <item x="42"/>
        <item x="49"/>
        <item x="50"/>
        <item x="9"/>
        <item x="27"/>
        <item x="46"/>
        <item x="18"/>
        <item x="35"/>
        <item x="61"/>
        <item x="60"/>
        <item x="37"/>
        <item x="65"/>
        <item x="66"/>
        <item x="10"/>
        <item x="11"/>
        <item x="12"/>
        <item x="38"/>
        <item x="5"/>
        <item x="51"/>
        <item x="30"/>
        <item x="13"/>
        <item x="4"/>
        <item x="25"/>
        <item x="29"/>
        <item x="15"/>
        <item x="14"/>
        <item x="47"/>
        <item x="54"/>
        <item x="59"/>
        <item x="52"/>
        <item x="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sd="0" x="1"/>
        <item sd="0" x="2"/>
        <item sd="0" x="3"/>
        <item sd="0" x="0"/>
        <item sd="0" x="4"/>
        <item sd="0" m="1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formats count="6">
    <format dxfId="530">
      <pivotArea type="all" dataOnly="0" outline="0" fieldPosition="0"/>
    </format>
    <format dxfId="529">
      <pivotArea outline="0" collapsedLevelsAreSubtotals="1" fieldPosition="0"/>
    </format>
    <format dxfId="528">
      <pivotArea field="8" type="button" dataOnly="0" labelOnly="1" outline="0" axis="axisRow" fieldPosition="0"/>
    </format>
    <format dxfId="527">
      <pivotArea field="2" type="button" dataOnly="0" labelOnly="1" outline="0" axis="axisRow" fieldPosition="1"/>
    </format>
    <format dxfId="526">
      <pivotArea dataOnly="0" labelOnly="1" outline="0" fieldPosition="0">
        <references count="1">
          <reference field="8" count="0"/>
        </references>
      </pivotArea>
    </format>
    <format dxfId="5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12000000}" name="PivotTable7" cacheId="12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5">
  <location ref="A2:M3" firstHeaderRow="1" firstDataRow="2" firstDataCol="0"/>
  <pivotFields count="42">
    <pivotField showAll="0"/>
    <pivotField axis="axisCol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numFmtId="165" showAll="0"/>
  </pivotFields>
  <rowItems count="1">
    <i/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formats count="4">
    <format dxfId="503">
      <pivotArea outline="0" collapsedLevelsAreSubtotals="1" fieldPosition="0"/>
    </format>
    <format dxfId="502">
      <pivotArea field="-2" type="button" dataOnly="0" labelOnly="1" outline="0" axis="axisRow" fieldPosition="0"/>
    </format>
    <format dxfId="501">
      <pivotArea dataOnly="0" labelOnly="1" fieldPosition="0">
        <references count="1">
          <reference field="1" count="0"/>
        </references>
      </pivotArea>
    </format>
    <format dxfId="50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14000000}" name="PivotTable2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98:AF102" firstHeaderRow="0" firstDataRow="1" firstDataCol="2" rowPageCount="1" colPageCount="1"/>
  <pivotFields count="41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76">
        <item x="29"/>
        <item x="46"/>
        <item x="44"/>
        <item x="45"/>
        <item x="71"/>
        <item x="60"/>
        <item x="66"/>
        <item x="64"/>
        <item x="63"/>
        <item x="65"/>
        <item x="62"/>
        <item x="61"/>
        <item x="22"/>
        <item x="70"/>
        <item x="72"/>
        <item x="37"/>
        <item x="23"/>
        <item x="49"/>
        <item x="38"/>
        <item x="0"/>
        <item x="1"/>
        <item x="2"/>
        <item x="25"/>
        <item x="28"/>
        <item x="50"/>
        <item x="39"/>
        <item x="48"/>
        <item x="7"/>
        <item x="41"/>
        <item x="26"/>
        <item x="27"/>
        <item x="6"/>
        <item x="31"/>
        <item x="3"/>
        <item x="8"/>
        <item x="33"/>
        <item x="54"/>
        <item x="59"/>
        <item x="47"/>
        <item x="55"/>
        <item x="56"/>
        <item x="9"/>
        <item x="32"/>
        <item x="52"/>
        <item x="24"/>
        <item x="40"/>
        <item x="69"/>
        <item x="68"/>
        <item x="42"/>
        <item x="73"/>
        <item x="74"/>
        <item x="10"/>
        <item x="11"/>
        <item x="36"/>
        <item x="12"/>
        <item x="43"/>
        <item x="20"/>
        <item x="5"/>
        <item x="57"/>
        <item x="19"/>
        <item x="13"/>
        <item x="35"/>
        <item x="58"/>
        <item x="15"/>
        <item x="14"/>
        <item x="4"/>
        <item x="21"/>
        <item x="30"/>
        <item x="34"/>
        <item x="17"/>
        <item x="16"/>
        <item x="18"/>
        <item x="53"/>
        <item x="51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sd="0" x="1"/>
        <item sd="0" x="0"/>
        <item sd="0" x="2"/>
        <item m="1" x="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2">
    <field x="8"/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pageFields count="1">
    <pageField fld="1" hier="-1"/>
  </pageFields>
  <dataFields count="30">
    <dataField name="Sum of 01-04-24" fld="9" baseField="8" baseItem="0"/>
    <dataField name="Sum of 02-04-24" fld="10" baseField="8" baseItem="0"/>
    <dataField name="Sum of 03-04-24" fld="11" baseField="8" baseItem="0"/>
    <dataField name="Sum of 04-04-24" fld="12" baseField="8" baseItem="0"/>
    <dataField name="Sum of 05-04-24" fld="13" baseField="8" baseItem="0"/>
    <dataField name="Sum of 06-04-24" fld="14" baseField="8" baseItem="0"/>
    <dataField name="Sum of 07-04-24" fld="15" baseField="8" baseItem="0"/>
    <dataField name="Sum of 08-04-24" fld="16" baseField="8" baseItem="0"/>
    <dataField name="Sum of 09-04-24" fld="17" baseField="8" baseItem="0"/>
    <dataField name="Sum of 10-04-24" fld="18" baseField="8" baseItem="0"/>
    <dataField name="Sum of 11-04-24" fld="19" baseField="8" baseItem="0"/>
    <dataField name="Sum of 12-04-24" fld="20" baseField="8" baseItem="0"/>
    <dataField name="Sum of 13-04-24" fld="21" baseField="8" baseItem="0"/>
    <dataField name="Sum of 14-04-24" fld="22" baseField="8" baseItem="0"/>
    <dataField name="Sum of 15-04-24" fld="23" baseField="8" baseItem="0"/>
    <dataField name="Sum of 16-04-24" fld="24" baseField="8" baseItem="0"/>
    <dataField name="Sum of 17-04-24" fld="25" baseField="0" baseItem="0"/>
    <dataField name="Sum of 18-04-24" fld="26" baseField="0" baseItem="0"/>
    <dataField name="Sum of 19-04-24" fld="27" baseField="0" baseItem="0"/>
    <dataField name="Sum of 20-04-24" fld="28" baseField="0" baseItem="0"/>
    <dataField name="Sum of 21-04-24" fld="29" baseField="0" baseItem="0"/>
    <dataField name="Sum of 22-04-24" fld="30" baseField="0" baseItem="0"/>
    <dataField name="Sum of 23-04-24" fld="31" baseField="0" baseItem="0"/>
    <dataField name="Sum of 24-04-24" fld="32" baseField="8" baseItem="0"/>
    <dataField name="Sum of 25-04-24" fld="33" baseField="8" baseItem="0"/>
    <dataField name="Sum of 26-04-24" fld="34" baseField="0" baseItem="0"/>
    <dataField name="Sum of 27-04-24" fld="35" baseField="0" baseItem="0"/>
    <dataField name="Sum of 28-04-24" fld="36" baseField="0" baseItem="0"/>
    <dataField name="Sum of 29-04-24" fld="37" baseField="0" baseItem="0"/>
    <dataField name="Sum of 30-04-24" fld="38" baseField="0" baseItem="0"/>
  </dataFields>
  <formats count="6">
    <format dxfId="484">
      <pivotArea type="all" dataOnly="0" outline="0" fieldPosition="0"/>
    </format>
    <format dxfId="483">
      <pivotArea outline="0" collapsedLevelsAreSubtotals="1" fieldPosition="0"/>
    </format>
    <format dxfId="482">
      <pivotArea field="8" type="button" dataOnly="0" labelOnly="1" outline="0" axis="axisRow" fieldPosition="0"/>
    </format>
    <format dxfId="481">
      <pivotArea dataOnly="0" labelOnly="1" fieldPosition="0">
        <references count="1">
          <reference field="8" count="0"/>
        </references>
      </pivotArea>
    </format>
    <format dxfId="480">
      <pivotArea dataOnly="0" labelOnly="1" grandRow="1" outline="0" fieldPosition="0"/>
    </format>
    <format dxfId="479">
      <pivotArea dataOnly="0" labelOnly="1" outline="0" fieldPosition="0">
        <references count="1">
          <reference field="4294967294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13000000}" name="PivotTable1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4:AH80" firstHeaderRow="0" firstDataRow="1" firstDataCol="1" rowPageCount="2" colPageCount="1"/>
  <pivotFields count="41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76">
        <item x="29"/>
        <item x="46"/>
        <item x="44"/>
        <item x="45"/>
        <item x="71"/>
        <item x="60"/>
        <item x="66"/>
        <item x="64"/>
        <item x="63"/>
        <item x="65"/>
        <item x="62"/>
        <item x="61"/>
        <item x="22"/>
        <item x="70"/>
        <item x="72"/>
        <item x="37"/>
        <item x="23"/>
        <item x="49"/>
        <item x="38"/>
        <item x="0"/>
        <item x="1"/>
        <item x="2"/>
        <item x="25"/>
        <item x="28"/>
        <item x="50"/>
        <item x="39"/>
        <item x="48"/>
        <item x="7"/>
        <item x="41"/>
        <item x="26"/>
        <item x="27"/>
        <item x="6"/>
        <item x="31"/>
        <item x="3"/>
        <item x="8"/>
        <item x="33"/>
        <item x="54"/>
        <item x="59"/>
        <item x="47"/>
        <item x="55"/>
        <item x="56"/>
        <item x="9"/>
        <item x="32"/>
        <item x="52"/>
        <item x="24"/>
        <item x="40"/>
        <item x="69"/>
        <item x="68"/>
        <item x="42"/>
        <item x="73"/>
        <item x="74"/>
        <item x="10"/>
        <item x="11"/>
        <item x="36"/>
        <item x="12"/>
        <item x="43"/>
        <item x="20"/>
        <item x="5"/>
        <item x="57"/>
        <item x="19"/>
        <item x="13"/>
        <item x="35"/>
        <item x="58"/>
        <item x="15"/>
        <item x="14"/>
        <item x="4"/>
        <item x="21"/>
        <item x="30"/>
        <item x="34"/>
        <item x="17"/>
        <item x="16"/>
        <item x="18"/>
        <item x="53"/>
        <item x="51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5">
        <item x="1"/>
        <item x="0"/>
        <item x="2"/>
        <item m="1" x="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165" outline="0" showAll="0"/>
  </pivotFields>
  <rowFields count="1">
    <field x="2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</colItems>
  <pageFields count="2">
    <pageField fld="1" hier="-1"/>
    <pageField fld="8" hier="-1"/>
  </pageFields>
  <dataFields count="33">
    <dataField name="Sum of No. of Chargers" fld="7" baseField="0" baseItem="0"/>
    <dataField name="Sum of 01-04-24" fld="9" baseField="2" baseItem="0" numFmtId="164"/>
    <dataField name="Sum of 02-04-24" fld="10" baseField="2" baseItem="0" numFmtId="164"/>
    <dataField name="Sum of 03-04-24" fld="11" baseField="2" baseItem="0" numFmtId="164"/>
    <dataField name="Sum of 04-04-24" fld="12" baseField="2" baseItem="0" numFmtId="164"/>
    <dataField name="Sum of 05-04-24" fld="13" baseField="2" baseItem="0" numFmtId="164"/>
    <dataField name="Sum of 06-04-24" fld="14" baseField="2" baseItem="0" numFmtId="164"/>
    <dataField name="Sum of 07-04-24" fld="15" baseField="2" baseItem="0" numFmtId="164"/>
    <dataField name="Sum of 08-04-24" fld="16" baseField="2" baseItem="0" numFmtId="164"/>
    <dataField name="Sum of 09-04-24" fld="17" baseField="2" baseItem="0" numFmtId="164"/>
    <dataField name="Sum of 10-04-24" fld="18" baseField="2" baseItem="0" numFmtId="164"/>
    <dataField name="Sum of 11-04-24" fld="19" baseField="2" baseItem="0" numFmtId="164"/>
    <dataField name="Sum of 12-04-24" fld="20" baseField="2" baseItem="0" numFmtId="164"/>
    <dataField name="Sum of 13-04-24" fld="21" baseField="2" baseItem="0" numFmtId="164"/>
    <dataField name="Sum of 14-04-24" fld="22" baseField="2" baseItem="0" numFmtId="164"/>
    <dataField name="Sum of 15-04-24" fld="23" baseField="2" baseItem="0" numFmtId="164"/>
    <dataField name="Sum of 16-04-24" fld="24" baseField="0" baseItem="0" numFmtId="164"/>
    <dataField name="Sum of 17-04-24" fld="25" baseField="0" baseItem="0" numFmtId="164"/>
    <dataField name="Sum of 18-04-24" fld="26" baseField="0" baseItem="0" numFmtId="164"/>
    <dataField name="Sum of 19-04-24" fld="27" baseField="0" baseItem="0" numFmtId="164"/>
    <dataField name="Sum of 20-04-24" fld="28" baseField="0" baseItem="0" numFmtId="164"/>
    <dataField name="Sum of 21-04-24" fld="29" baseField="0" baseItem="0" numFmtId="164"/>
    <dataField name="Sum of 22-04-24" fld="30" baseField="0" baseItem="0" numFmtId="164"/>
    <dataField name="Sum of 23-04-24" fld="31" baseField="2" baseItem="0" numFmtId="164"/>
    <dataField name="Sum of 24-04-24" fld="32" baseField="2" baseItem="0" numFmtId="164"/>
    <dataField name="Sum of 25-04-24" fld="33" baseField="2" baseItem="0" numFmtId="164"/>
    <dataField name="Sum of 26-04-24" fld="34" baseField="0" baseItem="0" numFmtId="164"/>
    <dataField name="Sum of 27-04-24" fld="35" baseField="0" baseItem="0" numFmtId="164"/>
    <dataField name="Sum of 28-04-24" fld="36" baseField="0" baseItem="0" numFmtId="164"/>
    <dataField name="Sum of 29-04-24" fld="37" baseField="0" baseItem="0"/>
    <dataField name="Sum of 30-04-24" fld="38" baseField="2" baseItem="0" numFmtId="164"/>
    <dataField name="Sum of Average" fld="39" baseField="0" baseItem="0" numFmtId="164"/>
    <dataField name="Sum of Avg consumption/Charger" fld="40" baseField="0" baseItem="0" numFmtId="164"/>
  </dataFields>
  <formats count="15">
    <format dxfId="499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498">
      <pivotArea type="all" dataOnly="0" outline="0" fieldPosition="0"/>
    </format>
    <format dxfId="497">
      <pivotArea outline="0" collapsedLevelsAreSubtotals="1" fieldPosition="0"/>
    </format>
    <format dxfId="496">
      <pivotArea field="2" type="button" dataOnly="0" labelOnly="1" outline="0" axis="axisRow" fieldPosition="0"/>
    </format>
    <format dxfId="495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4">
      <pivotArea dataOnly="0" labelOnly="1" fieldPosition="0">
        <references count="1">
          <reference field="2" count="2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493">
      <pivotArea dataOnly="0" labelOnly="1" grandRow="1" outline="0" fieldPosition="0"/>
    </format>
    <format dxfId="492">
      <pivotArea dataOnly="0" labelOnly="1" outline="0" fieldPosition="0">
        <references count="1">
          <reference field="4294967294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31"/>
            <x v="32"/>
          </reference>
        </references>
      </pivotArea>
    </format>
    <format dxfId="491">
      <pivotArea outline="0" collapsedLevelsAreSubtotals="1" fieldPosition="0">
        <references count="1">
          <reference field="4294967294" count="24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31"/>
            <x v="32"/>
          </reference>
        </references>
      </pivotArea>
    </format>
    <format dxfId="490">
      <pivotArea outline="0" fieldPosition="0">
        <references count="1">
          <reference field="4294967294" count="1" selected="0">
            <x v="23"/>
          </reference>
        </references>
      </pivotArea>
    </format>
    <format dxfId="489">
      <pivotArea outline="0" fieldPosition="0">
        <references count="1">
          <reference field="4294967294" count="1" selected="0">
            <x v="24"/>
          </reference>
        </references>
      </pivotArea>
    </format>
    <format dxfId="488">
      <pivotArea outline="0" fieldPosition="0">
        <references count="1">
          <reference field="4294967294" count="6" selected="0">
            <x v="25"/>
            <x v="26"/>
            <x v="27"/>
            <x v="28"/>
            <x v="31"/>
            <x v="32"/>
          </reference>
        </references>
      </pivotArea>
    </format>
    <format dxfId="487">
      <pivotArea outline="0" fieldPosition="0">
        <references count="2">
          <reference field="4294967294" count="1" selected="0">
            <x v="29"/>
          </reference>
          <reference field="2" count="0" selected="0"/>
        </references>
      </pivotArea>
    </format>
    <format dxfId="486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485">
      <pivotArea outline="0" fieldPosition="0">
        <references count="1">
          <reference field="4294967294" count="1" selected="0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15000000}" name="PivotTable5" cacheId="33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14">
  <location ref="A1:N32" firstHeaderRow="1" firstDataRow="2" firstDataCol="1"/>
  <pivotFields count="41">
    <pivotField compact="0" outline="0" showAll="0"/>
    <pivotField axis="axisCol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1">
    <field x="-2"/>
  </rowFields>
  <row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0">
    <dataField name="Sum of 01-04-24" fld="9" baseField="1" baseItem="0"/>
    <dataField name="Sum of 02-04-24" fld="10" baseField="1" baseItem="0"/>
    <dataField name="Sum of 03-04-24" fld="11" baseField="1" baseItem="0"/>
    <dataField name="Sum of 04-04-24" fld="12" baseField="1" baseItem="0"/>
    <dataField name="Sum of 05-04-24" fld="13" baseField="1" baseItem="0"/>
    <dataField name="Sum of 06-04-24" fld="14" baseField="1" baseItem="0"/>
    <dataField name="Sum of 07-04-24" fld="15" baseField="1" baseItem="0"/>
    <dataField name="Sum of 08-04-24" fld="16" baseField="1" baseItem="0"/>
    <dataField name="Sum of 09-04-24" fld="17" baseField="1" baseItem="0"/>
    <dataField name="Sum of 10-04-24" fld="18" baseField="1" baseItem="0"/>
    <dataField name="Sum of 11-04-24" fld="19" baseField="1" baseItem="0"/>
    <dataField name="Sum of 12-04-24" fld="20" baseField="1" baseItem="0"/>
    <dataField name="Sum of 13-04-24" fld="21" baseField="1" baseItem="0"/>
    <dataField name="Sum of 14-04-24" fld="22" baseField="1" baseItem="0"/>
    <dataField name="Sum of 15-04-24" fld="23" baseField="1" baseItem="0"/>
    <dataField name="Sum of 16-04-24" fld="24" baseField="0" baseItem="0"/>
    <dataField name="Sum of 17-04-24" fld="25" baseField="0" baseItem="0"/>
    <dataField name="Sum of 18-04-24" fld="26" baseField="0" baseItem="0"/>
    <dataField name="Sum of 19-04-24" fld="27" baseField="0" baseItem="0"/>
    <dataField name="Sum of 20-04-24" fld="28" baseField="0" baseItem="0"/>
    <dataField name="Sum of 21-04-24" fld="29" baseField="0" baseItem="0"/>
    <dataField name="Sum of 22-04-24" fld="30" baseField="0" baseItem="0"/>
    <dataField name="Sum of 23-04-24" fld="31" baseField="0" baseItem="0"/>
    <dataField name="Sum of 24-04-24" fld="32" baseField="0" baseItem="0"/>
    <dataField name="Sum of 25-04-24" fld="33" baseField="0" baseItem="0"/>
    <dataField name="Sum of 26-04-24" fld="34" baseField="0" baseItem="0"/>
    <dataField name="Sum of 27-04-24" fld="35" baseField="0" baseItem="0"/>
    <dataField name="Sum of 28-04-24" fld="36" baseField="0" baseItem="0"/>
    <dataField name="Sum of 29-04-24" fld="37" baseField="0" baseItem="0"/>
    <dataField name="Sum of 30-04-24" fld="38" baseField="0" baseItem="0"/>
  </dataFields>
  <formats count="5">
    <format dxfId="478">
      <pivotArea outline="0" collapsedLevelsAreSubtotals="1" fieldPosition="0"/>
    </format>
    <format dxfId="477">
      <pivotArea field="-2" type="button" dataOnly="0" labelOnly="1" outline="0" axis="axisRow" fieldPosition="0"/>
    </format>
    <format dxfId="476">
      <pivotArea dataOnly="0" labelOnly="1" outline="0" fieldPosition="0">
        <references count="1">
          <reference field="4294967294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475">
      <pivotArea dataOnly="0" labelOnly="1" outline="0" fieldPosition="0">
        <references count="1">
          <reference field="1" count="0"/>
        </references>
      </pivotArea>
    </format>
    <format dxfId="474">
      <pivotArea dataOnly="0" labelOnly="1" grandCol="1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21"/>
          </reference>
          <reference field="1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21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17000000}" name="PivotTable1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4:AI77" firstHeaderRow="0" firstDataRow="1" firstDataCol="1" rowPageCount="2" colPageCount="1"/>
  <pivotFields count="42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73">
        <item x="31"/>
        <item x="48"/>
        <item x="46"/>
        <item x="47"/>
        <item x="62"/>
        <item x="68"/>
        <item x="66"/>
        <item x="65"/>
        <item x="67"/>
        <item x="64"/>
        <item x="63"/>
        <item x="24"/>
        <item x="39"/>
        <item x="25"/>
        <item x="51"/>
        <item x="40"/>
        <item x="0"/>
        <item x="1"/>
        <item x="2"/>
        <item x="27"/>
        <item x="30"/>
        <item x="52"/>
        <item x="41"/>
        <item x="50"/>
        <item x="7"/>
        <item x="43"/>
        <item x="28"/>
        <item x="29"/>
        <item x="6"/>
        <item x="33"/>
        <item x="69"/>
        <item x="3"/>
        <item x="8"/>
        <item x="35"/>
        <item x="56"/>
        <item x="61"/>
        <item x="49"/>
        <item x="57"/>
        <item x="58"/>
        <item x="9"/>
        <item x="34"/>
        <item x="54"/>
        <item x="26"/>
        <item x="53"/>
        <item x="42"/>
        <item x="71"/>
        <item x="70"/>
        <item x="44"/>
        <item x="10"/>
        <item x="11"/>
        <item x="38"/>
        <item x="12"/>
        <item x="45"/>
        <item x="20"/>
        <item x="5"/>
        <item x="59"/>
        <item x="19"/>
        <item x="13"/>
        <item x="37"/>
        <item x="60"/>
        <item x="15"/>
        <item x="14"/>
        <item x="4"/>
        <item x="21"/>
        <item x="32"/>
        <item x="36"/>
        <item x="17"/>
        <item x="16"/>
        <item x="18"/>
        <item x="55"/>
        <item x="22"/>
        <item x="2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0"/>
        <item x="2"/>
        <item t="default"/>
      </items>
    </pivotField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165" outline="0" showAll="0"/>
  </pivotFields>
  <rowFields count="1">
    <field x="2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</colItems>
  <pageFields count="2">
    <pageField fld="1" hier="-1"/>
    <pageField fld="8" hier="-1"/>
  </pageFields>
  <dataFields count="34">
    <dataField name="Sum of No. of Chargers" fld="7" baseField="0" baseItem="0"/>
    <dataField name="Sum of 01-05-2024" fld="9" baseField="0" baseItem="0" numFmtId="164"/>
    <dataField name="Sum of 02-05-2024" fld="10" baseField="0" baseItem="0" numFmtId="164"/>
    <dataField name="Sum of 03-05-2024" fld="11" baseField="0" baseItem="0" numFmtId="164"/>
    <dataField name="Sum of 04-05-2024" fld="12" baseField="0" baseItem="0" numFmtId="164"/>
    <dataField name="Sum of 05-05-2024" fld="13" baseField="0" baseItem="0" numFmtId="164"/>
    <dataField name="Sum of 06-05-2024" fld="14" baseField="0" baseItem="0" numFmtId="164"/>
    <dataField name="Sum of 07-05-2024" fld="15" baseField="0" baseItem="0" numFmtId="164"/>
    <dataField name="Sum of 08-05-2024" fld="16" baseField="2" baseItem="0" numFmtId="164"/>
    <dataField name="Sum of 09-05-2024" fld="17" baseField="2" baseItem="0" numFmtId="164"/>
    <dataField name="Sum of 10-05-2024" fld="18" baseField="2" baseItem="0" numFmtId="164"/>
    <dataField name="Sum of 11-05-2024" fld="19" baseField="2" baseItem="0" numFmtId="164"/>
    <dataField name="Sum of 12-05-2024" fld="20" baseField="2" baseItem="0" numFmtId="164"/>
    <dataField name="Sum of 13-05-2024" fld="21" baseField="2" baseItem="0" numFmtId="164"/>
    <dataField name="Sum of 14-05-2024" fld="22" baseField="2" baseItem="0" numFmtId="164"/>
    <dataField name="Sum of 15-05-2024" fld="23" baseField="2" baseItem="0" numFmtId="164"/>
    <dataField name="Sum of 16-05-2024" fld="24" baseField="2" baseItem="0" numFmtId="164"/>
    <dataField name="Sum of 17-05-2024" fld="25" baseField="2" baseItem="0" numFmtId="164"/>
    <dataField name="Sum of 18-05-2024" fld="26" baseField="2" baseItem="0" numFmtId="164"/>
    <dataField name="Sum of 19-05-2024" fld="27" baseField="2" baseItem="0" numFmtId="164"/>
    <dataField name="Sum of 20-05-2024" fld="28" baseField="2" baseItem="0" numFmtId="164"/>
    <dataField name="Sum of 21-05-2024" fld="29" baseField="2" baseItem="0" numFmtId="164"/>
    <dataField name="Sum of 22-05-2024" fld="30" baseField="2" baseItem="0" numFmtId="164"/>
    <dataField name="Sum of 23-05-2024" fld="31" baseField="2" baseItem="0" numFmtId="164"/>
    <dataField name="Sum of 24-05-2024" fld="32" baseField="2" baseItem="0" numFmtId="164"/>
    <dataField name="Sum of 25-05-2024" fld="33" baseField="2" baseItem="0" numFmtId="164"/>
    <dataField name="Sum of 26-05-2024" fld="34" baseField="2" baseItem="0" numFmtId="164"/>
    <dataField name="Sum of 27-05-2024" fld="35" baseField="2" baseItem="0" numFmtId="164"/>
    <dataField name="Sum of 28-05-2024" fld="36" baseField="2" baseItem="0" numFmtId="164"/>
    <dataField name="Sum of 29-05-2024" fld="37" baseField="2" baseItem="0" numFmtId="164"/>
    <dataField name="Sum of 30-05-2024" fld="38" baseField="2" baseItem="0" numFmtId="164"/>
    <dataField name="Sum of 31-05-2024" fld="39" baseField="2" baseItem="0" numFmtId="164"/>
    <dataField name="Sum of Average" fld="40" baseField="0" baseItem="0" numFmtId="164"/>
    <dataField name="Sum of Avg consumption/Charger" fld="41" baseField="0" baseItem="0" numFmtId="164"/>
  </dataFields>
  <formats count="29">
    <format dxfId="468">
      <pivotArea type="all" dataOnly="0" outline="0" fieldPosition="0"/>
    </format>
    <format dxfId="467">
      <pivotArea outline="0" collapsedLevelsAreSubtotals="1" fieldPosition="0"/>
    </format>
    <format dxfId="466">
      <pivotArea field="2" type="button" dataOnly="0" labelOnly="1" outline="0" axis="axisRow" fieldPosition="0"/>
    </format>
    <format dxfId="465">
      <pivotArea dataOnly="0" labelOnly="1" outline="0" fieldPosition="0">
        <references count="1">
          <reference field="2" count="4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464">
      <pivotArea dataOnly="0" labelOnly="1" outline="0" fieldPosition="0">
        <references count="1">
          <reference field="2" count="23"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</reference>
        </references>
      </pivotArea>
    </format>
    <format dxfId="463">
      <pivotArea dataOnly="0" labelOnly="1" grandRow="1" outline="0" fieldPosition="0"/>
    </format>
    <format dxfId="46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61">
      <pivotArea outline="0" collapsedLevelsAreSubtotals="1" fieldPosition="0">
        <references count="1">
          <reference field="4294967294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460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459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458">
      <pivotArea outline="0" collapsedLevelsAreSubtotals="1" fieldPosition="0">
        <references count="1">
          <reference field="4294967294" count="7" selected="0">
            <x v="9"/>
            <x v="10"/>
            <x v="11"/>
            <x v="12"/>
            <x v="13"/>
            <x v="32"/>
            <x v="33"/>
          </reference>
        </references>
      </pivotArea>
    </format>
    <format dxfId="457">
      <pivotArea dataOnly="0" labelOnly="1" outline="0" fieldPosition="0">
        <references count="1">
          <reference field="4294967294" count="7">
            <x v="9"/>
            <x v="10"/>
            <x v="11"/>
            <x v="12"/>
            <x v="13"/>
            <x v="32"/>
            <x v="33"/>
          </reference>
        </references>
      </pivotArea>
    </format>
    <format dxfId="456">
      <pivotArea outline="0" collapsedLevelsAreSubtotals="1" fieldPosition="0">
        <references count="1">
          <reference field="4294967294" count="1" selected="0">
            <x v="14"/>
          </reference>
        </references>
      </pivotArea>
    </format>
    <format dxfId="455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454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453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452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451">
      <pivotArea outline="0" collapsedLevelsAreSubtotals="1" fieldPosition="0">
        <references count="1">
          <reference field="4294967294" count="4" selected="0">
            <x v="18"/>
            <x v="19"/>
            <x v="32"/>
            <x v="33"/>
          </reference>
        </references>
      </pivotArea>
    </format>
    <format dxfId="450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449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448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447">
      <pivotArea outline="0" collapsedLevelsAreSubtotals="1" fieldPosition="0">
        <references count="1">
          <reference field="4294967294" count="1" selected="0">
            <x v="22"/>
          </reference>
        </references>
      </pivotArea>
    </format>
    <format dxfId="446">
      <pivotArea outline="0" collapsedLevelsAreSubtotals="1" fieldPosition="0">
        <references count="1">
          <reference field="4294967294" count="6" selected="0">
            <x v="23"/>
            <x v="24"/>
            <x v="25"/>
            <x v="26"/>
            <x v="32"/>
            <x v="33"/>
          </reference>
        </references>
      </pivotArea>
    </format>
    <format dxfId="445">
      <pivotArea dataOnly="0" labelOnly="1" outline="0" fieldPosition="0">
        <references count="1">
          <reference field="4294967294" count="6">
            <x v="23"/>
            <x v="24"/>
            <x v="25"/>
            <x v="26"/>
            <x v="32"/>
            <x v="33"/>
          </reference>
        </references>
      </pivotArea>
    </format>
    <format dxfId="444">
      <pivotArea outline="0" collapsedLevelsAreSubtotals="1" fieldPosition="0">
        <references count="1">
          <reference field="4294967294" count="1" selected="0">
            <x v="27"/>
          </reference>
        </references>
      </pivotArea>
    </format>
    <format dxfId="443">
      <pivotArea outline="0" collapsedLevelsAreSubtotals="1" fieldPosition="0">
        <references count="1">
          <reference field="4294967294" count="1" selected="0">
            <x v="28"/>
          </reference>
        </references>
      </pivotArea>
    </format>
    <format dxfId="442">
      <pivotArea outline="0" collapsedLevelsAreSubtotals="1" fieldPosition="0">
        <references count="1">
          <reference field="4294967294" count="4" selected="0">
            <x v="29"/>
            <x v="30"/>
            <x v="32"/>
            <x v="33"/>
          </reference>
        </references>
      </pivotArea>
    </format>
    <format dxfId="441">
      <pivotArea dataOnly="0" labelOnly="1" outline="0" fieldPosition="0">
        <references count="1">
          <reference field="4294967294" count="4">
            <x v="29"/>
            <x v="30"/>
            <x v="32"/>
            <x v="33"/>
          </reference>
        </references>
      </pivotArea>
    </format>
    <format dxfId="440">
      <pivotArea outline="0" collapsedLevelsAreSubtotals="1" fieldPosition="0">
        <references count="1">
          <reference field="4294967294" count="1" selected="0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16000000}" name="PivotTable2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97:AF101" firstHeaderRow="0" firstDataRow="1" firstDataCol="1"/>
  <pivotFields count="42">
    <pivotField compact="0" outline="0" showAll="0"/>
    <pivotField compact="0" outline="0" showAll="0"/>
    <pivotField compact="0" outline="0" showAll="0">
      <items count="73">
        <item x="31"/>
        <item x="48"/>
        <item x="46"/>
        <item x="47"/>
        <item x="62"/>
        <item x="68"/>
        <item x="66"/>
        <item x="65"/>
        <item x="67"/>
        <item x="64"/>
        <item x="63"/>
        <item x="24"/>
        <item x="39"/>
        <item x="25"/>
        <item x="51"/>
        <item x="40"/>
        <item x="0"/>
        <item x="1"/>
        <item x="2"/>
        <item x="27"/>
        <item x="30"/>
        <item x="52"/>
        <item x="41"/>
        <item x="50"/>
        <item x="7"/>
        <item x="43"/>
        <item x="28"/>
        <item x="29"/>
        <item x="6"/>
        <item x="33"/>
        <item x="69"/>
        <item x="3"/>
        <item x="8"/>
        <item x="35"/>
        <item x="56"/>
        <item x="61"/>
        <item x="49"/>
        <item x="57"/>
        <item x="58"/>
        <item x="9"/>
        <item x="34"/>
        <item x="54"/>
        <item x="26"/>
        <item x="53"/>
        <item x="42"/>
        <item x="71"/>
        <item x="70"/>
        <item x="44"/>
        <item x="10"/>
        <item x="11"/>
        <item x="38"/>
        <item x="12"/>
        <item x="45"/>
        <item x="20"/>
        <item x="5"/>
        <item x="59"/>
        <item x="19"/>
        <item x="13"/>
        <item x="37"/>
        <item x="60"/>
        <item x="15"/>
        <item x="14"/>
        <item x="4"/>
        <item x="21"/>
        <item x="22"/>
        <item x="32"/>
        <item x="36"/>
        <item x="17"/>
        <item x="16"/>
        <item x="23"/>
        <item x="18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sd="0" x="1"/>
        <item sd="0" x="0"/>
        <item sd="0" x="2"/>
        <item t="default"/>
      </items>
    </pivotField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05-2024" fld="9" baseField="0" baseItem="0"/>
    <dataField name="Sum of 02-05-2024" fld="10" baseField="0" baseItem="0"/>
    <dataField name="Sum of 03-05-2024" fld="11" baseField="0" baseItem="0"/>
    <dataField name="Sum of 04-05-2024" fld="12" baseField="0" baseItem="0"/>
    <dataField name="Sum of 05-05-2024" fld="13" baseField="0" baseItem="0"/>
    <dataField name="Sum of 06-05-2024" fld="14" baseField="0" baseItem="0"/>
    <dataField name="Sum of 07-05-2024" fld="15" baseField="0" baseItem="0"/>
    <dataField name="Sum of 08-05-2024" fld="16" baseField="8" baseItem="0"/>
    <dataField name="Sum of 09-05-2024" fld="17" baseField="8" baseItem="0"/>
    <dataField name="Sum of 10-05-2024" fld="18" baseField="8" baseItem="0"/>
    <dataField name="Sum of 11-05-2024" fld="19" baseField="8" baseItem="0"/>
    <dataField name="Sum of 12-05-2024" fld="20" baseField="8" baseItem="0"/>
    <dataField name="Sum of 13-05-2024" fld="21" baseField="8" baseItem="0"/>
    <dataField name="Sum of 14-05-2024" fld="22" baseField="0" baseItem="0"/>
    <dataField name="Sum of 15-05-2024" fld="23" baseField="0" baseItem="0"/>
    <dataField name="Sum of 16-05-2024" fld="24" baseField="0" baseItem="0"/>
    <dataField name="Sum of 17-05-2024" fld="25" baseField="8" baseItem="0"/>
    <dataField name="Sum of 18-05-2024" fld="26" baseField="8" baseItem="0"/>
    <dataField name="Sum of 19-05-2024" fld="27" baseField="8" baseItem="0"/>
    <dataField name="Sum of 20-05-2024" fld="28" baseField="8" baseItem="0"/>
    <dataField name="Sum of 21-05-2024" fld="29" baseField="8" baseItem="0"/>
    <dataField name="Sum of 22-05-2024" fld="30" baseField="0" baseItem="0"/>
    <dataField name="Sum of 23-05-2024" fld="31" baseField="8" baseItem="0"/>
    <dataField name="Sum of 24-05-2024" fld="32" baseField="8" baseItem="0"/>
    <dataField name="Sum of 25-05-2024" fld="33" baseField="8" baseItem="0"/>
    <dataField name="Sum of 26-05-2024" fld="34" baseField="8" baseItem="0"/>
    <dataField name="Sum of 27-05-2024" fld="35" baseField="8" baseItem="0"/>
    <dataField name="Sum of 28-05-2024" fld="36" baseField="8" baseItem="0"/>
    <dataField name="Sum of 29-05-2024" fld="37" baseField="8" baseItem="0"/>
    <dataField name="Sum of 30-05-2024" fld="38" baseField="8" baseItem="0"/>
    <dataField name="Sum of 31-05-2024" fld="39" baseField="0" baseItem="0"/>
  </dataFields>
  <formats count="5">
    <format dxfId="473">
      <pivotArea type="all" dataOnly="0" outline="0" fieldPosition="0"/>
    </format>
    <format dxfId="472">
      <pivotArea outline="0" collapsedLevelsAreSubtotals="1" fieldPosition="0"/>
    </format>
    <format dxfId="471">
      <pivotArea dataOnly="0" labelOnly="1" outline="0" fieldPosition="0">
        <references count="1">
          <reference field="8" count="0"/>
        </references>
      </pivotArea>
    </format>
    <format dxfId="470">
      <pivotArea dataOnly="0" labelOnly="1" grandRow="1" outline="0" fieldPosition="0"/>
    </format>
    <format dxfId="46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18000000}" name="PivotTable7" cacheId="34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1">
  <location ref="A3:N35" firstHeaderRow="1" firstDataRow="2" firstDataCol="1"/>
  <pivotFields count="42">
    <pivotField showAll="0"/>
    <pivotField axis="axisCol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2" showAll="0"/>
    <pivotField numFmtId="165"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1">
    <dataField name="Sum of 01-05-2024" fld="9" baseField="0" baseItem="0"/>
    <dataField name="Sum of 02-05-2024" fld="10" baseField="0" baseItem="0"/>
    <dataField name="Sum of 03-05-2024" fld="11" baseField="0" baseItem="0"/>
    <dataField name="Sum of 04-05-2024" fld="12" baseField="0" baseItem="0"/>
    <dataField name="Sum of 05-05-2024" fld="13" baseField="0" baseItem="0"/>
    <dataField name="Sum of 06-05-2024" fld="14" baseField="1" baseItem="0"/>
    <dataField name="Sum of 07-05-2024" fld="15" baseField="1" baseItem="0"/>
    <dataField name="Sum of 08-05-2024" fld="16" baseField="1" baseItem="0"/>
    <dataField name="Sum of 09-05-2024" fld="17" baseField="0" baseItem="0"/>
    <dataField name="Sum of 10-05-2024" fld="18" baseField="0" baseItem="0"/>
    <dataField name="Sum of 11-05-2024" fld="19" baseField="0" baseItem="0"/>
    <dataField name="Sum of 12-05-2024" fld="20" baseField="0" baseItem="0"/>
    <dataField name="Sum of 13-05-2024" fld="21" baseField="0" baseItem="0"/>
    <dataField name="Sum of 14-05-2024" fld="22" baseField="0" baseItem="0"/>
    <dataField name="Sum of 15-05-2024" fld="23" baseField="0" baseItem="0"/>
    <dataField name="Sum of 16-05-2024" fld="24" baseField="0" baseItem="0"/>
    <dataField name="Sum of 17-05-2024" fld="25" baseField="1" baseItem="0"/>
    <dataField name="Sum of 18-05-2024" fld="26" baseField="0" baseItem="0"/>
    <dataField name="Sum of 19-05-2024" fld="27" baseField="0" baseItem="0"/>
    <dataField name="Sum of 20-05-2024" fld="28" baseField="0" baseItem="0"/>
    <dataField name="Sum of 21-05-2024" fld="29" baseField="1" baseItem="0"/>
    <dataField name="Sum of 22-05-2024" fld="30" baseField="0" baseItem="0"/>
    <dataField name="Sum of 23-05-2024" fld="31" baseField="0" baseItem="0"/>
    <dataField name="Sum of 24-05-2024" fld="32" baseField="0" baseItem="0"/>
    <dataField name="Sum of 25-05-2024" fld="33" baseField="0" baseItem="0"/>
    <dataField name="Sum of 26-05-2024" fld="34" baseField="0" baseItem="0"/>
    <dataField name="Sum of 27-05-2024" fld="35" baseField="1" baseItem="0"/>
    <dataField name="Sum of 28-05-2024" fld="36" baseField="0" baseItem="0"/>
    <dataField name="Sum of 29-05-2024" fld="37" baseField="0" baseItem="0"/>
    <dataField name="Sum of 30-05-2024" fld="38" baseField="0" baseItem="0"/>
    <dataField name="Sum of 31-05-2024" fld="39" baseField="0" baseItem="0"/>
  </dataFields>
  <formats count="5">
    <format dxfId="439">
      <pivotArea outline="0" collapsedLevelsAreSubtotals="1" fieldPosition="0"/>
    </format>
    <format dxfId="438">
      <pivotArea field="-2" type="button" dataOnly="0" labelOnly="1" outline="0" axis="axisRow" fieldPosition="0"/>
    </format>
    <format dxfId="4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36">
      <pivotArea dataOnly="0" labelOnly="1" fieldPosition="0">
        <references count="1">
          <reference field="1" count="0"/>
        </references>
      </pivotArea>
    </format>
    <format dxfId="435">
      <pivotArea dataOnly="0" labelOnly="1" grandCol="1" outline="0" fieldPosition="0"/>
    </format>
  </formats>
  <chartFormats count="72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9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9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9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9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9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9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9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1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1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1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1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1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1A000000}" name="PivotTable3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4:AH83" firstHeaderRow="0" firstDataRow="1" firstDataCol="1" rowPageCount="2" colPageCount="1"/>
  <pivotFields count="41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80">
        <item x="32"/>
        <item x="49"/>
        <item x="47"/>
        <item x="48"/>
        <item x="74"/>
        <item x="63"/>
        <item x="69"/>
        <item x="67"/>
        <item x="66"/>
        <item x="68"/>
        <item x="65"/>
        <item x="64"/>
        <item x="25"/>
        <item x="73"/>
        <item x="75"/>
        <item x="26"/>
        <item x="52"/>
        <item x="41"/>
        <item x="0"/>
        <item x="1"/>
        <item x="2"/>
        <item x="28"/>
        <item x="31"/>
        <item x="53"/>
        <item x="42"/>
        <item x="51"/>
        <item x="7"/>
        <item x="44"/>
        <item x="29"/>
        <item x="30"/>
        <item x="6"/>
        <item x="34"/>
        <item x="70"/>
        <item x="3"/>
        <item x="54"/>
        <item x="36"/>
        <item x="57"/>
        <item x="62"/>
        <item x="50"/>
        <item x="58"/>
        <item x="59"/>
        <item x="8"/>
        <item x="35"/>
        <item x="55"/>
        <item x="27"/>
        <item x="43"/>
        <item x="72"/>
        <item x="71"/>
        <item x="45"/>
        <item x="76"/>
        <item x="77"/>
        <item x="9"/>
        <item x="10"/>
        <item x="40"/>
        <item x="11"/>
        <item x="17"/>
        <item x="46"/>
        <item m="1" x="78"/>
        <item x="5"/>
        <item x="60"/>
        <item x="23"/>
        <item x="12"/>
        <item x="39"/>
        <item x="61"/>
        <item x="38"/>
        <item x="14"/>
        <item x="13"/>
        <item x="4"/>
        <item x="19"/>
        <item x="20"/>
        <item x="33"/>
        <item x="22"/>
        <item x="37"/>
        <item x="15"/>
        <item x="21"/>
        <item x="16"/>
        <item x="56"/>
        <item x="24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165" outline="0" showAll="0"/>
  </pivotFields>
  <rowFields count="1">
    <field x="2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</colItems>
  <pageFields count="2">
    <pageField fld="1" hier="-1"/>
    <pageField fld="8" hier="-1"/>
  </pageFields>
  <dataFields count="33">
    <dataField name="Sum of No. of Chargers" fld="7" baseField="0" baseItem="0"/>
    <dataField name="Sum of 01-06-2024" fld="9" baseField="2" baseItem="0" numFmtId="164"/>
    <dataField name="Sum of 02-06-2024" fld="10" baseField="2" baseItem="0" numFmtId="164"/>
    <dataField name="Sum of 03-06-2024" fld="11" baseField="2" baseItem="0" numFmtId="164"/>
    <dataField name="Sum of 04-06-2024" fld="12" baseField="2" baseItem="0" numFmtId="164"/>
    <dataField name="Sum of 05-06-2024" fld="13" baseField="2" baseItem="0" numFmtId="164"/>
    <dataField name="Sum of 06-06-2024" fld="14" baseField="2" baseItem="0" numFmtId="164"/>
    <dataField name="Sum of 07-06-2024" fld="15" baseField="2" baseItem="0" numFmtId="164"/>
    <dataField name="Sum of 08-06-2024" fld="16" baseField="2" baseItem="0" numFmtId="164"/>
    <dataField name="Sum of 09-06-2024" fld="17" baseField="2" baseItem="0" numFmtId="164"/>
    <dataField name="Sum of 10-06-2024" fld="18" baseField="2" baseItem="0" numFmtId="164"/>
    <dataField name="Sum of 11-06-2024" fld="19" baseField="2" baseItem="0" numFmtId="164"/>
    <dataField name="Sum of 12-06-2024" fld="20" baseField="2" baseItem="0" numFmtId="164"/>
    <dataField name="Sum of 13-06-2024" fld="21" baseField="2" baseItem="0" numFmtId="164"/>
    <dataField name="Sum of 14-06-2024" fld="22" baseField="2" baseItem="0" numFmtId="164"/>
    <dataField name="Sum of 15-06-2024" fld="23" baseField="2" baseItem="0" numFmtId="164"/>
    <dataField name="Sum of 16-06-2024" fld="24" baseField="2" baseItem="0" numFmtId="164"/>
    <dataField name="Sum of 17-06-2024" fld="25" baseField="2" baseItem="0" numFmtId="164"/>
    <dataField name="Sum of 18-06-2024" fld="26" baseField="2" baseItem="0" numFmtId="164"/>
    <dataField name="Sum of 19-06-2024" fld="27" baseField="2" baseItem="0" numFmtId="164"/>
    <dataField name="Sum of 20-06-2024" fld="28" baseField="2" baseItem="0" numFmtId="164"/>
    <dataField name="Sum of 21-06-2024" fld="29" baseField="2" baseItem="0" numFmtId="164"/>
    <dataField name="Sum of 22-06-2024" fld="30" baseField="2" baseItem="0" numFmtId="164"/>
    <dataField name="Sum of 23-06-2024" fld="31" baseField="2" baseItem="0" numFmtId="164"/>
    <dataField name="Sum of 24-06-2024" fld="32" baseField="2" baseItem="0" numFmtId="164"/>
    <dataField name="Sum of 25-06-2024" fld="33" baseField="2" baseItem="0" numFmtId="164"/>
    <dataField name="Sum of 26-06-2024" fld="34" baseField="2" baseItem="0" numFmtId="164"/>
    <dataField name="Sum of 27-06-2024" fld="35" baseField="2" baseItem="0" numFmtId="164"/>
    <dataField name="Sum of 28-06-2024" fld="36" baseField="2" baseItem="0" numFmtId="164"/>
    <dataField name="Sum of 29-06-2024" fld="37" baseField="2" baseItem="0" numFmtId="164"/>
    <dataField name="Sum of 30-06-2024" fld="38" baseField="2" baseItem="0" numFmtId="164"/>
    <dataField name="Sum of Average" fld="39" baseField="0" baseItem="0" numFmtId="164"/>
    <dataField name="Sum of Avg consumption/Charger" fld="40" baseField="0" baseItem="0" numFmtId="164"/>
  </dataFields>
  <formats count="16">
    <format dxfId="428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2" type="button" dataOnly="0" labelOnly="1" outline="0" axis="axisRow" fieldPosition="0"/>
    </format>
    <format dxfId="42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3">
      <pivotArea dataOnly="0" labelOnly="1" fieldPosition="0">
        <references count="1">
          <reference field="2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422">
      <pivotArea dataOnly="0" labelOnly="1" grandRow="1" outline="0" fieldPosition="0"/>
    </format>
    <format dxfId="421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31"/>
            <x v="32"/>
          </reference>
        </references>
      </pivotArea>
    </format>
    <format dxfId="4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9">
      <pivotArea outline="0" collapsedLevelsAreSubtotals="1" fieldPosition="0">
        <references count="1">
          <reference field="4294967294" count="25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31"/>
            <x v="32"/>
          </reference>
        </references>
      </pivotArea>
    </format>
    <format dxfId="418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417">
      <pivotArea outline="0" collapsedLevelsAreSubtotals="1" fieldPosition="0">
        <references count="1">
          <reference field="4294967294" count="1" selected="0">
            <x v="25"/>
          </reference>
        </references>
      </pivotArea>
    </format>
    <format dxfId="416">
      <pivotArea outline="0" collapsedLevelsAreSubtotals="1" fieldPosition="0">
        <references count="1">
          <reference field="4294967294" count="1" selected="0">
            <x v="26"/>
          </reference>
        </references>
      </pivotArea>
    </format>
    <format dxfId="415">
      <pivotArea outline="0" collapsedLevelsAreSubtotals="1" fieldPosition="0">
        <references count="1">
          <reference field="4294967294" count="1" selected="0">
            <x v="27"/>
          </reference>
        </references>
      </pivotArea>
    </format>
    <format dxfId="414">
      <pivotArea outline="0" collapsedLevelsAreSubtotals="1" fieldPosition="0">
        <references count="1">
          <reference field="4294967294" count="1" selected="0">
            <x v="28"/>
          </reference>
        </references>
      </pivotArea>
    </format>
    <format dxfId="413">
      <pivotArea outline="0" collapsedLevelsAreSubtotals="1" fieldPosition="0">
        <references count="1">
          <reference field="4294967294" count="4" selected="0">
            <x v="29"/>
            <x v="30"/>
            <x v="31"/>
            <x v="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19000000}" name="PivotTable4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102:AF106" firstHeaderRow="0" firstDataRow="1" firstDataCol="2"/>
  <pivotFields count="41">
    <pivotField compact="0" outline="0" showAll="0"/>
    <pivotField compact="0" outline="0" showAll="0"/>
    <pivotField axis="axisRow" compact="0" outline="0" showAll="0">
      <items count="80">
        <item x="32"/>
        <item x="49"/>
        <item x="47"/>
        <item x="48"/>
        <item x="74"/>
        <item x="63"/>
        <item x="69"/>
        <item x="67"/>
        <item x="66"/>
        <item x="68"/>
        <item x="65"/>
        <item x="64"/>
        <item x="25"/>
        <item x="73"/>
        <item x="75"/>
        <item x="26"/>
        <item x="52"/>
        <item x="41"/>
        <item x="0"/>
        <item x="1"/>
        <item x="2"/>
        <item x="28"/>
        <item x="31"/>
        <item x="53"/>
        <item x="42"/>
        <item x="51"/>
        <item x="7"/>
        <item x="44"/>
        <item x="29"/>
        <item x="30"/>
        <item x="6"/>
        <item x="34"/>
        <item x="70"/>
        <item x="3"/>
        <item x="54"/>
        <item x="36"/>
        <item x="57"/>
        <item x="62"/>
        <item x="50"/>
        <item x="58"/>
        <item x="59"/>
        <item x="8"/>
        <item x="35"/>
        <item x="55"/>
        <item x="27"/>
        <item x="43"/>
        <item x="72"/>
        <item x="71"/>
        <item x="45"/>
        <item x="76"/>
        <item x="77"/>
        <item x="9"/>
        <item x="10"/>
        <item x="40"/>
        <item x="11"/>
        <item x="17"/>
        <item x="46"/>
        <item m="1" x="78"/>
        <item x="5"/>
        <item x="60"/>
        <item x="23"/>
        <item x="12"/>
        <item x="39"/>
        <item x="61"/>
        <item x="38"/>
        <item x="14"/>
        <item x="13"/>
        <item x="4"/>
        <item x="19"/>
        <item x="20"/>
        <item x="33"/>
        <item x="22"/>
        <item x="37"/>
        <item x="15"/>
        <item x="21"/>
        <item x="16"/>
        <item x="56"/>
        <item x="24"/>
        <item x="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sd="0" x="1"/>
        <item sd="0" x="0"/>
        <item sd="0"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2">
    <field x="8"/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dataFields count="30">
    <dataField name="Sum of 01-06-2024" fld="9" baseField="8" baseItem="0"/>
    <dataField name="Sum of 02-06-2024" fld="10" baseField="8" baseItem="0"/>
    <dataField name="Sum of 03-06-2024" fld="11" baseField="8" baseItem="0"/>
    <dataField name="Sum of 04-06-2024" fld="12" baseField="8" baseItem="0"/>
    <dataField name="Sum of 05-06-2024" fld="13" baseField="8" baseItem="0"/>
    <dataField name="Sum of 06-06-2024" fld="14" baseField="8" baseItem="0"/>
    <dataField name="Sum of 07-06-2024" fld="15" baseField="8" baseItem="0"/>
    <dataField name="Sum of 08-06-2024" fld="16" baseField="8" baseItem="0"/>
    <dataField name="Sum of 09-06-2024" fld="17" baseField="8" baseItem="0"/>
    <dataField name="Sum of 10-06-2024" fld="18" baseField="8" baseItem="0"/>
    <dataField name="Sum of 11-06-2024" fld="19" baseField="8" baseItem="0"/>
    <dataField name="Sum of 12-06-2024" fld="20" baseField="8" baseItem="0"/>
    <dataField name="Sum of 13-06-2024" fld="21" baseField="8" baseItem="0"/>
    <dataField name="Sum of 14-06-2024" fld="22" baseField="8" baseItem="0"/>
    <dataField name="Sum of 15-06-2024" fld="23" baseField="8" baseItem="0"/>
    <dataField name="Sum of 16-06-2024" fld="24" baseField="8" baseItem="0"/>
    <dataField name="Sum of 17-06-2024" fld="25" baseField="8" baseItem="0"/>
    <dataField name="Sum of 18-06-2024" fld="26" baseField="8" baseItem="0"/>
    <dataField name="Sum of 19-06-2024" fld="27" baseField="8" baseItem="0"/>
    <dataField name="Sum of 20-06-2024" fld="28" baseField="8" baseItem="0"/>
    <dataField name="Sum of 21-06-2024" fld="29" baseField="8" baseItem="0"/>
    <dataField name="Sum of 22-06-2024" fld="30" baseField="8" baseItem="0"/>
    <dataField name="Sum of 23-06-2024" fld="31" baseField="8" baseItem="0"/>
    <dataField name="Sum of 24-06-2024" fld="32" baseField="8" baseItem="0"/>
    <dataField name="Sum of 25-06-2024" fld="33" baseField="0" baseItem="0"/>
    <dataField name="Sum of 26-06-2024" fld="34" baseField="0" baseItem="0"/>
    <dataField name="Sum of 27-06-2024" fld="35" baseField="8" baseItem="0"/>
    <dataField name="Sum of 28-06-2024" fld="36" baseField="0" baseItem="0"/>
    <dataField name="Sum of 29-06-2024" fld="37" baseField="0" baseItem="0"/>
    <dataField name="Sum of 30-06-2024" fld="38" baseField="0" baseItem="0"/>
  </dataFields>
  <formats count="6">
    <format dxfId="434">
      <pivotArea type="all" dataOnly="0" outline="0" fieldPosition="0"/>
    </format>
    <format dxfId="433">
      <pivotArea outline="0" collapsedLevelsAreSubtotals="1" fieldPosition="0"/>
    </format>
    <format dxfId="432">
      <pivotArea dataOnly="0" labelOnly="1" outline="0" fieldPosition="0">
        <references count="1">
          <reference field="8" count="0"/>
        </references>
      </pivotArea>
    </format>
    <format dxfId="431">
      <pivotArea dataOnly="0" labelOnly="1" grandRow="1" outline="0" fieldPosition="0"/>
    </format>
    <format dxfId="430">
      <pivotArea dataOnly="0" labelOnly="1" outline="0" fieldPosition="0">
        <references count="1">
          <reference field="4294967294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4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1B000000}" name="PivotTable9" cacheId="35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4">
  <location ref="A2:N33" firstHeaderRow="1" firstDataRow="2" firstDataCol="1"/>
  <pivotFields count="41">
    <pivotField showAll="0"/>
    <pivotField axis="axisCol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165" showAll="0"/>
  </pivotFields>
  <rowFields count="1">
    <field x="-2"/>
  </rowFields>
  <row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0">
    <dataField name="Sum of 01-06-2024" fld="9" baseField="1" baseItem="0"/>
    <dataField name="Sum of 02-06-2024" fld="10" baseField="1" baseItem="0"/>
    <dataField name="Sum of 03-06-2024" fld="11" baseField="1" baseItem="0"/>
    <dataField name="Sum of 04-06-2024" fld="12" baseField="1" baseItem="0"/>
    <dataField name="Sum of 05-06-2024" fld="13" baseField="1" baseItem="0"/>
    <dataField name="Sum of 06-06-2024" fld="14" baseField="1" baseItem="0"/>
    <dataField name="Sum of 07-06-2024" fld="15" baseField="1" baseItem="0"/>
    <dataField name="Sum of 08-06-2024" fld="16" baseField="1" baseItem="0"/>
    <dataField name="Sum of 09-06-2024" fld="17" baseField="1" baseItem="0"/>
    <dataField name="Sum of 10-06-2024" fld="18" baseField="1" baseItem="0"/>
    <dataField name="Sum of 11-06-2024" fld="19" baseField="1" baseItem="0"/>
    <dataField name="Sum of 12-06-2024" fld="20" baseField="1" baseItem="0"/>
    <dataField name="Sum of 13-06-2024" fld="21" baseField="1" baseItem="0"/>
    <dataField name="Sum of 14-06-2024" fld="22" baseField="1" baseItem="0"/>
    <dataField name="Sum of 15-06-2024" fld="23" baseField="1" baseItem="0"/>
    <dataField name="Sum of 16-06-2024" fld="24" baseField="1" baseItem="0"/>
    <dataField name="Sum of 17-06-2024" fld="25" baseField="0" baseItem="0"/>
    <dataField name="Sum of 18-06-2024" fld="26" baseField="0" baseItem="0"/>
    <dataField name="Sum of 19-06-2024" fld="27" baseField="0" baseItem="0"/>
    <dataField name="Sum of 20-06-2024" fld="28" baseField="0" baseItem="0"/>
    <dataField name="Sum of 21-06-2024" fld="29" baseField="1" baseItem="0"/>
    <dataField name="Sum of 22-06-2024" fld="30" baseField="1" baseItem="0"/>
    <dataField name="Sum of 23-06-2024" fld="31" baseField="1" baseItem="0"/>
    <dataField name="Sum of 24-06-2024" fld="32" baseField="1" baseItem="0"/>
    <dataField name="Sum of 25-06-2024" fld="33" baseField="1" baseItem="0"/>
    <dataField name="Sum of 26-06-2024" fld="34" baseField="0" baseItem="0"/>
    <dataField name="Sum of 27-06-2024" fld="35" baseField="0" baseItem="0"/>
    <dataField name="Sum of 28-06-2024" fld="36" baseField="0" baseItem="0"/>
    <dataField name="Sum of 29-06-2024" fld="37" baseField="0" baseItem="0"/>
    <dataField name="Sum of 30-06-2024" fld="38" baseField="0" baseItem="0"/>
  </dataFields>
  <formats count="7">
    <format dxfId="412">
      <pivotArea outline="0" collapsedLevelsAreSubtotals="1" fieldPosition="0"/>
    </format>
    <format dxfId="411">
      <pivotArea field="-2" type="button" dataOnly="0" labelOnly="1" outline="0" axis="axisRow" fieldPosition="0"/>
    </format>
    <format dxfId="410">
      <pivotArea dataOnly="0" labelOnly="1" outline="0" fieldPosition="0">
        <references count="1">
          <reference field="4294967294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09">
      <pivotArea dataOnly="0" labelOnly="1" fieldPosition="0">
        <references count="1">
          <reference field="1" count="0"/>
        </references>
      </pivotArea>
    </format>
    <format dxfId="408">
      <pivotArea dataOnly="0" labelOnly="1" grandCol="1" outline="0" fieldPosition="0"/>
    </format>
    <format dxfId="407">
      <pivotArea collapsedLevelsAreSubtotals="1" fieldPosition="0">
        <references count="1">
          <reference field="4294967294" count="1">
            <x v="24"/>
          </reference>
        </references>
      </pivotArea>
    </format>
    <format dxfId="406">
      <pivotArea outline="0" collapsedLevelsAreSubtotals="1" fieldPosition="0"/>
    </format>
  </format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7"/>
          </reference>
          <reference field="1" count="1" selected="0">
            <x v="0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27">
      <pivotArea type="data" outline="0" fieldPosition="0">
        <references count="2">
          <reference field="4294967294" count="1" selected="0">
            <x v="17"/>
          </reference>
          <reference field="1" count="1" selected="0">
            <x v="0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1D000000}" name="PivotTable7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4:AI87" firstHeaderRow="0" firstDataRow="1" firstDataCol="1" rowPageCount="2" colPageCount="1"/>
  <pivotFields count="42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83">
        <item x="51"/>
        <item x="49"/>
        <item x="50"/>
        <item x="78"/>
        <item x="65"/>
        <item x="71"/>
        <item x="69"/>
        <item x="68"/>
        <item x="70"/>
        <item x="67"/>
        <item x="66"/>
        <item x="27"/>
        <item x="77"/>
        <item x="79"/>
        <item x="28"/>
        <item x="54"/>
        <item x="43"/>
        <item x="0"/>
        <item x="1"/>
        <item x="2"/>
        <item x="34"/>
        <item x="30"/>
        <item x="33"/>
        <item x="55"/>
        <item x="25"/>
        <item x="44"/>
        <item x="18"/>
        <item x="74"/>
        <item x="53"/>
        <item x="7"/>
        <item x="46"/>
        <item x="31"/>
        <item x="32"/>
        <item x="6"/>
        <item x="36"/>
        <item x="72"/>
        <item x="3"/>
        <item x="56"/>
        <item x="59"/>
        <item x="64"/>
        <item x="52"/>
        <item x="60"/>
        <item x="61"/>
        <item x="8"/>
        <item x="37"/>
        <item x="45"/>
        <item x="57"/>
        <item x="29"/>
        <item x="76"/>
        <item x="75"/>
        <item x="47"/>
        <item x="80"/>
        <item x="81"/>
        <item x="9"/>
        <item x="10"/>
        <item x="42"/>
        <item x="11"/>
        <item x="17"/>
        <item x="48"/>
        <item x="5"/>
        <item x="62"/>
        <item x="24"/>
        <item x="23"/>
        <item x="12"/>
        <item x="41"/>
        <item x="63"/>
        <item x="40"/>
        <item x="14"/>
        <item x="13"/>
        <item x="4"/>
        <item x="19"/>
        <item x="20"/>
        <item x="38"/>
        <item x="35"/>
        <item x="22"/>
        <item x="39"/>
        <item x="15"/>
        <item x="26"/>
        <item x="21"/>
        <item x="73"/>
        <item x="16"/>
        <item x="5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165" outline="0" showAll="0"/>
  </pivotFields>
  <rowFields count="1">
    <field x="2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</colItems>
  <pageFields count="2">
    <pageField fld="1" hier="-1"/>
    <pageField fld="8" hier="-1"/>
  </pageFields>
  <dataFields count="34">
    <dataField name="Sum of No. of Chargers" fld="7" baseField="0" baseItem="0"/>
    <dataField name="Sum of 01-07-2024" fld="9" baseField="2" baseItem="0" numFmtId="164"/>
    <dataField name="Sum of 02-07-2024" fld="10" baseField="2" baseItem="0" numFmtId="164"/>
    <dataField name="Sum of 03-07-2024" fld="11" baseField="2" baseItem="0" numFmtId="164"/>
    <dataField name="Sum of 04-07-2024" fld="12" baseField="2" baseItem="0" numFmtId="164"/>
    <dataField name="Sum of 05-07-2024" fld="13" baseField="2" baseItem="0" numFmtId="164"/>
    <dataField name="Sum of 06-07-2024" fld="14" baseField="2" baseItem="0" numFmtId="164"/>
    <dataField name="Sum of 07-07-2024" fld="15" baseField="2" baseItem="0" numFmtId="164"/>
    <dataField name="Sum of 08-07-2024" fld="16" baseField="2" baseItem="0" numFmtId="164"/>
    <dataField name="Sum of 09-07-2024" fld="17" baseField="2" baseItem="0" numFmtId="164"/>
    <dataField name="Sum of 10-07-2024" fld="18" baseField="2" baseItem="0" numFmtId="164"/>
    <dataField name="Sum of 11-07-2024" fld="19" baseField="2" baseItem="0" numFmtId="164"/>
    <dataField name="Sum of 12-07-2024" fld="20" baseField="2" baseItem="0" numFmtId="164"/>
    <dataField name="Sum of 13-07-2024" fld="21" baseField="2" baseItem="0" numFmtId="164"/>
    <dataField name="Sum of 14-07-2024" fld="22" baseField="2" baseItem="0" numFmtId="164"/>
    <dataField name="Sum of 15-07-2024" fld="23" baseField="2" baseItem="0" numFmtId="164"/>
    <dataField name="Sum of 16-07-2024" fld="24" baseField="2" baseItem="0" numFmtId="164"/>
    <dataField name="Sum of 17-07-2024" fld="25" baseField="0" baseItem="0" numFmtId="164"/>
    <dataField name="Sum of 18-07-2024" fld="26" baseField="0" baseItem="0" numFmtId="164"/>
    <dataField name="Sum of 19-07-2024" fld="27" baseField="0" baseItem="0" numFmtId="164"/>
    <dataField name="Sum of 20-07-2024" fld="28" baseField="0" baseItem="0" numFmtId="164"/>
    <dataField name="Sum of 21-07-2024" fld="29" baseField="0" baseItem="0" numFmtId="164"/>
    <dataField name="Sum of 22-07-2024" fld="30" baseField="0" baseItem="0" numFmtId="164"/>
    <dataField name="Sum of 23-07-2024" fld="31" baseField="0" baseItem="0" numFmtId="164"/>
    <dataField name="Sum of 24-07-2024" fld="32" baseField="0" baseItem="0" numFmtId="164"/>
    <dataField name="Sum of 25-07-2024" fld="33" baseField="2" baseItem="0" numFmtId="164"/>
    <dataField name="Sum of 26-07-2024" fld="34" baseField="2" baseItem="0" numFmtId="164"/>
    <dataField name="Sum of 27-07-2024" fld="35" baseField="2" baseItem="0" numFmtId="164"/>
    <dataField name="Sum of 28-07-2024" fld="36" baseField="2" baseItem="0" numFmtId="164"/>
    <dataField name="Sum of 29-07-2024" fld="37" baseField="2" baseItem="0" numFmtId="164"/>
    <dataField name="Sum of 30-07-2024" fld="38" baseField="2" baseItem="0" numFmtId="164"/>
    <dataField name="Sum of 31-07-2024" fld="39" baseField="2" baseItem="0" numFmtId="164"/>
    <dataField name="Sum of Average" fld="40" baseField="0" baseItem="0" numFmtId="164"/>
    <dataField name="Sum of Avg consumption/Charger" fld="41" baseField="0" baseItem="0" numFmtId="164"/>
  </dataFields>
  <formats count="15">
    <format dxfId="396">
      <pivotArea type="all" dataOnly="0" outline="0" fieldPosition="0"/>
    </format>
    <format dxfId="395">
      <pivotArea outline="0" collapsedLevelsAreSubtotals="1" fieldPosition="0"/>
    </format>
    <format dxfId="394">
      <pivotArea field="2" type="button" dataOnly="0" labelOnly="1" outline="0" axis="axisRow" fieldPosition="0"/>
    </format>
    <format dxfId="393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2">
      <pivotArea dataOnly="0" labelOnly="1" outline="0" fieldPosition="0">
        <references count="1">
          <reference field="2" count="3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391">
      <pivotArea dataOnly="0" labelOnly="1" grandRow="1" outline="0" fieldPosition="0"/>
    </format>
    <format dxfId="39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89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388">
      <pivotArea outline="0" collapsedLevelsAreSubtotals="1" fieldPosition="0">
        <references count="1">
          <reference field="4294967294" count="26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32"/>
            <x v="33"/>
          </reference>
        </references>
      </pivotArea>
    </format>
    <format dxfId="387">
      <pivotArea outline="0" collapsedLevelsAreSubtotals="1" fieldPosition="0">
        <references count="1">
          <reference field="4294967294" count="1" selected="0">
            <x v="25"/>
          </reference>
        </references>
      </pivotArea>
    </format>
    <format dxfId="386">
      <pivotArea outline="0" collapsedLevelsAreSubtotals="1" fieldPosition="0">
        <references count="1">
          <reference field="4294967294" count="1" selected="0">
            <x v="26"/>
          </reference>
        </references>
      </pivotArea>
    </format>
    <format dxfId="385">
      <pivotArea outline="0" collapsedLevelsAreSubtotals="1" fieldPosition="0">
        <references count="1">
          <reference field="4294967294" count="4" selected="0">
            <x v="27"/>
            <x v="28"/>
            <x v="32"/>
            <x v="33"/>
          </reference>
        </references>
      </pivotArea>
    </format>
    <format dxfId="384">
      <pivotArea outline="0" collapsedLevelsAreSubtotals="1" fieldPosition="0">
        <references count="1">
          <reference field="4294967294" count="1" selected="0">
            <x v="29"/>
          </reference>
        </references>
      </pivotArea>
    </format>
    <format dxfId="383">
      <pivotArea outline="0" collapsedLevelsAreSubtotals="1" fieldPosition="0">
        <references count="1">
          <reference field="4294967294" count="1" selected="0">
            <x v="30"/>
          </reference>
        </references>
      </pivotArea>
    </format>
    <format dxfId="382">
      <pivotArea outline="0" collapsedLevelsAreSubtotals="1" fieldPosition="0">
        <references count="1">
          <reference field="4294967294" count="1" selected="0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1C000000}" name="PivotTable8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106:AF110" firstHeaderRow="0" firstDataRow="1" firstDataCol="1"/>
  <pivotFields count="4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sd="0" x="1"/>
        <item sd="0" x="0"/>
        <item sd="0"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07-2024" fld="9" baseField="8" baseItem="0"/>
    <dataField name="Sum of 02-07-2024" fld="10" baseField="8" baseItem="0"/>
    <dataField name="Sum of 03-07-2024" fld="11" baseField="8" baseItem="0"/>
    <dataField name="Sum of 04-07-2024" fld="12" baseField="8" baseItem="0"/>
    <dataField name="Sum of 05-07-2024" fld="13" baseField="8" baseItem="0"/>
    <dataField name="Sum of 06-07-2024" fld="14" baseField="8" baseItem="0"/>
    <dataField name="Sum of 07-07-2024" fld="15" baseField="8" baseItem="0"/>
    <dataField name="Sum of 08-07-2024" fld="16" baseField="8" baseItem="0"/>
    <dataField name="Sum of 09-07-2024" fld="17" baseField="8" baseItem="0"/>
    <dataField name="Sum of 10-07-2024" fld="18" baseField="8" baseItem="0"/>
    <dataField name="Sum of 11-07-2024" fld="19" baseField="8" baseItem="0"/>
    <dataField name="Sum of 12-07-2024" fld="20" baseField="8" baseItem="0"/>
    <dataField name="Sum of 13-07-2024" fld="21" baseField="8" baseItem="0"/>
    <dataField name="Sum of 14-07-2024" fld="22" baseField="8" baseItem="0"/>
    <dataField name="Sum of 15-07-2024" fld="23" baseField="8" baseItem="0"/>
    <dataField name="Sum of 16-07-2024" fld="24" baseField="8" baseItem="0"/>
    <dataField name="Sum of 17-07-2024" fld="25" baseField="0" baseItem="0"/>
    <dataField name="Sum of 18-07-2024" fld="26" baseField="0" baseItem="0"/>
    <dataField name="Sum of 19-07-2024" fld="27" baseField="0" baseItem="0"/>
    <dataField name="Sum of 20-07-2024" fld="28" baseField="0" baseItem="0"/>
    <dataField name="Sum of 21-07-2024" fld="29" baseField="0" baseItem="0"/>
    <dataField name="Sum of 22-07-2024" fld="30" baseField="0" baseItem="0"/>
    <dataField name="Sum of 23-07-2024" fld="31" baseField="0" baseItem="0"/>
    <dataField name="Sum of 24-07-2024" fld="32" baseField="0" baseItem="0"/>
    <dataField name="Sum of 25-07-2024" fld="33" baseField="0" baseItem="0"/>
    <dataField name="Sum of 26-07-2024" fld="34" baseField="8" baseItem="0"/>
    <dataField name="Sum of 27-07-2024" fld="35" baseField="8" baseItem="0"/>
    <dataField name="Sum of 28-07-2024" fld="36" baseField="8" baseItem="0"/>
    <dataField name="Sum of 29-07-2024" fld="37" baseField="8" baseItem="0"/>
    <dataField name="Sum of 30-07-2024" fld="38" baseField="0" baseItem="0"/>
    <dataField name="Sum of 31-07-2024" fld="39" baseField="8" baseItem="0"/>
  </dataFields>
  <formats count="9">
    <format dxfId="405">
      <pivotArea type="all" dataOnly="0" outline="0" fieldPosition="0"/>
    </format>
    <format dxfId="404">
      <pivotArea outline="0" collapsedLevelsAreSubtotals="1" fieldPosition="0"/>
    </format>
    <format dxfId="403">
      <pivotArea field="8" type="button" dataOnly="0" labelOnly="1" outline="0" axis="axisRow" fieldPosition="0"/>
    </format>
    <format dxfId="402">
      <pivotArea dataOnly="0" labelOnly="1" outline="0" fieldPosition="0">
        <references count="1">
          <reference field="8" count="0"/>
        </references>
      </pivotArea>
    </format>
    <format dxfId="401">
      <pivotArea dataOnly="0" labelOnly="1" grandRow="1" outline="0" fieldPosition="0"/>
    </format>
    <format dxfId="400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399">
      <pivotArea outline="0" collapsedLevelsAreSubtotals="1" fieldPosition="0"/>
    </format>
    <format dxfId="398">
      <pivotArea dataOnly="0" labelOnly="1" outline="0" fieldPosition="0">
        <references count="1">
          <reference field="8" count="0"/>
        </references>
      </pivotArea>
    </format>
    <format dxfId="39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1E000000}" name="PivotTable3" cacheId="12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36">
  <location ref="A2:N34" firstHeaderRow="1" firstDataRow="2" firstDataCol="1"/>
  <pivotFields count="42">
    <pivotField showAll="0"/>
    <pivotField axis="axisCol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165"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1">
    <dataField name="Sum of 01-07-2024" fld="9" baseField="0" baseItem="0"/>
    <dataField name="Sum of 02-07-2024" fld="10" baseField="0" baseItem="0"/>
    <dataField name="Sum of 03-07-2024" fld="11" baseField="0" baseItem="0"/>
    <dataField name="Sum of 04-07-2024" fld="12" baseField="0" baseItem="0"/>
    <dataField name="Sum of 05-07-2024" fld="13" baseField="0" baseItem="0"/>
    <dataField name="Sum of 06-07-2024" fld="14" baseField="0" baseItem="0"/>
    <dataField name="Sum of 07-07-2024" fld="15" baseField="0" baseItem="0"/>
    <dataField name="Sum of 08-07-2024" fld="16" baseField="0" baseItem="0"/>
    <dataField name="Sum of 09-07-2024" fld="17" baseField="0" baseItem="0"/>
    <dataField name="Sum of 10-07-2024" fld="18" baseField="0" baseItem="0"/>
    <dataField name="Sum of 11-07-2024" fld="19" baseField="0" baseItem="0"/>
    <dataField name="Sum of 12-07-2024" fld="20" baseField="0" baseItem="0"/>
    <dataField name="Sum of 13-07-2024" fld="21" baseField="0" baseItem="0"/>
    <dataField name="Sum of 14-07-2024" fld="22" baseField="0" baseItem="0"/>
    <dataField name="Sum of 15-07-2024" fld="23" baseField="0" baseItem="0"/>
    <dataField name="Sum of 16-07-2024" fld="24" baseField="1" baseItem="0"/>
    <dataField name="Sum of 17-07-2024" fld="25" baseField="1" baseItem="0"/>
    <dataField name="Sum of 18-07-2024" fld="26" baseField="0" baseItem="0"/>
    <dataField name="Sum of 19-07-2024" fld="27" baseField="1" baseItem="0"/>
    <dataField name="Sum of 20-07-2024" fld="28" baseField="0" baseItem="0"/>
    <dataField name="Sum of 21-07-2024" fld="29" baseField="0" baseItem="0"/>
    <dataField name="Sum of 22-07-2024" fld="30" baseField="1" baseItem="0"/>
    <dataField name="Sum of 23-07-2024" fld="31" baseField="0" baseItem="0"/>
    <dataField name="Sum of 24-07-2024" fld="32" baseField="0" baseItem="0"/>
    <dataField name="Sum of 25-07-2024" fld="33" baseField="0" baseItem="0"/>
    <dataField name="Sum of 26-07-2024" fld="34" baseField="0" baseItem="0"/>
    <dataField name="Sum of 27-07-2024" fld="35" baseField="0" baseItem="0"/>
    <dataField name="Sum of 28-07-2024" fld="36" baseField="0" baseItem="0"/>
    <dataField name="Sum of 29-07-2024" fld="37" baseField="0" baseItem="0"/>
    <dataField name="Sum of 30-07-2024" fld="38" baseField="0" baseItem="0"/>
    <dataField name="Sum of 31-07-2024" fld="39" baseField="1" baseItem="0"/>
  </dataFields>
  <formats count="6">
    <format dxfId="381">
      <pivotArea outline="0" collapsedLevelsAreSubtotals="1" fieldPosition="0"/>
    </format>
    <format dxfId="380">
      <pivotArea field="-2" type="button" dataOnly="0" labelOnly="1" outline="0" axis="axisRow" fieldPosition="0"/>
    </format>
    <format dxfId="379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78">
      <pivotArea dataOnly="0" labelOnly="1" fieldPosition="0">
        <references count="1">
          <reference field="1" count="0"/>
        </references>
      </pivotArea>
    </format>
    <format dxfId="377">
      <pivotArea dataOnly="0" labelOnly="1" grandCol="1" outline="0" fieldPosition="0"/>
    </format>
    <format dxfId="376">
      <pivotArea collapsedLevelsAreSubtotals="1" fieldPosition="0">
        <references count="1">
          <reference field="4294967294" count="1">
            <x v="21"/>
          </reference>
        </references>
      </pivotArea>
    </format>
  </format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5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5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5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20000000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4:AH98" firstHeaderRow="0" firstDataRow="1" firstDataCol="1" rowPageCount="2" colPageCount="1"/>
  <pivotFields count="42">
    <pivotField compact="0" outline="0" showAll="0"/>
    <pivotField axis="axisPage" compact="0" outline="0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axis="axisRow" compact="0" outline="0" showAll="0">
      <items count="94">
        <item x="58"/>
        <item x="56"/>
        <item x="57"/>
        <item x="89"/>
        <item x="73"/>
        <item x="79"/>
        <item x="77"/>
        <item x="76"/>
        <item x="78"/>
        <item x="75"/>
        <item x="74"/>
        <item x="32"/>
        <item x="88"/>
        <item x="90"/>
        <item x="33"/>
        <item x="61"/>
        <item x="49"/>
        <item x="0"/>
        <item x="1"/>
        <item x="2"/>
        <item x="39"/>
        <item x="35"/>
        <item x="38"/>
        <item x="62"/>
        <item x="25"/>
        <item x="50"/>
        <item x="18"/>
        <item x="82"/>
        <item x="84"/>
        <item x="60"/>
        <item x="7"/>
        <item x="53"/>
        <item x="36"/>
        <item x="37"/>
        <item x="6"/>
        <item x="28"/>
        <item x="41"/>
        <item x="80"/>
        <item x="3"/>
        <item x="63"/>
        <item x="27"/>
        <item x="66"/>
        <item x="71"/>
        <item x="59"/>
        <item x="67"/>
        <item x="68"/>
        <item x="8"/>
        <item x="42"/>
        <item x="83"/>
        <item x="52"/>
        <item x="64"/>
        <item x="34"/>
        <item x="87"/>
        <item x="86"/>
        <item x="54"/>
        <item x="91"/>
        <item x="92"/>
        <item x="9"/>
        <item x="10"/>
        <item x="47"/>
        <item x="11"/>
        <item x="17"/>
        <item x="55"/>
        <item x="48"/>
        <item x="5"/>
        <item x="69"/>
        <item x="24"/>
        <item x="23"/>
        <item x="12"/>
        <item x="46"/>
        <item x="70"/>
        <item x="45"/>
        <item x="14"/>
        <item x="13"/>
        <item x="4"/>
        <item x="19"/>
        <item x="20"/>
        <item x="43"/>
        <item x="40"/>
        <item x="22"/>
        <item x="44"/>
        <item x="15"/>
        <item x="26"/>
        <item x="21"/>
        <item x="81"/>
        <item x="16"/>
        <item x="65"/>
        <item x="29"/>
        <item x="72"/>
        <item x="30"/>
        <item x="31"/>
        <item x="51"/>
        <item x="8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compact="0" numFmtId="165" outline="0" showAll="0"/>
  </pivotFields>
  <rowFields count="1">
    <field x="2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</colItems>
  <pageFields count="2">
    <pageField fld="1" hier="-1"/>
    <pageField fld="8" hier="-1"/>
  </pageFields>
  <dataFields count="33">
    <dataField name="Sum of No. of Chargers" fld="7" baseField="0" baseItem="0"/>
    <dataField name="Sum of 01-08-2024" fld="9" baseField="2" baseItem="0" numFmtId="164"/>
    <dataField name="Sum of 02-08-2024" fld="10" baseField="2" baseItem="0" numFmtId="164"/>
    <dataField name="Sum of 03-08-2024" fld="11" baseField="2" baseItem="0" numFmtId="164"/>
    <dataField name="Sum of 04-08-2024" fld="12" baseField="2" baseItem="0" numFmtId="164"/>
    <dataField name="Sum of 05-08-2024" fld="13" baseField="2" baseItem="0" numFmtId="164"/>
    <dataField name="Sum of 06-08-2024" fld="14" baseField="2" baseItem="0" numFmtId="164"/>
    <dataField name="Sum of 07-08-2024" fld="15" baseField="2" baseItem="0" numFmtId="164"/>
    <dataField name="Sum of 08-08-2024" fld="16" baseField="2" baseItem="0" numFmtId="164"/>
    <dataField name="Sum of 09-08-2024" fld="17" baseField="2" baseItem="0" numFmtId="164"/>
    <dataField name="Sum of 10-08-2024" fld="18" baseField="2" baseItem="0" numFmtId="164"/>
    <dataField name="Sum of 11-08-2024" fld="19" baseField="2" baseItem="0" numFmtId="164"/>
    <dataField name="Sum of 12-08-2024" fld="20" baseField="2" baseItem="0" numFmtId="164"/>
    <dataField name="Sum of 13-08-2024" fld="21" baseField="2" baseItem="0" numFmtId="164"/>
    <dataField name="Sum of 14-08-2024" fld="22" baseField="0" baseItem="0" numFmtId="164"/>
    <dataField name="Sum of 15-08-2024" fld="23" baseField="0" baseItem="0" numFmtId="164"/>
    <dataField name="Sum of 16-08-2024" fld="24" baseField="0" baseItem="0" numFmtId="164"/>
    <dataField name="Sum of 17-08-2024" fld="25" baseField="0" baseItem="0" numFmtId="164"/>
    <dataField name="Sum of 18-08-2024" fld="26" baseField="0" baseItem="0" numFmtId="164"/>
    <dataField name="Sum of 19-08-2024" fld="27" baseField="0" baseItem="0" numFmtId="164"/>
    <dataField name="Sum of 20-08-2024" fld="28" baseField="0" baseItem="0" numFmtId="164"/>
    <dataField name="Sum of 21-08-2024" fld="29" baseField="0" baseItem="0" numFmtId="164"/>
    <dataField name="Sum of 22-08-2024" fld="30" baseField="0" baseItem="0" numFmtId="164"/>
    <dataField name="Sum of 23-08-2024" fld="31" baseField="0" baseItem="0" numFmtId="164"/>
    <dataField name="Sum of 24-08-2024" fld="32" baseField="0" baseItem="0" numFmtId="164"/>
    <dataField name="Sum of 25-08-2024" fld="33" baseField="0" baseItem="0" numFmtId="164"/>
    <dataField name="Sum of 26-08-2024" fld="34" baseField="0" baseItem="0" numFmtId="164"/>
    <dataField name="Sum of 27-08-2024" fld="35" baseField="0" baseItem="0" numFmtId="164"/>
    <dataField name="Sum of 28-08-2024" fld="36" baseField="2" baseItem="0" numFmtId="164"/>
    <dataField name="Sum of 29-08-2024" fld="37" baseField="2" baseItem="0" numFmtId="164"/>
    <dataField name="Sum of 30-08-2024" fld="38" baseField="0" baseItem="0"/>
    <dataField name="Sum of 31-08-2024" fld="39" baseField="0" baseItem="0" numFmtId="164"/>
    <dataField name="Sum of Average" fld="40" baseField="0" baseItem="0" numFmtId="164"/>
  </dataFields>
  <formats count="18">
    <format dxfId="369">
      <pivotArea type="all" dataOnly="0" outline="0" fieldPosition="0"/>
    </format>
    <format dxfId="368">
      <pivotArea outline="0" collapsedLevelsAreSubtotals="1" fieldPosition="0"/>
    </format>
    <format dxfId="367">
      <pivotArea field="2" type="button" dataOnly="0" labelOnly="1" outline="0" axis="axisRow" fieldPosition="0"/>
    </format>
    <format dxfId="36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5">
      <pivotArea dataOnly="0" labelOnly="1" fieldPosition="0">
        <references count="1">
          <reference field="2" count="3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</reference>
        </references>
      </pivotArea>
    </format>
    <format dxfId="364">
      <pivotArea dataOnly="0" labelOnly="1" grandRow="1" outline="0" fieldPosition="0"/>
    </format>
    <format dxfId="363">
      <pivotArea dataOnly="0" labelOnly="1" outline="0" fieldPosition="0">
        <references count="1">
          <reference field="4294967294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32"/>
          </reference>
        </references>
      </pivotArea>
    </format>
    <format dxfId="362">
      <pivotArea outline="0" collapsedLevelsAreSubtotals="1" fieldPosition="0">
        <references count="1">
          <reference field="4294967294" count="16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32"/>
          </reference>
        </references>
      </pivotArea>
    </format>
    <format dxfId="361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360">
      <pivotArea outline="0" collapsedLevelsAreSubtotals="1" fieldPosition="0">
        <references count="1">
          <reference field="4294967294" count="3" selected="0">
            <x v="17"/>
            <x v="18"/>
            <x v="32"/>
          </reference>
        </references>
      </pivotArea>
    </format>
    <format dxfId="359">
      <pivotArea outline="0" collapsedLevelsAreSubtotals="1" fieldPosition="0">
        <references count="1">
          <reference field="4294967294" count="8" selected="0">
            <x v="19"/>
            <x v="20"/>
            <x v="21"/>
            <x v="22"/>
            <x v="23"/>
            <x v="24"/>
            <x v="25"/>
            <x v="32"/>
          </reference>
        </references>
      </pivotArea>
    </format>
    <format dxfId="358">
      <pivotArea outline="0" collapsedLevelsAreSubtotals="1" fieldPosition="0">
        <references count="1">
          <reference field="4294967294" count="1" selected="0">
            <x v="26"/>
          </reference>
        </references>
      </pivotArea>
    </format>
    <format dxfId="357">
      <pivotArea outline="0" collapsedLevelsAreSubtotals="1" fieldPosition="0">
        <references count="1">
          <reference field="4294967294" count="1" selected="0">
            <x v="27"/>
          </reference>
        </references>
      </pivotArea>
    </format>
    <format dxfId="356">
      <pivotArea outline="0" collapsedLevelsAreSubtotals="1" fieldPosition="0">
        <references count="1">
          <reference field="4294967294" count="1" selected="0">
            <x v="28"/>
          </reference>
        </references>
      </pivotArea>
    </format>
    <format dxfId="355">
      <pivotArea outline="0" collapsedLevelsAreSubtotals="1" fieldPosition="0">
        <references count="1">
          <reference field="4294967294" count="1" selected="0">
            <x v="29"/>
          </reference>
        </references>
      </pivotArea>
    </format>
    <format dxfId="354">
      <pivotArea outline="0" collapsedLevelsAreSubtotals="1" fieldPosition="0">
        <references count="2">
          <reference field="4294967294" count="1" selected="0">
            <x v="30"/>
          </reference>
          <reference field="2" count="0" selected="0"/>
        </references>
      </pivotArea>
    </format>
    <format dxfId="353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352">
      <pivotArea outline="0" collapsedLevelsAreSubtotals="1" fieldPosition="0">
        <references count="1">
          <reference field="4294967294" count="1" selected="0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1F000000}" name="PivotTable7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115:AF119" firstHeaderRow="0" firstDataRow="1" firstDataCol="1"/>
  <pivotFields count="4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sd="0" x="1"/>
        <item sd="0" x="0"/>
        <item sd="0"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165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08-2024" fld="9" baseField="8" baseItem="0"/>
    <dataField name="Sum of 02-08-2024" fld="10" baseField="8" baseItem="0"/>
    <dataField name="Sum of 03-08-2024" fld="11" baseField="8" baseItem="0"/>
    <dataField name="Sum of 04-08-2024" fld="12" baseField="8" baseItem="0"/>
    <dataField name="Sum of 05-08-2024" fld="13" baseField="8" baseItem="0"/>
    <dataField name="Sum of 06-08-2024" fld="14" baseField="8" baseItem="0"/>
    <dataField name="Count of 07-08-2024" fld="15" subtotal="count" baseField="0" baseItem="0"/>
    <dataField name="Sum of 08-08-2024" fld="16" baseField="8" baseItem="0"/>
    <dataField name="Sum of 09-08-2024" fld="17" baseField="8" baseItem="0"/>
    <dataField name="Sum of 10-08-2024" fld="18" baseField="8" baseItem="0"/>
    <dataField name="Sum of 11-08-2024" fld="19" baseField="8" baseItem="0"/>
    <dataField name="Sum of 12-08-2024" fld="20" baseField="8" baseItem="0"/>
    <dataField name="Sum of 13-08-2024" fld="21" baseField="8" baseItem="0"/>
    <dataField name="Sum of 14-08-2024" fld="22" baseField="0" baseItem="0"/>
    <dataField name="Sum of 15-08-2024" fld="23" baseField="0" baseItem="0"/>
    <dataField name="Sum of 16-08-2024" fld="24" baseField="0" baseItem="0"/>
    <dataField name="Sum of 17-08-2024" fld="25" baseField="0" baseItem="0"/>
    <dataField name="Sum of 18-08-2024" fld="26" baseField="0" baseItem="0"/>
    <dataField name="Sum of 19-08-2024" fld="27" baseField="0" baseItem="0"/>
    <dataField name="Sum of 20-08-2024" fld="28" baseField="0" baseItem="0"/>
    <dataField name="Sum of 21-08-2024" fld="29" baseField="0" baseItem="0"/>
    <dataField name="Sum of 22-08-2024" fld="30" baseField="0" baseItem="0"/>
    <dataField name="Sum of 23-08-2024" fld="31" baseField="0" baseItem="0"/>
    <dataField name="Sum of 24-08-2024" fld="32" baseField="0" baseItem="0"/>
    <dataField name="Sum of 25-08-2024" fld="33" baseField="0" baseItem="0"/>
    <dataField name="Sum of 26-08-2024" fld="34" baseField="0" baseItem="0"/>
    <dataField name="Sum of 27-08-2024" fld="35" baseField="0" baseItem="0"/>
    <dataField name="Sum of 28-08-2024" fld="36" baseField="0" baseItem="0"/>
    <dataField name="Sum of 29-08-2024" fld="37" baseField="0" baseItem="0"/>
    <dataField name="Sum of 30-08-2024" fld="38" baseField="0" baseItem="0"/>
    <dataField name="Sum of 31-08-2024" fld="39" baseField="8" baseItem="0"/>
  </dataFields>
  <formats count="6">
    <format dxfId="375">
      <pivotArea type="all" dataOnly="0" outline="0" fieldPosition="0"/>
    </format>
    <format dxfId="374">
      <pivotArea outline="0" collapsedLevelsAreSubtotals="1" fieldPosition="0"/>
    </format>
    <format dxfId="373">
      <pivotArea field="8" type="button" dataOnly="0" labelOnly="1" outline="0" axis="axisRow" fieldPosition="0"/>
    </format>
    <format dxfId="372">
      <pivotArea dataOnly="0" labelOnly="1" grandRow="1" outline="0" fieldPosition="0"/>
    </format>
    <format dxfId="371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3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21000000}" name="PivotTable5" cacheId="11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8">
  <location ref="A2:N34" firstHeaderRow="1" firstDataRow="2" firstDataCol="1"/>
  <pivotFields count="42">
    <pivotField showAll="0"/>
    <pivotField axis="axisCol" showAll="0">
      <items count="13">
        <item x="10"/>
        <item x="5"/>
        <item x="11"/>
        <item x="9"/>
        <item x="3"/>
        <item x="0"/>
        <item x="7"/>
        <item x="6"/>
        <item x="8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165"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1">
    <dataField name="Sum of 01-08-2024" fld="9" baseField="0" baseItem="0"/>
    <dataField name="Sum of 02-08-2024" fld="10" baseField="1" baseItem="0"/>
    <dataField name="Sum of 03-08-2024" fld="11" baseField="1" baseItem="0"/>
    <dataField name="Sum of 04-08-2024" fld="12" baseField="1" baseItem="0"/>
    <dataField name="Sum of 05-08-2024" fld="13" baseField="1" baseItem="0"/>
    <dataField name="Sum of 06-08-2024" fld="14" baseField="1" baseItem="0"/>
    <dataField name="Sum of 07-08-2024" fld="15" baseField="1" baseItem="0"/>
    <dataField name="Sum of 08-08-2024" fld="16" baseField="1" baseItem="0"/>
    <dataField name="Sum of 09-08-2024" fld="17" baseField="1" baseItem="0"/>
    <dataField name="Sum of 10-08-2024" fld="18" baseField="1" baseItem="0"/>
    <dataField name="Sum of 11-08-2024" fld="19" baseField="1" baseItem="0"/>
    <dataField name="Sum of 12-08-2024" fld="20" baseField="1" baseItem="0"/>
    <dataField name="Sum of 13-08-2024" fld="21" baseField="1" baseItem="0"/>
    <dataField name="Sum of 14-08-2024" fld="22" baseField="0" baseItem="0"/>
    <dataField name="Sum of 15-08-2024" fld="23" baseField="0" baseItem="0"/>
    <dataField name="Sum of 16-08-2024" fld="24" baseField="1" baseItem="0"/>
    <dataField name="Sum of 17-08-2024" fld="25" baseField="1" baseItem="0"/>
    <dataField name="Sum of 18-08-2024" fld="26" baseField="1" baseItem="0"/>
    <dataField name="Sum of 19-08-2024" fld="27" baseField="1" baseItem="0"/>
    <dataField name="Sum of 20-08-2024" fld="28" baseField="1" baseItem="0"/>
    <dataField name="Sum of 21-08-2024" fld="29" baseField="1" baseItem="0"/>
    <dataField name="Sum of 23-08-2024" fld="31" baseField="1" baseItem="0"/>
    <dataField name="Sum of 22-08-2024" fld="30" baseField="1" baseItem="0"/>
    <dataField name="Sum of 24-08-2024" fld="32" baseField="1" baseItem="0"/>
    <dataField name="Sum of 25-08-2024" fld="33" baseField="1" baseItem="0"/>
    <dataField name="Sum of 26-08-2024" fld="34" baseField="1" baseItem="0"/>
    <dataField name="Sum of 27-08-2024" fld="35" baseField="1" baseItem="0"/>
    <dataField name="Sum of 28-08-2024" fld="36" baseField="1" baseItem="0"/>
    <dataField name="Sum of 29-08-2024" fld="37" baseField="0" baseItem="0"/>
    <dataField name="Sum of 30-08-2024" fld="38" baseField="1" baseItem="0"/>
    <dataField name="Sum of 31-08-2024" fld="39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7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7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7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7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23000000}" name="PivotTable5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120:AE124" firstHeaderRow="0" firstDataRow="1" firstDataCol="1"/>
  <pivotFields count="4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2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dataFields count="30">
    <dataField name="Sum of 01-09-2024" fld="9" baseField="0" baseItem="0" numFmtId="164"/>
    <dataField name="Sum of 02-09-2024" fld="10" baseField="0" baseItem="0"/>
    <dataField name="Sum of 03-09-2024" fld="11" baseField="0" baseItem="0"/>
    <dataField name="Sum of 04-09-2024" fld="12" baseField="0" baseItem="0"/>
    <dataField name="Sum of 05-09-2024" fld="13" baseField="0" baseItem="0"/>
    <dataField name="Sum of 06-09-2024" fld="14" baseField="0" baseItem="0"/>
    <dataField name="Sum of 07-09-2024" fld="15" baseField="0" baseItem="0"/>
    <dataField name="Sum of 08-09-2024" fld="16" baseField="0" baseItem="0"/>
    <dataField name="Sum of 09-09-2024" fld="17" baseField="0" baseItem="0"/>
    <dataField name="Sum of 10-09-2024" fld="18" baseField="0" baseItem="0"/>
    <dataField name="Sum of 11-09-2024" fld="19" baseField="0" baseItem="0"/>
    <dataField name="Sum of 12-09-2024" fld="20" baseField="0" baseItem="0"/>
    <dataField name="Sum of 13-09-2024" fld="21" baseField="0" baseItem="0"/>
    <dataField name="Sum of 14-09-2024" fld="22" baseField="0" baseItem="0"/>
    <dataField name="Sum of 15-09-2024" fld="23" baseField="0" baseItem="0"/>
    <dataField name="Sum of 16-09-2024" fld="24" baseField="0" baseItem="0"/>
    <dataField name="Sum of 17-09-2024" fld="25" baseField="0" baseItem="0"/>
    <dataField name="Sum of 18-09-2024" fld="26" baseField="0" baseItem="0"/>
    <dataField name="Sum of 19-09-2024" fld="27" baseField="0" baseItem="0"/>
    <dataField name="Sum of 20-09-2024" fld="28" baseField="0" baseItem="0"/>
    <dataField name="Sum of 21-09-2024" fld="29" baseField="0" baseItem="0"/>
    <dataField name="Sum of 22-09-2024" fld="30" baseField="0" baseItem="0"/>
    <dataField name="Sum of 23-09-2024" fld="31" baseField="0" baseItem="0"/>
    <dataField name="Sum of 24-09-2024" fld="32" baseField="0" baseItem="0"/>
    <dataField name="Sum of 25-09-2024" fld="33" baseField="0" baseItem="0"/>
    <dataField name="Sum of 26-09-2024" fld="34" baseField="0" baseItem="0"/>
    <dataField name="Sum of 27-09-2024" fld="35" baseField="0" baseItem="0"/>
    <dataField name="Sum of 28-09-2024" fld="36" baseField="0" baseItem="0"/>
    <dataField name="Sum of 29-09-2024" fld="37" baseField="0" baseItem="0"/>
    <dataField name="Sum of 30-09-2024" fld="38" baseField="0" baseItem="0"/>
  </dataFields>
  <formats count="11">
    <format dxfId="310">
      <pivotArea type="all" dataOnly="0" outline="0" fieldPosition="0"/>
    </format>
    <format dxfId="309">
      <pivotArea outline="0" collapsedLevelsAreSubtotals="1" fieldPosition="0"/>
    </format>
    <format dxfId="308">
      <pivotArea field="8" type="button" dataOnly="0" labelOnly="1" outline="0" axis="axisRow" fieldPosition="0"/>
    </format>
    <format dxfId="307">
      <pivotArea dataOnly="0" labelOnly="1" outline="0" axis="axisValues" fieldPosition="0"/>
    </format>
    <format dxfId="306">
      <pivotArea dataOnly="0" labelOnly="1" grandRow="1" outline="0" fieldPosition="0"/>
    </format>
    <format dxfId="305">
      <pivotArea type="all" dataOnly="0" outline="0" fieldPosition="0"/>
    </format>
    <format dxfId="304">
      <pivotArea outline="0" collapsedLevelsAreSubtotals="1" fieldPosition="0"/>
    </format>
    <format dxfId="303">
      <pivotArea field="8" type="button" dataOnly="0" labelOnly="1" outline="0" axis="axisRow" fieldPosition="0"/>
    </format>
    <format dxfId="302">
      <pivotArea dataOnly="0" labelOnly="1" outline="0" fieldPosition="0">
        <references count="1">
          <reference field="8" count="0"/>
        </references>
      </pivotArea>
    </format>
    <format dxfId="301">
      <pivotArea dataOnly="0" labelOnly="1" grandRow="1" outline="0" fieldPosition="0"/>
    </format>
    <format dxfId="300">
      <pivotArea dataOnly="0" labelOnly="1" outline="0" fieldPosition="0">
        <references count="1">
          <reference field="4294967294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22000000}" name="PivotTable3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4:AG102" firstHeaderRow="0" firstDataRow="1" firstDataCol="1" rowPageCount="2" colPageCount="1"/>
  <pivotFields count="41">
    <pivotField compact="0" outline="0" showAll="0"/>
    <pivotField axis="axisPage" compact="0" outline="0" showAll="0">
      <items count="14">
        <item x="11"/>
        <item x="5"/>
        <item x="12"/>
        <item x="10"/>
        <item x="3"/>
        <item x="0"/>
        <item x="8"/>
        <item x="7"/>
        <item x="9"/>
        <item x="4"/>
        <item x="1"/>
        <item x="2"/>
        <item x="6"/>
        <item t="default"/>
      </items>
    </pivotField>
    <pivotField axis="axisRow" compact="0" outline="0" showAll="0">
      <items count="99">
        <item x="62"/>
        <item x="60"/>
        <item x="61"/>
        <item x="93"/>
        <item x="77"/>
        <item x="76"/>
        <item x="83"/>
        <item x="81"/>
        <item x="80"/>
        <item x="82"/>
        <item x="79"/>
        <item x="78"/>
        <item x="35"/>
        <item x="92"/>
        <item x="94"/>
        <item x="36"/>
        <item x="65"/>
        <item x="53"/>
        <item x="0"/>
        <item x="1"/>
        <item x="2"/>
        <item x="42"/>
        <item x="38"/>
        <item x="41"/>
        <item x="66"/>
        <item x="26"/>
        <item x="54"/>
        <item x="19"/>
        <item x="86"/>
        <item x="88"/>
        <item x="64"/>
        <item x="7"/>
        <item x="57"/>
        <item x="39"/>
        <item x="40"/>
        <item x="6"/>
        <item x="29"/>
        <item x="44"/>
        <item x="84"/>
        <item x="3"/>
        <item x="67"/>
        <item x="28"/>
        <item x="70"/>
        <item x="75"/>
        <item x="89"/>
        <item x="63"/>
        <item x="71"/>
        <item x="72"/>
        <item x="8"/>
        <item x="45"/>
        <item x="87"/>
        <item x="55"/>
        <item x="56"/>
        <item x="68"/>
        <item x="37"/>
        <item x="91"/>
        <item x="90"/>
        <item x="58"/>
        <item x="95"/>
        <item x="96"/>
        <item x="9"/>
        <item x="10"/>
        <item x="50"/>
        <item x="11"/>
        <item x="18"/>
        <item x="59"/>
        <item x="51"/>
        <item x="5"/>
        <item x="73"/>
        <item x="25"/>
        <item x="24"/>
        <item m="1" x="97"/>
        <item x="49"/>
        <item x="74"/>
        <item x="48"/>
        <item x="15"/>
        <item x="14"/>
        <item x="4"/>
        <item x="31"/>
        <item x="20"/>
        <item x="21"/>
        <item x="32"/>
        <item x="46"/>
        <item x="43"/>
        <item x="23"/>
        <item x="47"/>
        <item x="16"/>
        <item x="27"/>
        <item x="22"/>
        <item x="85"/>
        <item x="17"/>
        <item x="30"/>
        <item x="69"/>
        <item x="13"/>
        <item x="12"/>
        <item x="33"/>
        <item x="52"/>
        <item x="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0"/>
        <item x="2"/>
        <item t="default"/>
      </items>
    </pivotField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numFmtId="2" outline="0" showAll="0"/>
    <pivotField compact="0" numFmtId="2" outline="0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2">
    <pageField fld="1" hier="-1"/>
    <pageField fld="8" hier="-1"/>
  </pageFields>
  <dataFields count="32">
    <dataField name="Sum of No. of Chargers" fld="7" baseField="0" baseItem="0"/>
    <dataField name="Sum of 01-09-2024" fld="9" baseField="0" baseItem="0" numFmtId="164"/>
    <dataField name="Sum of 02-09-2024" fld="10" baseField="0" baseItem="0" numFmtId="164"/>
    <dataField name="Sum of 03-09-2024" fld="11" baseField="0" baseItem="0" numFmtId="164"/>
    <dataField name="Sum of 04-09-2024" fld="12" baseField="0" baseItem="0" numFmtId="164"/>
    <dataField name="Sum of 05-09-2024" fld="13" baseField="0" baseItem="0" numFmtId="164"/>
    <dataField name="Sum of 06-09-2024" fld="14" baseField="0" baseItem="0" numFmtId="164"/>
    <dataField name="Sum of 07-09-2024" fld="15" baseField="0" baseItem="0" numFmtId="164"/>
    <dataField name="Sum of 08-09-2024" fld="16" baseField="0" baseItem="0" numFmtId="164"/>
    <dataField name="Sum of 09-09-2024" fld="17" baseField="0" baseItem="0" numFmtId="164"/>
    <dataField name="Sum of 10-09-2024" fld="18" baseField="0" baseItem="0" numFmtId="164"/>
    <dataField name="Sum of 11-09-2024" fld="19" baseField="0" baseItem="0" numFmtId="164"/>
    <dataField name="Sum of 12-09-2024" fld="20" baseField="0" baseItem="0" numFmtId="164"/>
    <dataField name="Sum of 13-09-2024" fld="21" baseField="0" baseItem="0" numFmtId="164"/>
    <dataField name="Sum of 14-09-2024" fld="22" baseField="0" baseItem="0" numFmtId="164"/>
    <dataField name="Sum of 15-09-2024" fld="23" baseField="0" baseItem="0" numFmtId="164"/>
    <dataField name="Sum of 16-09-2024" fld="24" baseField="0" baseItem="0" numFmtId="164"/>
    <dataField name="Sum of 17-09-2024" fld="25" baseField="0" baseItem="0" numFmtId="164"/>
    <dataField name="Sum of 18-09-2024" fld="26" baseField="0" baseItem="0" numFmtId="164"/>
    <dataField name="Sum of 19-09-2024" fld="27" baseField="0" baseItem="0" numFmtId="164"/>
    <dataField name="Sum of 20-09-2024" fld="28" baseField="0" baseItem="0" numFmtId="164"/>
    <dataField name="Sum of 21-09-2024" fld="29" baseField="0" baseItem="0" numFmtId="164"/>
    <dataField name="Sum of 22-09-2024" fld="30" baseField="0" baseItem="0" numFmtId="164"/>
    <dataField name="Sum of 23-09-2024" fld="31" baseField="0" baseItem="0" numFmtId="164"/>
    <dataField name="Sum of 24-09-2024" fld="32" baseField="0" baseItem="0" numFmtId="164"/>
    <dataField name="Sum of 25-09-2024" fld="33" baseField="0" baseItem="0"/>
    <dataField name="Sum of 26-09-2024" fld="34" baseField="0" baseItem="0" numFmtId="164"/>
    <dataField name="Sum of 27-09-2024" fld="35" baseField="0" baseItem="0" numFmtId="164"/>
    <dataField name="Sum of 28-09-2024" fld="36" baseField="0" baseItem="0" numFmtId="164"/>
    <dataField name="Sum of 29-09-2024" fld="37" baseField="0" baseItem="0" numFmtId="164"/>
    <dataField name="Sum of 30-09-2024" fld="38" baseField="0" baseItem="0" numFmtId="164"/>
    <dataField name="Sum of Average" fld="39" baseField="0" baseItem="0" numFmtId="164"/>
  </dataFields>
  <formats count="41">
    <format dxfId="351">
      <pivotArea type="all" dataOnly="0" outline="0" fieldPosition="0"/>
    </format>
    <format dxfId="350">
      <pivotArea outline="0" collapsedLevelsAreSubtotals="1" fieldPosition="0"/>
    </format>
    <format dxfId="349">
      <pivotArea field="2" type="button" dataOnly="0" labelOnly="1" outline="0" axis="axisRow" fieldPosition="0"/>
    </format>
    <format dxfId="348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7">
      <pivotArea dataOnly="0" labelOnly="1" outline="0" fieldPosition="0">
        <references count="1">
          <reference field="2" count="4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346">
      <pivotArea dataOnly="0" labelOnly="1" grandRow="1" outline="0" fieldPosition="0"/>
    </format>
    <format dxfId="3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4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4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4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3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3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337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336">
      <pivotArea outline="0" collapsedLevelsAreSubtotals="1" fieldPosition="0">
        <references count="1">
          <reference field="4294967294" count="2" selected="0">
            <x v="9"/>
            <x v="10"/>
          </reference>
        </references>
      </pivotArea>
    </format>
    <format dxfId="335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334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33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332">
      <pivotArea outline="0" collapsedLevelsAreSubtotals="1" fieldPosition="0">
        <references count="1">
          <reference field="4294967294" count="1" selected="0">
            <x v="13"/>
          </reference>
        </references>
      </pivotArea>
    </format>
    <format dxfId="331">
      <pivotArea outline="0" collapsedLevelsAreSubtotals="1" fieldPosition="0">
        <references count="1">
          <reference field="4294967294" count="2" selected="0">
            <x v="14"/>
            <x v="15"/>
          </reference>
        </references>
      </pivotArea>
    </format>
    <format dxfId="330">
      <pivotArea dataOnly="0" labelOnly="1" outline="0" fieldPosition="0">
        <references count="1">
          <reference field="4294967294" count="2">
            <x v="14"/>
            <x v="15"/>
          </reference>
        </references>
      </pivotArea>
    </format>
    <format dxfId="329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328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327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326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25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324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323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322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321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320">
      <pivotArea outline="0" collapsedLevelsAreSubtotals="1" fieldPosition="0">
        <references count="1">
          <reference field="4294967294" count="2" selected="0">
            <x v="21"/>
            <x v="22"/>
          </reference>
        </references>
      </pivotArea>
    </format>
    <format dxfId="319">
      <pivotArea outline="0" collapsedLevelsAreSubtotals="1" fieldPosition="0">
        <references count="1">
          <reference field="4294967294" count="1" selected="0">
            <x v="23"/>
          </reference>
        </references>
      </pivotArea>
    </format>
    <format dxfId="318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317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316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315">
      <pivotArea dataOnly="0" outline="0" fieldPosition="0">
        <references count="1">
          <reference field="4294967294" count="1">
            <x v="25"/>
          </reference>
        </references>
      </pivotArea>
    </format>
    <format dxfId="314">
      <pivotArea outline="0" collapsedLevelsAreSubtotals="1" fieldPosition="0">
        <references count="1">
          <reference field="4294967294" count="1" selected="0">
            <x v="26"/>
          </reference>
        </references>
      </pivotArea>
    </format>
    <format dxfId="313">
      <pivotArea dataOnly="0" labelOnly="1" outline="0" fieldPosition="0">
        <references count="1">
          <reference field="4294967294" count="1">
            <x v="26"/>
          </reference>
        </references>
      </pivotArea>
    </format>
    <format dxfId="312">
      <pivotArea outline="0" collapsedLevelsAreSubtotals="1" fieldPosition="0">
        <references count="1">
          <reference field="4294967294" count="3" selected="0">
            <x v="27"/>
            <x v="28"/>
            <x v="29"/>
          </reference>
        </references>
      </pivotArea>
    </format>
    <format dxfId="311">
      <pivotArea outline="0" collapsedLevelsAreSubtotals="1" fieldPosition="0">
        <references count="1">
          <reference field="4294967294" count="2" selected="0">
            <x v="30"/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B00-000024000000}" name="PivotTable4" cacheId="104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3">
  <location ref="A3:O34" firstHeaderRow="1" firstDataRow="2" firstDataCol="1"/>
  <pivotFields count="41">
    <pivotField showAll="0"/>
    <pivotField axis="axisCol" showAll="0">
      <items count="14">
        <item x="11"/>
        <item x="5"/>
        <item x="12"/>
        <item x="10"/>
        <item x="3"/>
        <item x="0"/>
        <item x="8"/>
        <item x="7"/>
        <item x="9"/>
        <item x="4"/>
        <item x="1"/>
        <item x="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2" showAll="0"/>
  </pivotFields>
  <rowFields count="1">
    <field x="-2"/>
  </rowFields>
  <row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30">
    <dataField name="Sum of 01-09-2024" fld="9" baseField="0" baseItem="0"/>
    <dataField name="Sum of 02-09-2024" fld="10" baseField="1" baseItem="0"/>
    <dataField name="Sum of 03-09-2024" fld="11" baseField="1" baseItem="0"/>
    <dataField name="Sum of 04-09-2024" fld="12" baseField="0" baseItem="0"/>
    <dataField name="Sum of 05-09-2024" fld="13" baseField="0" baseItem="0"/>
    <dataField name="Sum of 06-09-2024" fld="14" baseField="0" baseItem="0"/>
    <dataField name="Sum of 07-09-2024" fld="15" baseField="0" baseItem="0"/>
    <dataField name="Sum of 08-09-2024" fld="16" baseField="0" baseItem="0"/>
    <dataField name="Sum of 09-09-2024" fld="17" baseField="0" baseItem="0"/>
    <dataField name="Sum of 10-09-2024" fld="18" baseField="0" baseItem="0"/>
    <dataField name="Sum of 11-09-2024" fld="19" baseField="0" baseItem="0"/>
    <dataField name="Sum of 12-09-2024" fld="20" baseField="0" baseItem="0"/>
    <dataField name="Sum of 13-09-2024" fld="21" baseField="0" baseItem="0"/>
    <dataField name="Sum of 14-09-2024" fld="22" baseField="0" baseItem="0"/>
    <dataField name="Sum of 15-09-2024" fld="23" baseField="0" baseItem="0"/>
    <dataField name="Sum of 16-09-2024" fld="24" baseField="0" baseItem="0"/>
    <dataField name="Sum of 17-09-2024" fld="25" baseField="0" baseItem="0"/>
    <dataField name="Sum of 18-09-2024" fld="26" baseField="0" baseItem="0"/>
    <dataField name="Sum of 19-09-2024" fld="27" baseField="0" baseItem="0"/>
    <dataField name="Sum of 20-09-2024" fld="28" baseField="0" baseItem="0"/>
    <dataField name="Sum of 21-09-2024" fld="29" baseField="0" baseItem="0"/>
    <dataField name="Sum of 22-09-2024" fld="30" baseField="0" baseItem="0"/>
    <dataField name="Sum of 23-09-2024" fld="31" baseField="0" baseItem="0"/>
    <dataField name="Sum of 24-09-2024" fld="32" baseField="0" baseItem="0"/>
    <dataField name="Sum of 25-09-2024" fld="33" baseField="0" baseItem="0"/>
    <dataField name="Sum of 26-09-2024" fld="34" baseField="0" baseItem="0"/>
    <dataField name="Sum of 27-09-2024" fld="35" baseField="0" baseItem="0"/>
    <dataField name="Sum of 28-09-2024" fld="36" baseField="0" baseItem="0"/>
    <dataField name="Sum of 29-09-2024" fld="37" baseField="0" baseItem="0"/>
    <dataField name="Sum of 30-09-2024" fld="38" baseField="0" baseItem="0"/>
  </dataFields>
  <chartFormats count="53"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1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1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1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1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1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1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1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1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1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1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1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1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1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2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2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2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2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2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2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2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2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2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2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2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2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2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25000000}" name="PivotTable4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127:AF131" firstHeaderRow="0" firstDataRow="1" firstDataCol="1"/>
  <pivotFields count="4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dataField="1" compact="0" numFmtId="2" outline="0" showAll="0"/>
    <pivotField dataField="1" compact="0" numFmtId="2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2" outline="0" showAll="0"/>
    <pivotField compact="0" numFmtId="2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10-2024" fld="9" baseField="0" baseItem="0"/>
    <dataField name="Sum of 02-10-2024" fld="10" baseField="0" baseItem="0"/>
    <dataField name="Sum of 03-10-2024" fld="11" baseField="0" baseItem="0"/>
    <dataField name="Sum of 04-10-2024" fld="12" baseField="0" baseItem="0"/>
    <dataField name="Sum of 05-10-2024" fld="13" baseField="0" baseItem="0"/>
    <dataField name="Sum of 06-10-2024" fld="14" baseField="0" baseItem="0"/>
    <dataField name="Sum of 07-10-2024" fld="15" baseField="0" baseItem="0"/>
    <dataField name="Sum of 08-10-2024" fld="16" baseField="0" baseItem="0"/>
    <dataField name="Sum of 09-10-2024" fld="17" baseField="0" baseItem="0"/>
    <dataField name="Sum of 10-10-2024" fld="18" baseField="8" baseItem="0"/>
    <dataField name="Sum of 11-10-2024" fld="19" baseField="0" baseItem="0"/>
    <dataField name="Sum of 12-10-2024" fld="20" baseField="0" baseItem="0"/>
    <dataField name="Sum of 13-10-2024" fld="21" baseField="0" baseItem="0"/>
    <dataField name="Sum of 14-10-2024" fld="22" baseField="0" baseItem="0"/>
    <dataField name="Sum of 15-10-2024" fld="23" baseField="0" baseItem="0"/>
    <dataField name="Sum of 16-10-2024" fld="24" baseField="0" baseItem="0"/>
    <dataField name="Sum of 17-10-2024" fld="25" baseField="0" baseItem="0"/>
    <dataField name="Sum of 18-10-2024" fld="26" baseField="0" baseItem="0"/>
    <dataField name="Sum of 19-10-2024" fld="27" baseField="8" baseItem="0"/>
    <dataField name="Sum of 20-10-2024" fld="28" baseField="8" baseItem="0"/>
    <dataField name="Sum of 21-10-2024" fld="29" baseField="0" baseItem="0"/>
    <dataField name="Sum of 22-10-2024" fld="30" baseField="0" baseItem="0"/>
    <dataField name="Sum of 23-10-2024" fld="31" baseField="0" baseItem="0"/>
    <dataField name="Sum of 24-10-2024" fld="32" baseField="0" baseItem="0"/>
    <dataField name="Sum of 25-10-2024" fld="33" baseField="0" baseItem="0"/>
    <dataField name="Sum of 26-10-2024" fld="34" baseField="0" baseItem="0"/>
    <dataField name="Sum of 27-10-2024" fld="35" baseField="0" baseItem="0"/>
    <dataField name="Sum of 28-10-2024" fld="36" baseField="0" baseItem="0"/>
    <dataField name="Sum of 29-10-2024" fld="37" baseField="0" baseItem="0"/>
    <dataField name="Sum of 30-10-2024" fld="38" baseField="0" baseItem="0"/>
    <dataField name="Sum of 31-10-2024" fld="39" baseField="0" baseItem="0"/>
  </dataFields>
  <formats count="8"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8" type="button" dataOnly="0" labelOnly="1" outline="0" axis="axisRow" fieldPosition="0"/>
    </format>
    <format dxfId="267">
      <pivotArea dataOnly="0" labelOnly="1" outline="0" fieldPosition="0">
        <references count="1">
          <reference field="8" count="0"/>
        </references>
      </pivotArea>
    </format>
    <format dxfId="266">
      <pivotArea dataOnly="0" labelOnly="1" grandRow="1" outline="0" fieldPosition="0"/>
    </format>
    <format dxfId="2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4">
      <pivotArea outline="0" collapsedLevelsAreSubtotals="1" fieldPosition="0"/>
    </format>
    <format dxfId="263">
      <pivotArea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26000000}" name="PivotTable1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compactData="0" multipleFieldFilters="0">
  <location ref="A4:AH109" firstHeaderRow="0" firstDataRow="1" firstDataCol="1" rowPageCount="2" colPageCount="1"/>
  <pivotFields count="42">
    <pivotField compact="0" outline="0" showAll="0"/>
    <pivotField axis="axisPage" compact="0" outline="0" showAll="0">
      <items count="17">
        <item x="14"/>
        <item x="7"/>
        <item x="8"/>
        <item x="15"/>
        <item x="13"/>
        <item x="5"/>
        <item x="0"/>
        <item x="11"/>
        <item x="10"/>
        <item x="9"/>
        <item x="12"/>
        <item x="6"/>
        <item x="3"/>
        <item x="4"/>
        <item x="1"/>
        <item x="2"/>
        <item t="default"/>
      </items>
    </pivotField>
    <pivotField axis="axisRow" compact="0" outline="0" showAll="0">
      <items count="105">
        <item x="69"/>
        <item x="67"/>
        <item x="68"/>
        <item x="101"/>
        <item x="84"/>
        <item x="83"/>
        <item x="90"/>
        <item x="88"/>
        <item x="87"/>
        <item x="89"/>
        <item x="86"/>
        <item x="85"/>
        <item x="40"/>
        <item x="100"/>
        <item x="102"/>
        <item x="42"/>
        <item x="72"/>
        <item x="59"/>
        <item x="0"/>
        <item x="1"/>
        <item x="2"/>
        <item x="44"/>
        <item x="47"/>
        <item x="73"/>
        <item x="26"/>
        <item x="60"/>
        <item x="19"/>
        <item x="93"/>
        <item x="95"/>
        <item x="71"/>
        <item x="7"/>
        <item x="64"/>
        <item x="45"/>
        <item x="46"/>
        <item x="6"/>
        <item x="29"/>
        <item x="50"/>
        <item x="91"/>
        <item x="3"/>
        <item x="74"/>
        <item x="28"/>
        <item x="77"/>
        <item x="82"/>
        <item x="96"/>
        <item x="70"/>
        <item x="78"/>
        <item x="79"/>
        <item x="8"/>
        <item x="51"/>
        <item x="94"/>
        <item x="61"/>
        <item x="63"/>
        <item x="75"/>
        <item x="43"/>
        <item x="99"/>
        <item x="98"/>
        <item x="65"/>
        <item x="103"/>
        <item x="9"/>
        <item x="10"/>
        <item x="56"/>
        <item x="11"/>
        <item x="18"/>
        <item x="66"/>
        <item x="57"/>
        <item x="5"/>
        <item x="80"/>
        <item x="25"/>
        <item x="24"/>
        <item x="13"/>
        <item x="12"/>
        <item x="55"/>
        <item x="81"/>
        <item x="54"/>
        <item x="15"/>
        <item x="14"/>
        <item x="4"/>
        <item x="31"/>
        <item x="20"/>
        <item x="21"/>
        <item x="32"/>
        <item x="52"/>
        <item x="49"/>
        <item x="23"/>
        <item x="53"/>
        <item x="16"/>
        <item x="27"/>
        <item x="58"/>
        <item x="62"/>
        <item x="36"/>
        <item x="22"/>
        <item x="92"/>
        <item x="17"/>
        <item x="34"/>
        <item x="30"/>
        <item x="35"/>
        <item x="76"/>
        <item x="48"/>
        <item x="37"/>
        <item x="38"/>
        <item x="97"/>
        <item x="33"/>
        <item x="39"/>
        <item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</pivotFields>
  <rowFields count="1">
    <field x="2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</colItems>
  <pageFields count="2">
    <pageField fld="1" hier="-1"/>
    <pageField fld="8" hier="-1"/>
  </pageFields>
  <dataFields count="33">
    <dataField name="Sum of No. of Chargers" fld="7" baseField="0" baseItem="0"/>
    <dataField name="Sum of 01-10-2024" fld="9" baseField="2" baseItem="0" numFmtId="164"/>
    <dataField name="Sum of 02-10-2024" fld="10" baseField="0" baseItem="0" numFmtId="164"/>
    <dataField name="Sum of 03-10-2024" fld="11" baseField="0" baseItem="0" numFmtId="164"/>
    <dataField name="Sum of 04-10-2024" fld="12" baseField="0" baseItem="0" numFmtId="164"/>
    <dataField name="Sum of 05-10-2024" fld="13" baseField="0" baseItem="0" numFmtId="164"/>
    <dataField name="Sum of 06-10-2024" fld="14" baseField="0" baseItem="0" numFmtId="164"/>
    <dataField name="Sum of 07-10-2024" fld="15" baseField="0" baseItem="0" numFmtId="164"/>
    <dataField name="Sum of 08-10-2024" fld="16" baseField="0" baseItem="0" numFmtId="164"/>
    <dataField name="Sum of 09-10-2024" fld="17" baseField="0" baseItem="0" numFmtId="164"/>
    <dataField name="Sum of 10-10-2024" fld="18" baseField="2" baseItem="0" numFmtId="164"/>
    <dataField name="Sum of 11-10-2024" fld="19" baseField="0" baseItem="0"/>
    <dataField name="Sum of 12-10-2024" fld="20" baseField="0" baseItem="0"/>
    <dataField name="Sum of 13-10-2024" fld="21" baseField="0" baseItem="0"/>
    <dataField name="Sum of 14-10-2024" fld="22" baseField="0" baseItem="0"/>
    <dataField name="Sum of 15-10-2024" fld="23" baseField="0" baseItem="0"/>
    <dataField name="Sum of 16-10-2024" fld="24" baseField="0" baseItem="0"/>
    <dataField name="Sum of 17-10-2024" fld="25" baseField="0" baseItem="0"/>
    <dataField name="Sum of 18-10-2024" fld="26" baseField="0" baseItem="0"/>
    <dataField name="Sum of 19-10-2024" fld="27" baseField="2" baseItem="20"/>
    <dataField name="Sum of 20-10-2024" fld="28" baseField="2" baseItem="20"/>
    <dataField name="Sum of 21-10-2024" fld="29" baseField="2" baseItem="10"/>
    <dataField name="Sum of 22-10-2024" fld="30" baseField="0" baseItem="0"/>
    <dataField name="Sum of 23-10-2024" fld="31" baseField="0" baseItem="0"/>
    <dataField name="Sum of 24-10-2024" fld="32" baseField="0" baseItem="0"/>
    <dataField name="Sum of 25-10-2024" fld="33" baseField="0" baseItem="0"/>
    <dataField name="Sum of 26-10-2024" fld="34" baseField="0" baseItem="0"/>
    <dataField name="Sum of 27-10-2024" fld="35" baseField="0" baseItem="0"/>
    <dataField name="Sum of 28-10-2024" fld="36" baseField="0" baseItem="0"/>
    <dataField name="Sum of 29-10-2024" fld="37" baseField="0" baseItem="0"/>
    <dataField name="Sum of 30-10-2024" fld="38" baseField="0" baseItem="0"/>
    <dataField name="Sum of 31-10-2024" fld="39" baseField="0" baseItem="0"/>
    <dataField name="Sum of Average" fld="40" baseField="0" baseItem="0" numFmtId="164"/>
  </dataFields>
  <formats count="29">
    <format dxfId="299">
      <pivotArea type="all" dataOnly="0" outline="0" fieldPosition="0"/>
    </format>
    <format dxfId="298">
      <pivotArea outline="0" collapsedLevelsAreSubtotals="1" fieldPosition="0"/>
    </format>
    <format dxfId="297">
      <pivotArea field="2" type="button" dataOnly="0" labelOnly="1" outline="0" axis="axisRow" fieldPosition="0"/>
    </format>
    <format dxfId="296">
      <pivotArea dataOnly="0" labelOnly="1" outline="0" fieldPosition="0">
        <references count="1">
          <reference field="2" count="4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  <format dxfId="295">
      <pivotArea dataOnly="0" labelOnly="1" outline="0" fieldPosition="0">
        <references count="1">
          <reference field="2" count="48"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294">
      <pivotArea dataOnly="0" labelOnly="1" grandRow="1" outline="0" fieldPosition="0"/>
    </format>
    <format dxfId="2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91">
      <pivotArea outline="0" collapsedLevelsAreSubtotals="1" fieldPosition="0">
        <references count="1">
          <reference field="4294967294" count="11" selected="0">
            <x v="1"/>
            <x v="2"/>
            <x v="3"/>
            <x v="4"/>
            <x v="5"/>
            <x v="6"/>
            <x v="7"/>
            <x v="8"/>
            <x v="9"/>
            <x v="10"/>
            <x v="32"/>
          </reference>
        </references>
      </pivotArea>
    </format>
    <format dxfId="290">
      <pivotArea dataOnly="0" outline="0" fieldPosition="0">
        <references count="1">
          <reference field="4294967294" count="1">
            <x v="13"/>
          </reference>
        </references>
      </pivotArea>
    </format>
    <format dxfId="289">
      <pivotArea dataOnly="0" outline="0" fieldPosition="0">
        <references count="1">
          <reference field="4294967294" count="1">
            <x v="12"/>
          </reference>
        </references>
      </pivotArea>
    </format>
    <format dxfId="288">
      <pivotArea dataOnly="0" outline="0" fieldPosition="0">
        <references count="1">
          <reference field="4294967294" count="1">
            <x v="11"/>
          </reference>
        </references>
      </pivotArea>
    </format>
    <format dxfId="287">
      <pivotArea dataOnly="0" outline="0" fieldPosition="0">
        <references count="1">
          <reference field="4294967294" count="1">
            <x v="14"/>
          </reference>
        </references>
      </pivotArea>
    </format>
    <format dxfId="286">
      <pivotArea dataOnly="0" outline="0" fieldPosition="0">
        <references count="1">
          <reference field="4294967294" count="1">
            <x v="15"/>
          </reference>
        </references>
      </pivotArea>
    </format>
    <format dxfId="285">
      <pivotArea dataOnly="0" outline="0" fieldPosition="0">
        <references count="1">
          <reference field="4294967294" count="1">
            <x v="16"/>
          </reference>
        </references>
      </pivotArea>
    </format>
    <format dxfId="284">
      <pivotArea dataOnly="0" outline="0" fieldPosition="0">
        <references count="1">
          <reference field="4294967294" count="1">
            <x v="17"/>
          </reference>
        </references>
      </pivotArea>
    </format>
    <format dxfId="283">
      <pivotArea dataOnly="0" outline="0" fieldPosition="0">
        <references count="1">
          <reference field="4294967294" count="1">
            <x v="18"/>
          </reference>
        </references>
      </pivotArea>
    </format>
    <format dxfId="282">
      <pivotArea dataOnly="0" outline="0" fieldPosition="0">
        <references count="1">
          <reference field="4294967294" count="1">
            <x v="19"/>
          </reference>
        </references>
      </pivotArea>
    </format>
    <format dxfId="281">
      <pivotArea dataOnly="0" outline="0" fieldPosition="0">
        <references count="1">
          <reference field="4294967294" count="1">
            <x v="20"/>
          </reference>
        </references>
      </pivotArea>
    </format>
    <format dxfId="280">
      <pivotArea dataOnly="0" outline="0" fieldPosition="0">
        <references count="1">
          <reference field="4294967294" count="1">
            <x v="21"/>
          </reference>
        </references>
      </pivotArea>
    </format>
    <format dxfId="279">
      <pivotArea dataOnly="0" outline="0" fieldPosition="0">
        <references count="1">
          <reference field="4294967294" count="1">
            <x v="22"/>
          </reference>
        </references>
      </pivotArea>
    </format>
    <format dxfId="278">
      <pivotArea dataOnly="0" outline="0" fieldPosition="0">
        <references count="1">
          <reference field="4294967294" count="1">
            <x v="23"/>
          </reference>
        </references>
      </pivotArea>
    </format>
    <format dxfId="277">
      <pivotArea dataOnly="0" outline="0" fieldPosition="0">
        <references count="1">
          <reference field="4294967294" count="1">
            <x v="24"/>
          </reference>
        </references>
      </pivotArea>
    </format>
    <format dxfId="276">
      <pivotArea dataOnly="0" outline="0" fieldPosition="0">
        <references count="1">
          <reference field="4294967294" count="1">
            <x v="25"/>
          </reference>
        </references>
      </pivotArea>
    </format>
    <format dxfId="275">
      <pivotArea dataOnly="0" outline="0" fieldPosition="0">
        <references count="1">
          <reference field="4294967294" count="1">
            <x v="26"/>
          </reference>
        </references>
      </pivotArea>
    </format>
    <format dxfId="274">
      <pivotArea dataOnly="0" outline="0" fieldPosition="0">
        <references count="1">
          <reference field="4294967294" count="1">
            <x v="27"/>
          </reference>
        </references>
      </pivotArea>
    </format>
    <format dxfId="273">
      <pivotArea dataOnly="0" outline="0" fieldPosition="0">
        <references count="1">
          <reference field="4294967294" count="1">
            <x v="28"/>
          </reference>
        </references>
      </pivotArea>
    </format>
    <format dxfId="272">
      <pivotArea dataOnly="0" outline="0" fieldPosition="0">
        <references count="1">
          <reference field="4294967294" count="1">
            <x v="29"/>
          </reference>
        </references>
      </pivotArea>
    </format>
    <format dxfId="271">
      <pivotArea dataOnly="0" outline="0" fieldPosition="0">
        <references count="1">
          <reference field="4294967294" count="2">
            <x v="30"/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E00-000027000000}" name="PivotTable2" cacheId="9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5">
  <location ref="A3:R35" firstHeaderRow="1" firstDataRow="2" firstDataCol="1"/>
  <pivotFields count="42">
    <pivotField showAll="0"/>
    <pivotField axis="axisCol" showAll="0">
      <items count="17">
        <item x="14"/>
        <item x="7"/>
        <item x="8"/>
        <item x="15"/>
        <item x="13"/>
        <item x="5"/>
        <item x="0"/>
        <item x="11"/>
        <item x="10"/>
        <item x="9"/>
        <item x="12"/>
        <item x="6"/>
        <item x="3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31">
    <dataField name="Sum of 01-10-2024" fld="9" baseField="1" baseItem="0"/>
    <dataField name="Sum of 02-10-2024" fld="10" baseField="0" baseItem="0"/>
    <dataField name="Sum of 03-10-2024" fld="11" baseField="0" baseItem="0"/>
    <dataField name="Sum of 04-10-2024" fld="12" baseField="0" baseItem="0"/>
    <dataField name="Sum of 05-10-2024" fld="13" baseField="0" baseItem="0"/>
    <dataField name="Sum of 06-10-2024" fld="14" baseField="0" baseItem="0"/>
    <dataField name="Sum of 07-10-2024" fld="15" baseField="0" baseItem="0"/>
    <dataField name="Sum of 08-10-2024" fld="16" baseField="0" baseItem="0"/>
    <dataField name="Sum of 09-10-2024" fld="17" baseField="0" baseItem="0"/>
    <dataField name="Sum of 10-10-2024" fld="18" baseField="1" baseItem="0"/>
    <dataField name="Sum of 11-10-2024" fld="19" baseField="0" baseItem="0"/>
    <dataField name="Sum of 12-10-2024" fld="20" baseField="0" baseItem="0"/>
    <dataField name="Sum of 13-10-2024" fld="21" baseField="0" baseItem="0"/>
    <dataField name="Sum of 14-10-2024" fld="22" baseField="0" baseItem="0"/>
    <dataField name="Sum of 15-10-2024" fld="23" baseField="1" baseItem="13"/>
    <dataField name="Sum of 16-10-2024" fld="24" baseField="1" baseItem="15"/>
    <dataField name="Sum of 17-10-2024" fld="25" baseField="0" baseItem="0"/>
    <dataField name="Sum of 18-10-2024" fld="26" baseField="0" baseItem="0"/>
    <dataField name="Sum of 19-10-2024" fld="27" baseField="1" baseItem="12"/>
    <dataField name="Sum of 20-10-2024" fld="28" baseField="1" baseItem="12"/>
    <dataField name="Sum of 21-10-2024" fld="29" baseField="0" baseItem="0"/>
    <dataField name="Sum of 22-10-2024" fld="30" baseField="0" baseItem="0"/>
    <dataField name="Sum of 23-10-2024" fld="31" baseField="0" baseItem="0"/>
    <dataField name="Sum of 24-10-2024" fld="32" baseField="0" baseItem="0"/>
    <dataField name="Sum of 25-10-2024" fld="33" baseField="0" baseItem="0"/>
    <dataField name="Sum of 26-10-2024" fld="34" baseField="0" baseItem="0"/>
    <dataField name="Sum of 27-10-2024" fld="35" baseField="0" baseItem="0"/>
    <dataField name="Sum of 28-10-2024" fld="36" baseField="0" baseItem="0"/>
    <dataField name="Sum of 29-10-2024" fld="37" baseField="0" baseItem="0"/>
    <dataField name="Sum of 30-10-2024" fld="38" baseField="0" baseItem="0"/>
    <dataField name="Sum of 31-10-2024" fld="39" baseField="0" baseItem="0"/>
  </dataFields>
  <chartFormats count="50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7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7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7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7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7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7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8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8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9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9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9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9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9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9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9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9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9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9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1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1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1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1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1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1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1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5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5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8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8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8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8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8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8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8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8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8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8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9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9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9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9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9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9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9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9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9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9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9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9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9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1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5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5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5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6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6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6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6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6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6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6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7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7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7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7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7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7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7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7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7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7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7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7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7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8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8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9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9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9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9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9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9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9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9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9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9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9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9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9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9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9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9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1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2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2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2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2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2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2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2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2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2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2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2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4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4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4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4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4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4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4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4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4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4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4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4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4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F00-000029000000}" name="PivotTable4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145:AE150" firstHeaderRow="0" firstDataRow="1" firstDataCol="1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0"/>
        <item m="1" x="5"/>
        <item m="1" x="4"/>
        <item x="1"/>
        <item x="3"/>
        <item t="default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</pivotFields>
  <rowFields count="1">
    <field x="8"/>
  </rowFields>
  <rowItems count="5">
    <i>
      <x/>
    </i>
    <i>
      <x v="1"/>
    </i>
    <i>
      <x v="4"/>
    </i>
    <i>
      <x v="5"/>
    </i>
    <i t="grand">
      <x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dataFields count="30">
    <dataField name="Sum of 01-11-2024" fld="9" baseField="0" baseItem="0"/>
    <dataField name="Sum of 02-11-2024" fld="10" baseField="0" baseItem="0"/>
    <dataField name="Sum of 03-11-2024" fld="11" baseField="8" baseItem="0"/>
    <dataField name="Sum of 04-11-2024" fld="12" baseField="0" baseItem="0"/>
    <dataField name="Sum of 05-11-2024" fld="13" baseField="0" baseItem="0"/>
    <dataField name="Sum of 06-11-2024" fld="14" baseField="0" baseItem="0"/>
    <dataField name="Sum of 07-11-2024" fld="15" baseField="0" baseItem="0"/>
    <dataField name="Sum of 08-11-2024" fld="16" baseField="0" baseItem="0"/>
    <dataField name="Sum of 09-11-2024" fld="17" baseField="0" baseItem="0"/>
    <dataField name="Sum of 10-11-2024" fld="18" baseField="0" baseItem="0"/>
    <dataField name="Sum of 11-11-2024" fld="19" baseField="0" baseItem="0"/>
    <dataField name="Sum of 12-11-2024" fld="20" baseField="0" baseItem="0"/>
    <dataField name="Sum of 13-11-2024" fld="21" baseField="0" baseItem="0"/>
    <dataField name="Sum of 14-11-2024" fld="22" baseField="0" baseItem="0"/>
    <dataField name="Sum of 15-11-2024" fld="23" baseField="0" baseItem="0"/>
    <dataField name="Sum of 16-11-2024" fld="24" baseField="0" baseItem="0"/>
    <dataField name="Sum of 17-11-2024" fld="25" baseField="0" baseItem="0"/>
    <dataField name="Sum of 18-11-2024" fld="26" baseField="0" baseItem="0"/>
    <dataField name="Sum of 19-11-2024" fld="27" baseField="0" baseItem="0"/>
    <dataField name="Sum of 20-11-2024" fld="28" baseField="0" baseItem="0"/>
    <dataField name="Sum of 21-11-2024" fld="29" baseField="0" baseItem="0"/>
    <dataField name="Sum of 22-11-2024" fld="30" baseField="0" baseItem="0"/>
    <dataField name="Sum of 23-11-2024" fld="31" baseField="0" baseItem="0"/>
    <dataField name="Sum of 24-11-2024" fld="32" baseField="0" baseItem="0"/>
    <dataField name="Sum of 25-11-2024" fld="33" baseField="0" baseItem="0"/>
    <dataField name="Sum of 26-11-2024" fld="34" baseField="0" baseItem="0"/>
    <dataField name="Sum of 27-11-2024" fld="35" baseField="0" baseItem="0"/>
    <dataField name="Sum of 28-11-2024" fld="36" baseField="0" baseItem="0"/>
    <dataField name="Sum of 29-11-2024" fld="37" baseField="0" baseItem="0"/>
    <dataField name="Sum of 30-11-2024" fld="38" baseField="0" baseItem="0"/>
  </dataFields>
  <formats count="7">
    <format dxfId="228">
      <pivotArea collapsedLevelsAreSubtotals="1" fieldPosition="0">
        <references count="1">
          <reference field="8" count="0"/>
        </references>
      </pivotArea>
    </format>
    <format dxfId="227">
      <pivotArea type="all" dataOnly="0" outline="0" fieldPosition="0"/>
    </format>
    <format dxfId="226">
      <pivotArea outline="0" collapsedLevelsAreSubtotals="1" fieldPosition="0"/>
    </format>
    <format dxfId="225">
      <pivotArea field="8" type="button" dataOnly="0" labelOnly="1" outline="0" axis="axisRow" fieldPosition="0"/>
    </format>
    <format dxfId="224">
      <pivotArea dataOnly="0" labelOnly="1" fieldPosition="0">
        <references count="1">
          <reference field="8" count="0"/>
        </references>
      </pivotArea>
    </format>
    <format dxfId="223">
      <pivotArea dataOnly="0" labelOnly="1" grandRow="1" outline="0" fieldPosition="0"/>
    </format>
    <format dxfId="2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F00-000028000000}" name="PivotTable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4:AG118" firstHeaderRow="0" firstDataRow="1" firstDataCol="1" rowPageCount="2" colPageCount="1"/>
  <pivotFields count="41">
    <pivotField showAll="0"/>
    <pivotField axis="axisPage" showAll="0">
      <items count="24">
        <item x="19"/>
        <item x="7"/>
        <item x="8"/>
        <item x="21"/>
        <item x="18"/>
        <item x="5"/>
        <item x="0"/>
        <item x="2"/>
        <item x="16"/>
        <item x="13"/>
        <item x="10"/>
        <item x="17"/>
        <item x="6"/>
        <item x="3"/>
        <item x="4"/>
        <item x="1"/>
        <item x="14"/>
        <item x="15"/>
        <item x="20"/>
        <item x="9"/>
        <item x="22"/>
        <item x="11"/>
        <item x="12"/>
        <item t="default"/>
      </items>
    </pivotField>
    <pivotField axis="axisRow" showAll="0">
      <items count="115">
        <item x="73"/>
        <item x="71"/>
        <item x="72"/>
        <item x="108"/>
        <item x="90"/>
        <item x="89"/>
        <item x="96"/>
        <item x="94"/>
        <item x="93"/>
        <item x="95"/>
        <item x="92"/>
        <item x="91"/>
        <item x="39"/>
        <item x="107"/>
        <item x="109"/>
        <item x="42"/>
        <item x="77"/>
        <item x="60"/>
        <item x="0"/>
        <item x="1"/>
        <item x="2"/>
        <item x="44"/>
        <item x="47"/>
        <item x="78"/>
        <item x="25"/>
        <item m="1" x="113"/>
        <item x="36"/>
        <item x="18"/>
        <item x="38"/>
        <item x="99"/>
        <item x="101"/>
        <item x="103"/>
        <item x="76"/>
        <item x="7"/>
        <item x="68"/>
        <item x="45"/>
        <item x="46"/>
        <item x="6"/>
        <item x="28"/>
        <item x="50"/>
        <item x="97"/>
        <item x="3"/>
        <item x="79"/>
        <item x="27"/>
        <item x="82"/>
        <item x="88"/>
        <item x="102"/>
        <item x="75"/>
        <item x="83"/>
        <item x="84"/>
        <item x="8"/>
        <item x="51"/>
        <item x="100"/>
        <item x="61"/>
        <item x="67"/>
        <item x="80"/>
        <item x="43"/>
        <item x="106"/>
        <item x="105"/>
        <item x="69"/>
        <item x="110"/>
        <item x="9"/>
        <item x="10"/>
        <item x="56"/>
        <item x="11"/>
        <item x="17"/>
        <item x="70"/>
        <item x="57"/>
        <item x="5"/>
        <item x="85"/>
        <item x="24"/>
        <item x="37"/>
        <item x="48"/>
        <item x="23"/>
        <item x="13"/>
        <item x="12"/>
        <item x="55"/>
        <item x="87"/>
        <item x="54"/>
        <item x="15"/>
        <item x="14"/>
        <item x="4"/>
        <item x="30"/>
        <item x="19"/>
        <item x="20"/>
        <item x="31"/>
        <item x="52"/>
        <item x="32"/>
        <item x="49"/>
        <item x="22"/>
        <item x="53"/>
        <item x="26"/>
        <item x="58"/>
        <item x="64"/>
        <item x="35"/>
        <item x="41"/>
        <item x="21"/>
        <item x="98"/>
        <item x="16"/>
        <item x="33"/>
        <item x="29"/>
        <item x="34"/>
        <item x="81"/>
        <item x="104"/>
        <item x="65"/>
        <item x="74"/>
        <item x="66"/>
        <item x="59"/>
        <item x="111"/>
        <item x="112"/>
        <item x="40"/>
        <item x="62"/>
        <item x="63"/>
        <item x="86"/>
        <item t="default"/>
      </items>
    </pivotField>
    <pivotField showAll="0"/>
    <pivotField showAll="0"/>
    <pivotField showAll="0"/>
    <pivotField showAll="0"/>
    <pivotField dataField="1" showAll="0"/>
    <pivotField axis="axisPage" showAll="0">
      <items count="7">
        <item x="2"/>
        <item x="0"/>
        <item m="1" x="5"/>
        <item m="1" x="4"/>
        <item x="1"/>
        <item x="3"/>
        <item t="default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/>
  </pivotFields>
  <rowFields count="1">
    <field x="2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2">
    <pageField fld="1" hier="-1"/>
    <pageField fld="8" hier="-1"/>
  </pageFields>
  <dataFields count="32">
    <dataField name="Sum of No. of Chargers" fld="7" baseField="0" baseItem="0"/>
    <dataField name="Sum of 01-11-2024" fld="9" baseField="0" baseItem="0"/>
    <dataField name="Sum of 02-11-2024" fld="10" baseField="0" baseItem="0"/>
    <dataField name="Sum of 03-11-2024" fld="11" baseField="2" baseItem="100"/>
    <dataField name="Sum of 04-11-2024" fld="12" baseField="0" baseItem="0"/>
    <dataField name="Sum of 05-11-2024" fld="13" baseField="0" baseItem="0"/>
    <dataField name="Sum of 06-11-2024" fld="14" baseField="0" baseItem="0"/>
    <dataField name="Sum of 07-11-2024" fld="15" baseField="0" baseItem="0"/>
    <dataField name="Sum of 08-11-2024" fld="16" baseField="0" baseItem="0"/>
    <dataField name="Sum of 09-11-2024" fld="17" baseField="0" baseItem="0"/>
    <dataField name="Sum of 10-11-2024" fld="18" baseField="0" baseItem="0"/>
    <dataField name="Sum of 11-11-2024" fld="19" baseField="0" baseItem="0"/>
    <dataField name="Sum of 12-11-2024" fld="20" baseField="0" baseItem="0"/>
    <dataField name="Sum of 13-11-2024" fld="21" baseField="0" baseItem="0"/>
    <dataField name="Sum of 14-11-2024" fld="22" baseField="0" baseItem="0"/>
    <dataField name="Sum of 15-11-2024" fld="23" baseField="0" baseItem="0"/>
    <dataField name="Sum of 16-11-2024" fld="24" baseField="0" baseItem="0"/>
    <dataField name="Sum of 17-11-2024" fld="25" baseField="0" baseItem="0"/>
    <dataField name="Sum of 18-11-2024" fld="26" baseField="0" baseItem="0"/>
    <dataField name="Sum of 19-11-2024" fld="27" baseField="0" baseItem="0"/>
    <dataField name="Sum of 20-11-2024" fld="28" baseField="0" baseItem="0"/>
    <dataField name="Sum of 21-11-2024" fld="29" baseField="0" baseItem="0"/>
    <dataField name="Sum of 22-11-2024" fld="30" baseField="0" baseItem="0"/>
    <dataField name="Sum of 23-11-2024" fld="31" baseField="0" baseItem="0"/>
    <dataField name="Sum of 24-11-2024" fld="32" baseField="0" baseItem="0"/>
    <dataField name="Sum of 25-11-2024" fld="33" baseField="0" baseItem="0"/>
    <dataField name="Sum of 26-11-2024" fld="34" baseField="0" baseItem="0"/>
    <dataField name="Sum of 27-11-2024" fld="35" baseField="0" baseItem="0"/>
    <dataField name="Sum of 28-11-2024" fld="36" baseField="0" baseItem="0"/>
    <dataField name="Sum of 29-11-2024" fld="37" baseField="0" baseItem="0"/>
    <dataField name="Sum of 30-11-2024" fld="38" baseField="0" baseItem="0"/>
    <dataField name="Sum of Average" fld="39" baseField="0" baseItem="0"/>
  </dataFields>
  <formats count="34">
    <format dxfId="262">
      <pivotArea collapsedLevelsAreSubtotals="1" fieldPosition="0">
        <references count="1">
          <reference field="2" count="0"/>
        </references>
      </pivotArea>
    </format>
    <format dxfId="26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0">
      <pivotArea dataOnly="0" labelOnly="1" fieldPosition="0">
        <references count="1">
          <reference field="2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259">
      <pivotArea dataOnly="0" labelOnly="1" fieldPosition="0">
        <references count="1">
          <reference field="2" count="4">
            <x v="99"/>
            <x v="100"/>
            <x v="101"/>
            <x v="102"/>
          </reference>
        </references>
      </pivotArea>
    </format>
    <format dxfId="258">
      <pivotArea collapsedLevelsAreSubtotals="1" fieldPosition="0">
        <references count="1">
          <reference field="2" count="0"/>
        </references>
      </pivotArea>
    </format>
    <format dxfId="257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6">
      <pivotArea dataOnly="0" labelOnly="1" fieldPosition="0">
        <references count="1">
          <reference field="2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255">
      <pivotArea dataOnly="0" labelOnly="1" fieldPosition="0">
        <references count="1">
          <reference field="2" count="4">
            <x v="99"/>
            <x v="100"/>
            <x v="101"/>
            <x v="102"/>
          </reference>
        </references>
      </pivotArea>
    </format>
    <format dxfId="254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53">
      <pivotArea dataOnly="0" outline="0" fieldPosition="0">
        <references count="1">
          <reference field="4294967294" count="2">
            <x v="4"/>
            <x v="31"/>
          </reference>
        </references>
      </pivotArea>
    </format>
    <format dxfId="252">
      <pivotArea dataOnly="0" outline="0" fieldPosition="0">
        <references count="1">
          <reference field="4294967294" count="1">
            <x v="5"/>
          </reference>
        </references>
      </pivotArea>
    </format>
    <format dxfId="251">
      <pivotArea dataOnly="0" outline="0" fieldPosition="0">
        <references count="1">
          <reference field="4294967294" count="1">
            <x v="6"/>
          </reference>
        </references>
      </pivotArea>
    </format>
    <format dxfId="250">
      <pivotArea dataOnly="0" outline="0" fieldPosition="0">
        <references count="1">
          <reference field="4294967294" count="1">
            <x v="7"/>
          </reference>
        </references>
      </pivotArea>
    </format>
    <format dxfId="249">
      <pivotArea dataOnly="0" outline="0" fieldPosition="0">
        <references count="1">
          <reference field="4294967294" count="1">
            <x v="8"/>
          </reference>
        </references>
      </pivotArea>
    </format>
    <format dxfId="248">
      <pivotArea dataOnly="0" outline="0" fieldPosition="0">
        <references count="1">
          <reference field="4294967294" count="2">
            <x v="9"/>
            <x v="10"/>
          </reference>
        </references>
      </pivotArea>
    </format>
    <format dxfId="247">
      <pivotArea dataOnly="0" outline="0" fieldPosition="0">
        <references count="1">
          <reference field="4294967294" count="1">
            <x v="11"/>
          </reference>
        </references>
      </pivotArea>
    </format>
    <format dxfId="246">
      <pivotArea dataOnly="0" outline="0" fieldPosition="0">
        <references count="1">
          <reference field="4294967294" count="1">
            <x v="12"/>
          </reference>
        </references>
      </pivotArea>
    </format>
    <format dxfId="245">
      <pivotArea dataOnly="0" outline="0" fieldPosition="0">
        <references count="1">
          <reference field="4294967294" count="1">
            <x v="13"/>
          </reference>
        </references>
      </pivotArea>
    </format>
    <format dxfId="244">
      <pivotArea dataOnly="0" outline="0" fieldPosition="0">
        <references count="1">
          <reference field="4294967294" count="1">
            <x v="14"/>
          </reference>
        </references>
      </pivotArea>
    </format>
    <format dxfId="243">
      <pivotArea dataOnly="0" outline="0" fieldPosition="0">
        <references count="1">
          <reference field="4294967294" count="1">
            <x v="15"/>
          </reference>
        </references>
      </pivotArea>
    </format>
    <format dxfId="242">
      <pivotArea dataOnly="0" outline="0" fieldPosition="0">
        <references count="1">
          <reference field="4294967294" count="2">
            <x v="16"/>
            <x v="17"/>
          </reference>
        </references>
      </pivotArea>
    </format>
    <format dxfId="241">
      <pivotArea dataOnly="0" outline="0" fieldPosition="0">
        <references count="1">
          <reference field="4294967294" count="1">
            <x v="18"/>
          </reference>
        </references>
      </pivotArea>
    </format>
    <format dxfId="240">
      <pivotArea dataOnly="0" outline="0" fieldPosition="0">
        <references count="1">
          <reference field="4294967294" count="1">
            <x v="19"/>
          </reference>
        </references>
      </pivotArea>
    </format>
    <format dxfId="239">
      <pivotArea dataOnly="0" outline="0" fieldPosition="0">
        <references count="1">
          <reference field="4294967294" count="1">
            <x v="20"/>
          </reference>
        </references>
      </pivotArea>
    </format>
    <format dxfId="238">
      <pivotArea dataOnly="0" outline="0" fieldPosition="0">
        <references count="1">
          <reference field="4294967294" count="1">
            <x v="21"/>
          </reference>
        </references>
      </pivotArea>
    </format>
    <format dxfId="237">
      <pivotArea dataOnly="0" outline="0" fieldPosition="0">
        <references count="1">
          <reference field="4294967294" count="1">
            <x v="22"/>
          </reference>
        </references>
      </pivotArea>
    </format>
    <format dxfId="236">
      <pivotArea dataOnly="0" outline="0" fieldPosition="0">
        <references count="1">
          <reference field="4294967294" count="2">
            <x v="23"/>
            <x v="24"/>
          </reference>
        </references>
      </pivotArea>
    </format>
    <format dxfId="235">
      <pivotArea dataOnly="0" outline="0" fieldPosition="0">
        <references count="1">
          <reference field="4294967294" count="1">
            <x v="25"/>
          </reference>
        </references>
      </pivotArea>
    </format>
    <format dxfId="234">
      <pivotArea dataOnly="0" labelOnly="1" fieldPosition="0">
        <references count="1">
          <reference field="2" count="11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33">
      <pivotArea dataOnly="0" outline="0" fieldPosition="0">
        <references count="1">
          <reference field="4294967294" count="1">
            <x v="26"/>
          </reference>
        </references>
      </pivotArea>
    </format>
    <format dxfId="232">
      <pivotArea dataOnly="0" outline="0" fieldPosition="0">
        <references count="1">
          <reference field="4294967294" count="1">
            <x v="27"/>
          </reference>
        </references>
      </pivotArea>
    </format>
    <format dxfId="231">
      <pivotArea dataOnly="0" outline="0" fieldPosition="0">
        <references count="1">
          <reference field="4294967294" count="1">
            <x v="28"/>
          </reference>
        </references>
      </pivotArea>
    </format>
    <format dxfId="230">
      <pivotArea dataOnly="0" outline="0" fieldPosition="0">
        <references count="1">
          <reference field="4294967294" count="1">
            <x v="29"/>
          </reference>
        </references>
      </pivotArea>
    </format>
    <format dxfId="229">
      <pivotArea dataOnly="0" outline="0" fieldPosition="0">
        <references count="1">
          <reference field="4294967294" count="1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100-00002A000000}" name="PivotTable5" cacheId="9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0">
  <location ref="A3:Y34" firstHeaderRow="1" firstDataRow="2" firstDataCol="1"/>
  <pivotFields count="41">
    <pivotField showAll="0"/>
    <pivotField axis="axisCol" showAll="0">
      <items count="24">
        <item x="19"/>
        <item x="7"/>
        <item x="8"/>
        <item x="21"/>
        <item x="18"/>
        <item x="5"/>
        <item x="0"/>
        <item x="2"/>
        <item x="16"/>
        <item x="13"/>
        <item x="10"/>
        <item x="17"/>
        <item x="6"/>
        <item x="3"/>
        <item x="4"/>
        <item x="1"/>
        <item x="14"/>
        <item x="15"/>
        <item x="20"/>
        <item x="9"/>
        <item x="22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</pivotFields>
  <rowFields count="1">
    <field x="-2"/>
  </rowFields>
  <row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30">
    <dataField name="Sum of 01-11-2024" fld="9" baseField="0" baseItem="0"/>
    <dataField name="Sum of 02-11-2024" fld="10" baseField="1" baseItem="6"/>
    <dataField name="Sum of 03-11-2024" fld="11" baseField="1" baseItem="10"/>
    <dataField name="Sum of 04-11-2024" fld="12" baseField="1" baseItem="10"/>
    <dataField name="Sum of 05-11-2024" fld="13" baseField="1" baseItem="10"/>
    <dataField name="Sum of 06-11-2024" fld="14" baseField="1" baseItem="0"/>
    <dataField name="Sum of 07-11-2024" fld="15" baseField="1" baseItem="0"/>
    <dataField name="Sum of 08-11-2024" fld="16" baseField="1" baseItem="0"/>
    <dataField name="Sum of 09-11-2024" fld="17" baseField="1" baseItem="12"/>
    <dataField name="Sum of 10-11-2024" fld="18" baseField="1" baseItem="12"/>
    <dataField name="Sum of 11-11-2024" fld="19" baseField="1" baseItem="12"/>
    <dataField name="Sum of 12-11-2024" fld="20" baseField="1" baseItem="12"/>
    <dataField name="Sum of 13-11-2024" fld="21" baseField="1" baseItem="12"/>
    <dataField name="Sum of 14-11-2024" fld="22" baseField="1" baseItem="10"/>
    <dataField name="Sum of 15-11-2024" fld="23" baseField="1" baseItem="10"/>
    <dataField name="Sum of 16-11-2024" fld="24" baseField="1" baseItem="10"/>
    <dataField name="Sum of 17-11-2024" fld="25" baseField="1" baseItem="10"/>
    <dataField name="Sum of 18-11-2024" fld="26" baseField="1" baseItem="10"/>
    <dataField name="Sum of 19-11-2024" fld="27" baseField="1" baseItem="10"/>
    <dataField name="Sum of 20-11-2024" fld="28" baseField="1" baseItem="10"/>
    <dataField name="Sum of 21-11-2024" fld="29" baseField="1" baseItem="10"/>
    <dataField name="Sum of 22-11-2024" fld="30" baseField="1" baseItem="10"/>
    <dataField name="Sum of 23-11-2024" fld="31" baseField="1" baseItem="10"/>
    <dataField name="Sum of 24-11-2024" fld="32" baseField="1" baseItem="10"/>
    <dataField name="Sum of 25-11-2024" fld="33" baseField="0" baseItem="0"/>
    <dataField name="Sum of 26-11-2024" fld="34" baseField="0" baseItem="0"/>
    <dataField name="Sum of 27-11-2024" fld="35" baseField="0" baseItem="0"/>
    <dataField name="Sum of 28-11-2024" fld="36" baseField="0" baseItem="0"/>
    <dataField name="Sum of 29-11-2024" fld="37" baseField="0" baseItem="0"/>
    <dataField name="Sum of 30-11-2024" fld="38" baseField="0" baseItem="0"/>
  </dataFields>
  <chartFormats count="341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8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9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9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9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9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9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9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9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9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9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9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9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1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1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1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1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1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1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3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3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3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3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3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3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3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3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3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4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4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4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4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4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4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4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4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4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6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6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6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6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6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6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1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1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1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1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1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1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1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1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1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1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1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1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1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1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1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1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3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3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3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3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3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3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3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3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3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3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4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4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4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4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4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8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8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8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8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8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8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8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8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8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8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8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8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8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8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8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8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8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8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8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7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7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7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7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7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7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7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7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7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7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7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7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7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7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7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7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7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7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7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7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7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7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7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9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9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9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9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9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9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9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9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9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9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9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9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9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9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9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9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9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9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9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9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9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9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9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2C000000}" name="PivotTable4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144:AF149" firstHeaderRow="0" firstDataRow="1" firstDataCol="1"/>
  <pivotFields count="43"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2" showAll="0"/>
    <pivotField numFmtId="2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12-2024" fld="10" baseField="9" baseItem="0"/>
    <dataField name="Sum of 02-12-2024" fld="11" baseField="0" baseItem="0"/>
    <dataField name="Sum of 03-12-2024" fld="12" baseField="0" baseItem="0"/>
    <dataField name="Sum of 04-12-2024" fld="13" baseField="0" baseItem="0"/>
    <dataField name="Sum of 05-12-2024" fld="14" baseField="0" baseItem="0"/>
    <dataField name="Sum of 06-12-2024" fld="15" baseField="0" baseItem="0"/>
    <dataField name="Sum of 07-12-2024" fld="16" baseField="0" baseItem="0"/>
    <dataField name="Sum of 08-12-2024" fld="17" baseField="0" baseItem="0"/>
    <dataField name="Sum of 09-12-2024" fld="18" baseField="0" baseItem="0"/>
    <dataField name="Sum of 10-12-2024" fld="19" baseField="0" baseItem="0"/>
    <dataField name="Sum of 11-12-2024" fld="20" baseField="0" baseItem="0"/>
    <dataField name="Sum of 12-12-2024" fld="21" baseField="0" baseItem="0"/>
    <dataField name="Sum of 13-12-2024" fld="22" baseField="0" baseItem="0"/>
    <dataField name="Sum of 14-12-2024" fld="23" baseField="0" baseItem="0"/>
    <dataField name="Sum of 15-12-2024" fld="24" baseField="0" baseItem="0"/>
    <dataField name="Sum of 16-12-2024" fld="25" baseField="0" baseItem="0"/>
    <dataField name="Sum of 17-12-2024" fld="26" baseField="0" baseItem="0"/>
    <dataField name="Sum of 18-12-2024" fld="27" baseField="0" baseItem="0"/>
    <dataField name="Sum of 19-12-2024" fld="28" baseField="0" baseItem="0"/>
    <dataField name="Sum of 20-12-2024" fld="29" baseField="0" baseItem="0"/>
    <dataField name="Sum of 21-12-2024" fld="30" baseField="0" baseItem="0"/>
    <dataField name="Sum of 22-12-2024" fld="31" baseField="0" baseItem="0"/>
    <dataField name="Sum of 23-12-2024" fld="32" baseField="0" baseItem="0"/>
    <dataField name="Sum of 24-12-2024" fld="33" baseField="0" baseItem="0"/>
    <dataField name="Sum of 25-12-2024" fld="34" baseField="0" baseItem="0"/>
    <dataField name="Sum of 26-12-2024" fld="35" baseField="0" baseItem="0"/>
    <dataField name="Sum of 27-12-2024" fld="36" baseField="0" baseItem="0"/>
    <dataField name="Sum of 28-12-2024" fld="37" baseField="0" baseItem="0"/>
    <dataField name="Sum of 29-12-2024" fld="38" baseField="0" baseItem="0"/>
    <dataField name="Sum of 30-12-2024" fld="39" baseField="0" baseItem="0"/>
    <dataField name="Sum of 31-12-2024" fld="40" baseField="0" baseItem="0"/>
  </dataFields>
  <formats count="6"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9" type="button" dataOnly="0" labelOnly="1" outline="0" axis="axisRow" fieldPosition="0"/>
    </format>
    <format dxfId="178">
      <pivotArea dataOnly="0" labelOnly="1" outline="0" axis="axisValues" fieldPosition="0"/>
    </format>
    <format dxfId="177">
      <pivotArea dataOnly="0" labelOnly="1" fieldPosition="0">
        <references count="1">
          <reference field="9" count="0"/>
        </references>
      </pivotArea>
    </format>
    <format dxfId="17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2B000000}" name="PivotTable3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5:AG127" firstHeaderRow="0" firstDataRow="1" firstDataCol="1" rowPageCount="2" colPageCount="1"/>
  <pivotFields count="43">
    <pivotField showAll="0"/>
    <pivotField axis="axisPage" showAll="0">
      <items count="31">
        <item x="14"/>
        <item x="13"/>
        <item x="26"/>
        <item x="7"/>
        <item x="9"/>
        <item x="8"/>
        <item x="28"/>
        <item x="25"/>
        <item x="5"/>
        <item x="0"/>
        <item x="2"/>
        <item x="23"/>
        <item x="15"/>
        <item x="17"/>
        <item x="12"/>
        <item x="16"/>
        <item x="24"/>
        <item x="29"/>
        <item x="27"/>
        <item x="6"/>
        <item x="3"/>
        <item x="4"/>
        <item x="1"/>
        <item x="19"/>
        <item x="20"/>
        <item x="21"/>
        <item x="22"/>
        <item x="10"/>
        <item x="18"/>
        <item x="11"/>
        <item t="default"/>
      </items>
    </pivotField>
    <pivotField showAll="0" defaultSubtotal="0"/>
    <pivotField axis="axisRow" showAll="0">
      <items count="229">
        <item m="1" x="207"/>
        <item m="1" x="225"/>
        <item m="1" x="123"/>
        <item m="1" x="121"/>
        <item m="1" x="202"/>
        <item x="116"/>
        <item m="1" x="126"/>
        <item m="1" x="131"/>
        <item m="1" x="148"/>
        <item m="1" x="144"/>
        <item m="1" x="201"/>
        <item m="1" x="203"/>
        <item m="1" x="211"/>
        <item m="1" x="226"/>
        <item x="39"/>
        <item x="115"/>
        <item x="117"/>
        <item x="43"/>
        <item m="1" x="143"/>
        <item m="1" x="136"/>
        <item m="1" x="227"/>
        <item m="1" x="223"/>
        <item m="1" x="153"/>
        <item m="1" x="157"/>
        <item m="1" x="176"/>
        <item m="1" x="193"/>
        <item m="1" x="220"/>
        <item m="1" x="187"/>
        <item m="1" x="139"/>
        <item m="1" x="151"/>
        <item m="1" x="169"/>
        <item m="1" x="156"/>
        <item x="110"/>
        <item m="1" x="161"/>
        <item m="1" x="179"/>
        <item m="1" x="209"/>
        <item m="1" x="180"/>
        <item m="1" x="189"/>
        <item m="1" x="214"/>
        <item m="1" x="149"/>
        <item m="1" x="155"/>
        <item m="1" x="122"/>
        <item m="1" x="200"/>
        <item m="1" x="194"/>
        <item m="1" x="127"/>
        <item m="1" x="135"/>
        <item m="1" x="205"/>
        <item x="109"/>
        <item m="1" x="224"/>
        <item m="1" x="174"/>
        <item m="1" x="147"/>
        <item m="1" x="134"/>
        <item m="1" x="166"/>
        <item m="1" x="130"/>
        <item m="1" x="173"/>
        <item m="1" x="132"/>
        <item m="1" x="177"/>
        <item x="44"/>
        <item x="114"/>
        <item x="113"/>
        <item m="1" x="181"/>
        <item x="118"/>
        <item m="1" x="192"/>
        <item m="1" x="160"/>
        <item m="1" x="184"/>
        <item m="1" x="204"/>
        <item m="1" x="138"/>
        <item m="1" x="164"/>
        <item m="1" x="199"/>
        <item m="1" x="124"/>
        <item m="1" x="159"/>
        <item m="1" x="150"/>
        <item m="1" x="128"/>
        <item m="1" x="125"/>
        <item m="1" x="178"/>
        <item m="1" x="222"/>
        <item m="1" x="210"/>
        <item m="1" x="154"/>
        <item m="1" x="188"/>
        <item m="1" x="197"/>
        <item m="1" x="145"/>
        <item m="1" x="171"/>
        <item m="1" x="206"/>
        <item m="1" x="190"/>
        <item m="1" x="133"/>
        <item m="1" x="175"/>
        <item m="1" x="212"/>
        <item m="1" x="216"/>
        <item m="1" x="217"/>
        <item m="1" x="165"/>
        <item m="1" x="172"/>
        <item m="1" x="219"/>
        <item m="1" x="221"/>
        <item m="1" x="167"/>
        <item m="1" x="146"/>
        <item m="1" x="215"/>
        <item m="1" x="218"/>
        <item m="1" x="182"/>
        <item x="59"/>
        <item m="1" x="140"/>
        <item m="1" x="196"/>
        <item m="1" x="198"/>
        <item m="1" x="141"/>
        <item m="1" x="191"/>
        <item m="1" x="162"/>
        <item m="1" x="158"/>
        <item m="1" x="129"/>
        <item m="1" x="195"/>
        <item m="1" x="142"/>
        <item m="1" x="183"/>
        <item m="1" x="213"/>
        <item m="1" x="137"/>
        <item m="1" x="185"/>
        <item m="1" x="170"/>
        <item m="1" x="168"/>
        <item m="1" x="152"/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m="1" x="163"/>
        <item x="60"/>
        <item x="63"/>
        <item x="64"/>
        <item x="66"/>
        <item x="67"/>
        <item x="68"/>
        <item x="69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m="1" x="186"/>
        <item x="86"/>
        <item x="87"/>
        <item x="88"/>
        <item x="89"/>
        <item x="90"/>
        <item x="91"/>
        <item x="92"/>
        <item x="93"/>
        <item x="95"/>
        <item x="96"/>
        <item x="97"/>
        <item x="98"/>
        <item x="99"/>
        <item x="100"/>
        <item x="101"/>
        <item x="102"/>
        <item x="103"/>
        <item m="1" x="208"/>
        <item x="104"/>
        <item x="105"/>
        <item x="106"/>
        <item x="107"/>
        <item x="112"/>
        <item x="119"/>
        <item x="120"/>
        <item x="58"/>
        <item x="65"/>
        <item x="85"/>
        <item x="94"/>
        <item x="108"/>
        <item x="74"/>
        <item x="61"/>
        <item x="70"/>
        <item x="111"/>
        <item x="6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0"/>
        <item x="3"/>
        <item t="default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/>
    <pivotField showAll="0"/>
  </pivotFields>
  <rowFields count="1">
    <field x="3"/>
  </rowFields>
  <rowItems count="122">
    <i>
      <x v="5"/>
    </i>
    <i>
      <x v="14"/>
    </i>
    <i>
      <x v="15"/>
    </i>
    <i>
      <x v="16"/>
    </i>
    <i>
      <x v="17"/>
    </i>
    <i>
      <x v="32"/>
    </i>
    <i>
      <x v="47"/>
    </i>
    <i>
      <x v="57"/>
    </i>
    <i>
      <x v="58"/>
    </i>
    <i>
      <x v="59"/>
    </i>
    <i>
      <x v="61"/>
    </i>
    <i>
      <x v="98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2">
    <pageField fld="1" hier="-1"/>
    <pageField fld="9" hier="-1"/>
  </pageFields>
  <dataFields count="32">
    <dataField name="Sum of 01-12-2024" fld="10" baseField="3" baseItem="6"/>
    <dataField name="Sum of 02-12-2024" fld="11" baseField="0" baseItem="0"/>
    <dataField name="Sum of 03-12-2024" fld="12" baseField="0" baseItem="0"/>
    <dataField name="Sum of 04-12-2024" fld="13" baseField="0" baseItem="0"/>
    <dataField name="Sum of 05-12-2024" fld="14" baseField="0" baseItem="0"/>
    <dataField name="Sum of 06-12-2024" fld="15" baseField="0" baseItem="0"/>
    <dataField name="Sum of 07-12-2024" fld="16" baseField="0" baseItem="0"/>
    <dataField name="Sum of 08-12-2024" fld="17" baseField="0" baseItem="0"/>
    <dataField name="Sum of 09-12-2024" fld="18" baseField="0" baseItem="0"/>
    <dataField name="Sum of 10-12-2024" fld="19" baseField="0" baseItem="0"/>
    <dataField name="Sum of 11-12-2024" fld="20" baseField="0" baseItem="0"/>
    <dataField name="Sum of 12-12-2024" fld="21" baseField="0" baseItem="0"/>
    <dataField name="Sum of 13-12-2024" fld="22" baseField="0" baseItem="0"/>
    <dataField name="Sum of 14-12-2024" fld="23" baseField="0" baseItem="0"/>
    <dataField name="Sum of 15-12-2024" fld="24" baseField="0" baseItem="0"/>
    <dataField name="Sum of 16-12-2024" fld="25" baseField="0" baseItem="0"/>
    <dataField name="Sum of 17-12-2024" fld="26" baseField="0" baseItem="0"/>
    <dataField name="Sum of 18-12-2024" fld="27" baseField="0" baseItem="0"/>
    <dataField name="Sum of 19-12-2024" fld="28" baseField="0" baseItem="0"/>
    <dataField name="Sum of 20-12-2024" fld="29" baseField="0" baseItem="0"/>
    <dataField name="Sum of 21-12-2024" fld="30" baseField="0" baseItem="0"/>
    <dataField name="Sum of 22-12-2024" fld="31" baseField="0" baseItem="0"/>
    <dataField name="Sum of 23-12-2024" fld="32" baseField="0" baseItem="0"/>
    <dataField name="Sum of 24-12-2024" fld="33" baseField="0" baseItem="0"/>
    <dataField name="Sum of 25-12-2024" fld="34" baseField="0" baseItem="0"/>
    <dataField name="Sum of 26-12-2024" fld="35" baseField="0" baseItem="0"/>
    <dataField name="Sum of 27-12-2024" fld="36" baseField="0" baseItem="0"/>
    <dataField name="Sum of 28-12-2024" fld="37" baseField="0" baseItem="0"/>
    <dataField name="Sum of 29-12-2024" fld="38" baseField="0" baseItem="0"/>
    <dataField name="Sum of 30-12-2024" fld="39" baseField="0" baseItem="0"/>
    <dataField name="Sum of 31-12-2024" fld="40" baseField="0" baseItem="0"/>
    <dataField name="Sum of Average" fld="41" baseField="2" baseItem="0"/>
  </dataFields>
  <formats count="40">
    <format dxfId="221">
      <pivotArea dataOnly="0" outline="0" fieldPosition="0">
        <references count="1">
          <reference field="4294967294" count="1">
            <x v="31"/>
          </reference>
        </references>
      </pivotArea>
    </format>
    <format dxfId="220">
      <pivotArea outline="0" collapsedLevelsAreSubtotals="1" fieldPosition="0"/>
    </format>
    <format dxfId="219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8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7">
      <pivotArea dataOnly="0" labelOnly="1" fieldPosition="0">
        <references count="1">
          <reference field="3" count="1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216">
      <pivotArea dataOnly="0" labelOnly="1" grandRow="1" outline="0" fieldPosition="0"/>
    </format>
    <format dxfId="215">
      <pivotArea outline="0" collapsedLevelsAreSubtotals="1" fieldPosition="0"/>
    </format>
    <format dxfId="21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2">
      <pivotArea dataOnly="0" labelOnly="1" fieldPosition="0">
        <references count="1">
          <reference field="3" count="13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211">
      <pivotArea dataOnly="0" labelOnly="1" grandRow="1" outline="0" fieldPosition="0"/>
    </format>
    <format dxfId="210">
      <pivotArea dataOnly="0" labelOnly="1" fieldPosition="0">
        <references count="1">
          <reference field="3" count="2">
            <x v="113"/>
            <x v="114"/>
          </reference>
        </references>
      </pivotArea>
    </format>
    <format dxfId="209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08">
      <pivotArea dataOnly="0" outline="0" fieldPosition="0">
        <references count="1">
          <reference field="4294967294" count="1">
            <x v="5"/>
          </reference>
        </references>
      </pivotArea>
    </format>
    <format dxfId="207">
      <pivotArea dataOnly="0" outline="0" fieldPosition="0">
        <references count="1">
          <reference field="4294967294" count="2">
            <x v="6"/>
            <x v="7"/>
          </reference>
        </references>
      </pivotArea>
    </format>
    <format dxfId="206">
      <pivotArea dataOnly="0" outline="0" fieldPosition="0">
        <references count="1">
          <reference field="4294967294" count="1">
            <x v="8"/>
          </reference>
        </references>
      </pivotArea>
    </format>
    <format dxfId="205">
      <pivotArea dataOnly="0" labelOnly="1" fieldPosition="0">
        <references count="1">
          <reference field="3" count="50">
            <x v="5"/>
            <x v="14"/>
            <x v="15"/>
            <x v="16"/>
            <x v="17"/>
            <x v="32"/>
            <x v="47"/>
            <x v="57"/>
            <x v="58"/>
            <x v="59"/>
            <x v="61"/>
            <x v="93"/>
            <x v="98"/>
            <x v="103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204">
      <pivotArea dataOnly="0" labelOnly="1" fieldPosition="0">
        <references count="1">
          <reference field="3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203">
      <pivotArea dataOnly="0" labelOnly="1" fieldPosition="0">
        <references count="1">
          <reference field="3" count="16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</reference>
        </references>
      </pivotArea>
    </format>
    <format dxfId="202">
      <pivotArea dataOnly="0" outline="0" fieldPosition="0">
        <references count="1">
          <reference field="4294967294" count="1">
            <x v="9"/>
          </reference>
        </references>
      </pivotArea>
    </format>
    <format dxfId="201">
      <pivotArea dataOnly="0" outline="0" fieldPosition="0">
        <references count="1">
          <reference field="4294967294" count="1">
            <x v="10"/>
          </reference>
        </references>
      </pivotArea>
    </format>
    <format dxfId="200">
      <pivotArea dataOnly="0" outline="0" fieldPosition="0">
        <references count="1">
          <reference field="4294967294" count="1">
            <x v="11"/>
          </reference>
        </references>
      </pivotArea>
    </format>
    <format dxfId="199">
      <pivotArea dataOnly="0" labelOnly="1" fieldPosition="0">
        <references count="1">
          <reference field="3" count="50">
            <x v="5"/>
            <x v="14"/>
            <x v="15"/>
            <x v="16"/>
            <x v="17"/>
            <x v="32"/>
            <x v="47"/>
            <x v="57"/>
            <x v="58"/>
            <x v="59"/>
            <x v="61"/>
            <x v="98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198">
      <pivotArea dataOnly="0" labelOnly="1" fieldPosition="0">
        <references count="1">
          <reference field="3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</reference>
        </references>
      </pivotArea>
    </format>
    <format dxfId="197">
      <pivotArea dataOnly="0" labelOnly="1" fieldPosition="0">
        <references count="1">
          <reference field="3" count="17">
            <x v="206"/>
            <x v="207"/>
            <x v="208"/>
            <x v="209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96">
      <pivotArea dataOnly="0" outline="0" fieldPosition="0">
        <references count="1">
          <reference field="4294967294" count="1">
            <x v="12"/>
          </reference>
        </references>
      </pivotArea>
    </format>
    <format dxfId="195">
      <pivotArea dataOnly="0" outline="0" fieldPosition="0">
        <references count="1">
          <reference field="4294967294" count="2">
            <x v="13"/>
            <x v="14"/>
          </reference>
        </references>
      </pivotArea>
    </format>
    <format dxfId="194">
      <pivotArea dataOnly="0" outline="0" fieldPosition="0">
        <references count="1">
          <reference field="4294967294" count="1">
            <x v="15"/>
          </reference>
        </references>
      </pivotArea>
    </format>
    <format dxfId="193">
      <pivotArea dataOnly="0" outline="0" fieldPosition="0">
        <references count="1">
          <reference field="4294967294" count="1">
            <x v="16"/>
          </reference>
        </references>
      </pivotArea>
    </format>
    <format dxfId="192">
      <pivotArea dataOnly="0" outline="0" fieldPosition="0">
        <references count="1">
          <reference field="4294967294" count="1">
            <x v="17"/>
          </reference>
        </references>
      </pivotArea>
    </format>
    <format dxfId="191">
      <pivotArea dataOnly="0" outline="0" fieldPosition="0">
        <references count="1">
          <reference field="4294967294" count="1">
            <x v="18"/>
          </reference>
        </references>
      </pivotArea>
    </format>
    <format dxfId="190">
      <pivotArea dataOnly="0" outline="0" fieldPosition="0">
        <references count="1">
          <reference field="4294967294" count="1">
            <x v="19"/>
          </reference>
        </references>
      </pivotArea>
    </format>
    <format dxfId="189">
      <pivotArea dataOnly="0" outline="0" fieldPosition="0">
        <references count="1">
          <reference field="4294967294" count="2">
            <x v="20"/>
            <x v="21"/>
          </reference>
        </references>
      </pivotArea>
    </format>
    <format dxfId="188">
      <pivotArea dataOnly="0" outline="0" fieldPosition="0">
        <references count="1">
          <reference field="4294967294" count="1">
            <x v="22"/>
          </reference>
        </references>
      </pivotArea>
    </format>
    <format dxfId="187">
      <pivotArea dataOnly="0" outline="0" fieldPosition="0">
        <references count="1">
          <reference field="4294967294" count="2">
            <x v="23"/>
            <x v="24"/>
          </reference>
        </references>
      </pivotArea>
    </format>
    <format dxfId="186">
      <pivotArea dataOnly="0" outline="0" fieldPosition="0">
        <references count="1">
          <reference field="4294967294" count="1">
            <x v="25"/>
          </reference>
        </references>
      </pivotArea>
    </format>
    <format dxfId="185">
      <pivotArea dataOnly="0" outline="0" fieldPosition="0">
        <references count="1">
          <reference field="4294967294" count="1">
            <x v="26"/>
          </reference>
        </references>
      </pivotArea>
    </format>
    <format dxfId="184">
      <pivotArea dataOnly="0" outline="0" fieldPosition="0">
        <references count="1">
          <reference field="4294967294" count="2">
            <x v="27"/>
            <x v="28"/>
          </reference>
        </references>
      </pivotArea>
    </format>
    <format dxfId="183">
      <pivotArea dataOnly="0" outline="0" fieldPosition="0">
        <references count="1">
          <reference field="4294967294" count="1">
            <x v="29"/>
          </reference>
        </references>
      </pivotArea>
    </format>
    <format dxfId="182">
      <pivotArea dataOnly="0" outline="0" fieldPosition="0">
        <references count="1">
          <reference field="4294967294" count="1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400-00002D000000}" name="PivotTable2" cacheId="8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0">
  <location ref="A3:AF35" firstHeaderRow="1" firstDataRow="2" firstDataCol="1"/>
  <pivotFields count="43">
    <pivotField showAll="0"/>
    <pivotField axis="axisCol" showAll="0">
      <items count="31">
        <item x="14"/>
        <item x="13"/>
        <item x="26"/>
        <item x="7"/>
        <item x="9"/>
        <item x="8"/>
        <item x="28"/>
        <item x="25"/>
        <item x="5"/>
        <item x="0"/>
        <item x="2"/>
        <item x="23"/>
        <item x="15"/>
        <item x="17"/>
        <item x="12"/>
        <item x="16"/>
        <item x="24"/>
        <item x="29"/>
        <item x="27"/>
        <item x="6"/>
        <item x="3"/>
        <item x="4"/>
        <item x="1"/>
        <item x="19"/>
        <item x="20"/>
        <item x="21"/>
        <item x="22"/>
        <item x="10"/>
        <item x="18"/>
        <item x="11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31">
    <dataField name="Sum of 01-12-2024" fld="10" baseField="1" baseItem="3"/>
    <dataField name="Sum of 02-12-2024" fld="11" baseField="0" baseItem="0"/>
    <dataField name="Sum of 03-12-2024" fld="12" baseField="0" baseItem="0"/>
    <dataField name="Sum of 04-12-2024" fld="13" baseField="0" baseItem="0"/>
    <dataField name="Sum of 05-12-2024" fld="14" baseField="0" baseItem="0"/>
    <dataField name="Sum of 06-12-2024" fld="15" baseField="0" baseItem="0"/>
    <dataField name="Sum of 07-12-2024" fld="16" baseField="0" baseItem="0"/>
    <dataField name="Sum of 08-12-2024" fld="17" baseField="0" baseItem="0"/>
    <dataField name="Sum of 09-12-2024" fld="18" baseField="0" baseItem="0"/>
    <dataField name="Sum of 10-12-2024" fld="19" baseField="0" baseItem="0"/>
    <dataField name="Sum of 11-12-2024" fld="20" baseField="0" baseItem="0"/>
    <dataField name="Sum of 12-12-2024" fld="21" baseField="0" baseItem="0"/>
    <dataField name="Sum of 13-12-2024" fld="22" baseField="0" baseItem="0"/>
    <dataField name="Sum of 14-12-2024" fld="23" baseField="0" baseItem="0"/>
    <dataField name="Sum of 15-12-2024" fld="24" baseField="0" baseItem="0"/>
    <dataField name="Sum of 16-12-2024" fld="25" baseField="0" baseItem="0"/>
    <dataField name="Sum of 17-12-2024" fld="26" baseField="0" baseItem="0"/>
    <dataField name="Sum of 18-12-2024" fld="27" baseField="0" baseItem="0"/>
    <dataField name="Sum of 19-12-2024" fld="28" baseField="0" baseItem="0"/>
    <dataField name="Sum of 20-12-2024" fld="29" baseField="0" baseItem="0"/>
    <dataField name="Sum of 21-12-2024" fld="30" baseField="0" baseItem="0"/>
    <dataField name="Sum of 22-12-2024" fld="31" baseField="0" baseItem="0"/>
    <dataField name="Sum of 23-12-2024" fld="32" baseField="0" baseItem="0"/>
    <dataField name="Sum of 24-12-2024" fld="33" baseField="0" baseItem="0"/>
    <dataField name="Sum of 25-12-2024" fld="34" baseField="0" baseItem="0"/>
    <dataField name="Sum of 26-12-2024" fld="35" baseField="0" baseItem="0"/>
    <dataField name="Sum of 27-12-2024" fld="36" baseField="0" baseItem="0"/>
    <dataField name="Sum of 28-12-2024" fld="37" baseField="0" baseItem="0"/>
    <dataField name="Sum of 29-12-2024" fld="38" baseField="0" baseItem="0"/>
    <dataField name="Sum of 30-12-2024" fld="39" baseField="0" baseItem="0"/>
    <dataField name="Sum of 31-12-2024" fld="40" baseField="0" baseItem="0"/>
  </dataFields>
  <chartFormats count="147"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2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2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2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2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2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2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2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2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2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2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2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2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2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2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2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2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2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2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2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2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2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2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2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6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6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6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6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6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6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6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6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6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6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6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6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6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6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6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6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6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6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6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6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6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6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6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6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6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6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6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5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5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5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5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5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5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5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5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5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5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5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5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5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5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5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5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5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5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5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5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5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5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5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5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5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5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5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5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5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5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9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9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9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9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9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9" format="1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9" format="1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9" format="1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9" format="1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9" format="1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9" format="1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9" format="1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9" format="1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9" format="1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9" format="1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9" format="1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9" format="1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9" format="1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9" format="1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9" format="1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9" format="1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9" format="1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9" format="1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9" format="1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9" format="1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9" format="1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9" format="1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9" format="1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9" format="1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9" format="1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500-00002F000000}" name="PivotTable6" cacheId="4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47:AF152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m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2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01-2025" fld="10" baseField="0" baseItem="0"/>
    <dataField name="Sum of 02-01-2025" fld="11" baseField="0" baseItem="0"/>
    <dataField name="Sum of 03-01-2025" fld="12" baseField="0" baseItem="0"/>
    <dataField name="Sum of 04-01-2025" fld="13" baseField="0" baseItem="0"/>
    <dataField name="Sum of 05-01-2025" fld="14" baseField="0" baseItem="0"/>
    <dataField name="Sum of 06-01-2025" fld="15" baseField="0" baseItem="0"/>
    <dataField name="Sum of 07-01-2025" fld="16" baseField="0" baseItem="0"/>
    <dataField name="Sum of 08-01-2025" fld="17" baseField="0" baseItem="0"/>
    <dataField name="Sum of 09-01-2025" fld="18" baseField="0" baseItem="0"/>
    <dataField name="Sum of 10-01-2025" fld="19" baseField="0" baseItem="0"/>
    <dataField name="Sum of 11-01-2025" fld="20" baseField="0" baseItem="0"/>
    <dataField name="Sum of 12-01-2025" fld="21" baseField="0" baseItem="0"/>
    <dataField name="Sum of 13-01-2025" fld="22" baseField="0" baseItem="0"/>
    <dataField name="Sum of 14-01-2025" fld="23" baseField="0" baseItem="0"/>
    <dataField name="Sum of 15-01-2025" fld="24" baseField="0" baseItem="0"/>
    <dataField name="Sum of 16-01-2025" fld="25" baseField="0" baseItem="0"/>
    <dataField name="Sum of 17-01-2025" fld="26" baseField="0" baseItem="0"/>
    <dataField name="Sum of 18-01-2025" fld="27" baseField="0" baseItem="0"/>
    <dataField name="Sum of 19-01-2025" fld="28" baseField="0" baseItem="0"/>
    <dataField name="Sum of 20-01-2025" fld="29" baseField="0" baseItem="0"/>
    <dataField name="Sum of 21-01-2025" fld="30" baseField="0" baseItem="0"/>
    <dataField name="Sum of 22-01-2025" fld="31" baseField="0" baseItem="0"/>
    <dataField name="Sum of 23-01-2025" fld="32" baseField="0" baseItem="0"/>
    <dataField name="Sum of 24-01-2025" fld="33" baseField="0" baseItem="0"/>
    <dataField name="Sum of 25-01-2025" fld="34" baseField="0" baseItem="0"/>
    <dataField name="Sum of 26-01-2025" fld="35" baseField="0" baseItem="0"/>
    <dataField name="Sum of 27-01-2025" fld="36" baseField="0" baseItem="0"/>
    <dataField name="Sum of 28-01-2025" fld="37" baseField="0" baseItem="0"/>
    <dataField name="Sum of 29-01-2025" fld="38" baseField="0" baseItem="0"/>
    <dataField name="Sum of 30-01-2025" fld="39" baseField="0" baseItem="0"/>
    <dataField name="Sum of 31-01-2025" fld="40" baseField="0" baseItem="0"/>
  </dataFields>
  <formats count="21">
    <format dxfId="145">
      <pivotArea type="all" dataOnly="0" outline="0" fieldPosition="0"/>
    </format>
    <format dxfId="144">
      <pivotArea outline="0" collapsedLevelsAreSubtotals="1" fieldPosition="0"/>
    </format>
    <format dxfId="143">
      <pivotArea field="9" type="button" dataOnly="0" labelOnly="1" outline="0" axis="axisRow" fieldPosition="0"/>
    </format>
    <format dxfId="142">
      <pivotArea dataOnly="0" labelOnly="1" fieldPosition="0">
        <references count="1">
          <reference field="9" count="0"/>
        </references>
      </pivotArea>
    </format>
    <format dxfId="141">
      <pivotArea dataOnly="0" labelOnly="1" grandRow="1" outline="0" fieldPosition="0"/>
    </format>
    <format dxfId="14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9">
      <pivotArea outline="0" collapsedLevelsAreSubtotals="1" fieldPosition="0"/>
    </format>
    <format dxfId="138">
      <pivotArea dataOnly="0" labelOnly="1" fieldPosition="0">
        <references count="1">
          <reference field="9" count="0"/>
        </references>
      </pivotArea>
    </format>
    <format dxfId="137">
      <pivotArea dataOnly="0" labelOnly="1" grandRow="1" outline="0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9" type="button" dataOnly="0" labelOnly="1" outline="0" axis="axisRow" fieldPosition="0"/>
    </format>
    <format dxfId="133">
      <pivotArea dataOnly="0" labelOnly="1" fieldPosition="0">
        <references count="1">
          <reference field="9" count="0"/>
        </references>
      </pivotArea>
    </format>
    <format dxfId="132">
      <pivotArea dataOnly="0" labelOnly="1" grandRow="1" outline="0" fieldPosition="0"/>
    </format>
    <format dxfId="131">
      <pivotArea dataOnly="0" labelOnly="1" outline="0" fieldPosition="0">
        <references count="1">
          <reference field="4294967294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9" type="button" dataOnly="0" labelOnly="1" outline="0" axis="axisRow" fieldPosition="0"/>
    </format>
    <format dxfId="127">
      <pivotArea dataOnly="0" labelOnly="1" fieldPosition="0">
        <references count="1">
          <reference field="9" count="0"/>
        </references>
      </pivotArea>
    </format>
    <format dxfId="126">
      <pivotArea dataOnly="0" labelOnly="1" grandRow="1" outline="0" fieldPosition="0"/>
    </format>
    <format dxfId="125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500-00002E000000}" name="PivotTable5" cacheId="4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AG134" firstHeaderRow="0" firstDataRow="1" firstDataCol="1" rowPageCount="2" colPageCount="1"/>
  <pivotFields count="43">
    <pivotField showAll="0"/>
    <pivotField axis="axisPage" showAll="0">
      <items count="37">
        <item x="26"/>
        <item x="17"/>
        <item x="16"/>
        <item x="22"/>
        <item x="32"/>
        <item x="7"/>
        <item x="14"/>
        <item x="9"/>
        <item x="8"/>
        <item x="34"/>
        <item x="31"/>
        <item x="5"/>
        <item x="0"/>
        <item x="27"/>
        <item x="2"/>
        <item x="29"/>
        <item x="18"/>
        <item x="21"/>
        <item x="15"/>
        <item x="19"/>
        <item x="30"/>
        <item x="35"/>
        <item x="33"/>
        <item x="6"/>
        <item x="10"/>
        <item x="25"/>
        <item x="23"/>
        <item x="3"/>
        <item x="4"/>
        <item x="1"/>
        <item x="20"/>
        <item x="11"/>
        <item x="24"/>
        <item x="28"/>
        <item x="12"/>
        <item x="13"/>
        <item t="default"/>
      </items>
    </pivotField>
    <pivotField showAll="0"/>
    <pivotField axis="axisRow" showAll="0">
      <items count="130">
        <item x="116"/>
        <item x="115"/>
        <item x="124"/>
        <item x="39"/>
        <item x="123"/>
        <item x="125"/>
        <item x="45"/>
        <item x="68"/>
        <item x="47"/>
        <item x="86"/>
        <item x="94"/>
        <item x="25"/>
        <item x="36"/>
        <item x="18"/>
        <item x="38"/>
        <item x="92"/>
        <item x="84"/>
        <item x="53"/>
        <item x="48"/>
        <item x="69"/>
        <item x="54"/>
        <item x="49"/>
        <item x="6"/>
        <item x="28"/>
        <item x="3"/>
        <item x="95"/>
        <item x="83"/>
        <item x="27"/>
        <item x="91"/>
        <item x="93"/>
        <item x="114"/>
        <item x="119"/>
        <item x="118"/>
        <item x="105"/>
        <item x="110"/>
        <item x="108"/>
        <item x="106"/>
        <item x="107"/>
        <item x="23"/>
        <item x="112"/>
        <item x="30"/>
        <item x="20"/>
        <item x="31"/>
        <item x="117"/>
        <item x="26"/>
        <item x="34"/>
        <item x="99"/>
        <item x="100"/>
        <item x="33"/>
        <item x="109"/>
        <item x="111"/>
        <item x="7"/>
        <item x="46"/>
        <item x="122"/>
        <item x="121"/>
        <item x="126"/>
        <item x="0"/>
        <item x="1"/>
        <item x="2"/>
        <item x="89"/>
        <item x="87"/>
        <item x="88"/>
        <item x="127"/>
        <item x="128"/>
        <item x="62"/>
        <item x="96"/>
        <item x="13"/>
        <item x="29"/>
        <item x="85"/>
        <item x="15"/>
        <item x="120"/>
        <item x="32"/>
        <item x="98"/>
        <item x="102"/>
        <item x="104"/>
        <item x="73"/>
        <item x="72"/>
        <item x="67"/>
        <item x="35"/>
        <item x="71"/>
        <item x="77"/>
        <item x="81"/>
        <item x="44"/>
        <item x="70"/>
        <item x="63"/>
        <item x="8"/>
        <item x="97"/>
        <item x="76"/>
        <item x="80"/>
        <item x="75"/>
        <item x="79"/>
        <item x="9"/>
        <item x="10"/>
        <item x="59"/>
        <item x="11"/>
        <item x="17"/>
        <item x="50"/>
        <item x="60"/>
        <item x="5"/>
        <item x="101"/>
        <item x="24"/>
        <item x="37"/>
        <item x="51"/>
        <item x="12"/>
        <item x="58"/>
        <item x="103"/>
        <item x="57"/>
        <item x="40"/>
        <item x="14"/>
        <item x="4"/>
        <item x="19"/>
        <item x="55"/>
        <item x="90"/>
        <item x="52"/>
        <item x="22"/>
        <item x="56"/>
        <item x="41"/>
        <item x="21"/>
        <item x="113"/>
        <item x="16"/>
        <item x="61"/>
        <item x="42"/>
        <item x="74"/>
        <item x="64"/>
        <item x="43"/>
        <item x="78"/>
        <item x="82"/>
        <item x="65"/>
        <item x="66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6">
        <item x="1"/>
        <item x="2"/>
        <item x="0"/>
        <item x="3"/>
        <item m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numFmtId="2" showAll="0"/>
  </pivotFields>
  <rowFields count="1">
    <field x="3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2">
    <pageField fld="1" hier="-1"/>
    <pageField fld="9" hier="-1"/>
  </pageFields>
  <dataFields count="32">
    <dataField name="Sum of 01-01-2025" fld="10" baseField="0" baseItem="0"/>
    <dataField name="Sum of 02-01-2025" fld="11" baseField="0" baseItem="0"/>
    <dataField name="Sum of 03-01-2025" fld="12" baseField="0" baseItem="0"/>
    <dataField name="Sum of 04-01-2025" fld="13" baseField="0" baseItem="0"/>
    <dataField name="Sum of 05-01-2025" fld="14" baseField="0" baseItem="0"/>
    <dataField name="Sum of 06-01-2025" fld="15" baseField="0" baseItem="0"/>
    <dataField name="Sum of 07-01-2025" fld="16" baseField="0" baseItem="0"/>
    <dataField name="Sum of 08-01-2025" fld="17" baseField="0" baseItem="0"/>
    <dataField name="Sum of 09-01-2025" fld="18" baseField="0" baseItem="0"/>
    <dataField name="Sum of 10-01-2025" fld="19" baseField="0" baseItem="0"/>
    <dataField name="Sum of 11-01-2025" fld="20" baseField="0" baseItem="0"/>
    <dataField name="Sum of 12-01-2025" fld="21" baseField="0" baseItem="0"/>
    <dataField name="Sum of 13-01-2025" fld="22" baseField="0" baseItem="0"/>
    <dataField name="Sum of 14-01-2025" fld="23" baseField="0" baseItem="0"/>
    <dataField name="Sum of 15-01-2025" fld="24" baseField="0" baseItem="0"/>
    <dataField name="Sum of 16-01-2025" fld="25" baseField="0" baseItem="0"/>
    <dataField name="Sum of 17-01-2025" fld="26" baseField="0" baseItem="0"/>
    <dataField name="Sum of 18-01-2025" fld="27" baseField="0" baseItem="0"/>
    <dataField name="Sum of 19-01-2025" fld="28" baseField="0" baseItem="0"/>
    <dataField name="Sum of 20-01-2025" fld="29" baseField="0" baseItem="0"/>
    <dataField name="Sum of 21-01-2025" fld="30" baseField="0" baseItem="0"/>
    <dataField name="Sum of 22-01-2025" fld="31" baseField="0" baseItem="0"/>
    <dataField name="Sum of 23-01-2025" fld="32" baseField="0" baseItem="0"/>
    <dataField name="Sum of 24-01-2025" fld="33" baseField="0" baseItem="0"/>
    <dataField name="Sum of 25-01-2025" fld="34" baseField="0" baseItem="0"/>
    <dataField name="Sum of 26-01-2025" fld="35" baseField="0" baseItem="0"/>
    <dataField name="Sum of 27-01-2025" fld="36" baseField="0" baseItem="0"/>
    <dataField name="Sum of 28-01-2025" fld="37" baseField="0" baseItem="0"/>
    <dataField name="Sum of 29-01-2025" fld="38" baseField="0" baseItem="0"/>
    <dataField name="Sum of 30-01-2025" fld="39" baseField="0" baseItem="0"/>
    <dataField name="Sum of 31-01-2025" fld="40" baseField="0" baseItem="0"/>
    <dataField name="Sum of Average" fld="41" baseField="0" baseItem="0"/>
  </dataFields>
  <formats count="30">
    <format dxfId="175">
      <pivotArea outline="0" collapsedLevelsAreSubtotals="1" fieldPosition="0"/>
    </format>
    <format dxfId="17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2">
      <pivotArea dataOnly="0" labelOnly="1" fieldPosition="0">
        <references count="1">
          <reference field="3" count="2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</reference>
        </references>
      </pivotArea>
    </format>
    <format dxfId="171">
      <pivotArea dataOnly="0" labelOnly="1" grandRow="1" outline="0" fieldPosition="0"/>
    </format>
    <format dxfId="170">
      <pivotArea dataOnly="0" outline="0" fieldPosition="0">
        <references count="1">
          <reference field="4294967294" count="2">
            <x v="0"/>
            <x v="31"/>
          </reference>
        </references>
      </pivotArea>
    </format>
    <format dxfId="169">
      <pivotArea dataOnly="0" outline="0" fieldPosition="0">
        <references count="1">
          <reference field="4294967294" count="1">
            <x v="1"/>
          </reference>
        </references>
      </pivotArea>
    </format>
    <format dxfId="168">
      <pivotArea dataOnly="0" outline="0" fieldPosition="0">
        <references count="1">
          <reference field="4294967294" count="1">
            <x v="2"/>
          </reference>
        </references>
      </pivotArea>
    </format>
    <format dxfId="167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166">
      <pivotArea dataOnly="0" outline="0" fieldPosition="0">
        <references count="1">
          <reference field="4294967294" count="1">
            <x v="5"/>
          </reference>
        </references>
      </pivotArea>
    </format>
    <format dxfId="165">
      <pivotArea dataOnly="0" outline="0" fieldPosition="0">
        <references count="1">
          <reference field="4294967294" count="1">
            <x v="6"/>
          </reference>
        </references>
      </pivotArea>
    </format>
    <format dxfId="164">
      <pivotArea dataOnly="0" outline="0" fieldPosition="0">
        <references count="1">
          <reference field="4294967294" count="1">
            <x v="7"/>
          </reference>
        </references>
      </pivotArea>
    </format>
    <format dxfId="163">
      <pivotArea dataOnly="0" outline="0" fieldPosition="0">
        <references count="1">
          <reference field="4294967294" count="1">
            <x v="8"/>
          </reference>
        </references>
      </pivotArea>
    </format>
    <format dxfId="162">
      <pivotArea dataOnly="0" outline="0" fieldPosition="0">
        <references count="1">
          <reference field="4294967294" count="3">
            <x v="9"/>
            <x v="10"/>
            <x v="11"/>
          </reference>
        </references>
      </pivotArea>
    </format>
    <format dxfId="161">
      <pivotArea dataOnly="0" outline="0" fieldPosition="0">
        <references count="1">
          <reference field="4294967294" count="2">
            <x v="12"/>
            <x v="13"/>
          </reference>
        </references>
      </pivotArea>
    </format>
    <format dxfId="160">
      <pivotArea dataOnly="0" outline="0" fieldPosition="0">
        <references count="1">
          <reference field="4294967294" count="1">
            <x v="14"/>
          </reference>
        </references>
      </pivotArea>
    </format>
    <format dxfId="159">
      <pivotArea dataOnly="0" outline="0" fieldPosition="0">
        <references count="1">
          <reference field="4294967294" count="1">
            <x v="15"/>
          </reference>
        </references>
      </pivotArea>
    </format>
    <format dxfId="158">
      <pivotArea dataOnly="0" outline="0" fieldPosition="0">
        <references count="1">
          <reference field="4294967294" count="1">
            <x v="16"/>
          </reference>
        </references>
      </pivotArea>
    </format>
    <format dxfId="157">
      <pivotArea dataOnly="0" outline="0" fieldPosition="0">
        <references count="1">
          <reference field="4294967294" count="2">
            <x v="17"/>
            <x v="18"/>
          </reference>
        </references>
      </pivotArea>
    </format>
    <format dxfId="156">
      <pivotArea dataOnly="0" outline="0" fieldPosition="0">
        <references count="1">
          <reference field="4294967294" count="1">
            <x v="19"/>
          </reference>
        </references>
      </pivotArea>
    </format>
    <format dxfId="155">
      <pivotArea dataOnly="0" outline="0" fieldPosition="0">
        <references count="1">
          <reference field="4294967294" count="1">
            <x v="20"/>
          </reference>
        </references>
      </pivotArea>
    </format>
    <format dxfId="154">
      <pivotArea dataOnly="0" outline="0" fieldPosition="0">
        <references count="1">
          <reference field="4294967294" count="1">
            <x v="21"/>
          </reference>
        </references>
      </pivotArea>
    </format>
    <format dxfId="153">
      <pivotArea dataOnly="0" outline="0" fieldPosition="0">
        <references count="1">
          <reference field="4294967294" count="1">
            <x v="22"/>
          </reference>
        </references>
      </pivotArea>
    </format>
    <format dxfId="152">
      <pivotArea dataOnly="0" outline="0" fieldPosition="0">
        <references count="1">
          <reference field="4294967294" count="1">
            <x v="23"/>
          </reference>
        </references>
      </pivotArea>
    </format>
    <format dxfId="151">
      <pivotArea dataOnly="0" outline="0" fieldPosition="0">
        <references count="1">
          <reference field="4294967294" count="2">
            <x v="24"/>
            <x v="25"/>
          </reference>
        </references>
      </pivotArea>
    </format>
    <format dxfId="150">
      <pivotArea dataOnly="0" outline="0" fieldPosition="0">
        <references count="1">
          <reference field="4294967294" count="1">
            <x v="26"/>
          </reference>
        </references>
      </pivotArea>
    </format>
    <format dxfId="149">
      <pivotArea dataOnly="0" outline="0" fieldPosition="0">
        <references count="1">
          <reference field="4294967294" count="1">
            <x v="27"/>
          </reference>
        </references>
      </pivotArea>
    </format>
    <format dxfId="148">
      <pivotArea dataOnly="0" outline="0" fieldPosition="0">
        <references count="1">
          <reference field="4294967294" count="1">
            <x v="28"/>
          </reference>
        </references>
      </pivotArea>
    </format>
    <format dxfId="147">
      <pivotArea dataOnly="0" outline="0" fieldPosition="0">
        <references count="1">
          <reference field="4294967294" count="1">
            <x v="29"/>
          </reference>
        </references>
      </pivotArea>
    </format>
    <format dxfId="146">
      <pivotArea dataOnly="0" outline="0" fieldPosition="0">
        <references count="1">
          <reference field="4294967294" count="1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700-000030000000}" name="PivotTable4" cacheId="43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8">
  <location ref="A3:AL35" firstHeaderRow="1" firstDataRow="2" firstDataCol="1"/>
  <pivotFields count="43">
    <pivotField showAll="0"/>
    <pivotField axis="axisCol" showAll="0">
      <items count="37">
        <item x="26"/>
        <item x="17"/>
        <item x="16"/>
        <item x="22"/>
        <item x="32"/>
        <item x="7"/>
        <item x="14"/>
        <item x="9"/>
        <item x="8"/>
        <item x="34"/>
        <item x="31"/>
        <item x="5"/>
        <item x="0"/>
        <item x="27"/>
        <item x="2"/>
        <item x="29"/>
        <item x="18"/>
        <item x="21"/>
        <item x="15"/>
        <item x="19"/>
        <item x="30"/>
        <item x="35"/>
        <item x="33"/>
        <item x="6"/>
        <item x="10"/>
        <item x="25"/>
        <item x="23"/>
        <item x="3"/>
        <item x="4"/>
        <item x="1"/>
        <item x="20"/>
        <item x="11"/>
        <item x="24"/>
        <item x="28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2"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31">
    <dataField name="Sum of 01-01-2025" fld="10" baseField="0" baseItem="0"/>
    <dataField name="Sum of 02-01-2025" fld="11" baseField="0" baseItem="0"/>
    <dataField name="Sum of 03-01-2025" fld="12" baseField="0" baseItem="0"/>
    <dataField name="Sum of 04-01-2025" fld="13" baseField="0" baseItem="0"/>
    <dataField name="Sum of 05-01-2025" fld="14" baseField="0" baseItem="0"/>
    <dataField name="Sum of 06-01-2025" fld="15" baseField="0" baseItem="0"/>
    <dataField name="Sum of 07-01-2025" fld="16" baseField="0" baseItem="0"/>
    <dataField name="Sum of 08-01-2025" fld="17" baseField="0" baseItem="0"/>
    <dataField name="Sum of 09-01-2025" fld="18" baseField="0" baseItem="0"/>
    <dataField name="Sum of 10-01-2025" fld="19" baseField="0" baseItem="0"/>
    <dataField name="Sum of 11-01-2025" fld="20" baseField="0" baseItem="0"/>
    <dataField name="Sum of 12-01-2025" fld="21" baseField="0" baseItem="0"/>
    <dataField name="Sum of 13-01-2025" fld="22" baseField="0" baseItem="0"/>
    <dataField name="Sum of 14-01-2025" fld="23" baseField="0" baseItem="0"/>
    <dataField name="Sum of 15-01-2025" fld="24" baseField="0" baseItem="0"/>
    <dataField name="Sum of 16-01-2025" fld="25" baseField="0" baseItem="0"/>
    <dataField name="Sum of 17-01-2025" fld="26" baseField="0" baseItem="0"/>
    <dataField name="Sum of 18-01-2025" fld="27" baseField="0" baseItem="0"/>
    <dataField name="Sum of 19-01-2025" fld="28" baseField="0" baseItem="0"/>
    <dataField name="Sum of 20-01-2025" fld="29" baseField="0" baseItem="0"/>
    <dataField name="Sum of 21-01-2025" fld="30" baseField="0" baseItem="0"/>
    <dataField name="Sum of 22-01-2025" fld="31" baseField="0" baseItem="0"/>
    <dataField name="Sum of 23-01-2025" fld="32" baseField="0" baseItem="0"/>
    <dataField name="Sum of 24-01-2025" fld="33" baseField="0" baseItem="0"/>
    <dataField name="Sum of 25-01-2025" fld="34" baseField="0" baseItem="0"/>
    <dataField name="Sum of 26-01-2025" fld="35" baseField="0" baseItem="0"/>
    <dataField name="Sum of 27-01-2025" fld="36" baseField="0" baseItem="0"/>
    <dataField name="Sum of 28-01-2025" fld="37" baseField="0" baseItem="0"/>
    <dataField name="Sum of 29-01-2025" fld="38" baseField="0" baseItem="0"/>
    <dataField name="Sum of 30-01-2025" fld="39" baseField="0" baseItem="0"/>
    <dataField name="Sum of 31-01-2025" fld="40" baseField="0" baseItem="0"/>
  </dataFields>
  <chartFormats count="33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6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7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8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9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2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3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7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7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7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7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7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7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7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7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7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7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7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7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7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7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7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7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7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7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7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7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7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7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7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7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7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7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4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4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4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4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4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4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4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4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4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4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4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4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4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4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4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4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4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4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4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4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5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5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5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5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5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5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5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5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5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5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5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5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5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5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5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5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5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5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5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5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5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5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5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5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5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3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4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4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4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4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4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4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4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4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4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4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4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4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4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4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4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4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4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4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4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4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4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4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6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6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6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6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6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6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6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6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6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6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6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6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6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6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6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6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6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6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6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6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6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6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6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6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6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6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6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6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36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6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3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3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3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3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3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3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3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3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3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3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3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3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3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3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3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3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3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3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3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3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3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3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3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3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3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3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3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3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3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3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3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3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3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3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3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57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7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7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7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7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7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7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7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7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7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7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7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7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7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7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7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7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7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7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7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7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7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7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7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7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7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7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7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7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7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7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57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57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57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57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57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800-000032000000}" name="PivotTable6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outline="1" outlineData="1" compactData="0" multipleFieldFilters="0">
  <location ref="A174:AC179" firstHeaderRow="0" firstDataRow="1" firstDataCol="1"/>
  <pivotFields count="40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">
        <item x="1"/>
        <item x="2"/>
        <item x="0"/>
        <item x="3"/>
        <item t="default"/>
      </items>
    </pivotField>
    <pivotField dataField="1" compact="0" numFmtId="2" showAll="0"/>
    <pivotField dataField="1" compact="0" numFmtId="2" showAll="0"/>
    <pivotField dataField="1" compact="0" numFmtId="2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compact="0" numFmtId="2" showAll="0"/>
    <pivotField compact="0" numFmtId="2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colItems>
  <dataFields count="28">
    <dataField name="Sum of 01-02-2025" fld="10" baseField="0" baseItem="0"/>
    <dataField name="Sum of 02-02-2025" fld="11" baseField="0" baseItem="0"/>
    <dataField name="Sum of 03-02-2025" fld="12" baseField="0" baseItem="0"/>
    <dataField name="Sum of 04-02-2025" fld="13" baseField="0" baseItem="0"/>
    <dataField name="Sum of 05-02-2025" fld="14" baseField="0" baseItem="0"/>
    <dataField name="Sum of 06-02-2025" fld="15" baseField="0" baseItem="0"/>
    <dataField name="Sum of 07-02-2025" fld="16" baseField="0" baseItem="0"/>
    <dataField name="Sum of 08-02-2025" fld="17" baseField="0" baseItem="0"/>
    <dataField name="Sum of 09-02-2025" fld="18" baseField="0" baseItem="0"/>
    <dataField name="Sum of 10-02-2025" fld="19" baseField="0" baseItem="0"/>
    <dataField name="Sum of 11-02-2025" fld="20" baseField="0" baseItem="0"/>
    <dataField name="Sum of 12-02-2025" fld="21" baseField="0" baseItem="0"/>
    <dataField name="Sum of 13-02-2025" fld="22" baseField="0" baseItem="0"/>
    <dataField name="Sum of 14-02-2025" fld="23" baseField="0" baseItem="0"/>
    <dataField name="Sum of 15-02-2025" fld="24" baseField="0" baseItem="0"/>
    <dataField name="Sum of 16-02-2025" fld="25" baseField="0" baseItem="0"/>
    <dataField name="Sum of 17-02-2025" fld="26" baseField="0" baseItem="0"/>
    <dataField name="Sum of 18-02-2025" fld="27" baseField="0" baseItem="0"/>
    <dataField name="Sum of 19-02-2025" fld="28" baseField="0" baseItem="0"/>
    <dataField name="Sum of 20-02-2025" fld="29" baseField="0" baseItem="0"/>
    <dataField name="Sum of 21-02-2025" fld="30" baseField="0" baseItem="0"/>
    <dataField name="Sum of 22-02-2025" fld="31" baseField="0" baseItem="0"/>
    <dataField name="Sum of 23-02-2025" fld="32" baseField="0" baseItem="0"/>
    <dataField name="Sum of 24-02-2025" fld="33" baseField="0" baseItem="0"/>
    <dataField name="Sum of 25-02-2025" fld="34" baseField="0" baseItem="0"/>
    <dataField name="Sum of 26-02-2025" fld="35" baseField="0" baseItem="0"/>
    <dataField name="Sum of 27-02-2025" fld="36" baseField="0" baseItem="0"/>
    <dataField name="Sum of 28-02-2025" fld="37" baseField="0" baseItem="0"/>
  </dataFields>
  <formats count="12"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9" type="button" dataOnly="0" labelOnly="1" outline="0" axis="axisRow" fieldPosition="0"/>
    </format>
    <format dxfId="90">
      <pivotArea dataOnly="0" labelOnly="1" fieldPosition="0">
        <references count="1">
          <reference field="9" count="0"/>
        </references>
      </pivotArea>
    </format>
    <format dxfId="89">
      <pivotArea dataOnly="0" labelOnly="1" grandRow="1" outline="0" fieldPosition="0"/>
    </format>
    <format dxfId="8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9" type="button" dataOnly="0" labelOnly="1" outline="0" axis="axisRow" fieldPosition="0"/>
    </format>
    <format dxfId="84">
      <pivotArea dataOnly="0" labelOnly="1" fieldPosition="0">
        <references count="1">
          <reference field="9" count="0"/>
        </references>
      </pivotArea>
    </format>
    <format dxfId="83">
      <pivotArea dataOnly="0" labelOnly="1" grandRow="1" outline="0" fieldPosition="0"/>
    </format>
    <format dxfId="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800-000031000000}" name="PivotTable5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5:AD158" firstHeaderRow="0" firstDataRow="1" firstDataCol="1" rowPageCount="2" colPageCount="1"/>
  <pivotFields count="40">
    <pivotField showAll="0"/>
    <pivotField axis="axisPage" showAll="0">
      <items count="40">
        <item x="27"/>
        <item x="17"/>
        <item x="16"/>
        <item x="23"/>
        <item x="21"/>
        <item x="35"/>
        <item x="7"/>
        <item x="25"/>
        <item x="14"/>
        <item x="9"/>
        <item x="8"/>
        <item x="37"/>
        <item x="12"/>
        <item x="34"/>
        <item x="20"/>
        <item x="5"/>
        <item x="0"/>
        <item x="28"/>
        <item x="11"/>
        <item x="2"/>
        <item x="30"/>
        <item x="18"/>
        <item x="22"/>
        <item x="15"/>
        <item x="19"/>
        <item x="33"/>
        <item x="38"/>
        <item x="13"/>
        <item x="36"/>
        <item x="29"/>
        <item x="6"/>
        <item x="10"/>
        <item x="26"/>
        <item x="24"/>
        <item x="3"/>
        <item x="4"/>
        <item x="1"/>
        <item x="31"/>
        <item x="32"/>
        <item t="default"/>
      </items>
    </pivotField>
    <pivotField showAll="0"/>
    <pivotField axis="axisRow" showAll="0">
      <items count="183">
        <item m="1" x="177"/>
        <item m="1" x="152"/>
        <item m="1" x="170"/>
        <item x="147"/>
        <item x="48"/>
        <item x="146"/>
        <item x="148"/>
        <item x="56"/>
        <item x="81"/>
        <item x="58"/>
        <item x="102"/>
        <item x="111"/>
        <item x="34"/>
        <item x="45"/>
        <item x="26"/>
        <item x="47"/>
        <item x="109"/>
        <item x="100"/>
        <item x="64"/>
        <item x="59"/>
        <item x="82"/>
        <item x="65"/>
        <item m="1" x="163"/>
        <item x="7"/>
        <item x="37"/>
        <item x="3"/>
        <item x="113"/>
        <item x="97"/>
        <item x="36"/>
        <item x="108"/>
        <item x="110"/>
        <item x="88"/>
        <item m="1" x="179"/>
        <item x="141"/>
        <item m="1" x="167"/>
        <item x="126"/>
        <item m="1" x="159"/>
        <item m="1" x="162"/>
        <item m="1" x="180"/>
        <item m="1" x="166"/>
        <item m="1" x="158"/>
        <item x="133"/>
        <item x="39"/>
        <item x="29"/>
        <item x="40"/>
        <item x="51"/>
        <item x="139"/>
        <item x="35"/>
        <item x="43"/>
        <item x="118"/>
        <item x="119"/>
        <item x="42"/>
        <item m="1" x="181"/>
        <item m="1" x="171"/>
        <item m="1" x="169"/>
        <item x="57"/>
        <item x="145"/>
        <item x="144"/>
        <item x="149"/>
        <item x="0"/>
        <item x="1"/>
        <item x="2"/>
        <item x="105"/>
        <item x="103"/>
        <item x="104"/>
        <item m="1" x="161"/>
        <item x="151"/>
        <item m="1" x="172"/>
        <item x="115"/>
        <item x="18"/>
        <item m="1" x="156"/>
        <item x="101"/>
        <item x="21"/>
        <item m="1" x="165"/>
        <item x="41"/>
        <item m="1" x="175"/>
        <item m="1" x="176"/>
        <item x="125"/>
        <item m="1" x="157"/>
        <item x="85"/>
        <item x="80"/>
        <item x="44"/>
        <item x="96"/>
        <item x="84"/>
        <item x="91"/>
        <item x="95"/>
        <item x="55"/>
        <item m="1" x="154"/>
        <item x="92"/>
        <item x="78"/>
        <item x="77"/>
        <item x="76"/>
        <item m="1" x="160"/>
        <item x="79"/>
        <item x="10"/>
        <item x="116"/>
        <item x="90"/>
        <item x="94"/>
        <item x="89"/>
        <item x="93"/>
        <item x="11"/>
        <item m="1" x="153"/>
        <item x="70"/>
        <item x="15"/>
        <item x="25"/>
        <item x="61"/>
        <item m="1" x="168"/>
        <item x="6"/>
        <item x="120"/>
        <item x="33"/>
        <item x="46"/>
        <item x="62"/>
        <item x="17"/>
        <item x="69"/>
        <item x="123"/>
        <item x="112"/>
        <item x="68"/>
        <item x="49"/>
        <item x="20"/>
        <item x="4"/>
        <item x="27"/>
        <item x="66"/>
        <item x="106"/>
        <item x="63"/>
        <item x="31"/>
        <item x="67"/>
        <item x="50"/>
        <item x="30"/>
        <item x="134"/>
        <item x="23"/>
        <item m="1" x="178"/>
        <item m="1" x="164"/>
        <item x="13"/>
        <item m="1" x="173"/>
        <item x="86"/>
        <item x="107"/>
        <item m="1" x="155"/>
        <item x="53"/>
        <item x="72"/>
        <item m="1" x="174"/>
        <item x="114"/>
        <item x="5"/>
        <item x="8"/>
        <item x="9"/>
        <item x="12"/>
        <item x="14"/>
        <item x="16"/>
        <item x="19"/>
        <item x="22"/>
        <item x="24"/>
        <item x="28"/>
        <item x="32"/>
        <item x="38"/>
        <item x="52"/>
        <item x="54"/>
        <item x="60"/>
        <item x="71"/>
        <item x="74"/>
        <item x="75"/>
        <item x="83"/>
        <item x="87"/>
        <item x="98"/>
        <item x="117"/>
        <item x="121"/>
        <item x="122"/>
        <item x="124"/>
        <item x="127"/>
        <item x="128"/>
        <item x="129"/>
        <item x="130"/>
        <item x="131"/>
        <item x="132"/>
        <item x="135"/>
        <item x="136"/>
        <item x="137"/>
        <item x="138"/>
        <item x="140"/>
        <item x="142"/>
        <item x="143"/>
        <item x="150"/>
        <item x="73"/>
        <item x="9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0"/>
        <item x="3"/>
        <item t="default"/>
      </items>
    </pivotField>
    <pivotField dataField="1" numFmtId="2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numFmtId="2" showAll="0"/>
  </pivotFields>
  <rowFields count="1">
    <field x="3"/>
  </rowFields>
  <rowItems count="153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5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8"/>
    </i>
    <i>
      <x v="69"/>
    </i>
    <i>
      <x v="71"/>
    </i>
    <i>
      <x v="72"/>
    </i>
    <i>
      <x v="74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2"/>
    </i>
    <i>
      <x v="134"/>
    </i>
    <i>
      <x v="135"/>
    </i>
    <i>
      <x v="137"/>
    </i>
    <i>
      <x v="138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2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</colItems>
  <pageFields count="2">
    <pageField fld="1" hier="-1"/>
    <pageField fld="9" hier="-1"/>
  </pageFields>
  <dataFields count="29">
    <dataField name="Sum of 01-02-2025" fld="10" baseField="0" baseItem="0"/>
    <dataField name="Sum of 02-02-2025" fld="11" baseField="0" baseItem="0"/>
    <dataField name="Sum of 03-02-2025" fld="12" baseField="0" baseItem="0"/>
    <dataField name="Sum of 04-02-2025" fld="13" baseField="0" baseItem="0"/>
    <dataField name="Sum of 05-02-2025" fld="14" baseField="0" baseItem="0"/>
    <dataField name="Sum of 06-02-2025" fld="15" baseField="0" baseItem="0"/>
    <dataField name="Sum of 07-02-2025" fld="16" baseField="0" baseItem="0"/>
    <dataField name="Sum of 08-02-2025" fld="17" baseField="0" baseItem="0"/>
    <dataField name="Sum of 09-02-2025" fld="18" baseField="0" baseItem="0"/>
    <dataField name="Sum of 10-02-2025" fld="19" baseField="0" baseItem="0"/>
    <dataField name="Sum of 11-02-2025" fld="20" baseField="0" baseItem="0"/>
    <dataField name="Sum of 12-02-2025" fld="21" baseField="0" baseItem="0"/>
    <dataField name="Sum of 13-02-2025" fld="22" baseField="0" baseItem="0"/>
    <dataField name="Sum of 14-02-2025" fld="23" baseField="0" baseItem="0"/>
    <dataField name="Sum of 15-02-2025" fld="24" baseField="0" baseItem="0"/>
    <dataField name="Sum of 16-02-2025" fld="25" baseField="0" baseItem="0"/>
    <dataField name="Sum of 17-02-2025" fld="26" baseField="0" baseItem="0"/>
    <dataField name="Sum of 18-02-2025" fld="27" baseField="0" baseItem="0"/>
    <dataField name="Sum of 19-02-2025" fld="28" baseField="0" baseItem="0"/>
    <dataField name="Sum of 20-02-2025" fld="29" baseField="0" baseItem="0"/>
    <dataField name="Sum of 21-02-2025" fld="30" baseField="0" baseItem="0"/>
    <dataField name="Sum of 22-02-2025" fld="31" baseField="0" baseItem="0"/>
    <dataField name="Sum of 23-02-2025" fld="32" baseField="0" baseItem="0"/>
    <dataField name="Sum of 24-02-2025" fld="33" baseField="0" baseItem="0"/>
    <dataField name="Sum of 25-02-2025" fld="34" baseField="0" baseItem="0"/>
    <dataField name="Sum of 26-02-2025" fld="35" baseField="0" baseItem="0"/>
    <dataField name="Sum of 27-02-2025" fld="36" baseField="0" baseItem="0"/>
    <dataField name="Sum of 28-02-2025" fld="37" baseField="0" baseItem="0"/>
    <dataField name="Sum of Average" fld="38" baseField="0" baseItem="0"/>
  </dataFields>
  <formats count="31">
    <format dxfId="124">
      <pivotArea dataOnly="0" outline="0" fieldPosition="0">
        <references count="1">
          <reference field="4294967294" count="4">
            <x v="0"/>
            <x v="1"/>
            <x v="2"/>
            <x v="28"/>
          </reference>
        </references>
      </pivotArea>
    </format>
    <format dxfId="123">
      <pivotArea outline="0" collapsedLevelsAreSubtotals="1" fieldPosition="0"/>
    </format>
    <format dxfId="122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1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0">
      <pivotArea dataOnly="0" labelOnly="1" fieldPosition="0">
        <references count="1">
          <reference field="3" count="3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</reference>
        </references>
      </pivotArea>
    </format>
    <format dxfId="119">
      <pivotArea dataOnly="0" labelOnly="1" grandRow="1" outline="0" fieldPosition="0"/>
    </format>
    <format dxfId="118">
      <pivotArea dataOnly="0" outline="0" fieldPosition="0">
        <references count="1">
          <reference field="4294967294" count="1">
            <x v="3"/>
          </reference>
        </references>
      </pivotArea>
    </format>
    <format dxfId="117">
      <pivotArea dataOnly="0" outline="0" fieldPosition="0">
        <references count="1">
          <reference field="4294967294" count="1">
            <x v="4"/>
          </reference>
        </references>
      </pivotArea>
    </format>
    <format dxfId="116">
      <pivotArea dataOnly="0" outline="0" fieldPosition="0">
        <references count="1">
          <reference field="4294967294" count="1">
            <x v="5"/>
          </reference>
        </references>
      </pivotArea>
    </format>
    <format dxfId="115">
      <pivotArea dataOnly="0" outline="0" fieldPosition="0">
        <references count="1">
          <reference field="4294967294" count="1">
            <x v="6"/>
          </reference>
        </references>
      </pivotArea>
    </format>
    <format dxfId="114">
      <pivotArea dataOnly="0" outline="0" fieldPosition="0">
        <references count="1">
          <reference field="4294967294" count="2">
            <x v="7"/>
            <x v="8"/>
          </reference>
        </references>
      </pivotArea>
    </format>
    <format dxfId="113">
      <pivotArea dataOnly="0" outline="0" fieldPosition="0">
        <references count="1">
          <reference field="4294967294" count="1">
            <x v="9"/>
          </reference>
        </references>
      </pivotArea>
    </format>
    <format dxfId="112">
      <pivotArea dataOnly="0" outline="0" fieldPosition="0">
        <references count="1">
          <reference field="4294967294" count="1">
            <x v="10"/>
          </reference>
        </references>
      </pivotArea>
    </format>
    <format dxfId="111">
      <pivotArea dataOnly="0" outline="0" fieldPosition="0">
        <references count="1">
          <reference field="4294967294" count="1">
            <x v="11"/>
          </reference>
        </references>
      </pivotArea>
    </format>
    <format dxfId="110">
      <pivotArea dataOnly="0" outline="0" fieldPosition="0">
        <references count="1">
          <reference field="4294967294" count="1">
            <x v="12"/>
          </reference>
        </references>
      </pivotArea>
    </format>
    <format dxfId="109">
      <pivotArea outline="0" collapsedLevelsAreSubtotals="1" fieldPosition="0"/>
    </format>
    <format dxfId="108">
      <pivotArea dataOnly="0" labelOnly="1" fieldPosition="0">
        <references count="1">
          <reference field="3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3"/>
            <x v="24"/>
            <x v="25"/>
            <x v="26"/>
            <x v="27"/>
            <x v="28"/>
            <x v="29"/>
            <x v="30"/>
            <x v="31"/>
            <x v="33"/>
            <x v="35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07">
      <pivotArea dataOnly="0" labelOnly="1" fieldPosition="0">
        <references count="1">
          <reference field="3" count="50">
            <x v="64"/>
            <x v="66"/>
            <x v="68"/>
            <x v="69"/>
            <x v="71"/>
            <x v="72"/>
            <x v="74"/>
            <x v="77"/>
            <x v="79"/>
            <x v="80"/>
            <x v="81"/>
            <x v="82"/>
            <x v="83"/>
            <x v="84"/>
            <x v="85"/>
            <x v="86"/>
            <x v="88"/>
            <x v="89"/>
            <x v="90"/>
            <x v="91"/>
            <x v="93"/>
            <x v="94"/>
            <x v="95"/>
            <x v="96"/>
            <x v="97"/>
            <x v="98"/>
            <x v="99"/>
            <x v="100"/>
            <x v="102"/>
            <x v="103"/>
            <x v="104"/>
            <x v="105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</references>
      </pivotArea>
    </format>
    <format dxfId="106">
      <pivotArea dataOnly="0" labelOnly="1" fieldPosition="0">
        <references count="1">
          <reference field="3" count="50">
            <x v="125"/>
            <x v="126"/>
            <x v="127"/>
            <x v="128"/>
            <x v="129"/>
            <x v="132"/>
            <x v="134"/>
            <x v="135"/>
            <x v="137"/>
            <x v="138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</reference>
        </references>
      </pivotArea>
    </format>
    <format dxfId="105">
      <pivotArea dataOnly="0" labelOnly="1" grandRow="1" outline="0" fieldPosition="0"/>
    </format>
    <format dxfId="104">
      <pivotArea dataOnly="0" outline="0" fieldPosition="0">
        <references count="1">
          <reference field="4294967294" count="3">
            <x v="13"/>
            <x v="14"/>
            <x v="15"/>
          </reference>
        </references>
      </pivotArea>
    </format>
    <format dxfId="103">
      <pivotArea dataOnly="0" outline="0" fieldPosition="0">
        <references count="1">
          <reference field="4294967294" count="1">
            <x v="16"/>
          </reference>
        </references>
      </pivotArea>
    </format>
    <format dxfId="102">
      <pivotArea dataOnly="0" outline="0" fieldPosition="0">
        <references count="1">
          <reference field="4294967294" count="1">
            <x v="17"/>
          </reference>
        </references>
      </pivotArea>
    </format>
    <format dxfId="101">
      <pivotArea dataOnly="0" outline="0" fieldPosition="0">
        <references count="1">
          <reference field="4294967294" count="1">
            <x v="18"/>
          </reference>
        </references>
      </pivotArea>
    </format>
    <format dxfId="100">
      <pivotArea dataOnly="0" outline="0" fieldPosition="0">
        <references count="1">
          <reference field="4294967294" count="1">
            <x v="19"/>
          </reference>
        </references>
      </pivotArea>
    </format>
    <format dxfId="99">
      <pivotArea dataOnly="0" outline="0" fieldPosition="0">
        <references count="1">
          <reference field="4294967294" count="1">
            <x v="20"/>
          </reference>
        </references>
      </pivotArea>
    </format>
    <format dxfId="98">
      <pivotArea dataOnly="0" outline="0" fieldPosition="0">
        <references count="1">
          <reference field="4294967294" count="2">
            <x v="21"/>
            <x v="22"/>
          </reference>
        </references>
      </pivotArea>
    </format>
    <format dxfId="97">
      <pivotArea dataOnly="0" outline="0" fieldPosition="0">
        <references count="1">
          <reference field="4294967294" count="1">
            <x v="23"/>
          </reference>
        </references>
      </pivotArea>
    </format>
    <format dxfId="96">
      <pivotArea dataOnly="0" outline="0" fieldPosition="0">
        <references count="1">
          <reference field="4294967294" count="2">
            <x v="24"/>
            <x v="25"/>
          </reference>
        </references>
      </pivotArea>
    </format>
    <format dxfId="95">
      <pivotArea dataOnly="0" outline="0" fieldPosition="0">
        <references count="1">
          <reference field="4294967294" count="1">
            <x v="26"/>
          </reference>
        </references>
      </pivotArea>
    </format>
    <format dxfId="94">
      <pivotArea dataOnly="0" outline="0" fieldPosition="0">
        <references count="1">
          <reference field="4294967294" count="1">
            <x v="2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A00-000033000000}" name="PivotTable4" cacheId="7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9">
  <location ref="A3:AO32" firstHeaderRow="1" firstDataRow="2" firstDataCol="1"/>
  <pivotFields count="40">
    <pivotField showAll="0"/>
    <pivotField axis="axisCol" showAll="0">
      <items count="40">
        <item x="27"/>
        <item x="17"/>
        <item x="16"/>
        <item x="23"/>
        <item x="21"/>
        <item x="35"/>
        <item x="7"/>
        <item x="25"/>
        <item x="14"/>
        <item x="9"/>
        <item x="8"/>
        <item x="37"/>
        <item x="12"/>
        <item x="34"/>
        <item x="20"/>
        <item x="5"/>
        <item x="0"/>
        <item x="28"/>
        <item x="11"/>
        <item x="2"/>
        <item x="30"/>
        <item x="18"/>
        <item x="22"/>
        <item x="15"/>
        <item x="19"/>
        <item x="33"/>
        <item x="38"/>
        <item x="13"/>
        <item x="36"/>
        <item x="29"/>
        <item x="6"/>
        <item x="10"/>
        <item x="26"/>
        <item x="24"/>
        <item x="3"/>
        <item x="4"/>
        <item x="1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2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1"/>
  </colFields>
  <col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colItems>
  <dataFields count="28">
    <dataField name="Sum of 01-02-2025" fld="10" baseField="0" baseItem="0"/>
    <dataField name="Sum of 02-02-2025" fld="11" baseField="0" baseItem="0"/>
    <dataField name="Sum of 03-02-2025" fld="12" baseField="0" baseItem="0"/>
    <dataField name="Sum of 04-02-2025" fld="13" baseField="0" baseItem="0"/>
    <dataField name="Sum of 05-02-2025" fld="14" baseField="0" baseItem="0"/>
    <dataField name="Sum of 06-02-2025" fld="15" baseField="0" baseItem="0"/>
    <dataField name="Sum of 07-02-2025" fld="16" baseField="0" baseItem="0"/>
    <dataField name="Sum of 08-02-2025" fld="17" baseField="0" baseItem="0"/>
    <dataField name="Sum of 09-02-2025" fld="18" baseField="0" baseItem="0"/>
    <dataField name="Sum of 10-02-2025" fld="19" baseField="0" baseItem="0"/>
    <dataField name="Sum of 11-02-2025" fld="20" baseField="0" baseItem="0"/>
    <dataField name="Sum of 12-02-2025" fld="21" baseField="0" baseItem="0"/>
    <dataField name="Sum of 13-02-2025" fld="22" baseField="0" baseItem="0"/>
    <dataField name="Sum of 14-02-2025" fld="23" baseField="0" baseItem="0"/>
    <dataField name="Sum of 15-02-2025" fld="24" baseField="0" baseItem="0"/>
    <dataField name="Sum of 16-02-2025" fld="25" baseField="0" baseItem="0"/>
    <dataField name="Sum of 17-02-2025" fld="26" baseField="0" baseItem="0"/>
    <dataField name="Sum of 18-02-2025" fld="27" baseField="0" baseItem="0"/>
    <dataField name="Sum of 19-02-2025" fld="28" baseField="0" baseItem="0"/>
    <dataField name="Sum of 20-02-2025" fld="29" baseField="0" baseItem="0"/>
    <dataField name="Sum of 21-02-2025" fld="30" baseField="0" baseItem="0"/>
    <dataField name="Sum of 22-02-2025" fld="31" baseField="0" baseItem="0"/>
    <dataField name="Sum of 23-02-2025" fld="32" baseField="0" baseItem="0"/>
    <dataField name="Sum of 24-02-2025" fld="33" baseField="0" baseItem="0"/>
    <dataField name="Sum of 25-02-2025" fld="34" baseField="0" baseItem="0"/>
    <dataField name="Sum of 26-02-2025" fld="35" baseField="0" baseItem="0"/>
    <dataField name="Sum of 27-02-2025" fld="36" baseField="0" baseItem="0"/>
    <dataField name="Sum of 28-02-2025" fld="37" baseField="0" baseItem="0"/>
  </dataFields>
  <chartFormats count="19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7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7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7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7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7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7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7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7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7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7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7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7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7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7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7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7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7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7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7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7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7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7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7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7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7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7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7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7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7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7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7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7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7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7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7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7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6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6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6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6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6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6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6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6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6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6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6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6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6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6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6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6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6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6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6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6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6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6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6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6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6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6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6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6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6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6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6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6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6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6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6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6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7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7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7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7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7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7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7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7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7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7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7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7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7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7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7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7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7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7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7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7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7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7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7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7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7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7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7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7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7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7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7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7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7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7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7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7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8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8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8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8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8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8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8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8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8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8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8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8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8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8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8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8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8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8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8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8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8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8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8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8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8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8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8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8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8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8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8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8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8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8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8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8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8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8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8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B00-000035000000}" name="PivotTable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182:AF187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2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Sum of 01-03-2025" fld="10" baseField="0" baseItem="0"/>
    <dataField name="Sum of 02-03-2025" fld="11" baseField="0" baseItem="0"/>
    <dataField name="Sum of 03-03-2025" fld="12" baseField="0" baseItem="0"/>
    <dataField name="Sum of 04-03-2025" fld="13" baseField="0" baseItem="0"/>
    <dataField name="Sum of 05-03-2025" fld="14" baseField="0" baseItem="0"/>
    <dataField name="Sum of 06-03-2025" fld="15" baseField="0" baseItem="0"/>
    <dataField name="Sum of 07-03-2025" fld="16" baseField="0" baseItem="0"/>
    <dataField name="Sum of 08-03-2025" fld="17" baseField="0" baseItem="0"/>
    <dataField name="Sum of 09-03-2025" fld="18" baseField="0" baseItem="0"/>
    <dataField name="Sum of 10-03-2025" fld="19" baseField="0" baseItem="0"/>
    <dataField name="Sum of 11-03-2025" fld="20" baseField="0" baseItem="0"/>
    <dataField name="Sum of 12-03-2025" fld="21" baseField="0" baseItem="0"/>
    <dataField name="Sum of 13-03-2025" fld="22" baseField="0" baseItem="0"/>
    <dataField name="Sum of 14-03-2025" fld="23" baseField="0" baseItem="0"/>
    <dataField name="Sum of 15-03-2025" fld="24" baseField="0" baseItem="0"/>
    <dataField name="Sum of 16-03-2025" fld="25" baseField="0" baseItem="0"/>
    <dataField name="Sum of 17-03-2025" fld="26" baseField="0" baseItem="0"/>
    <dataField name="Sum of 18-03-2025" fld="27" baseField="0" baseItem="0"/>
    <dataField name="Sum of 19-03-2025" fld="28" baseField="0" baseItem="0"/>
    <dataField name="Sum of 20-03-2025" fld="29" baseField="0" baseItem="0"/>
    <dataField name="Sum of 21-03-2025" fld="30" baseField="0" baseItem="0"/>
    <dataField name="Sum of 22-03-2025" fld="31" baseField="0" baseItem="0"/>
    <dataField name="Sum of 23-03-2025" fld="32" baseField="0" baseItem="0"/>
    <dataField name="Sum of 24-03-2025" fld="33" baseField="0" baseItem="0"/>
    <dataField name="Sum of 25-03-2025" fld="34" baseField="0" baseItem="0"/>
    <dataField name="Sum of 26-03-2025" fld="35" baseField="0" baseItem="0"/>
    <dataField name="Sum of 27-03-2025" fld="36" baseField="0" baseItem="0"/>
    <dataField name="Sum of 28-03-2025" fld="37" baseField="0" baseItem="0"/>
    <dataField name="Sum of 29-03-2025" fld="38" baseField="0" baseItem="0"/>
    <dataField name="Sum of 30-03-2025" fld="39" baseField="0" baseItem="0"/>
    <dataField name="Sum of 31-03-2025" fld="40" baseField="0" baseItem="0"/>
  </dataFields>
  <formats count="9">
    <format dxfId="47">
      <pivotArea outline="0" collapsedLevelsAreSubtotals="1" fieldPosition="0"/>
    </format>
    <format dxfId="46">
      <pivotArea dataOnly="0" labelOnly="1" fieldPosition="0">
        <references count="1">
          <reference field="9" count="0"/>
        </references>
      </pivotArea>
    </format>
    <format dxfId="45">
      <pivotArea dataOnly="0" labelOnly="1" grandRow="1" outline="0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9" type="button" dataOnly="0" labelOnly="1" outline="0" axis="axisRow" fieldPosition="0"/>
    </format>
    <format dxfId="41">
      <pivotArea dataOnly="0" labelOnly="1" fieldPosition="0">
        <references count="1">
          <reference field="9" count="0"/>
        </references>
      </pivotArea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B00-000034000000}" name="PivotTable5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4:AG164" firstHeaderRow="0" firstDataRow="1" firstDataCol="1" rowPageCount="2" colPageCount="1"/>
  <pivotFields count="43">
    <pivotField showAll="0"/>
    <pivotField axis="axisPage" showAll="0">
      <items count="45">
        <item x="32"/>
        <item x="21"/>
        <item x="20"/>
        <item x="28"/>
        <item x="26"/>
        <item x="25"/>
        <item x="40"/>
        <item x="8"/>
        <item x="30"/>
        <item x="18"/>
        <item x="11"/>
        <item x="10"/>
        <item x="42"/>
        <item x="36"/>
        <item x="14"/>
        <item x="39"/>
        <item x="24"/>
        <item x="7"/>
        <item x="0"/>
        <item x="33"/>
        <item x="13"/>
        <item x="4"/>
        <item x="35"/>
        <item x="22"/>
        <item x="27"/>
        <item x="19"/>
        <item x="23"/>
        <item x="38"/>
        <item x="37"/>
        <item x="43"/>
        <item x="15"/>
        <item x="41"/>
        <item x="34"/>
        <item x="9"/>
        <item x="12"/>
        <item x="31"/>
        <item x="29"/>
        <item x="5"/>
        <item x="6"/>
        <item x="1"/>
        <item x="2"/>
        <item x="3"/>
        <item x="16"/>
        <item x="17"/>
        <item t="default"/>
      </items>
    </pivotField>
    <pivotField showAll="0"/>
    <pivotField axis="axisRow" showAll="0">
      <items count="162">
        <item x="30"/>
        <item x="104"/>
        <item x="14"/>
        <item x="17"/>
        <item x="36"/>
        <item x="20"/>
        <item x="4"/>
        <item x="11"/>
        <item x="123"/>
        <item x="8"/>
        <item m="1" x="159"/>
        <item x="154"/>
        <item x="46"/>
        <item x="153"/>
        <item x="155"/>
        <item x="57"/>
        <item x="86"/>
        <item x="60"/>
        <item x="108"/>
        <item x="117"/>
        <item x="32"/>
        <item x="43"/>
        <item x="24"/>
        <item x="45"/>
        <item x="115"/>
        <item x="106"/>
        <item x="67"/>
        <item x="61"/>
        <item x="87"/>
        <item x="68"/>
        <item x="62"/>
        <item x="6"/>
        <item x="35"/>
        <item m="1" x="160"/>
        <item x="119"/>
        <item x="103"/>
        <item x="34"/>
        <item x="128"/>
        <item x="150"/>
        <item x="114"/>
        <item x="116"/>
        <item x="50"/>
        <item x="94"/>
        <item x="144"/>
        <item x="142"/>
        <item x="147"/>
        <item x="146"/>
        <item x="137"/>
        <item x="136"/>
        <item x="138"/>
        <item x="135"/>
        <item x="133"/>
        <item x="134"/>
        <item x="132"/>
        <item x="75"/>
        <item x="7"/>
        <item x="139"/>
        <item x="37"/>
        <item x="51"/>
        <item x="27"/>
        <item x="38"/>
        <item x="49"/>
        <item x="143"/>
        <item x="52"/>
        <item x="145"/>
        <item x="33"/>
        <item x="77"/>
        <item x="41"/>
        <item x="124"/>
        <item x="125"/>
        <item x="76"/>
        <item x="40"/>
        <item x="58"/>
        <item x="152"/>
        <item x="151"/>
        <item x="156"/>
        <item x="0"/>
        <item x="1"/>
        <item x="2"/>
        <item x="111"/>
        <item x="109"/>
        <item x="110"/>
        <item x="127"/>
        <item x="157"/>
        <item x="158"/>
        <item x="78"/>
        <item x="121"/>
        <item x="16"/>
        <item x="130"/>
        <item x="120"/>
        <item x="107"/>
        <item x="19"/>
        <item x="26"/>
        <item x="149"/>
        <item x="39"/>
        <item x="113"/>
        <item x="131"/>
        <item x="91"/>
        <item x="90"/>
        <item x="85"/>
        <item x="42"/>
        <item x="102"/>
        <item x="89"/>
        <item x="97"/>
        <item x="101"/>
        <item x="56"/>
        <item x="88"/>
        <item x="98"/>
        <item x="81"/>
        <item x="80"/>
        <item x="93"/>
        <item x="105"/>
        <item x="79"/>
        <item x="92"/>
        <item x="82"/>
        <item x="9"/>
        <item x="122"/>
        <item x="141"/>
        <item x="22"/>
        <item x="96"/>
        <item x="100"/>
        <item x="95"/>
        <item x="99"/>
        <item x="12"/>
        <item x="10"/>
        <item x="73"/>
        <item x="13"/>
        <item x="23"/>
        <item x="63"/>
        <item x="74"/>
        <item x="5"/>
        <item x="126"/>
        <item x="31"/>
        <item x="44"/>
        <item x="64"/>
        <item x="15"/>
        <item x="72"/>
        <item x="129"/>
        <item x="118"/>
        <item x="71"/>
        <item x="47"/>
        <item x="18"/>
        <item x="3"/>
        <item x="25"/>
        <item x="148"/>
        <item x="69"/>
        <item x="112"/>
        <item x="66"/>
        <item x="29"/>
        <item x="70"/>
        <item x="48"/>
        <item x="28"/>
        <item x="140"/>
        <item x="21"/>
        <item x="53"/>
        <item x="54"/>
        <item x="65"/>
        <item x="55"/>
        <item x="83"/>
        <item x="84"/>
        <item x="5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numFmtId="2" showAll="0"/>
  </pivotFields>
  <rowFields count="1">
    <field x="3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2">
    <pageField fld="1" hier="-1"/>
    <pageField fld="9" hier="-1"/>
  </pageFields>
  <dataFields count="32">
    <dataField name="Sum of 01-03-2025" fld="10" baseField="0" baseItem="0"/>
    <dataField name="Sum of 02-03-2025" fld="11" baseField="0" baseItem="0"/>
    <dataField name="Sum of 03-03-2025" fld="12" baseField="0" baseItem="0"/>
    <dataField name="Sum of 04-03-2025" fld="13" baseField="0" baseItem="0"/>
    <dataField name="Sum of 05-03-2025" fld="14" baseField="0" baseItem="0"/>
    <dataField name="Sum of 06-03-2025" fld="15" baseField="0" baseItem="0"/>
    <dataField name="Sum of 07-03-2025" fld="16" baseField="0" baseItem="0"/>
    <dataField name="Sum of 08-03-2025" fld="17" baseField="0" baseItem="0"/>
    <dataField name="Sum of 09-03-2025" fld="18" baseField="0" baseItem="0"/>
    <dataField name="Sum of 10-03-2025" fld="19" baseField="0" baseItem="0"/>
    <dataField name="Sum of 11-03-2025" fld="20" baseField="0" baseItem="0"/>
    <dataField name="Sum of 12-03-2025" fld="21" baseField="0" baseItem="0"/>
    <dataField name="Sum of 13-03-2025" fld="22" baseField="0" baseItem="0"/>
    <dataField name="Sum of 14-03-2025" fld="23" baseField="0" baseItem="0"/>
    <dataField name="Sum of 15-03-2025" fld="24" baseField="0" baseItem="0"/>
    <dataField name="Sum of 16-03-2025" fld="25" baseField="0" baseItem="0"/>
    <dataField name="Sum of 17-03-2025" fld="26" baseField="0" baseItem="0"/>
    <dataField name="Sum of 18-03-2025" fld="27" baseField="0" baseItem="0"/>
    <dataField name="Sum of 19-03-2025" fld="28" baseField="0" baseItem="0"/>
    <dataField name="Sum of 20-03-2025" fld="29" baseField="0" baseItem="0"/>
    <dataField name="Sum of 21-03-2025" fld="30" baseField="0" baseItem="0"/>
    <dataField name="Sum of 22-03-2025" fld="31" baseField="0" baseItem="0"/>
    <dataField name="Sum of 23-03-2025" fld="32" baseField="0" baseItem="0"/>
    <dataField name="Sum of 24-03-2025" fld="33" baseField="0" baseItem="0"/>
    <dataField name="Sum of 25-03-2025" fld="34" baseField="0" baseItem="0"/>
    <dataField name="Sum of 26-03-2025" fld="35" baseField="0" baseItem="0"/>
    <dataField name="Sum of 27-03-2025" fld="36" baseField="0" baseItem="0"/>
    <dataField name="Sum of 28-03-2025" fld="37" baseField="0" baseItem="0"/>
    <dataField name="Sum of 29-03-2025" fld="38" baseField="0" baseItem="0"/>
    <dataField name="Sum of 30-03-2025" fld="39" baseField="0" baseItem="0"/>
    <dataField name="Sum of 31-03-2025" fld="40" baseField="0" baseItem="0"/>
    <dataField name="Sum of Average" fld="41" baseField="3" baseItem="155"/>
  </dataFields>
  <formats count="34">
    <format dxfId="81">
      <pivotArea outline="0" collapsedLevelsAreSubtotals="1" fieldPosition="0"/>
    </format>
    <format dxfId="8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9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8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7">
      <pivotArea dataOnly="0" labelOnly="1" fieldPosition="0">
        <references count="1">
          <reference field="3" count="4">
            <x v="150"/>
            <x v="151"/>
            <x v="152"/>
            <x v="153"/>
          </reference>
        </references>
      </pivotArea>
    </format>
    <format dxfId="76">
      <pivotArea dataOnly="0" labelOnly="1" grandRow="1" outline="0" fieldPosition="0"/>
    </format>
    <format dxfId="75">
      <pivotArea outline="0" collapsedLevelsAreSubtotals="1" fieldPosition="0"/>
    </format>
    <format dxfId="7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2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1">
      <pivotArea dataOnly="0" labelOnly="1" fieldPosition="0">
        <references count="1">
          <reference field="3" count="4">
            <x v="150"/>
            <x v="151"/>
            <x v="152"/>
            <x v="153"/>
          </reference>
        </references>
      </pivotArea>
    </format>
    <format dxfId="70">
      <pivotArea dataOnly="0" labelOnly="1" grandRow="1" outline="0" fieldPosition="0"/>
    </format>
    <format dxfId="69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68">
      <pivotArea dataOnly="0" outline="0" fieldPosition="0">
        <references count="1">
          <reference field="4294967294" count="1">
            <x v="2"/>
          </reference>
        </references>
      </pivotArea>
    </format>
    <format dxfId="67">
      <pivotArea dataOnly="0" outline="0" fieldPosition="0">
        <references count="1">
          <reference field="4294967294" count="1">
            <x v="3"/>
          </reference>
        </references>
      </pivotArea>
    </format>
    <format dxfId="66">
      <pivotArea dataOnly="0" outline="0" fieldPosition="0">
        <references count="1">
          <reference field="4294967294" count="1">
            <x v="4"/>
          </reference>
        </references>
      </pivotArea>
    </format>
    <format dxfId="65">
      <pivotArea dataOnly="0" outline="0" fieldPosition="0">
        <references count="1">
          <reference field="4294967294" count="1">
            <x v="5"/>
          </reference>
        </references>
      </pivotArea>
    </format>
    <format dxfId="64">
      <pivotArea dataOnly="0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3">
      <pivotArea dataOnly="0" outline="0" fieldPosition="0">
        <references count="1">
          <reference field="4294967294" count="1">
            <x v="9"/>
          </reference>
        </references>
      </pivotArea>
    </format>
    <format dxfId="62">
      <pivotArea dataOnly="0" outline="0" fieldPosition="0">
        <references count="1">
          <reference field="4294967294" count="1">
            <x v="10"/>
          </reference>
        </references>
      </pivotArea>
    </format>
    <format dxfId="61">
      <pivotArea dataOnly="0" outline="0" fieldPosition="0">
        <references count="1">
          <reference field="4294967294" count="1">
            <x v="11"/>
          </reference>
        </references>
      </pivotArea>
    </format>
    <format dxfId="60">
      <pivotArea dataOnly="0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59">
      <pivotArea dataOnly="0" outline="0" fieldPosition="0">
        <references count="1">
          <reference field="4294967294" count="1">
            <x v="16"/>
          </reference>
        </references>
      </pivotArea>
    </format>
    <format dxfId="58">
      <pivotArea dataOnly="0" outline="0" fieldPosition="0">
        <references count="1">
          <reference field="4294967294" count="1">
            <x v="17"/>
          </reference>
        </references>
      </pivotArea>
    </format>
    <format dxfId="57">
      <pivotArea dataOnly="0" outline="0" fieldPosition="0">
        <references count="1">
          <reference field="4294967294" count="1">
            <x v="18"/>
          </reference>
        </references>
      </pivotArea>
    </format>
    <format dxfId="56">
      <pivotArea dataOnly="0" outline="0" fieldPosition="0">
        <references count="1">
          <reference field="4294967294" count="1">
            <x v="19"/>
          </reference>
        </references>
      </pivotArea>
    </format>
    <format dxfId="55">
      <pivotArea dataOnly="0" outline="0" fieldPosition="0">
        <references count="1">
          <reference field="4294967294" count="1">
            <x v="20"/>
          </reference>
        </references>
      </pivotArea>
    </format>
    <format dxfId="54">
      <pivotArea dataOnly="0" outline="0" fieldPosition="0">
        <references count="1">
          <reference field="4294967294" count="3">
            <x v="21"/>
            <x v="22"/>
            <x v="31"/>
          </reference>
        </references>
      </pivotArea>
    </format>
    <format dxfId="53">
      <pivotArea dataOnly="0" outline="0" fieldPosition="0">
        <references count="1">
          <reference field="4294967294" count="1">
            <x v="23"/>
          </reference>
        </references>
      </pivotArea>
    </format>
    <format dxfId="52">
      <pivotArea dataOnly="0" outline="0" fieldPosition="0">
        <references count="1">
          <reference field="4294967294" count="1">
            <x v="24"/>
          </reference>
        </references>
      </pivotArea>
    </format>
    <format dxfId="51">
      <pivotArea dataOnly="0" outline="0" fieldPosition="0">
        <references count="1">
          <reference field="4294967294" count="1">
            <x v="25"/>
          </reference>
        </references>
      </pivotArea>
    </format>
    <format dxfId="50">
      <pivotArea dataOnly="0" outline="0" fieldPosition="0">
        <references count="1">
          <reference field="4294967294" count="1">
            <x v="26"/>
          </reference>
        </references>
      </pivotArea>
    </format>
    <format dxfId="49">
      <pivotArea dataOnly="0" outline="0" fieldPosition="0">
        <references count="1">
          <reference field="4294967294" count="1">
            <x v="27"/>
          </reference>
        </references>
      </pivotArea>
    </format>
    <format dxfId="48">
      <pivotArea dataOnly="0" outline="0" fieldPosition="0">
        <references count="1">
          <reference field="4294967294" count="3">
            <x v="28"/>
            <x v="29"/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D00-000036000000}" name="PivotTable4" cacheId="7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9">
  <location ref="A3:AT35" firstHeaderRow="1" firstDataRow="2" firstDataCol="1"/>
  <pivotFields count="43">
    <pivotField showAll="0"/>
    <pivotField axis="axisCol" showAll="0">
      <items count="45">
        <item x="32"/>
        <item x="21"/>
        <item x="20"/>
        <item x="28"/>
        <item x="26"/>
        <item x="25"/>
        <item x="40"/>
        <item x="8"/>
        <item x="30"/>
        <item x="18"/>
        <item x="11"/>
        <item x="10"/>
        <item x="42"/>
        <item x="36"/>
        <item x="14"/>
        <item x="39"/>
        <item x="24"/>
        <item x="7"/>
        <item x="0"/>
        <item x="33"/>
        <item x="13"/>
        <item x="4"/>
        <item x="35"/>
        <item x="22"/>
        <item x="27"/>
        <item x="19"/>
        <item x="23"/>
        <item x="38"/>
        <item x="37"/>
        <item x="43"/>
        <item x="15"/>
        <item x="41"/>
        <item x="34"/>
        <item x="9"/>
        <item x="12"/>
        <item x="31"/>
        <item x="29"/>
        <item x="5"/>
        <item x="6"/>
        <item x="1"/>
        <item x="2"/>
        <item x="3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2" showAll="0"/>
    <pivotField numFmtId="2" showAll="0"/>
  </pivotFields>
  <rowFields count="1">
    <field x="-2"/>
  </rowFields>
  <row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rowItems>
  <colFields count="1">
    <field x="1"/>
  </colFields>
  <col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colItems>
  <dataFields count="31">
    <dataField name="Sum of 01-03-2025" fld="10" baseField="0" baseItem="0"/>
    <dataField name="Sum of 02-03-2025" fld="11" baseField="0" baseItem="0"/>
    <dataField name="Sum of 03-03-2025" fld="12" baseField="0" baseItem="0"/>
    <dataField name="Sum of 04-03-2025" fld="13" baseField="0" baseItem="0"/>
    <dataField name="Sum of 05-03-2025" fld="14" baseField="0" baseItem="0"/>
    <dataField name="Sum of 06-03-2025" fld="15" baseField="0" baseItem="0"/>
    <dataField name="Sum of 07-03-2025" fld="16" baseField="0" baseItem="0"/>
    <dataField name="Sum of 08-03-2025" fld="17" baseField="0" baseItem="0"/>
    <dataField name="Sum of 09-03-2025" fld="18" baseField="0" baseItem="0"/>
    <dataField name="Sum of 10-03-2025" fld="19" baseField="0" baseItem="0"/>
    <dataField name="Sum of 11-03-2025" fld="20" baseField="0" baseItem="0"/>
    <dataField name="Sum of 12-03-2025" fld="21" baseField="0" baseItem="0"/>
    <dataField name="Sum of 13-03-2025" fld="22" baseField="0" baseItem="0"/>
    <dataField name="Sum of 14-03-2025" fld="23" baseField="0" baseItem="0"/>
    <dataField name="Sum of 15-03-2025" fld="24" baseField="0" baseItem="0"/>
    <dataField name="Sum of 16-03-2025" fld="25" baseField="0" baseItem="0"/>
    <dataField name="Sum of 17-03-2025" fld="26" baseField="0" baseItem="0"/>
    <dataField name="Sum of 18-03-2025" fld="27" baseField="0" baseItem="0"/>
    <dataField name="Sum of 19-03-2025" fld="28" baseField="0" baseItem="0"/>
    <dataField name="Sum of 20-03-2025" fld="29" baseField="0" baseItem="0"/>
    <dataField name="Sum of 21-03-2025" fld="30" baseField="0" baseItem="0"/>
    <dataField name="Sum of 22-03-2025" fld="31" baseField="0" baseItem="0"/>
    <dataField name="Sum of 23-03-2025" fld="32" baseField="0" baseItem="0"/>
    <dataField name="Sum of 24-03-2025" fld="33" baseField="0" baseItem="0"/>
    <dataField name="Sum of 25-03-2025" fld="34" baseField="0" baseItem="0"/>
    <dataField name="Sum of 26-03-2025" fld="35" baseField="0" baseItem="0"/>
    <dataField name="Sum of 27-03-2025" fld="36" baseField="0" baseItem="0"/>
    <dataField name="Sum of 28-03-2025" fld="37" baseField="0" baseItem="0"/>
    <dataField name="Sum of 29-03-2025" fld="38" baseField="0" baseItem="0"/>
    <dataField name="Sum of 30-03-2025" fld="39" baseField="0" baseItem="0"/>
    <dataField name="Sum of 31-03-2025" fld="40" baseField="0" baseItem="0"/>
  </dataFields>
  <chartFormats count="6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5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2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2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2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2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2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2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2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2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2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2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2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2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2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2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2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2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2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2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2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2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2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2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2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2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2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4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4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4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4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4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4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4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4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4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4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4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4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4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4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4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4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4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4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4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4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4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4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5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5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5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5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5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5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5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5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5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5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5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5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5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5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5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5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5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5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5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5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5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5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5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5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5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5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19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9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9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9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9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9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9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9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9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9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9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9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9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9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9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9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9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9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9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9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9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9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9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9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9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9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9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9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9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9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9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19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19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19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19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19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19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19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19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19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1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1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1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1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1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1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1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1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1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1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1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1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1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1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1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1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1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1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1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1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1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1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1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1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1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1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1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1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1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1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1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1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1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1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1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1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1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1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2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2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2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2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2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2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2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2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2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2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2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2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2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2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2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2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2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2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2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2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2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2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2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3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3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3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3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3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3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3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3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3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3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3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3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3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3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3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3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3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3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4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4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4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4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4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4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4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4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4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4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4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4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4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4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4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4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4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4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4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4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4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4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4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4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4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4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4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5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5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5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5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5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5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5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5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5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5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5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5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5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5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5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5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5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5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5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5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5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5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5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5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5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5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44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4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4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4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4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4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4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4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4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4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4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4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4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4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4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4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4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4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4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4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4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4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4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4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4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4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4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4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4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4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4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4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4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4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4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4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4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4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4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4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44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44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44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4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5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5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5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5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5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5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5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5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5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5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5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5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5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5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5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5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5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5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5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5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5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5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5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5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5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5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5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5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5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5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5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5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5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5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5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45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45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45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48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8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8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8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8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8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8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8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8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8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8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8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8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8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8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8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8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8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8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8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8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8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8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8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8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8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8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8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8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8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8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8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8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8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8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8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8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8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8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8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8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48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48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48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E00-000037000000}" name="PivotTable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4:B182" firstHeaderRow="1" firstDataRow="1" firstDataCol="1" rowPageCount="2" colPageCount="1"/>
  <pivotFields count="42">
    <pivotField showAll="0"/>
    <pivotField axis="axisPage" showAll="0">
      <items count="47">
        <item x="32"/>
        <item x="21"/>
        <item x="20"/>
        <item x="28"/>
        <item x="26"/>
        <item x="25"/>
        <item x="40"/>
        <item x="8"/>
        <item x="30"/>
        <item x="18"/>
        <item x="11"/>
        <item x="10"/>
        <item x="42"/>
        <item x="36"/>
        <item x="14"/>
        <item x="39"/>
        <item x="24"/>
        <item x="7"/>
        <item x="0"/>
        <item x="16"/>
        <item x="33"/>
        <item x="13"/>
        <item x="4"/>
        <item x="35"/>
        <item x="22"/>
        <item x="27"/>
        <item x="19"/>
        <item x="23"/>
        <item x="38"/>
        <item x="17"/>
        <item x="37"/>
        <item x="45"/>
        <item x="15"/>
        <item x="41"/>
        <item x="34"/>
        <item x="9"/>
        <item x="2"/>
        <item x="12"/>
        <item x="3"/>
        <item x="31"/>
        <item x="29"/>
        <item x="5"/>
        <item x="6"/>
        <item x="1"/>
        <item x="43"/>
        <item x="44"/>
        <item t="default"/>
      </items>
    </pivotField>
    <pivotField showAll="0"/>
    <pivotField axis="axisRow" showAll="0">
      <items count="179">
        <item x="30"/>
        <item x="106"/>
        <item x="14"/>
        <item x="17"/>
        <item x="36"/>
        <item x="20"/>
        <item x="4"/>
        <item x="11"/>
        <item x="125"/>
        <item x="8"/>
        <item x="86"/>
        <item x="172"/>
        <item x="46"/>
        <item x="171"/>
        <item x="173"/>
        <item x="58"/>
        <item x="88"/>
        <item x="61"/>
        <item x="110"/>
        <item x="119"/>
        <item x="32"/>
        <item x="43"/>
        <item x="24"/>
        <item x="45"/>
        <item x="117"/>
        <item x="108"/>
        <item x="69"/>
        <item x="62"/>
        <item x="89"/>
        <item x="70"/>
        <item x="63"/>
        <item x="6"/>
        <item x="35"/>
        <item x="121"/>
        <item x="105"/>
        <item x="34"/>
        <item x="130"/>
        <item x="152"/>
        <item x="116"/>
        <item x="118"/>
        <item x="51"/>
        <item x="96"/>
        <item x="146"/>
        <item x="144"/>
        <item x="149"/>
        <item x="148"/>
        <item x="139"/>
        <item x="138"/>
        <item x="140"/>
        <item x="137"/>
        <item x="135"/>
        <item x="136"/>
        <item x="134"/>
        <item x="77"/>
        <item x="7"/>
        <item x="141"/>
        <item x="37"/>
        <item x="52"/>
        <item x="27"/>
        <item x="38"/>
        <item x="50"/>
        <item x="145"/>
        <item x="53"/>
        <item x="147"/>
        <item x="67"/>
        <item x="56"/>
        <item x="85"/>
        <item x="33"/>
        <item x="79"/>
        <item x="41"/>
        <item x="126"/>
        <item x="127"/>
        <item x="78"/>
        <item x="40"/>
        <item x="59"/>
        <item x="170"/>
        <item x="169"/>
        <item x="174"/>
        <item x="0"/>
        <item x="1"/>
        <item x="2"/>
        <item x="113"/>
        <item x="111"/>
        <item x="112"/>
        <item x="129"/>
        <item x="175"/>
        <item x="176"/>
        <item x="80"/>
        <item x="123"/>
        <item x="16"/>
        <item m="1" x="177"/>
        <item x="132"/>
        <item x="122"/>
        <item x="109"/>
        <item x="19"/>
        <item x="26"/>
        <item x="151"/>
        <item x="39"/>
        <item x="115"/>
        <item x="133"/>
        <item x="54"/>
        <item x="93"/>
        <item x="92"/>
        <item x="87"/>
        <item x="42"/>
        <item x="104"/>
        <item x="91"/>
        <item x="99"/>
        <item x="103"/>
        <item x="57"/>
        <item x="90"/>
        <item x="100"/>
        <item x="83"/>
        <item x="82"/>
        <item x="95"/>
        <item x="107"/>
        <item x="81"/>
        <item x="94"/>
        <item x="84"/>
        <item x="9"/>
        <item x="124"/>
        <item x="143"/>
        <item x="60"/>
        <item x="22"/>
        <item x="98"/>
        <item x="102"/>
        <item x="97"/>
        <item x="101"/>
        <item x="12"/>
        <item x="10"/>
        <item x="75"/>
        <item x="13"/>
        <item x="23"/>
        <item x="64"/>
        <item x="76"/>
        <item x="5"/>
        <item x="128"/>
        <item x="31"/>
        <item x="44"/>
        <item x="66"/>
        <item x="15"/>
        <item x="74"/>
        <item x="131"/>
        <item x="120"/>
        <item x="73"/>
        <item x="47"/>
        <item x="18"/>
        <item x="3"/>
        <item x="25"/>
        <item x="150"/>
        <item x="71"/>
        <item x="114"/>
        <item x="68"/>
        <item x="29"/>
        <item x="72"/>
        <item x="49"/>
        <item x="28"/>
        <item x="142"/>
        <item x="21"/>
        <item x="55"/>
        <item x="153"/>
        <item x="154"/>
        <item x="155"/>
        <item x="157"/>
        <item x="156"/>
        <item x="48"/>
        <item x="158"/>
        <item x="159"/>
        <item x="160"/>
        <item x="161"/>
        <item x="162"/>
        <item x="163"/>
        <item x="164"/>
        <item x="165"/>
        <item x="166"/>
        <item x="65"/>
        <item x="167"/>
        <item x="16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numFmtId="2" showAll="0"/>
    <pivotField numFmtId="2" showAll="0"/>
  </pivotFields>
  <rowFields count="1">
    <field x="3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Items count="1">
    <i/>
  </colItems>
  <pageFields count="2">
    <pageField fld="1" hier="-1"/>
    <pageField fld="9" hier="-1"/>
  </pageFields>
  <dataFields count="1">
    <dataField name="Sum of Average" fld="40" baseField="0" baseItem="0"/>
  </dataFields>
  <formats count="7">
    <format dxfId="32">
      <pivotArea outline="0" collapsedLevelsAreSubtotals="1" fieldPosition="0"/>
    </format>
    <format dxfId="31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8">
      <pivotArea dataOnly="0" labelOnly="1" fieldPosition="0">
        <references count="1">
          <reference field="3" count="9">
            <x v="150"/>
            <x v="151"/>
            <x v="152"/>
            <x v="153"/>
            <x v="154"/>
            <x v="155"/>
            <x v="156"/>
            <x v="157"/>
            <x v="158"/>
          </reference>
        </references>
      </pivotArea>
    </format>
    <format dxfId="27">
      <pivotArea dataOnly="0" labelOnly="1" grandRow="1" outline="0" fieldPosition="0"/>
    </format>
    <format dxfId="26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E00-000038000000}" name="PivotTable9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194:A199" firstHeaderRow="1" firstDataRow="1" firstDataCol="1"/>
  <pivotFields count="4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formats count="6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9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fieldPosition="0">
        <references count="1">
          <reference field="9" count="0"/>
        </references>
      </pivotArea>
    </format>
    <format dxfId="3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7A9C9-4A9E-4A61-B722-1D5F3585A979}" name="PivotTable2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000-000039000000}" name="PivotTable8" cacheId="6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4">
  <location ref="A1:AU2" firstHeaderRow="1" firstDataRow="2" firstDataCol="0"/>
  <pivotFields count="42">
    <pivotField showAll="0"/>
    <pivotField axis="axisCol" showAll="0">
      <items count="47">
        <item x="32"/>
        <item x="21"/>
        <item x="20"/>
        <item x="28"/>
        <item x="26"/>
        <item x="25"/>
        <item x="40"/>
        <item x="8"/>
        <item x="30"/>
        <item x="18"/>
        <item x="11"/>
        <item x="10"/>
        <item x="42"/>
        <item x="36"/>
        <item x="14"/>
        <item x="39"/>
        <item x="24"/>
        <item x="7"/>
        <item x="0"/>
        <item x="16"/>
        <item x="33"/>
        <item x="13"/>
        <item x="4"/>
        <item x="35"/>
        <item x="22"/>
        <item x="27"/>
        <item x="19"/>
        <item x="23"/>
        <item x="38"/>
        <item x="17"/>
        <item x="37"/>
        <item x="45"/>
        <item x="15"/>
        <item x="41"/>
        <item x="34"/>
        <item x="9"/>
        <item x="2"/>
        <item x="12"/>
        <item x="3"/>
        <item x="31"/>
        <item x="29"/>
        <item x="5"/>
        <item x="6"/>
        <item x="1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</pivotFields>
  <rowItems count="1">
    <i/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chartFormats count="88">
    <chartFormat chart="0" format="88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89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90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91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92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93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94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95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96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7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98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99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00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01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02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03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04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05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06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107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108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109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0" format="110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0" format="111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0" format="112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0" format="113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0" format="114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0" format="115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0" format="116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0" format="117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0" format="118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0" format="119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0" format="120" series="1">
      <pivotArea type="data" outline="0" fieldPosition="0">
        <references count="1">
          <reference field="1" count="1" selected="0">
            <x v="32"/>
          </reference>
        </references>
      </pivotArea>
    </chartFormat>
    <chartFormat chart="0" format="121" series="1">
      <pivotArea type="data" outline="0" fieldPosition="0">
        <references count="1">
          <reference field="1" count="1" selected="0">
            <x v="33"/>
          </reference>
        </references>
      </pivotArea>
    </chartFormat>
    <chartFormat chart="0" format="122" series="1">
      <pivotArea type="data" outline="0" fieldPosition="0">
        <references count="1">
          <reference field="1" count="1" selected="0">
            <x v="34"/>
          </reference>
        </references>
      </pivotArea>
    </chartFormat>
    <chartFormat chart="0" format="123" series="1">
      <pivotArea type="data" outline="0" fieldPosition="0">
        <references count="1">
          <reference field="1" count="1" selected="0">
            <x v="35"/>
          </reference>
        </references>
      </pivotArea>
    </chartFormat>
    <chartFormat chart="0" format="124" series="1">
      <pivotArea type="data" outline="0" fieldPosition="0">
        <references count="1">
          <reference field="1" count="1" selected="0">
            <x v="36"/>
          </reference>
        </references>
      </pivotArea>
    </chartFormat>
    <chartFormat chart="0" format="125" series="1">
      <pivotArea type="data" outline="0" fieldPosition="0">
        <references count="1">
          <reference field="1" count="1" selected="0">
            <x v="37"/>
          </reference>
        </references>
      </pivotArea>
    </chartFormat>
    <chartFormat chart="0" format="126" series="1">
      <pivotArea type="data" outline="0" fieldPosition="0">
        <references count="1">
          <reference field="1" count="1" selected="0">
            <x v="38"/>
          </reference>
        </references>
      </pivotArea>
    </chartFormat>
    <chartFormat chart="0" format="127" series="1">
      <pivotArea type="data" outline="0" fieldPosition="0">
        <references count="1">
          <reference field="1" count="1" selected="0">
            <x v="39"/>
          </reference>
        </references>
      </pivotArea>
    </chartFormat>
    <chartFormat chart="0" format="128" series="1">
      <pivotArea type="data" outline="0" fieldPosition="0">
        <references count="1">
          <reference field="1" count="1" selected="0">
            <x v="40"/>
          </reference>
        </references>
      </pivotArea>
    </chartFormat>
    <chartFormat chart="0" format="129" series="1">
      <pivotArea type="data" outline="0" fieldPosition="0">
        <references count="1">
          <reference field="1" count="1" selected="0">
            <x v="41"/>
          </reference>
        </references>
      </pivotArea>
    </chartFormat>
    <chartFormat chart="0" format="130" series="1">
      <pivotArea type="data" outline="0" fieldPosition="0">
        <references count="1">
          <reference field="1" count="1" selected="0">
            <x v="42"/>
          </reference>
        </references>
      </pivotArea>
    </chartFormat>
    <chartFormat chart="0" format="131" series="1">
      <pivotArea type="data" outline="0" fieldPosition="0">
        <references count="1">
          <reference field="1" count="1" selected="0">
            <x v="43"/>
          </reference>
        </references>
      </pivotArea>
    </chartFormat>
    <chartFormat chart="9" format="17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9" format="17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9" format="178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9" format="179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9" format="18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9" format="181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9" format="182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9" format="183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9" format="184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9" format="185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9" format="186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9" format="187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9" format="188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9" format="189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9" format="190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9" format="191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9" format="192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9" format="193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9" format="194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9" format="195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9" format="196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9" format="197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9" format="198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9" format="199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9" format="200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9" format="201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9" format="202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9" format="203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9" format="204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9" format="205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9" format="206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9" format="207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9" format="208" series="1">
      <pivotArea type="data" outline="0" fieldPosition="0">
        <references count="1">
          <reference field="1" count="1" selected="0">
            <x v="32"/>
          </reference>
        </references>
      </pivotArea>
    </chartFormat>
    <chartFormat chart="9" format="209" series="1">
      <pivotArea type="data" outline="0" fieldPosition="0">
        <references count="1">
          <reference field="1" count="1" selected="0">
            <x v="33"/>
          </reference>
        </references>
      </pivotArea>
    </chartFormat>
    <chartFormat chart="9" format="210" series="1">
      <pivotArea type="data" outline="0" fieldPosition="0">
        <references count="1">
          <reference field="1" count="1" selected="0">
            <x v="34"/>
          </reference>
        </references>
      </pivotArea>
    </chartFormat>
    <chartFormat chart="9" format="211" series="1">
      <pivotArea type="data" outline="0" fieldPosition="0">
        <references count="1">
          <reference field="1" count="1" selected="0">
            <x v="35"/>
          </reference>
        </references>
      </pivotArea>
    </chartFormat>
    <chartFormat chart="9" format="212" series="1">
      <pivotArea type="data" outline="0" fieldPosition="0">
        <references count="1">
          <reference field="1" count="1" selected="0">
            <x v="36"/>
          </reference>
        </references>
      </pivotArea>
    </chartFormat>
    <chartFormat chart="9" format="213" series="1">
      <pivotArea type="data" outline="0" fieldPosition="0">
        <references count="1">
          <reference field="1" count="1" selected="0">
            <x v="37"/>
          </reference>
        </references>
      </pivotArea>
    </chartFormat>
    <chartFormat chart="9" format="214" series="1">
      <pivotArea type="data" outline="0" fieldPosition="0">
        <references count="1">
          <reference field="1" count="1" selected="0">
            <x v="38"/>
          </reference>
        </references>
      </pivotArea>
    </chartFormat>
    <chartFormat chart="9" format="215" series="1">
      <pivotArea type="data" outline="0" fieldPosition="0">
        <references count="1">
          <reference field="1" count="1" selected="0">
            <x v="39"/>
          </reference>
        </references>
      </pivotArea>
    </chartFormat>
    <chartFormat chart="9" format="216" series="1">
      <pivotArea type="data" outline="0" fieldPosition="0">
        <references count="1">
          <reference field="1" count="1" selected="0">
            <x v="40"/>
          </reference>
        </references>
      </pivotArea>
    </chartFormat>
    <chartFormat chart="9" format="217" series="1">
      <pivotArea type="data" outline="0" fieldPosition="0">
        <references count="1">
          <reference field="1" count="1" selected="0">
            <x v="41"/>
          </reference>
        </references>
      </pivotArea>
    </chartFormat>
    <chartFormat chart="9" format="218" series="1">
      <pivotArea type="data" outline="0" fieldPosition="0">
        <references count="1">
          <reference field="1" count="1" selected="0">
            <x v="42"/>
          </reference>
        </references>
      </pivotArea>
    </chartFormat>
    <chartFormat chart="9" format="219" series="1">
      <pivotArea type="data" outline="0" fieldPosition="0">
        <references count="1">
          <reference field="1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100-00003B000000}" name="PivotTable4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compact="0" outline="1" outlineData="1" compactData="0" multipleFieldFilters="0">
  <location ref="A208:X213" firstHeaderRow="0" firstDataRow="1" firstDataCol="1"/>
  <pivotFields count="4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">
        <item x="2"/>
        <item x="1"/>
        <item x="0"/>
        <item x="3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numFmtId="2" showAll="0"/>
    <pivotField dataField="1" compact="0" numFmtId="2" showAll="0"/>
    <pivotField dataField="1" compact="0" numFmtId="2" showAll="0"/>
    <pivotField dataField="1" compact="0" numFmtId="2" showAll="0"/>
    <pivotField dataField="1" compact="0" numFmtId="2" showAll="0"/>
    <pivotField dataField="1" compact="0" numFmtId="2" showAll="0"/>
    <pivotField dataField="1" compact="0" numFmtId="2" showAll="0"/>
    <pivotField dataField="1" compact="0" numFmtId="2" showAll="0"/>
    <pivotField dataField="1" compact="0" numFmtId="2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dataFields count="23">
    <dataField name="Sum of 01-05-2025" fld="11" baseField="0" baseItem="0"/>
    <dataField name="Sum of 02-05-2025" fld="12" baseField="0" baseItem="0"/>
    <dataField name="Sum of 03-05-2025" fld="13" baseField="0" baseItem="0"/>
    <dataField name="Sum of 04-05-2025" fld="14" baseField="0" baseItem="0"/>
    <dataField name="Sum of 05-05-2025" fld="15" baseField="0" baseItem="0"/>
    <dataField name="Sum of 06-05-2025" fld="16" baseField="0" baseItem="0"/>
    <dataField name="Sum of 07-05-2025" fld="17" baseField="0" baseItem="0"/>
    <dataField name="Sum of 08-05-2025" fld="18" baseField="0" baseItem="0" numFmtId="2"/>
    <dataField name="Sum of 09-05-2025" fld="19" baseField="0" baseItem="0" numFmtId="2"/>
    <dataField name="Sum of 10-05-2025" fld="20" baseField="0" baseItem="0" numFmtId="2"/>
    <dataField name="Sum of 11-05-2025" fld="21" baseField="0" baseItem="0" numFmtId="2"/>
    <dataField name="Sum of 12-05-2025" fld="22" baseField="0" baseItem="0" numFmtId="2"/>
    <dataField name="Sum of 13-05-2025" fld="23" baseField="0" baseItem="0" numFmtId="2"/>
    <dataField name="Sum of 14-05-2025" fld="24" baseField="0" baseItem="0" numFmtId="2"/>
    <dataField name="Sum of 15-05-2025" fld="25" baseField="0" baseItem="0" numFmtId="2"/>
    <dataField name="Sum of 16-05-2025" fld="26" baseField="0" baseItem="0" numFmtId="2"/>
    <dataField name="Sum of 17-05-2025" fld="27" baseField="0" baseItem="0"/>
    <dataField name="Sum of 18-05-2025" fld="28" baseField="0" baseItem="0"/>
    <dataField name="Sum of 19-05-2025" fld="29" baseField="0" baseItem="0"/>
    <dataField name="Sum of 20-05-2025" fld="30" baseField="0" baseItem="0"/>
    <dataField name="Sum of 21-05-2025" fld="31" baseField="0" baseItem="0"/>
    <dataField name="Sum of 22-05-2025" fld="32" baseField="0" baseItem="0"/>
    <dataField name="Sum of 23-05-2025" fld="33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0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10" count="0"/>
        </references>
      </pivotArea>
    </format>
    <format dxfId="6">
      <pivotArea dataOnly="0" labelOnly="1" grandRow="1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0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10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100-00003A000000}" name="PivotTable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>
  <location ref="A4:Y191" firstHeaderRow="0" firstDataRow="1" firstDataCol="1" rowPageCount="2" colPageCount="1"/>
  <pivotFields count="44">
    <pivotField showAll="0"/>
    <pivotField axis="axisPage" showAll="0">
      <items count="47">
        <item x="32"/>
        <item x="21"/>
        <item x="20"/>
        <item x="28"/>
        <item x="26"/>
        <item x="25"/>
        <item x="40"/>
        <item x="8"/>
        <item x="30"/>
        <item x="18"/>
        <item x="44"/>
        <item x="11"/>
        <item x="10"/>
        <item x="43"/>
        <item x="42"/>
        <item x="36"/>
        <item x="14"/>
        <item x="39"/>
        <item x="24"/>
        <item x="7"/>
        <item x="0"/>
        <item x="16"/>
        <item x="33"/>
        <item x="13"/>
        <item x="4"/>
        <item x="35"/>
        <item x="22"/>
        <item x="27"/>
        <item x="19"/>
        <item x="23"/>
        <item x="38"/>
        <item x="17"/>
        <item x="37"/>
        <item x="45"/>
        <item x="15"/>
        <item x="41"/>
        <item x="34"/>
        <item x="9"/>
        <item x="2"/>
        <item x="12"/>
        <item x="3"/>
        <item x="31"/>
        <item x="29"/>
        <item x="5"/>
        <item x="6"/>
        <item x="1"/>
        <item t="default"/>
      </items>
    </pivotField>
    <pivotField showAll="0"/>
    <pivotField axis="axisRow" showAll="0">
      <items count="188">
        <item x="30"/>
        <item x="106"/>
        <item x="14"/>
        <item x="17"/>
        <item x="36"/>
        <item x="20"/>
        <item x="4"/>
        <item x="11"/>
        <item x="125"/>
        <item x="8"/>
        <item x="86"/>
        <item x="174"/>
        <item x="46"/>
        <item x="173"/>
        <item x="175"/>
        <item x="58"/>
        <item x="88"/>
        <item x="61"/>
        <item x="110"/>
        <item x="119"/>
        <item x="32"/>
        <item x="43"/>
        <item x="24"/>
        <item x="45"/>
        <item x="117"/>
        <item x="108"/>
        <item x="69"/>
        <item x="62"/>
        <item x="89"/>
        <item x="70"/>
        <item x="63"/>
        <item x="6"/>
        <item x="35"/>
        <item x="121"/>
        <item x="105"/>
        <item x="34"/>
        <item x="130"/>
        <item x="152"/>
        <item x="116"/>
        <item x="118"/>
        <item x="51"/>
        <item x="96"/>
        <item x="146"/>
        <item x="144"/>
        <item x="149"/>
        <item x="148"/>
        <item x="139"/>
        <item x="138"/>
        <item x="140"/>
        <item x="137"/>
        <item x="135"/>
        <item x="136"/>
        <item x="134"/>
        <item x="77"/>
        <item x="7"/>
        <item x="141"/>
        <item x="65"/>
        <item x="37"/>
        <item x="52"/>
        <item x="27"/>
        <item x="38"/>
        <item x="50"/>
        <item x="145"/>
        <item x="53"/>
        <item x="147"/>
        <item x="67"/>
        <item x="56"/>
        <item x="85"/>
        <item x="33"/>
        <item x="79"/>
        <item x="41"/>
        <item x="126"/>
        <item x="127"/>
        <item x="78"/>
        <item x="40"/>
        <item x="59"/>
        <item x="172"/>
        <item x="171"/>
        <item x="176"/>
        <item x="160"/>
        <item x="0"/>
        <item x="1"/>
        <item x="2"/>
        <item x="162"/>
        <item x="154"/>
        <item x="113"/>
        <item x="111"/>
        <item x="112"/>
        <item x="167"/>
        <item x="163"/>
        <item x="170"/>
        <item x="164"/>
        <item x="168"/>
        <item x="165"/>
        <item x="129"/>
        <item x="177"/>
        <item x="178"/>
        <item x="80"/>
        <item x="123"/>
        <item x="16"/>
        <item x="55"/>
        <item x="132"/>
        <item x="161"/>
        <item x="153"/>
        <item x="122"/>
        <item x="155"/>
        <item x="109"/>
        <item x="19"/>
        <item x="156"/>
        <item x="26"/>
        <item x="158"/>
        <item x="151"/>
        <item x="39"/>
        <item x="115"/>
        <item x="133"/>
        <item x="159"/>
        <item x="54"/>
        <item x="93"/>
        <item x="92"/>
        <item x="87"/>
        <item x="42"/>
        <item x="104"/>
        <item x="91"/>
        <item x="99"/>
        <item x="103"/>
        <item x="57"/>
        <item x="90"/>
        <item x="100"/>
        <item x="83"/>
        <item x="82"/>
        <item x="95"/>
        <item x="107"/>
        <item x="81"/>
        <item x="94"/>
        <item x="84"/>
        <item x="9"/>
        <item x="124"/>
        <item x="143"/>
        <item x="157"/>
        <item x="60"/>
        <item x="22"/>
        <item x="98"/>
        <item x="102"/>
        <item x="97"/>
        <item x="101"/>
        <item x="12"/>
        <item x="10"/>
        <item x="75"/>
        <item x="13"/>
        <item x="23"/>
        <item x="64"/>
        <item x="76"/>
        <item x="5"/>
        <item x="128"/>
        <item x="31"/>
        <item x="44"/>
        <item x="66"/>
        <item x="15"/>
        <item x="74"/>
        <item x="131"/>
        <item x="120"/>
        <item x="73"/>
        <item x="47"/>
        <item x="48"/>
        <item x="18"/>
        <item x="3"/>
        <item x="25"/>
        <item x="150"/>
        <item x="71"/>
        <item x="114"/>
        <item x="68"/>
        <item x="29"/>
        <item x="72"/>
        <item x="49"/>
        <item x="28"/>
        <item x="142"/>
        <item x="21"/>
        <item x="169"/>
        <item m="1" x="186"/>
        <item x="179"/>
        <item x="180"/>
        <item x="181"/>
        <item x="182"/>
        <item x="183"/>
        <item x="184"/>
        <item x="185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pageFields count="2">
    <pageField fld="1" hier="-1"/>
    <pageField fld="10" hier="-1"/>
  </pageFields>
  <dataFields count="24">
    <dataField name="Sum of 01-05-2025" fld="11" baseField="0" baseItem="0"/>
    <dataField name="Sum of 02-05-2025" fld="12" baseField="0" baseItem="0"/>
    <dataField name="Sum of 03-05-2025" fld="13" baseField="0" baseItem="0"/>
    <dataField name="Sum of 04-05-2025" fld="14" baseField="0" baseItem="0"/>
    <dataField name="Sum of 05-05-2025" fld="15" baseField="0" baseItem="0"/>
    <dataField name="Sum of 06-05-2025" fld="16" baseField="0" baseItem="0"/>
    <dataField name="Sum of 07-05-2025" fld="17" baseField="0" baseItem="0"/>
    <dataField name="Sum of 08-05-2025" fld="18" baseField="0" baseItem="0" numFmtId="2"/>
    <dataField name="Sum of 09-05-2025" fld="19" baseField="0" baseItem="0" numFmtId="2"/>
    <dataField name="Sum of 10-05-2025" fld="20" baseField="0" baseItem="0" numFmtId="2"/>
    <dataField name="Sum of 11-05-2025" fld="21" baseField="0" baseItem="0" numFmtId="2"/>
    <dataField name="Sum of 12-05-2025" fld="22" baseField="0" baseItem="0" numFmtId="2"/>
    <dataField name="Sum of 13-05-2025" fld="23" baseField="0" baseItem="0" numFmtId="2"/>
    <dataField name="Sum of 14-05-2025" fld="24" baseField="0" baseItem="0" numFmtId="2"/>
    <dataField name="Sum of 15-05-2025" fld="25" baseField="0" baseItem="0" numFmtId="2"/>
    <dataField name="Sum of 16-05-2025" fld="26" baseField="0" baseItem="0" numFmtId="2"/>
    <dataField name="Sum of 17-05-2025" fld="27" baseField="0" baseItem="0"/>
    <dataField name="Sum of 18-05-2025" fld="28" baseField="0" baseItem="0"/>
    <dataField name="Sum of 19-05-2025" fld="29" baseField="0" baseItem="0"/>
    <dataField name="Sum of 20-05-2025" fld="30" baseField="0" baseItem="0"/>
    <dataField name="Sum of 21-05-2025" fld="31" baseField="0" baseItem="0"/>
    <dataField name="Sum of 22-05-2025" fld="32" baseField="0" baseItem="0"/>
    <dataField name="Sum of 23-05-2025" fld="33" baseField="0" baseItem="0"/>
    <dataField name="Sum of 24-05-2025" fld="34" baseField="0" baseItem="0"/>
  </dataFields>
  <formats count="14">
    <format dxfId="25">
      <pivotArea outline="0" collapsedLevelsAreSubtotals="1" fieldPosition="0"/>
    </format>
    <format dxfId="2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1">
      <pivotArea dataOnly="0" labelOnly="1" fieldPosition="0">
        <references count="1">
          <reference field="3" count="27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</reference>
        </references>
      </pivotArea>
    </format>
    <format dxfId="20">
      <pivotArea dataOnly="0" labelOnly="1" grandRow="1" outline="0" fieldPosition="0"/>
    </format>
    <format dxfId="19">
      <pivotArea outline="0" collapsedLevelsAreSubtotals="1" fieldPosition="0"/>
    </format>
    <format dxfId="18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">
      <pivotArea dataOnly="0" labelOnly="1" fieldPosition="0">
        <references count="1">
          <reference field="3" count="27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</reference>
        </references>
      </pivotArea>
    </format>
    <format dxfId="14">
      <pivotArea dataOnly="0" labelOnly="1" grandRow="1" outline="0" fieldPosition="0"/>
    </format>
    <format dxfId="13">
      <pivotArea outline="0" collapsedLevelsAreSubtotals="1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300-00003C000000}" name="PivotTable2" cacheId="6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">
  <location ref="A1:AV26" firstHeaderRow="1" firstDataRow="2" firstDataCol="1"/>
  <pivotFields count="44">
    <pivotField showAll="0"/>
    <pivotField axis="axisCol" showAll="0">
      <items count="47">
        <item x="32"/>
        <item x="21"/>
        <item x="20"/>
        <item x="28"/>
        <item x="26"/>
        <item x="25"/>
        <item x="40"/>
        <item x="8"/>
        <item x="30"/>
        <item x="18"/>
        <item x="44"/>
        <item x="11"/>
        <item x="10"/>
        <item x="43"/>
        <item x="42"/>
        <item x="36"/>
        <item x="14"/>
        <item x="39"/>
        <item x="24"/>
        <item x="7"/>
        <item x="0"/>
        <item x="16"/>
        <item x="33"/>
        <item x="13"/>
        <item x="4"/>
        <item x="35"/>
        <item x="22"/>
        <item x="27"/>
        <item x="19"/>
        <item x="23"/>
        <item x="38"/>
        <item x="17"/>
        <item x="37"/>
        <item x="45"/>
        <item x="15"/>
        <item x="41"/>
        <item x="34"/>
        <item x="9"/>
        <item x="2"/>
        <item x="12"/>
        <item x="3"/>
        <item x="31"/>
        <item x="29"/>
        <item x="5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dataFields count="24">
    <dataField name="Sum of 01-05-2025" fld="11" baseField="0" baseItem="0"/>
    <dataField name="Sum of 02-05-2025" fld="12" baseField="0" baseItem="0"/>
    <dataField name="Sum of 03-05-2025" fld="13" baseField="0" baseItem="0"/>
    <dataField name="Sum of 04-05-2025" fld="14" baseField="0" baseItem="0"/>
    <dataField name="Sum of 05-05-2025" fld="15" baseField="0" baseItem="0"/>
    <dataField name="Sum of 06-05-2025" fld="16" baseField="0" baseItem="0"/>
    <dataField name="Sum of 07-05-2025" fld="17" baseField="0" baseItem="0"/>
    <dataField name="Sum of 08-05-2025" fld="18" baseField="0" baseItem="0" numFmtId="2"/>
    <dataField name="Sum of 09-05-2025" fld="19" baseField="0" baseItem="0" numFmtId="2"/>
    <dataField name="Sum of 10-05-2025" fld="20" baseField="0" baseItem="0" numFmtId="2"/>
    <dataField name="Sum of 11-05-2025" fld="21" baseField="0" baseItem="0" numFmtId="2"/>
    <dataField name="Sum of 12-05-2025" fld="22" baseField="0" baseItem="0" numFmtId="2"/>
    <dataField name="Sum of 13-05-2025" fld="23" baseField="0" baseItem="0" numFmtId="2"/>
    <dataField name="Sum of 14-05-2025" fld="24" baseField="0" baseItem="0" numFmtId="2"/>
    <dataField name="Sum of 15-05-2025" fld="25" baseField="0" baseItem="0" numFmtId="2"/>
    <dataField name="Sum of 16-05-2025" fld="26" baseField="0" baseItem="0" numFmtId="2"/>
    <dataField name="Sum of 17-05-2025" fld="27" baseField="0" baseItem="0"/>
    <dataField name="Sum of 18-05-2025" fld="28" baseField="0" baseItem="0"/>
    <dataField name="Sum of 19-05-2025" fld="29" baseField="0" baseItem="0"/>
    <dataField name="Sum of 20-05-2025" fld="30" baseField="1" baseItem="0"/>
    <dataField name="Sum of 21-05-2025" fld="31" baseField="1" baseItem="24"/>
    <dataField name="Sum of 22-05-2025" fld="32" baseField="0" baseItem="0"/>
    <dataField name="Sum of 23-05-2025" fld="33" baseField="0" baseItem="0"/>
    <dataField name="Sum of 24-05-2025" fld="34" baseField="0" baseItem="0"/>
  </dataFields>
  <chartFormats count="92"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1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2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2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2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2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2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2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2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2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2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2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2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2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2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2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2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2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2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2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2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2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2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2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55C2EB3-D14A-49BF-B553-07EF16C0CD01}">
  <we:reference id="wa200005271" version="2.5.5.0" store="en-US" storeType="OMEX"/>
  <we:alternateReferences>
    <we:reference id="wa200005271" version="2.5.5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9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2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4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8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4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31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3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4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37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39.xml"/><Relationship Id="rId1" Type="http://schemas.openxmlformats.org/officeDocument/2006/relationships/pivotTable" Target="../pivotTables/pivotTable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40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43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ivotTable" Target="../pivotTables/pivotTable45.xml"/><Relationship Id="rId1" Type="http://schemas.openxmlformats.org/officeDocument/2006/relationships/pivotTable" Target="../pivotTables/pivotTable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46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Relationship Id="rId4" Type="http://schemas.openxmlformats.org/officeDocument/2006/relationships/drawing" Target="../drawings/drawing2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49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ivotTable" Target="../pivotTables/pivotTable51.xml"/><Relationship Id="rId1" Type="http://schemas.openxmlformats.org/officeDocument/2006/relationships/pivotTable" Target="../pivotTables/pivotTable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52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54.xml"/><Relationship Id="rId1" Type="http://schemas.openxmlformats.org/officeDocument/2006/relationships/pivotTable" Target="../pivotTables/pivotTable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55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ivotTable" Target="../pivotTables/pivotTable57.xml"/><Relationship Id="rId1" Type="http://schemas.openxmlformats.org/officeDocument/2006/relationships/pivotTable" Target="../pivotTables/pivotTable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59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61.xml"/><Relationship Id="rId1" Type="http://schemas.openxmlformats.org/officeDocument/2006/relationships/pivotTable" Target="../pivotTables/pivotTable60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D062-24B2-4F60-B6ED-2A51F5E156BC}">
  <dimension ref="A1:AP212"/>
  <sheetViews>
    <sheetView topLeftCell="A44" zoomScale="86" zoomScaleNormal="86" workbookViewId="0">
      <pane xSplit="9" topLeftCell="AC1" activePane="topRight" state="frozen"/>
      <selection activeCell="G150" sqref="G150"/>
      <selection pane="topRight" activeCell="AI194" sqref="AI194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customWidth="1"/>
    <col min="4" max="4" width="58.109375" customWidth="1"/>
    <col min="5" max="5" width="15.5546875" customWidth="1"/>
    <col min="6" max="6" width="12.6640625" bestFit="1" customWidth="1"/>
    <col min="7" max="7" width="9.33203125" customWidth="1"/>
    <col min="8" max="8" width="10.6640625" bestFit="1" customWidth="1"/>
    <col min="9" max="9" width="8.88671875" bestFit="1" customWidth="1"/>
    <col min="10" max="10" width="21" bestFit="1" customWidth="1"/>
    <col min="11" max="11" width="12.33203125" style="28" customWidth="1"/>
    <col min="12" max="12" width="12" style="27" customWidth="1"/>
    <col min="13" max="13" width="12.44140625" style="28" customWidth="1"/>
    <col min="14" max="14" width="12.33203125" customWidth="1"/>
    <col min="15" max="15" width="12.5546875" customWidth="1"/>
    <col min="16" max="16" width="13.109375" customWidth="1"/>
    <col min="17" max="17" width="15" bestFit="1" customWidth="1"/>
    <col min="18" max="18" width="12.88671875" customWidth="1"/>
    <col min="19" max="19" width="13.33203125" customWidth="1"/>
    <col min="20" max="20" width="15.44140625" customWidth="1"/>
    <col min="21" max="21" width="15" bestFit="1" customWidth="1"/>
    <col min="22" max="22" width="17.109375" bestFit="1" customWidth="1"/>
    <col min="23" max="23" width="13.44140625" customWidth="1"/>
    <col min="24" max="24" width="12.33203125" customWidth="1"/>
    <col min="25" max="25" width="11.5546875" customWidth="1"/>
    <col min="26" max="26" width="14.44140625" customWidth="1"/>
    <col min="27" max="27" width="13.6640625" customWidth="1"/>
    <col min="28" max="28" width="12.88671875" customWidth="1"/>
    <col min="29" max="29" width="13" customWidth="1"/>
    <col min="30" max="30" width="11.88671875" customWidth="1"/>
    <col min="31" max="31" width="12.44140625" customWidth="1"/>
    <col min="32" max="32" width="12.109375" customWidth="1"/>
    <col min="33" max="33" width="11.6640625" customWidth="1"/>
    <col min="34" max="34" width="12.5546875" customWidth="1"/>
    <col min="35" max="35" width="15" bestFit="1" customWidth="1"/>
    <col min="36" max="36" width="13.33203125" customWidth="1"/>
    <col min="37" max="37" width="11.88671875" customWidth="1"/>
    <col min="38" max="40" width="13.33203125" customWidth="1"/>
    <col min="41" max="41" width="14" bestFit="1" customWidth="1"/>
    <col min="42" max="42" width="21.33203125" customWidth="1"/>
    <col min="43" max="43" width="13.44140625" customWidth="1"/>
  </cols>
  <sheetData>
    <row r="1" spans="1:42" ht="30.75" customHeight="1" x14ac:dyDescent="0.3">
      <c r="A1" s="13" t="s">
        <v>0</v>
      </c>
      <c r="B1" s="14" t="s">
        <v>1</v>
      </c>
      <c r="C1" s="111" t="s">
        <v>599</v>
      </c>
      <c r="D1" s="111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3" t="s">
        <v>7</v>
      </c>
      <c r="J1" s="13" t="s">
        <v>158</v>
      </c>
      <c r="K1" s="99">
        <v>45748</v>
      </c>
      <c r="L1" s="99">
        <v>45749</v>
      </c>
      <c r="M1" s="99">
        <v>45750</v>
      </c>
      <c r="N1" s="99">
        <v>45751</v>
      </c>
      <c r="O1" s="99">
        <v>45752</v>
      </c>
      <c r="P1" s="99">
        <v>45753</v>
      </c>
      <c r="Q1" s="99">
        <v>45754</v>
      </c>
      <c r="R1" s="99">
        <v>45755</v>
      </c>
      <c r="S1" s="99">
        <v>45756</v>
      </c>
      <c r="T1" s="99">
        <v>45757</v>
      </c>
      <c r="U1" s="99">
        <v>45758</v>
      </c>
      <c r="V1" s="99">
        <v>45759</v>
      </c>
      <c r="W1" s="99">
        <v>45760</v>
      </c>
      <c r="X1" s="99">
        <v>45761</v>
      </c>
      <c r="Y1" s="99">
        <v>45762</v>
      </c>
      <c r="Z1" s="99">
        <v>45763</v>
      </c>
      <c r="AA1" s="99">
        <v>45764</v>
      </c>
      <c r="AB1" s="99">
        <v>45765</v>
      </c>
      <c r="AC1" s="99">
        <v>45766</v>
      </c>
      <c r="AD1" s="99">
        <v>45767</v>
      </c>
      <c r="AE1" s="99">
        <v>45768</v>
      </c>
      <c r="AF1" s="99">
        <v>45769</v>
      </c>
      <c r="AG1" s="99">
        <v>45770</v>
      </c>
      <c r="AH1" s="99">
        <v>45771</v>
      </c>
      <c r="AI1" s="99">
        <v>45772</v>
      </c>
      <c r="AJ1" s="99">
        <v>45773</v>
      </c>
      <c r="AK1" s="99">
        <v>45774</v>
      </c>
      <c r="AL1" s="99">
        <v>45775</v>
      </c>
      <c r="AM1" s="99">
        <v>45776</v>
      </c>
      <c r="AN1" s="99">
        <v>45777</v>
      </c>
      <c r="AO1" s="13" t="s">
        <v>8</v>
      </c>
      <c r="AP1" s="12" t="s">
        <v>154</v>
      </c>
    </row>
    <row r="2" spans="1:42" x14ac:dyDescent="0.3">
      <c r="A2" s="5">
        <v>1</v>
      </c>
      <c r="B2" s="107" t="s">
        <v>9</v>
      </c>
      <c r="C2" s="112" t="s">
        <v>600</v>
      </c>
      <c r="D2" s="112" t="s">
        <v>739</v>
      </c>
      <c r="E2" s="110" t="s">
        <v>11</v>
      </c>
      <c r="F2" s="6" t="s">
        <v>12</v>
      </c>
      <c r="G2" s="6" t="s">
        <v>976</v>
      </c>
      <c r="H2" s="6" t="s">
        <v>35</v>
      </c>
      <c r="I2" s="5">
        <v>6</v>
      </c>
      <c r="J2" s="67" t="s">
        <v>160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f>AVERAGE(K2:AN2)</f>
        <v>0</v>
      </c>
      <c r="AP2" s="7">
        <f>AO2/I2</f>
        <v>0</v>
      </c>
    </row>
    <row r="3" spans="1:42" x14ac:dyDescent="0.3">
      <c r="A3" s="5">
        <v>2</v>
      </c>
      <c r="B3" s="107" t="s">
        <v>9</v>
      </c>
      <c r="C3" s="112" t="s">
        <v>601</v>
      </c>
      <c r="D3" s="112" t="s">
        <v>740</v>
      </c>
      <c r="E3" s="110" t="s">
        <v>11</v>
      </c>
      <c r="F3" s="6" t="s">
        <v>12</v>
      </c>
      <c r="G3" s="6" t="s">
        <v>976</v>
      </c>
      <c r="H3" s="6" t="s">
        <v>35</v>
      </c>
      <c r="I3" s="5">
        <v>9</v>
      </c>
      <c r="J3" s="67" t="s">
        <v>160</v>
      </c>
      <c r="K3" s="46">
        <v>134.57100000000003</v>
      </c>
      <c r="L3" s="46">
        <v>137.62099999999998</v>
      </c>
      <c r="M3" s="46">
        <v>150.48400000000004</v>
      </c>
      <c r="N3" s="46">
        <v>174.55600000000004</v>
      </c>
      <c r="O3" s="46">
        <v>153.61800000000002</v>
      </c>
      <c r="P3" s="46">
        <v>146.42600000000002</v>
      </c>
      <c r="Q3" s="46">
        <v>124.15900000000002</v>
      </c>
      <c r="R3" s="46">
        <v>101.50800000000001</v>
      </c>
      <c r="S3" s="46">
        <v>189.24100000000013</v>
      </c>
      <c r="T3" s="46">
        <v>168.11299999999997</v>
      </c>
      <c r="U3" s="46">
        <v>198.87200000000007</v>
      </c>
      <c r="V3" s="46">
        <v>189.64699999999996</v>
      </c>
      <c r="W3" s="46">
        <v>151.68100000000001</v>
      </c>
      <c r="X3" s="46">
        <v>178.13200000000001</v>
      </c>
      <c r="Y3" s="46">
        <v>147.46599999999998</v>
      </c>
      <c r="Z3" s="46">
        <v>147.45500000000004</v>
      </c>
      <c r="AA3" s="46">
        <v>150.03299999999996</v>
      </c>
      <c r="AB3" s="46">
        <v>145.03300000000002</v>
      </c>
      <c r="AC3" s="46">
        <v>177.75699999999995</v>
      </c>
      <c r="AD3" s="46">
        <v>187.42699999999999</v>
      </c>
      <c r="AE3" s="46">
        <v>196.45099999999999</v>
      </c>
      <c r="AF3" s="46">
        <v>163.65600000000003</v>
      </c>
      <c r="AG3" s="46">
        <v>167.43499999999997</v>
      </c>
      <c r="AH3" s="46">
        <v>169.66599999999997</v>
      </c>
      <c r="AI3" s="46">
        <v>174.57899999999998</v>
      </c>
      <c r="AJ3" s="46">
        <v>185.28099999999998</v>
      </c>
      <c r="AK3" s="46">
        <v>168.00800000000001</v>
      </c>
      <c r="AL3" s="46">
        <v>152.96199999999999</v>
      </c>
      <c r="AM3" s="46">
        <v>180.65</v>
      </c>
      <c r="AN3" s="46">
        <v>170.26700000000002</v>
      </c>
      <c r="AO3" s="46">
        <f t="shared" ref="AO3:AO66" si="0">AVERAGE(K3:AN3)</f>
        <v>162.75849999999997</v>
      </c>
      <c r="AP3" s="7">
        <f t="shared" ref="AP3:AP66" si="1">AO3/I3</f>
        <v>18.084277777777775</v>
      </c>
    </row>
    <row r="4" spans="1:42" x14ac:dyDescent="0.3">
      <c r="A4" s="5">
        <v>3</v>
      </c>
      <c r="B4" s="107" t="s">
        <v>9</v>
      </c>
      <c r="C4" s="112" t="s">
        <v>602</v>
      </c>
      <c r="D4" s="112" t="s">
        <v>741</v>
      </c>
      <c r="E4" s="110" t="s">
        <v>11</v>
      </c>
      <c r="F4" s="6" t="s">
        <v>12</v>
      </c>
      <c r="G4" s="6" t="s">
        <v>976</v>
      </c>
      <c r="H4" s="6" t="s">
        <v>35</v>
      </c>
      <c r="I4" s="5">
        <v>3</v>
      </c>
      <c r="J4" s="67" t="s">
        <v>160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f t="shared" si="0"/>
        <v>0</v>
      </c>
      <c r="AP4" s="7">
        <f t="shared" si="1"/>
        <v>0</v>
      </c>
    </row>
    <row r="5" spans="1:42" ht="15" customHeight="1" x14ac:dyDescent="0.3">
      <c r="A5" s="5">
        <v>4</v>
      </c>
      <c r="B5" s="107" t="s">
        <v>9</v>
      </c>
      <c r="C5" s="112" t="s">
        <v>604</v>
      </c>
      <c r="D5" s="112" t="s">
        <v>761</v>
      </c>
      <c r="E5" s="110" t="s">
        <v>128</v>
      </c>
      <c r="F5" s="6" t="s">
        <v>12</v>
      </c>
      <c r="G5" s="6" t="s">
        <v>976</v>
      </c>
      <c r="H5" s="6" t="s">
        <v>35</v>
      </c>
      <c r="I5" s="5">
        <v>29</v>
      </c>
      <c r="J5" s="94" t="s">
        <v>273</v>
      </c>
      <c r="K5" s="46">
        <v>588.21100000000013</v>
      </c>
      <c r="L5" s="46">
        <v>536.23199999999986</v>
      </c>
      <c r="M5" s="46">
        <v>462.42000000000007</v>
      </c>
      <c r="N5" s="46">
        <v>546.18799999999999</v>
      </c>
      <c r="O5" s="46">
        <v>527.5680000000001</v>
      </c>
      <c r="P5" s="46">
        <v>514.01200000000006</v>
      </c>
      <c r="Q5" s="46">
        <v>626.87499999999989</v>
      </c>
      <c r="R5" s="46">
        <v>596.87800000000016</v>
      </c>
      <c r="S5" s="46">
        <v>578.58199999999977</v>
      </c>
      <c r="T5" s="46">
        <v>664.21699999999987</v>
      </c>
      <c r="U5" s="46">
        <v>606.70299999999997</v>
      </c>
      <c r="V5" s="46">
        <v>556.18500000000006</v>
      </c>
      <c r="W5" s="46">
        <v>583.971</v>
      </c>
      <c r="X5" s="46">
        <v>532.08600000000001</v>
      </c>
      <c r="Y5" s="46">
        <v>517.12800000000004</v>
      </c>
      <c r="Z5" s="46">
        <v>535.56000000000006</v>
      </c>
      <c r="AA5" s="46">
        <v>566.59</v>
      </c>
      <c r="AB5" s="46">
        <v>441.54399999999987</v>
      </c>
      <c r="AC5" s="46">
        <v>524.74299999999994</v>
      </c>
      <c r="AD5" s="46">
        <v>499.42800000000005</v>
      </c>
      <c r="AE5" s="46">
        <v>463.67699999999985</v>
      </c>
      <c r="AF5" s="46">
        <v>617.95699999999988</v>
      </c>
      <c r="AG5" s="46">
        <v>454.73299999999995</v>
      </c>
      <c r="AH5" s="46">
        <v>605.97299999999996</v>
      </c>
      <c r="AI5" s="46">
        <v>499.63299999999981</v>
      </c>
      <c r="AJ5" s="46">
        <v>597.10099999999989</v>
      </c>
      <c r="AK5" s="46">
        <v>532.8610000000001</v>
      </c>
      <c r="AL5" s="46">
        <v>439.86199999999985</v>
      </c>
      <c r="AM5" s="46">
        <v>553.37199999999996</v>
      </c>
      <c r="AN5" s="46">
        <v>446.03100000000012</v>
      </c>
      <c r="AO5" s="46">
        <f t="shared" si="0"/>
        <v>540.54403333333335</v>
      </c>
      <c r="AP5" s="7">
        <f t="shared" si="1"/>
        <v>18.639449425287356</v>
      </c>
    </row>
    <row r="6" spans="1:42" x14ac:dyDescent="0.3">
      <c r="A6" s="5">
        <v>5</v>
      </c>
      <c r="B6" s="107" t="s">
        <v>9</v>
      </c>
      <c r="C6" s="112" t="s">
        <v>961</v>
      </c>
      <c r="D6" s="112" t="s">
        <v>983</v>
      </c>
      <c r="E6" s="110" t="s">
        <v>128</v>
      </c>
      <c r="F6" s="6" t="s">
        <v>12</v>
      </c>
      <c r="G6" s="6" t="s">
        <v>971</v>
      </c>
      <c r="H6" s="6" t="s">
        <v>80</v>
      </c>
      <c r="I6" s="5">
        <v>8</v>
      </c>
      <c r="J6" s="94" t="s">
        <v>273</v>
      </c>
      <c r="K6" s="46">
        <v>209.07999999999998</v>
      </c>
      <c r="L6" s="46">
        <v>205.16</v>
      </c>
      <c r="M6" s="46">
        <v>132.27000000000001</v>
      </c>
      <c r="N6" s="46">
        <v>168.22</v>
      </c>
      <c r="O6" s="46">
        <v>123.97999999999999</v>
      </c>
      <c r="P6" s="46">
        <v>147.21999999999997</v>
      </c>
      <c r="Q6" s="46">
        <v>148.73000000000005</v>
      </c>
      <c r="R6" s="46">
        <v>172.80700000000002</v>
      </c>
      <c r="S6" s="46">
        <v>0</v>
      </c>
      <c r="T6" s="46">
        <v>190.83</v>
      </c>
      <c r="U6" s="46">
        <v>175.66000000000005</v>
      </c>
      <c r="V6" s="46">
        <v>240.38099999999997</v>
      </c>
      <c r="W6" s="46">
        <v>280.99</v>
      </c>
      <c r="X6" s="46">
        <v>209.82999999999998</v>
      </c>
      <c r="Y6" s="46">
        <v>215.89000000000004</v>
      </c>
      <c r="Z6" s="46">
        <v>172.1</v>
      </c>
      <c r="AA6" s="46">
        <v>179.88000000000002</v>
      </c>
      <c r="AB6" s="46">
        <v>214.91000000000005</v>
      </c>
      <c r="AC6" s="46">
        <v>253.34</v>
      </c>
      <c r="AD6" s="46">
        <v>218.05999999999992</v>
      </c>
      <c r="AE6" s="46">
        <v>239.27</v>
      </c>
      <c r="AF6" s="46">
        <v>201.91000000000003</v>
      </c>
      <c r="AG6" s="46">
        <v>202.76</v>
      </c>
      <c r="AH6" s="46">
        <v>160.72999999999999</v>
      </c>
      <c r="AI6" s="46">
        <v>128.50000000000003</v>
      </c>
      <c r="AJ6" s="46">
        <v>160.05999999999997</v>
      </c>
      <c r="AK6" s="46">
        <v>135.58999999999997</v>
      </c>
      <c r="AL6" s="46">
        <v>217.29</v>
      </c>
      <c r="AM6" s="46">
        <v>221.95000000000002</v>
      </c>
      <c r="AN6" s="46">
        <v>256.03999999999996</v>
      </c>
      <c r="AO6" s="46">
        <f t="shared" si="0"/>
        <v>186.1146</v>
      </c>
      <c r="AP6" s="7">
        <f t="shared" si="1"/>
        <v>23.264324999999999</v>
      </c>
    </row>
    <row r="7" spans="1:42" x14ac:dyDescent="0.3">
      <c r="A7" s="5">
        <v>6</v>
      </c>
      <c r="B7" s="107" t="s">
        <v>9</v>
      </c>
      <c r="C7" s="112" t="s">
        <v>605</v>
      </c>
      <c r="D7" s="112" t="s">
        <v>750</v>
      </c>
      <c r="E7" s="110" t="s">
        <v>128</v>
      </c>
      <c r="F7" s="6" t="s">
        <v>12</v>
      </c>
      <c r="G7" s="6" t="s">
        <v>976</v>
      </c>
      <c r="H7" s="6" t="s">
        <v>35</v>
      </c>
      <c r="I7" s="5">
        <v>6</v>
      </c>
      <c r="J7" s="94" t="s">
        <v>273</v>
      </c>
      <c r="K7" s="46">
        <v>36.277000000000001</v>
      </c>
      <c r="L7" s="46">
        <v>29.665000000000003</v>
      </c>
      <c r="M7" s="46">
        <v>41.283000000000001</v>
      </c>
      <c r="N7" s="46">
        <v>26.960999999999995</v>
      </c>
      <c r="O7" s="46">
        <v>35.912999999999997</v>
      </c>
      <c r="P7" s="46">
        <v>44.231999999999999</v>
      </c>
      <c r="Q7" s="46">
        <v>23.312999999999999</v>
      </c>
      <c r="R7" s="46">
        <v>39.429000000000002</v>
      </c>
      <c r="S7" s="46">
        <v>33.844999999999999</v>
      </c>
      <c r="T7" s="46">
        <v>39.152999999999999</v>
      </c>
      <c r="U7" s="46">
        <v>45.875</v>
      </c>
      <c r="V7" s="46">
        <v>30.721</v>
      </c>
      <c r="W7" s="46">
        <v>38.363</v>
      </c>
      <c r="X7" s="46">
        <v>39.785000000000004</v>
      </c>
      <c r="Y7" s="46">
        <v>35.070000000000007</v>
      </c>
      <c r="Z7" s="46">
        <v>38.073999999999998</v>
      </c>
      <c r="AA7" s="46">
        <v>31.655000000000001</v>
      </c>
      <c r="AB7" s="46">
        <v>29.602</v>
      </c>
      <c r="AC7" s="46">
        <v>35.900999999999996</v>
      </c>
      <c r="AD7" s="46">
        <v>30.862000000000002</v>
      </c>
      <c r="AE7" s="46">
        <v>32.36</v>
      </c>
      <c r="AF7" s="46">
        <v>28.347999999999999</v>
      </c>
      <c r="AG7" s="46">
        <v>25.579000000000001</v>
      </c>
      <c r="AH7" s="46">
        <v>34.886000000000003</v>
      </c>
      <c r="AI7" s="46">
        <v>30.308999999999997</v>
      </c>
      <c r="AJ7" s="46">
        <v>28.259999999999998</v>
      </c>
      <c r="AK7" s="46">
        <v>29.393999999999998</v>
      </c>
      <c r="AL7" s="46">
        <v>30.594000000000001</v>
      </c>
      <c r="AM7" s="46">
        <v>28.971999999999998</v>
      </c>
      <c r="AN7" s="46">
        <v>32.082000000000001</v>
      </c>
      <c r="AO7" s="46">
        <f t="shared" si="0"/>
        <v>33.558766666666664</v>
      </c>
      <c r="AP7" s="7">
        <f t="shared" si="1"/>
        <v>5.5931277777777773</v>
      </c>
    </row>
    <row r="8" spans="1:42" x14ac:dyDescent="0.3">
      <c r="A8" s="5">
        <v>7</v>
      </c>
      <c r="B8" s="107" t="s">
        <v>9</v>
      </c>
      <c r="C8" s="112" t="s">
        <v>606</v>
      </c>
      <c r="D8" s="112" t="s">
        <v>728</v>
      </c>
      <c r="E8" s="110" t="s">
        <v>30</v>
      </c>
      <c r="F8" s="6" t="s">
        <v>12</v>
      </c>
      <c r="G8" s="6" t="s">
        <v>976</v>
      </c>
      <c r="H8" s="6" t="s">
        <v>35</v>
      </c>
      <c r="I8" s="5">
        <v>3</v>
      </c>
      <c r="J8" s="94" t="s">
        <v>589</v>
      </c>
      <c r="K8" s="46">
        <v>67.426000000000002</v>
      </c>
      <c r="L8" s="46">
        <v>85.736000000000004</v>
      </c>
      <c r="M8" s="46">
        <v>85.144000000000005</v>
      </c>
      <c r="N8" s="46">
        <v>75.652000000000015</v>
      </c>
      <c r="O8" s="46">
        <v>80.740000000000009</v>
      </c>
      <c r="P8" s="46">
        <v>117.854</v>
      </c>
      <c r="Q8" s="46">
        <v>55.146000000000001</v>
      </c>
      <c r="R8" s="46">
        <v>101.601</v>
      </c>
      <c r="S8" s="46">
        <v>110.18</v>
      </c>
      <c r="T8" s="46">
        <v>114.825</v>
      </c>
      <c r="U8" s="46">
        <v>108.54700000000001</v>
      </c>
      <c r="V8" s="46">
        <v>105.38500000000001</v>
      </c>
      <c r="W8" s="46">
        <v>42.794000000000004</v>
      </c>
      <c r="X8" s="46">
        <v>82.355999999999995</v>
      </c>
      <c r="Y8" s="46">
        <v>102.221</v>
      </c>
      <c r="Z8" s="46">
        <v>97.345000000000013</v>
      </c>
      <c r="AA8" s="46">
        <v>72.734999999999999</v>
      </c>
      <c r="AB8" s="46">
        <v>82.474000000000018</v>
      </c>
      <c r="AC8" s="46">
        <v>87.460000000000008</v>
      </c>
      <c r="AD8" s="46">
        <v>115.33499999999999</v>
      </c>
      <c r="AE8" s="46">
        <v>97.818000000000012</v>
      </c>
      <c r="AF8" s="46">
        <v>97.899000000000001</v>
      </c>
      <c r="AG8" s="46">
        <v>60.726000000000006</v>
      </c>
      <c r="AH8" s="46">
        <v>61.154000000000003</v>
      </c>
      <c r="AI8" s="46">
        <v>91.472999999999999</v>
      </c>
      <c r="AJ8" s="46">
        <v>95.99799999999999</v>
      </c>
      <c r="AK8" s="46">
        <v>83.965000000000003</v>
      </c>
      <c r="AL8" s="46">
        <v>81</v>
      </c>
      <c r="AM8" s="46">
        <v>118.04400000000001</v>
      </c>
      <c r="AN8" s="46">
        <v>131.37400000000002</v>
      </c>
      <c r="AO8" s="46">
        <f t="shared" si="0"/>
        <v>90.346900000000005</v>
      </c>
      <c r="AP8" s="7">
        <f t="shared" si="1"/>
        <v>30.115633333333335</v>
      </c>
    </row>
    <row r="9" spans="1:42" x14ac:dyDescent="0.3">
      <c r="A9" s="5">
        <v>8</v>
      </c>
      <c r="B9" s="107" t="s">
        <v>9</v>
      </c>
      <c r="C9" s="112" t="s">
        <v>607</v>
      </c>
      <c r="D9" s="112" t="s">
        <v>958</v>
      </c>
      <c r="E9" s="110" t="s">
        <v>128</v>
      </c>
      <c r="F9" s="6" t="s">
        <v>19</v>
      </c>
      <c r="G9" s="6" t="s">
        <v>976</v>
      </c>
      <c r="H9" s="6" t="s">
        <v>35</v>
      </c>
      <c r="I9" s="5">
        <v>1</v>
      </c>
      <c r="J9" s="12" t="s">
        <v>590</v>
      </c>
      <c r="K9" s="46">
        <v>3.3570000000000002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1.677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3.3490000000000002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3.3719999999999999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>
        <f t="shared" si="0"/>
        <v>0.39183333333333337</v>
      </c>
      <c r="AP9" s="7">
        <f t="shared" si="1"/>
        <v>0.39183333333333337</v>
      </c>
    </row>
    <row r="10" spans="1:42" x14ac:dyDescent="0.3">
      <c r="A10" s="5">
        <v>9</v>
      </c>
      <c r="B10" s="107" t="s">
        <v>9</v>
      </c>
      <c r="C10" s="112" t="s">
        <v>608</v>
      </c>
      <c r="D10" s="113" t="s">
        <v>984</v>
      </c>
      <c r="E10" s="110" t="s">
        <v>128</v>
      </c>
      <c r="F10" s="6" t="s">
        <v>12</v>
      </c>
      <c r="G10" s="6" t="s">
        <v>979</v>
      </c>
      <c r="H10" s="6" t="s">
        <v>35</v>
      </c>
      <c r="I10" s="5">
        <v>2</v>
      </c>
      <c r="J10" s="67" t="s">
        <v>160</v>
      </c>
      <c r="K10" s="46">
        <v>0</v>
      </c>
      <c r="L10" s="46">
        <v>0</v>
      </c>
      <c r="M10" s="46">
        <v>0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0</v>
      </c>
      <c r="AL10" s="46">
        <v>0</v>
      </c>
      <c r="AM10" s="46">
        <v>0</v>
      </c>
      <c r="AN10" s="46">
        <v>0</v>
      </c>
      <c r="AO10" s="46">
        <f t="shared" si="0"/>
        <v>0</v>
      </c>
      <c r="AP10" s="7">
        <f t="shared" si="1"/>
        <v>0</v>
      </c>
    </row>
    <row r="11" spans="1:42" x14ac:dyDescent="0.3">
      <c r="A11" s="5">
        <v>10</v>
      </c>
      <c r="B11" s="107" t="s">
        <v>9</v>
      </c>
      <c r="C11" s="112" t="s">
        <v>608</v>
      </c>
      <c r="D11" s="113" t="s">
        <v>772</v>
      </c>
      <c r="E11" s="110" t="s">
        <v>128</v>
      </c>
      <c r="F11" s="6" t="s">
        <v>12</v>
      </c>
      <c r="G11" s="6" t="s">
        <v>973</v>
      </c>
      <c r="H11" s="6" t="s">
        <v>80</v>
      </c>
      <c r="I11" s="5">
        <v>2</v>
      </c>
      <c r="J11" s="67" t="s">
        <v>160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0</v>
      </c>
      <c r="AN11" s="46">
        <v>0</v>
      </c>
      <c r="AO11" s="46">
        <f t="shared" si="0"/>
        <v>0</v>
      </c>
      <c r="AP11" s="7">
        <f t="shared" si="1"/>
        <v>0</v>
      </c>
    </row>
    <row r="12" spans="1:42" x14ac:dyDescent="0.3">
      <c r="A12" s="5">
        <v>11</v>
      </c>
      <c r="B12" s="107" t="s">
        <v>9</v>
      </c>
      <c r="C12" s="112" t="s">
        <v>608</v>
      </c>
      <c r="D12" s="113" t="s">
        <v>772</v>
      </c>
      <c r="E12" s="110" t="s">
        <v>128</v>
      </c>
      <c r="F12" s="6" t="s">
        <v>12</v>
      </c>
      <c r="G12" s="6" t="s">
        <v>1052</v>
      </c>
      <c r="H12" s="6" t="s">
        <v>80</v>
      </c>
      <c r="I12" s="5">
        <v>1</v>
      </c>
      <c r="J12" s="67" t="s">
        <v>160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H12" s="46">
        <v>13.96</v>
      </c>
      <c r="AI12" s="46">
        <v>0</v>
      </c>
      <c r="AJ12" s="46">
        <v>54.819999999999993</v>
      </c>
      <c r="AK12" s="46">
        <v>0</v>
      </c>
      <c r="AL12" s="46">
        <v>49.89</v>
      </c>
      <c r="AM12" s="46">
        <v>0</v>
      </c>
      <c r="AN12" s="46">
        <v>5.12</v>
      </c>
      <c r="AO12" s="46">
        <f t="shared" si="0"/>
        <v>4.1263333333333332</v>
      </c>
      <c r="AP12" s="7">
        <f t="shared" si="1"/>
        <v>4.1263333333333332</v>
      </c>
    </row>
    <row r="13" spans="1:42" x14ac:dyDescent="0.3">
      <c r="A13" s="5">
        <v>12</v>
      </c>
      <c r="B13" s="107" t="s">
        <v>9</v>
      </c>
      <c r="C13" s="112" t="s">
        <v>609</v>
      </c>
      <c r="D13" s="112" t="s">
        <v>745</v>
      </c>
      <c r="E13" s="110" t="s">
        <v>128</v>
      </c>
      <c r="F13" s="6" t="s">
        <v>12</v>
      </c>
      <c r="G13" s="6" t="s">
        <v>976</v>
      </c>
      <c r="H13" s="6" t="s">
        <v>35</v>
      </c>
      <c r="I13" s="5">
        <v>7</v>
      </c>
      <c r="J13" s="94" t="s">
        <v>273</v>
      </c>
      <c r="K13" s="46">
        <v>61.942999999999991</v>
      </c>
      <c r="L13" s="46">
        <v>73.826000000000008</v>
      </c>
      <c r="M13" s="46">
        <v>73.966999999999999</v>
      </c>
      <c r="N13" s="46">
        <v>85.478000000000009</v>
      </c>
      <c r="O13" s="46">
        <v>57.399000000000001</v>
      </c>
      <c r="P13" s="46">
        <v>75.454999999999998</v>
      </c>
      <c r="Q13" s="46">
        <v>71.916000000000011</v>
      </c>
      <c r="R13" s="46">
        <v>52.654999999999994</v>
      </c>
      <c r="S13" s="46">
        <v>85.274000000000001</v>
      </c>
      <c r="T13" s="46">
        <v>73.721999999999994</v>
      </c>
      <c r="U13" s="46">
        <v>69.576999999999998</v>
      </c>
      <c r="V13" s="46">
        <v>47.757999999999996</v>
      </c>
      <c r="W13" s="46">
        <v>82.739000000000004</v>
      </c>
      <c r="X13" s="46">
        <v>61.548999999999992</v>
      </c>
      <c r="Y13" s="46">
        <v>77.947000000000003</v>
      </c>
      <c r="Z13" s="46">
        <v>70.915999999999997</v>
      </c>
      <c r="AA13" s="46">
        <v>63.878999999999998</v>
      </c>
      <c r="AB13" s="46">
        <v>58.533000000000001</v>
      </c>
      <c r="AC13" s="46">
        <v>87.503</v>
      </c>
      <c r="AD13" s="46">
        <v>72.554000000000002</v>
      </c>
      <c r="AE13" s="46">
        <v>65.363</v>
      </c>
      <c r="AF13" s="46">
        <v>89.185000000000016</v>
      </c>
      <c r="AG13" s="46">
        <v>67.406000000000006</v>
      </c>
      <c r="AH13" s="46">
        <v>70.167999999999992</v>
      </c>
      <c r="AI13" s="46">
        <v>74.596999999999994</v>
      </c>
      <c r="AJ13" s="46">
        <v>94.801000000000016</v>
      </c>
      <c r="AK13" s="46">
        <v>106.97499999999999</v>
      </c>
      <c r="AL13" s="46">
        <v>59.825000000000003</v>
      </c>
      <c r="AM13" s="46">
        <v>99.74199999999999</v>
      </c>
      <c r="AN13" s="46">
        <v>75.346999999999994</v>
      </c>
      <c r="AO13" s="46">
        <f t="shared" si="0"/>
        <v>73.59996666666666</v>
      </c>
      <c r="AP13" s="7">
        <f t="shared" si="1"/>
        <v>10.514280952380952</v>
      </c>
    </row>
    <row r="14" spans="1:42" x14ac:dyDescent="0.3">
      <c r="A14" s="5">
        <v>13</v>
      </c>
      <c r="B14" s="107" t="s">
        <v>9</v>
      </c>
      <c r="C14" s="112" t="s">
        <v>960</v>
      </c>
      <c r="D14" s="112" t="s">
        <v>985</v>
      </c>
      <c r="E14" s="110" t="s">
        <v>128</v>
      </c>
      <c r="F14" s="6" t="s">
        <v>12</v>
      </c>
      <c r="G14" s="6" t="s">
        <v>971</v>
      </c>
      <c r="H14" s="6" t="s">
        <v>80</v>
      </c>
      <c r="I14" s="5">
        <v>1</v>
      </c>
      <c r="J14" s="94" t="s">
        <v>273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>
        <v>0</v>
      </c>
      <c r="AO14" s="46">
        <f t="shared" si="0"/>
        <v>0</v>
      </c>
      <c r="AP14" s="7">
        <f t="shared" si="1"/>
        <v>0</v>
      </c>
    </row>
    <row r="15" spans="1:42" x14ac:dyDescent="0.3">
      <c r="A15" s="5">
        <v>14</v>
      </c>
      <c r="B15" s="107" t="s">
        <v>9</v>
      </c>
      <c r="C15" s="112" t="s">
        <v>965</v>
      </c>
      <c r="D15" s="112" t="s">
        <v>914</v>
      </c>
      <c r="E15" s="110" t="s">
        <v>128</v>
      </c>
      <c r="F15" s="6" t="s">
        <v>12</v>
      </c>
      <c r="G15" s="6" t="s">
        <v>976</v>
      </c>
      <c r="H15" s="6" t="s">
        <v>35</v>
      </c>
      <c r="I15" s="5">
        <v>4</v>
      </c>
      <c r="J15" s="67" t="s">
        <v>160</v>
      </c>
      <c r="K15" s="46">
        <v>38.954999999999998</v>
      </c>
      <c r="L15" s="46">
        <v>31.943999999999996</v>
      </c>
      <c r="M15" s="46">
        <v>33.378</v>
      </c>
      <c r="N15" s="46">
        <v>36.385000000000005</v>
      </c>
      <c r="O15" s="46">
        <v>39.768000000000008</v>
      </c>
      <c r="P15" s="46">
        <v>33.594000000000001</v>
      </c>
      <c r="Q15" s="46">
        <v>35.006999999999998</v>
      </c>
      <c r="R15" s="46">
        <v>27.725000000000001</v>
      </c>
      <c r="S15" s="46">
        <v>43.137999999999998</v>
      </c>
      <c r="T15" s="46">
        <v>31.587</v>
      </c>
      <c r="U15" s="46">
        <v>48.410000000000004</v>
      </c>
      <c r="V15" s="46">
        <v>35.531999999999996</v>
      </c>
      <c r="W15" s="46">
        <v>3.8</v>
      </c>
      <c r="X15" s="46">
        <v>45.478999999999999</v>
      </c>
      <c r="Y15" s="46">
        <v>28.432000000000002</v>
      </c>
      <c r="Z15" s="46">
        <v>39.958999999999996</v>
      </c>
      <c r="AA15" s="46">
        <v>28.398000000000003</v>
      </c>
      <c r="AB15" s="46">
        <v>37.222000000000001</v>
      </c>
      <c r="AC15" s="46">
        <v>59.254999999999995</v>
      </c>
      <c r="AD15" s="46">
        <v>14.157</v>
      </c>
      <c r="AE15" s="46">
        <v>40.101999999999997</v>
      </c>
      <c r="AF15" s="46">
        <v>35.461999999999996</v>
      </c>
      <c r="AG15" s="46">
        <v>33.726000000000006</v>
      </c>
      <c r="AH15" s="46">
        <v>19.789000000000001</v>
      </c>
      <c r="AI15" s="46">
        <v>31.869</v>
      </c>
      <c r="AJ15" s="46">
        <v>23.853999999999999</v>
      </c>
      <c r="AK15" s="46">
        <v>37.167999999999999</v>
      </c>
      <c r="AL15" s="46">
        <v>32.723000000000006</v>
      </c>
      <c r="AM15" s="46">
        <v>31.056999999999999</v>
      </c>
      <c r="AN15" s="46">
        <v>34.718999999999994</v>
      </c>
      <c r="AO15" s="46">
        <f t="shared" si="0"/>
        <v>33.753133333333338</v>
      </c>
      <c r="AP15" s="7">
        <f t="shared" si="1"/>
        <v>8.4382833333333345</v>
      </c>
    </row>
    <row r="16" spans="1:42" x14ac:dyDescent="0.3">
      <c r="A16" s="5">
        <v>15</v>
      </c>
      <c r="B16" s="107" t="s">
        <v>9</v>
      </c>
      <c r="C16" s="112" t="s">
        <v>611</v>
      </c>
      <c r="D16" s="112" t="s">
        <v>747</v>
      </c>
      <c r="E16" s="110" t="s">
        <v>128</v>
      </c>
      <c r="F16" s="6" t="s">
        <v>12</v>
      </c>
      <c r="G16" s="6" t="s">
        <v>976</v>
      </c>
      <c r="H16" s="6" t="s">
        <v>35</v>
      </c>
      <c r="I16" s="5">
        <v>19</v>
      </c>
      <c r="J16" s="94" t="s">
        <v>273</v>
      </c>
      <c r="K16" s="46">
        <v>138.54600000000002</v>
      </c>
      <c r="L16" s="46">
        <v>126.61600000000001</v>
      </c>
      <c r="M16" s="46">
        <v>203.46300000000008</v>
      </c>
      <c r="N16" s="46">
        <v>283.89800000000002</v>
      </c>
      <c r="O16" s="46">
        <v>267.20100000000002</v>
      </c>
      <c r="P16" s="46">
        <v>283.18099999999993</v>
      </c>
      <c r="Q16" s="46">
        <v>232.41000000000005</v>
      </c>
      <c r="R16" s="46">
        <v>225.249</v>
      </c>
      <c r="S16" s="46">
        <v>237.77700000000002</v>
      </c>
      <c r="T16" s="46">
        <v>314.44400000000002</v>
      </c>
      <c r="U16" s="46">
        <v>273.37299999999999</v>
      </c>
      <c r="V16" s="46">
        <v>201.06699999999998</v>
      </c>
      <c r="W16" s="46">
        <v>198.45599999999996</v>
      </c>
      <c r="X16" s="46">
        <v>193.74200000000002</v>
      </c>
      <c r="Y16" s="46">
        <v>160.35099999999997</v>
      </c>
      <c r="Z16" s="46">
        <v>158.39400000000001</v>
      </c>
      <c r="AA16" s="46">
        <v>165.27799999999999</v>
      </c>
      <c r="AB16" s="46">
        <v>173.65899999999991</v>
      </c>
      <c r="AC16" s="46">
        <v>199.56099999999998</v>
      </c>
      <c r="AD16" s="46">
        <v>199.75200000000007</v>
      </c>
      <c r="AE16" s="46">
        <v>204.79</v>
      </c>
      <c r="AF16" s="46">
        <v>171.51199999999997</v>
      </c>
      <c r="AG16" s="46">
        <v>175.39800000000002</v>
      </c>
      <c r="AH16" s="46">
        <v>225.14300000000003</v>
      </c>
      <c r="AI16" s="46">
        <v>163.12700000000001</v>
      </c>
      <c r="AJ16" s="46">
        <v>148.25900000000004</v>
      </c>
      <c r="AK16" s="46">
        <v>183.417</v>
      </c>
      <c r="AL16" s="46">
        <v>215.26400000000004</v>
      </c>
      <c r="AM16" s="46">
        <v>205.02100000000002</v>
      </c>
      <c r="AN16" s="46">
        <v>150.52500000000001</v>
      </c>
      <c r="AO16" s="46">
        <f t="shared" si="0"/>
        <v>202.62913333333336</v>
      </c>
      <c r="AP16" s="7">
        <f t="shared" si="1"/>
        <v>10.664691228070177</v>
      </c>
    </row>
    <row r="17" spans="1:42" x14ac:dyDescent="0.3">
      <c r="A17" s="5">
        <v>16</v>
      </c>
      <c r="B17" s="107" t="s">
        <v>9</v>
      </c>
      <c r="C17" s="112" t="s">
        <v>964</v>
      </c>
      <c r="D17" s="112" t="s">
        <v>982</v>
      </c>
      <c r="E17" s="110" t="s">
        <v>128</v>
      </c>
      <c r="F17" s="6" t="s">
        <v>12</v>
      </c>
      <c r="G17" s="6" t="s">
        <v>973</v>
      </c>
      <c r="H17" s="6" t="s">
        <v>80</v>
      </c>
      <c r="I17" s="5">
        <v>1</v>
      </c>
      <c r="J17" s="94" t="s">
        <v>273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13.719999999999999</v>
      </c>
      <c r="W17" s="46">
        <v>74.510000000000005</v>
      </c>
      <c r="X17" s="46">
        <v>42.96</v>
      </c>
      <c r="Y17" s="46">
        <v>82.32</v>
      </c>
      <c r="Z17" s="46">
        <v>62.778999999999996</v>
      </c>
      <c r="AA17" s="46">
        <v>74.579000000000008</v>
      </c>
      <c r="AB17" s="46">
        <v>53.459999999999994</v>
      </c>
      <c r="AC17" s="46">
        <v>59.331000000000003</v>
      </c>
      <c r="AD17" s="46">
        <v>43.210000000000008</v>
      </c>
      <c r="AE17" s="46">
        <v>36.460000000000008</v>
      </c>
      <c r="AF17" s="46">
        <v>60.609999999999992</v>
      </c>
      <c r="AG17" s="46">
        <v>18.119999999999997</v>
      </c>
      <c r="AH17" s="46">
        <v>26.980000000000004</v>
      </c>
      <c r="AI17" s="46">
        <v>63.279999999999994</v>
      </c>
      <c r="AJ17" s="46">
        <v>53.362000000000002</v>
      </c>
      <c r="AK17" s="46">
        <v>48.92</v>
      </c>
      <c r="AL17" s="46">
        <v>46.069000000000003</v>
      </c>
      <c r="AM17" s="46">
        <v>49.54</v>
      </c>
      <c r="AN17" s="46">
        <v>30.080000000000002</v>
      </c>
      <c r="AO17" s="46">
        <f t="shared" si="0"/>
        <v>31.343</v>
      </c>
      <c r="AP17" s="7">
        <f t="shared" si="1"/>
        <v>31.343</v>
      </c>
    </row>
    <row r="18" spans="1:42" x14ac:dyDescent="0.3">
      <c r="A18" s="5">
        <v>17</v>
      </c>
      <c r="B18" s="107" t="s">
        <v>9</v>
      </c>
      <c r="C18" s="112" t="s">
        <v>964</v>
      </c>
      <c r="D18" s="112" t="s">
        <v>982</v>
      </c>
      <c r="E18" s="110" t="s">
        <v>128</v>
      </c>
      <c r="F18" s="6" t="s">
        <v>12</v>
      </c>
      <c r="G18" s="6" t="s">
        <v>971</v>
      </c>
      <c r="H18" s="6" t="s">
        <v>80</v>
      </c>
      <c r="I18" s="5">
        <v>2</v>
      </c>
      <c r="J18" s="94" t="s">
        <v>273</v>
      </c>
      <c r="K18" s="46">
        <v>35.28</v>
      </c>
      <c r="L18" s="46">
        <v>48.59</v>
      </c>
      <c r="M18" s="46">
        <v>34.119999999999997</v>
      </c>
      <c r="N18" s="46">
        <v>18.71</v>
      </c>
      <c r="O18" s="46">
        <v>7.49</v>
      </c>
      <c r="P18" s="46">
        <v>14.879999999999999</v>
      </c>
      <c r="Q18" s="46">
        <v>10.050000000000001</v>
      </c>
      <c r="R18" s="46">
        <v>6.7899999999999991</v>
      </c>
      <c r="S18" s="46">
        <v>161.59999999999997</v>
      </c>
      <c r="T18" s="46">
        <v>0</v>
      </c>
      <c r="U18" s="46">
        <v>11.719999999999999</v>
      </c>
      <c r="V18" s="46">
        <v>45.13</v>
      </c>
      <c r="W18" s="46">
        <v>18.049999999999997</v>
      </c>
      <c r="X18" s="46">
        <v>47.06</v>
      </c>
      <c r="Y18" s="46">
        <v>29.81</v>
      </c>
      <c r="Z18" s="46">
        <v>32.79</v>
      </c>
      <c r="AA18" s="46">
        <v>53.97</v>
      </c>
      <c r="AB18" s="46">
        <v>20.189999999999998</v>
      </c>
      <c r="AC18" s="46">
        <v>27.15</v>
      </c>
      <c r="AD18" s="46">
        <v>42.31</v>
      </c>
      <c r="AE18" s="46">
        <v>23.4</v>
      </c>
      <c r="AF18" s="46">
        <v>12.96</v>
      </c>
      <c r="AG18" s="46">
        <v>25.85</v>
      </c>
      <c r="AH18" s="46">
        <v>29.38</v>
      </c>
      <c r="AI18" s="46">
        <v>3.7199999999999998</v>
      </c>
      <c r="AJ18" s="46">
        <v>14.61</v>
      </c>
      <c r="AK18" s="46">
        <v>27.959999999999997</v>
      </c>
      <c r="AL18" s="46">
        <v>0</v>
      </c>
      <c r="AM18" s="46">
        <v>30.699999999999996</v>
      </c>
      <c r="AN18" s="46">
        <v>17.57</v>
      </c>
      <c r="AO18" s="46">
        <f t="shared" si="0"/>
        <v>28.394666666666676</v>
      </c>
      <c r="AP18" s="7">
        <f t="shared" si="1"/>
        <v>14.197333333333338</v>
      </c>
    </row>
    <row r="19" spans="1:42" x14ac:dyDescent="0.3">
      <c r="A19" s="5">
        <v>18</v>
      </c>
      <c r="B19" s="107" t="s">
        <v>9</v>
      </c>
      <c r="C19" s="112" t="s">
        <v>959</v>
      </c>
      <c r="D19" s="112" t="s">
        <v>755</v>
      </c>
      <c r="E19" s="110" t="s">
        <v>128</v>
      </c>
      <c r="F19" s="6" t="s">
        <v>12</v>
      </c>
      <c r="G19" s="6" t="s">
        <v>976</v>
      </c>
      <c r="H19" s="6" t="s">
        <v>35</v>
      </c>
      <c r="I19" s="5">
        <v>8</v>
      </c>
      <c r="J19" s="94" t="s">
        <v>273</v>
      </c>
      <c r="K19" s="46">
        <v>73.313999999999993</v>
      </c>
      <c r="L19" s="46">
        <v>88.98599999999999</v>
      </c>
      <c r="M19" s="46">
        <v>93.214999999999989</v>
      </c>
      <c r="N19" s="46">
        <v>108.41999999999999</v>
      </c>
      <c r="O19" s="46">
        <v>92.193000000000012</v>
      </c>
      <c r="P19" s="46">
        <v>72.640999999999991</v>
      </c>
      <c r="Q19" s="46">
        <v>110.149</v>
      </c>
      <c r="R19" s="46">
        <v>70.932000000000002</v>
      </c>
      <c r="S19" s="46">
        <v>78.595000000000013</v>
      </c>
      <c r="T19" s="46">
        <v>71.322999999999993</v>
      </c>
      <c r="U19" s="46">
        <v>76.402999999999992</v>
      </c>
      <c r="V19" s="46">
        <v>55.070999999999998</v>
      </c>
      <c r="W19" s="46">
        <v>47.388999999999996</v>
      </c>
      <c r="X19" s="46">
        <v>72.325999999999993</v>
      </c>
      <c r="Y19" s="46">
        <v>70.916000000000011</v>
      </c>
      <c r="Z19" s="46">
        <v>82.070000000000007</v>
      </c>
      <c r="AA19" s="46">
        <v>71.031999999999996</v>
      </c>
      <c r="AB19" s="46">
        <v>87.557000000000002</v>
      </c>
      <c r="AC19" s="46">
        <v>70.64500000000001</v>
      </c>
      <c r="AD19" s="46">
        <v>50.567999999999998</v>
      </c>
      <c r="AE19" s="46">
        <v>49.570999999999991</v>
      </c>
      <c r="AF19" s="46">
        <v>69.206000000000003</v>
      </c>
      <c r="AG19" s="46">
        <v>59.607999999999997</v>
      </c>
      <c r="AH19" s="46">
        <v>77.539999999999992</v>
      </c>
      <c r="AI19" s="46">
        <v>104.17399999999999</v>
      </c>
      <c r="AJ19" s="46">
        <v>71.11999999999999</v>
      </c>
      <c r="AK19" s="46">
        <v>108.52999999999999</v>
      </c>
      <c r="AL19" s="46">
        <v>57.247</v>
      </c>
      <c r="AM19" s="46">
        <v>63.505000000000003</v>
      </c>
      <c r="AN19" s="46">
        <v>76.452999999999989</v>
      </c>
      <c r="AO19" s="46">
        <f t="shared" si="0"/>
        <v>76.023299999999978</v>
      </c>
      <c r="AP19" s="7">
        <f t="shared" si="1"/>
        <v>9.5029124999999972</v>
      </c>
    </row>
    <row r="20" spans="1:42" x14ac:dyDescent="0.3">
      <c r="A20" s="5">
        <v>19</v>
      </c>
      <c r="B20" s="107" t="s">
        <v>9</v>
      </c>
      <c r="C20" s="112" t="s">
        <v>612</v>
      </c>
      <c r="D20" s="112" t="s">
        <v>771</v>
      </c>
      <c r="E20" s="110" t="s">
        <v>128</v>
      </c>
      <c r="F20" s="6" t="s">
        <v>12</v>
      </c>
      <c r="G20" s="6" t="s">
        <v>979</v>
      </c>
      <c r="H20" s="6" t="s">
        <v>35</v>
      </c>
      <c r="I20" s="5">
        <v>1</v>
      </c>
      <c r="J20" s="67" t="s">
        <v>160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f t="shared" si="0"/>
        <v>0</v>
      </c>
      <c r="AP20" s="7">
        <f t="shared" si="1"/>
        <v>0</v>
      </c>
    </row>
    <row r="21" spans="1:42" x14ac:dyDescent="0.3">
      <c r="A21" s="5">
        <v>20</v>
      </c>
      <c r="B21" s="107" t="s">
        <v>9</v>
      </c>
      <c r="C21" s="112" t="s">
        <v>612</v>
      </c>
      <c r="D21" s="112" t="s">
        <v>981</v>
      </c>
      <c r="E21" s="110" t="s">
        <v>128</v>
      </c>
      <c r="F21" s="6" t="s">
        <v>12</v>
      </c>
      <c r="G21" s="6" t="s">
        <v>971</v>
      </c>
      <c r="H21" s="6" t="s">
        <v>80</v>
      </c>
      <c r="I21" s="5">
        <v>1</v>
      </c>
      <c r="J21" s="67" t="s">
        <v>160</v>
      </c>
      <c r="K21" s="46">
        <v>0</v>
      </c>
      <c r="L21" s="46">
        <v>0.01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f t="shared" si="0"/>
        <v>3.3333333333333332E-4</v>
      </c>
      <c r="AP21" s="7">
        <f t="shared" si="1"/>
        <v>3.3333333333333332E-4</v>
      </c>
    </row>
    <row r="22" spans="1:42" x14ac:dyDescent="0.3">
      <c r="A22" s="5">
        <v>21</v>
      </c>
      <c r="B22" s="107" t="s">
        <v>9</v>
      </c>
      <c r="C22" s="112" t="s">
        <v>612</v>
      </c>
      <c r="D22" s="112" t="s">
        <v>981</v>
      </c>
      <c r="E22" s="110" t="s">
        <v>128</v>
      </c>
      <c r="F22" s="6" t="s">
        <v>12</v>
      </c>
      <c r="G22" s="6" t="s">
        <v>973</v>
      </c>
      <c r="H22" s="6" t="s">
        <v>80</v>
      </c>
      <c r="I22" s="5">
        <v>1</v>
      </c>
      <c r="J22" s="67" t="s">
        <v>160</v>
      </c>
      <c r="K22" s="46">
        <v>15.089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13.79</v>
      </c>
      <c r="Z22" s="46">
        <v>0</v>
      </c>
      <c r="AA22" s="46">
        <v>0</v>
      </c>
      <c r="AB22" s="46">
        <v>16.27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12.67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v>5.0599999999999996</v>
      </c>
      <c r="AO22" s="46">
        <f t="shared" si="0"/>
        <v>2.095966666666667</v>
      </c>
      <c r="AP22" s="7">
        <f t="shared" si="1"/>
        <v>2.095966666666667</v>
      </c>
    </row>
    <row r="23" spans="1:42" x14ac:dyDescent="0.3">
      <c r="A23" s="5">
        <v>22</v>
      </c>
      <c r="B23" s="107" t="s">
        <v>9</v>
      </c>
      <c r="C23" s="112" t="s">
        <v>612</v>
      </c>
      <c r="D23" s="112" t="s">
        <v>981</v>
      </c>
      <c r="E23" s="110" t="s">
        <v>128</v>
      </c>
      <c r="F23" s="6" t="s">
        <v>12</v>
      </c>
      <c r="G23" s="6" t="s">
        <v>290</v>
      </c>
      <c r="H23" s="6" t="s">
        <v>80</v>
      </c>
      <c r="I23" s="5">
        <v>1</v>
      </c>
      <c r="J23" s="67" t="s">
        <v>160</v>
      </c>
      <c r="K23" s="46">
        <v>354.85</v>
      </c>
      <c r="L23" s="46">
        <v>499.36999999999989</v>
      </c>
      <c r="M23" s="46">
        <v>399.17800000000005</v>
      </c>
      <c r="N23" s="46">
        <v>436.90000000000009</v>
      </c>
      <c r="O23" s="46">
        <v>189.22599999999997</v>
      </c>
      <c r="P23" s="46">
        <v>122.572</v>
      </c>
      <c r="Q23" s="46">
        <v>433.05</v>
      </c>
      <c r="R23" s="46">
        <v>245.55199999999999</v>
      </c>
      <c r="S23" s="46">
        <v>475.22599999999994</v>
      </c>
      <c r="T23" s="46">
        <v>319.14799999999991</v>
      </c>
      <c r="U23" s="46">
        <v>406.25</v>
      </c>
      <c r="V23" s="46">
        <v>83.85</v>
      </c>
      <c r="W23" s="46">
        <v>145.22000000000003</v>
      </c>
      <c r="X23" s="46">
        <v>334.12399999999997</v>
      </c>
      <c r="Y23" s="46">
        <v>415.04399999999993</v>
      </c>
      <c r="Z23" s="46">
        <v>435.85</v>
      </c>
      <c r="AA23" s="46">
        <v>467.77800000000002</v>
      </c>
      <c r="AB23" s="46">
        <v>321.84999999999997</v>
      </c>
      <c r="AC23" s="46">
        <v>117.32399999999998</v>
      </c>
      <c r="AD23" s="46">
        <v>107.19999999999997</v>
      </c>
      <c r="AE23" s="46">
        <v>357.47200000000009</v>
      </c>
      <c r="AF23" s="46">
        <v>469.36799999999999</v>
      </c>
      <c r="AG23" s="46">
        <v>456.17799999999994</v>
      </c>
      <c r="AH23" s="46">
        <v>396.59599999999995</v>
      </c>
      <c r="AI23" s="46">
        <v>310.60000000000002</v>
      </c>
      <c r="AJ23" s="46">
        <v>128.696</v>
      </c>
      <c r="AK23" s="46">
        <v>197.04800000000006</v>
      </c>
      <c r="AL23" s="46">
        <v>388.02799999999996</v>
      </c>
      <c r="AM23" s="46">
        <v>563.05200000000025</v>
      </c>
      <c r="AN23" s="46">
        <v>546.19599999999969</v>
      </c>
      <c r="AO23" s="46">
        <f t="shared" si="0"/>
        <v>337.42653333333334</v>
      </c>
      <c r="AP23" s="7">
        <f t="shared" si="1"/>
        <v>337.42653333333334</v>
      </c>
    </row>
    <row r="24" spans="1:42" x14ac:dyDescent="0.3">
      <c r="A24" s="5">
        <v>23</v>
      </c>
      <c r="B24" s="107" t="s">
        <v>9</v>
      </c>
      <c r="C24" s="112" t="s">
        <v>612</v>
      </c>
      <c r="D24" s="112" t="s">
        <v>771</v>
      </c>
      <c r="E24" s="110" t="s">
        <v>128</v>
      </c>
      <c r="F24" s="6" t="s">
        <v>12</v>
      </c>
      <c r="G24" s="6" t="s">
        <v>972</v>
      </c>
      <c r="H24" s="6" t="s">
        <v>80</v>
      </c>
      <c r="I24" s="5">
        <v>1</v>
      </c>
      <c r="J24" s="67" t="s">
        <v>160</v>
      </c>
      <c r="K24" s="46">
        <v>371.85</v>
      </c>
      <c r="L24" s="46">
        <v>478.80999999999995</v>
      </c>
      <c r="M24" s="46">
        <v>506.87000000000012</v>
      </c>
      <c r="N24" s="46">
        <v>400.04000000000008</v>
      </c>
      <c r="O24" s="46">
        <v>244.98999999999995</v>
      </c>
      <c r="P24" s="46">
        <v>214.43</v>
      </c>
      <c r="Q24" s="46">
        <v>450.69999999999993</v>
      </c>
      <c r="R24" s="46">
        <v>270.63</v>
      </c>
      <c r="S24" s="46">
        <v>378.18999999999988</v>
      </c>
      <c r="T24" s="46">
        <v>445.31</v>
      </c>
      <c r="U24" s="46">
        <v>434.72999999999985</v>
      </c>
      <c r="V24" s="46">
        <v>133.11000000000001</v>
      </c>
      <c r="W24" s="46">
        <v>212.5</v>
      </c>
      <c r="X24" s="46">
        <v>367.02999999999986</v>
      </c>
      <c r="Y24" s="46">
        <v>505.41999999999996</v>
      </c>
      <c r="Z24" s="46">
        <v>532.48</v>
      </c>
      <c r="AA24" s="46">
        <v>521.30999999999983</v>
      </c>
      <c r="AB24" s="46">
        <v>347.11</v>
      </c>
      <c r="AC24" s="46">
        <v>200.38</v>
      </c>
      <c r="AD24" s="46">
        <v>193.14</v>
      </c>
      <c r="AE24" s="46">
        <v>430.95999999999992</v>
      </c>
      <c r="AF24" s="46">
        <v>460.24</v>
      </c>
      <c r="AG24" s="46">
        <v>504.29000000000019</v>
      </c>
      <c r="AH24" s="46">
        <v>392.79</v>
      </c>
      <c r="AI24" s="46">
        <v>488.66999999999996</v>
      </c>
      <c r="AJ24" s="46">
        <v>251.39000000000004</v>
      </c>
      <c r="AK24" s="46">
        <v>180.01999999999995</v>
      </c>
      <c r="AL24" s="46">
        <v>445.83999999999992</v>
      </c>
      <c r="AM24" s="46">
        <v>535.69000000000017</v>
      </c>
      <c r="AN24" s="46">
        <v>638.66</v>
      </c>
      <c r="AO24" s="46">
        <f t="shared" si="0"/>
        <v>384.58600000000007</v>
      </c>
      <c r="AP24" s="7">
        <f t="shared" si="1"/>
        <v>384.58600000000007</v>
      </c>
    </row>
    <row r="25" spans="1:42" x14ac:dyDescent="0.3">
      <c r="A25" s="5">
        <v>24</v>
      </c>
      <c r="B25" s="107" t="s">
        <v>9</v>
      </c>
      <c r="C25" s="112" t="s">
        <v>612</v>
      </c>
      <c r="D25" s="112" t="s">
        <v>771</v>
      </c>
      <c r="E25" s="110" t="s">
        <v>128</v>
      </c>
      <c r="F25" s="6" t="s">
        <v>12</v>
      </c>
      <c r="G25" s="6" t="s">
        <v>1004</v>
      </c>
      <c r="H25" s="6" t="s">
        <v>80</v>
      </c>
      <c r="I25" s="5">
        <v>1</v>
      </c>
      <c r="J25" s="67" t="s">
        <v>160</v>
      </c>
      <c r="K25" s="46">
        <v>0</v>
      </c>
      <c r="L25" s="46">
        <v>0</v>
      </c>
      <c r="M25" s="46">
        <v>0</v>
      </c>
      <c r="N25" s="46">
        <v>0</v>
      </c>
      <c r="O25" s="46">
        <v>62.15</v>
      </c>
      <c r="P25" s="46">
        <v>11.2</v>
      </c>
      <c r="Q25" s="46">
        <v>155.375</v>
      </c>
      <c r="R25" s="46">
        <v>62.024999999999999</v>
      </c>
      <c r="S25" s="46">
        <v>42.1</v>
      </c>
      <c r="T25" s="46">
        <v>0</v>
      </c>
      <c r="U25" s="46">
        <v>280.92500000000001</v>
      </c>
      <c r="V25" s="46">
        <v>0</v>
      </c>
      <c r="W25" s="46">
        <v>0</v>
      </c>
      <c r="X25" s="46">
        <v>0</v>
      </c>
      <c r="Y25" s="46">
        <v>95.724999999999994</v>
      </c>
      <c r="Z25" s="46">
        <v>84.35</v>
      </c>
      <c r="AA25" s="46">
        <v>289.89999999999998</v>
      </c>
      <c r="AB25" s="46">
        <v>397.125</v>
      </c>
      <c r="AC25" s="46">
        <v>75.95</v>
      </c>
      <c r="AD25" s="46">
        <v>484.17499999999995</v>
      </c>
      <c r="AE25" s="46">
        <v>779.9</v>
      </c>
      <c r="AF25" s="46">
        <v>274.25</v>
      </c>
      <c r="AG25" s="46">
        <v>490.92499999999995</v>
      </c>
      <c r="AH25" s="46">
        <v>307.87399999999997</v>
      </c>
      <c r="AI25" s="46">
        <v>419.79999999999995</v>
      </c>
      <c r="AJ25" s="46">
        <v>478.65000000000003</v>
      </c>
      <c r="AK25" s="46">
        <v>419.92500000000001</v>
      </c>
      <c r="AL25" s="46">
        <v>353.32499999999999</v>
      </c>
      <c r="AM25" s="46">
        <v>733.99999999999977</v>
      </c>
      <c r="AN25" s="46">
        <v>336.05</v>
      </c>
      <c r="AO25" s="46">
        <f t="shared" si="0"/>
        <v>221.18996666666666</v>
      </c>
      <c r="AP25" s="7">
        <f t="shared" si="1"/>
        <v>221.18996666666666</v>
      </c>
    </row>
    <row r="26" spans="1:42" x14ac:dyDescent="0.3">
      <c r="A26" s="5">
        <v>25</v>
      </c>
      <c r="B26" s="107" t="s">
        <v>9</v>
      </c>
      <c r="C26" s="112" t="s">
        <v>614</v>
      </c>
      <c r="D26" s="112" t="s">
        <v>760</v>
      </c>
      <c r="E26" s="110" t="s">
        <v>128</v>
      </c>
      <c r="F26" s="6" t="s">
        <v>12</v>
      </c>
      <c r="G26" s="6" t="s">
        <v>976</v>
      </c>
      <c r="H26" s="6" t="s">
        <v>35</v>
      </c>
      <c r="I26" s="5">
        <v>7</v>
      </c>
      <c r="J26" s="94" t="s">
        <v>273</v>
      </c>
      <c r="K26" s="46">
        <v>189.61599999999999</v>
      </c>
      <c r="L26" s="46">
        <v>226.19200000000004</v>
      </c>
      <c r="M26" s="46">
        <v>227.24299999999999</v>
      </c>
      <c r="N26" s="46">
        <v>237.43800000000005</v>
      </c>
      <c r="O26" s="46">
        <v>208.37800000000004</v>
      </c>
      <c r="P26" s="46">
        <v>163.45599999999999</v>
      </c>
      <c r="Q26" s="46">
        <v>225.31</v>
      </c>
      <c r="R26" s="46">
        <v>242.22800000000007</v>
      </c>
      <c r="S26" s="46">
        <v>234.25799999999998</v>
      </c>
      <c r="T26" s="46">
        <v>197.19900000000001</v>
      </c>
      <c r="U26" s="46">
        <v>303.37499999999994</v>
      </c>
      <c r="V26" s="46">
        <v>186.75899999999999</v>
      </c>
      <c r="W26" s="46">
        <v>174.99800000000002</v>
      </c>
      <c r="X26" s="46">
        <v>185.42999999999998</v>
      </c>
      <c r="Y26" s="46">
        <v>249.09900000000016</v>
      </c>
      <c r="Z26" s="46">
        <v>223.75500000000008</v>
      </c>
      <c r="AA26" s="46">
        <v>203.25399999999996</v>
      </c>
      <c r="AB26" s="46">
        <v>198.91499999999999</v>
      </c>
      <c r="AC26" s="46">
        <v>186.53699999999998</v>
      </c>
      <c r="AD26" s="46">
        <v>187.44200000000001</v>
      </c>
      <c r="AE26" s="46">
        <v>214.25700000000006</v>
      </c>
      <c r="AF26" s="46">
        <v>179.90699999999998</v>
      </c>
      <c r="AG26" s="46">
        <v>182.91000000000003</v>
      </c>
      <c r="AH26" s="46">
        <v>209.928</v>
      </c>
      <c r="AI26" s="46">
        <v>272.06900000000002</v>
      </c>
      <c r="AJ26" s="46">
        <v>150.50899999999999</v>
      </c>
      <c r="AK26" s="46">
        <v>198.91700000000003</v>
      </c>
      <c r="AL26" s="46">
        <v>219.82300000000001</v>
      </c>
      <c r="AM26" s="46">
        <v>192.93300000000005</v>
      </c>
      <c r="AN26" s="46">
        <v>87.779999999999973</v>
      </c>
      <c r="AO26" s="46">
        <f t="shared" si="0"/>
        <v>205.3305</v>
      </c>
      <c r="AP26" s="7">
        <f t="shared" si="1"/>
        <v>29.332928571428571</v>
      </c>
    </row>
    <row r="27" spans="1:42" x14ac:dyDescent="0.3">
      <c r="A27" s="5">
        <v>26</v>
      </c>
      <c r="B27" s="107" t="s">
        <v>9</v>
      </c>
      <c r="C27" s="112" t="s">
        <v>613</v>
      </c>
      <c r="D27" s="112" t="s">
        <v>742</v>
      </c>
      <c r="E27" s="110" t="s">
        <v>128</v>
      </c>
      <c r="F27" s="6" t="s">
        <v>12</v>
      </c>
      <c r="G27" s="6" t="s">
        <v>976</v>
      </c>
      <c r="H27" s="6" t="s">
        <v>35</v>
      </c>
      <c r="I27" s="5">
        <v>1</v>
      </c>
      <c r="J27" s="67" t="s">
        <v>160</v>
      </c>
      <c r="K27" s="46">
        <v>6.4210000000000003</v>
      </c>
      <c r="L27" s="46">
        <v>10.446</v>
      </c>
      <c r="M27" s="46">
        <v>10.865</v>
      </c>
      <c r="N27" s="46">
        <v>0.46800000000000003</v>
      </c>
      <c r="O27" s="46">
        <v>1.9629999999999999</v>
      </c>
      <c r="P27" s="46">
        <v>11.382</v>
      </c>
      <c r="Q27" s="46">
        <v>0</v>
      </c>
      <c r="R27" s="46">
        <v>1.984</v>
      </c>
      <c r="S27" s="46">
        <v>6.4080000000000004</v>
      </c>
      <c r="T27" s="46">
        <v>0.84899999999999998</v>
      </c>
      <c r="U27" s="46">
        <v>0</v>
      </c>
      <c r="V27" s="46">
        <v>2.665</v>
      </c>
      <c r="W27" s="46">
        <v>1.252</v>
      </c>
      <c r="X27" s="46">
        <v>7.7210000000000001</v>
      </c>
      <c r="Y27" s="46">
        <v>6.4050000000000002</v>
      </c>
      <c r="Z27" s="46">
        <v>9.2479999999999993</v>
      </c>
      <c r="AA27" s="46">
        <v>9.3219999999999992</v>
      </c>
      <c r="AB27" s="46">
        <v>0</v>
      </c>
      <c r="AC27" s="46">
        <v>5.2859999999999996</v>
      </c>
      <c r="AD27" s="46">
        <v>3.4670000000000001</v>
      </c>
      <c r="AE27" s="46">
        <v>3.1320000000000001</v>
      </c>
      <c r="AF27" s="46">
        <v>0</v>
      </c>
      <c r="AG27" s="46">
        <v>0</v>
      </c>
      <c r="AH27" s="46">
        <v>0</v>
      </c>
      <c r="AI27" s="46">
        <v>0.32200000000000001</v>
      </c>
      <c r="AJ27" s="46">
        <v>33.85</v>
      </c>
      <c r="AK27" s="46">
        <v>56.880000000000017</v>
      </c>
      <c r="AL27" s="46">
        <v>5.2010000000000005</v>
      </c>
      <c r="AM27" s="46">
        <v>12.221</v>
      </c>
      <c r="AN27" s="46">
        <v>5.6070000000000011</v>
      </c>
      <c r="AO27" s="46">
        <f t="shared" si="0"/>
        <v>7.1121666666666679</v>
      </c>
      <c r="AP27" s="7">
        <f t="shared" si="1"/>
        <v>7.1121666666666679</v>
      </c>
    </row>
    <row r="28" spans="1:42" x14ac:dyDescent="0.3">
      <c r="A28" s="5">
        <v>27</v>
      </c>
      <c r="B28" s="107" t="s">
        <v>9</v>
      </c>
      <c r="C28" s="112" t="s">
        <v>613</v>
      </c>
      <c r="D28" s="112" t="s">
        <v>742</v>
      </c>
      <c r="E28" s="110" t="s">
        <v>128</v>
      </c>
      <c r="F28" s="6" t="s">
        <v>12</v>
      </c>
      <c r="G28" s="6" t="s">
        <v>979</v>
      </c>
      <c r="H28" s="6" t="s">
        <v>35</v>
      </c>
      <c r="I28" s="5">
        <v>1</v>
      </c>
      <c r="J28" s="67" t="s">
        <v>160</v>
      </c>
      <c r="K28" s="46">
        <v>15.042000000000002</v>
      </c>
      <c r="L28" s="46">
        <v>9.923</v>
      </c>
      <c r="M28" s="46">
        <v>0</v>
      </c>
      <c r="N28" s="46">
        <v>0</v>
      </c>
      <c r="O28" s="46">
        <v>18.600000000000001</v>
      </c>
      <c r="P28" s="46">
        <v>0</v>
      </c>
      <c r="Q28" s="46">
        <v>0</v>
      </c>
      <c r="R28" s="46">
        <v>31.513000000000002</v>
      </c>
      <c r="S28" s="46">
        <v>0</v>
      </c>
      <c r="T28" s="46">
        <v>19.856999999999999</v>
      </c>
      <c r="U28" s="46">
        <v>0</v>
      </c>
      <c r="V28" s="46">
        <v>16.158000000000001</v>
      </c>
      <c r="W28" s="46">
        <v>0</v>
      </c>
      <c r="X28" s="46">
        <v>0</v>
      </c>
      <c r="Y28" s="46">
        <v>11.65</v>
      </c>
      <c r="Z28" s="46">
        <v>2.105</v>
      </c>
      <c r="AA28" s="46">
        <v>15.806000000000001</v>
      </c>
      <c r="AB28" s="46">
        <v>0</v>
      </c>
      <c r="AC28" s="46">
        <v>0</v>
      </c>
      <c r="AD28" s="46">
        <v>0</v>
      </c>
      <c r="AE28" s="46">
        <v>0</v>
      </c>
      <c r="AF28" s="46">
        <v>34.192999999999998</v>
      </c>
      <c r="AG28" s="46">
        <v>0</v>
      </c>
      <c r="AH28" s="46">
        <v>0</v>
      </c>
      <c r="AI28" s="46">
        <v>66.459000000000003</v>
      </c>
      <c r="AJ28" s="46">
        <v>9.5330000000000013</v>
      </c>
      <c r="AK28" s="46">
        <v>8.2759999999999998</v>
      </c>
      <c r="AL28" s="46">
        <v>25.600999999999999</v>
      </c>
      <c r="AM28" s="46">
        <v>0</v>
      </c>
      <c r="AN28" s="46">
        <v>5.1749999999999998</v>
      </c>
      <c r="AO28" s="46">
        <f t="shared" si="0"/>
        <v>9.6630333333333365</v>
      </c>
      <c r="AP28" s="7">
        <f t="shared" si="1"/>
        <v>9.6630333333333365</v>
      </c>
    </row>
    <row r="29" spans="1:42" x14ac:dyDescent="0.3">
      <c r="A29" s="5">
        <v>28</v>
      </c>
      <c r="B29" s="107" t="s">
        <v>9</v>
      </c>
      <c r="C29" s="112" t="s">
        <v>613</v>
      </c>
      <c r="D29" s="112" t="s">
        <v>980</v>
      </c>
      <c r="E29" s="110" t="s">
        <v>128</v>
      </c>
      <c r="F29" s="6" t="s">
        <v>12</v>
      </c>
      <c r="G29" s="6" t="s">
        <v>971</v>
      </c>
      <c r="H29" s="6" t="s">
        <v>80</v>
      </c>
      <c r="I29" s="5">
        <v>3</v>
      </c>
      <c r="J29" s="67" t="s">
        <v>160</v>
      </c>
      <c r="K29" s="46">
        <v>46.669999999999995</v>
      </c>
      <c r="L29" s="46">
        <v>0</v>
      </c>
      <c r="M29" s="46">
        <v>0</v>
      </c>
      <c r="N29" s="46">
        <v>0.41000000000000003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8.32</v>
      </c>
      <c r="V29" s="46">
        <v>46.74</v>
      </c>
      <c r="W29" s="46">
        <v>33.869999999999997</v>
      </c>
      <c r="X29" s="46">
        <v>57.751000000000005</v>
      </c>
      <c r="Y29" s="46">
        <v>69.86</v>
      </c>
      <c r="Z29" s="46">
        <v>55.379999999999995</v>
      </c>
      <c r="AA29" s="46">
        <v>33.729999999999997</v>
      </c>
      <c r="AB29" s="46">
        <v>0</v>
      </c>
      <c r="AC29" s="46">
        <v>26.229999999999997</v>
      </c>
      <c r="AD29" s="46">
        <v>43.26</v>
      </c>
      <c r="AE29" s="46">
        <v>53.970000000000006</v>
      </c>
      <c r="AF29" s="46">
        <v>25.92</v>
      </c>
      <c r="AG29" s="46">
        <v>65.699000000000012</v>
      </c>
      <c r="AH29" s="46">
        <v>45.581000000000003</v>
      </c>
      <c r="AI29" s="46">
        <v>0.18000000000000005</v>
      </c>
      <c r="AJ29" s="46">
        <v>0</v>
      </c>
      <c r="AK29" s="46">
        <v>0</v>
      </c>
      <c r="AL29" s="46">
        <v>73.63000000000001</v>
      </c>
      <c r="AM29" s="46">
        <v>65.39</v>
      </c>
      <c r="AN29" s="46">
        <v>103.64</v>
      </c>
      <c r="AO29" s="46">
        <f t="shared" si="0"/>
        <v>28.541033333333335</v>
      </c>
      <c r="AP29" s="7">
        <f t="shared" si="1"/>
        <v>9.5136777777777777</v>
      </c>
    </row>
    <row r="30" spans="1:42" x14ac:dyDescent="0.3">
      <c r="A30" s="5">
        <v>29</v>
      </c>
      <c r="B30" s="107" t="s">
        <v>9</v>
      </c>
      <c r="C30" s="112" t="s">
        <v>613</v>
      </c>
      <c r="D30" s="112" t="s">
        <v>980</v>
      </c>
      <c r="E30" s="110" t="s">
        <v>128</v>
      </c>
      <c r="F30" s="6" t="s">
        <v>12</v>
      </c>
      <c r="G30" s="6" t="s">
        <v>975</v>
      </c>
      <c r="H30" s="6" t="s">
        <v>80</v>
      </c>
      <c r="I30" s="5">
        <v>1</v>
      </c>
      <c r="J30" s="67" t="s">
        <v>160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f t="shared" si="0"/>
        <v>0</v>
      </c>
      <c r="AP30" s="7">
        <f t="shared" si="1"/>
        <v>0</v>
      </c>
    </row>
    <row r="31" spans="1:42" x14ac:dyDescent="0.3">
      <c r="A31" s="5">
        <v>30</v>
      </c>
      <c r="B31" s="107" t="s">
        <v>9</v>
      </c>
      <c r="C31" s="112" t="s">
        <v>613</v>
      </c>
      <c r="D31" s="112" t="s">
        <v>980</v>
      </c>
      <c r="E31" s="110" t="s">
        <v>128</v>
      </c>
      <c r="F31" s="6" t="s">
        <v>12</v>
      </c>
      <c r="G31" s="6" t="s">
        <v>1018</v>
      </c>
      <c r="H31" s="6" t="s">
        <v>80</v>
      </c>
      <c r="I31" s="5">
        <v>1</v>
      </c>
      <c r="J31" s="67" t="s">
        <v>160</v>
      </c>
      <c r="K31" s="46">
        <v>30.560000000000002</v>
      </c>
      <c r="L31" s="46">
        <v>15.68</v>
      </c>
      <c r="M31" s="46">
        <v>40.86</v>
      </c>
      <c r="N31" s="46">
        <v>83.52</v>
      </c>
      <c r="O31" s="46">
        <v>17.34</v>
      </c>
      <c r="P31" s="46">
        <v>49.75</v>
      </c>
      <c r="Q31" s="46">
        <v>41.89</v>
      </c>
      <c r="R31" s="46">
        <v>124.28</v>
      </c>
      <c r="S31" s="46">
        <v>87.83</v>
      </c>
      <c r="T31" s="46">
        <v>40.78</v>
      </c>
      <c r="U31" s="46">
        <v>18.98</v>
      </c>
      <c r="V31" s="46">
        <v>44.370000000000005</v>
      </c>
      <c r="W31" s="46">
        <v>38.449999999999996</v>
      </c>
      <c r="X31" s="46">
        <v>27.009999999999998</v>
      </c>
      <c r="Y31" s="46">
        <v>58.79</v>
      </c>
      <c r="Z31" s="46">
        <v>50.33</v>
      </c>
      <c r="AA31" s="46">
        <v>51.32</v>
      </c>
      <c r="AB31" s="46">
        <v>56.849999999999994</v>
      </c>
      <c r="AC31" s="46">
        <v>13.969999999999999</v>
      </c>
      <c r="AD31" s="46">
        <v>31.279999999999998</v>
      </c>
      <c r="AE31" s="46">
        <v>10.780000000000001</v>
      </c>
      <c r="AF31" s="46">
        <v>35</v>
      </c>
      <c r="AG31" s="46">
        <v>32</v>
      </c>
      <c r="AH31" s="46">
        <v>0</v>
      </c>
      <c r="AI31" s="46">
        <v>114.77999999999999</v>
      </c>
      <c r="AJ31" s="46">
        <v>41</v>
      </c>
      <c r="AK31" s="46">
        <v>29.9</v>
      </c>
      <c r="AL31" s="46">
        <v>65.44</v>
      </c>
      <c r="AM31" s="46">
        <v>48.21</v>
      </c>
      <c r="AN31" s="46">
        <v>82.13000000000001</v>
      </c>
      <c r="AO31" s="46">
        <f t="shared" si="0"/>
        <v>46.102666666666678</v>
      </c>
      <c r="AP31" s="7">
        <f t="shared" si="1"/>
        <v>46.102666666666678</v>
      </c>
    </row>
    <row r="32" spans="1:42" x14ac:dyDescent="0.3">
      <c r="A32" s="5">
        <v>31</v>
      </c>
      <c r="B32" s="107" t="s">
        <v>9</v>
      </c>
      <c r="C32" s="112" t="s">
        <v>615</v>
      </c>
      <c r="D32" s="112" t="s">
        <v>770</v>
      </c>
      <c r="E32" s="110" t="s">
        <v>128</v>
      </c>
      <c r="F32" s="6" t="s">
        <v>12</v>
      </c>
      <c r="G32" s="6" t="s">
        <v>976</v>
      </c>
      <c r="H32" s="6" t="s">
        <v>35</v>
      </c>
      <c r="I32" s="5">
        <v>9</v>
      </c>
      <c r="J32" s="94" t="s">
        <v>273</v>
      </c>
      <c r="K32" s="46">
        <v>30.41</v>
      </c>
      <c r="L32" s="46">
        <v>63.247000000000007</v>
      </c>
      <c r="M32" s="46">
        <v>131.23399999999998</v>
      </c>
      <c r="N32" s="46">
        <v>146.17099999999999</v>
      </c>
      <c r="O32" s="46">
        <v>155.40799999999999</v>
      </c>
      <c r="P32" s="46">
        <v>143.47000000000003</v>
      </c>
      <c r="Q32" s="46">
        <v>183.61</v>
      </c>
      <c r="R32" s="46">
        <v>142.58400000000006</v>
      </c>
      <c r="S32" s="46">
        <v>125.19800000000001</v>
      </c>
      <c r="T32" s="46">
        <v>128.833</v>
      </c>
      <c r="U32" s="46">
        <v>136.53799999999998</v>
      </c>
      <c r="V32" s="46">
        <v>177.571</v>
      </c>
      <c r="W32" s="46">
        <v>144.464</v>
      </c>
      <c r="X32" s="46">
        <v>177.61199999999999</v>
      </c>
      <c r="Y32" s="46">
        <v>131.65600000000003</v>
      </c>
      <c r="Z32" s="46">
        <v>97.990000000000009</v>
      </c>
      <c r="AA32" s="46">
        <v>155.81700000000001</v>
      </c>
      <c r="AB32" s="46">
        <v>129.86000000000001</v>
      </c>
      <c r="AC32" s="46">
        <v>121.16000000000003</v>
      </c>
      <c r="AD32" s="46">
        <v>87.782000000000025</v>
      </c>
      <c r="AE32" s="46">
        <v>126.21</v>
      </c>
      <c r="AF32" s="46">
        <v>110.80199999999998</v>
      </c>
      <c r="AG32" s="46">
        <v>84.46899999999998</v>
      </c>
      <c r="AH32" s="46">
        <v>126.99400000000001</v>
      </c>
      <c r="AI32" s="46">
        <v>81.655000000000001</v>
      </c>
      <c r="AJ32" s="46">
        <v>95.313000000000002</v>
      </c>
      <c r="AK32" s="46">
        <v>210.96400000000006</v>
      </c>
      <c r="AL32" s="46">
        <v>106.83900000000001</v>
      </c>
      <c r="AM32" s="46">
        <v>155.94499999999999</v>
      </c>
      <c r="AN32" s="46">
        <v>95.268000000000015</v>
      </c>
      <c r="AO32" s="46">
        <f t="shared" si="0"/>
        <v>126.83580000000003</v>
      </c>
      <c r="AP32" s="7">
        <f t="shared" si="1"/>
        <v>14.092866666666671</v>
      </c>
    </row>
    <row r="33" spans="1:42" ht="14.25" customHeight="1" x14ac:dyDescent="0.3">
      <c r="A33" s="5">
        <v>32</v>
      </c>
      <c r="B33" s="107" t="s">
        <v>9</v>
      </c>
      <c r="C33" s="112" t="s">
        <v>966</v>
      </c>
      <c r="D33" s="112" t="s">
        <v>967</v>
      </c>
      <c r="E33" s="110" t="s">
        <v>128</v>
      </c>
      <c r="F33" s="6" t="s">
        <v>12</v>
      </c>
      <c r="G33" s="6" t="s">
        <v>973</v>
      </c>
      <c r="H33" s="6" t="s">
        <v>80</v>
      </c>
      <c r="I33" s="5">
        <v>1</v>
      </c>
      <c r="J33" s="94" t="s">
        <v>273</v>
      </c>
      <c r="K33" s="46">
        <v>0</v>
      </c>
      <c r="L33" s="46">
        <v>5.98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f t="shared" si="0"/>
        <v>0.19933333333333333</v>
      </c>
      <c r="AP33" s="7">
        <f t="shared" si="1"/>
        <v>0.19933333333333333</v>
      </c>
    </row>
    <row r="34" spans="1:42" x14ac:dyDescent="0.3">
      <c r="A34" s="5">
        <v>33</v>
      </c>
      <c r="B34" s="107" t="s">
        <v>9</v>
      </c>
      <c r="C34" s="112" t="s">
        <v>616</v>
      </c>
      <c r="D34" s="112" t="s">
        <v>748</v>
      </c>
      <c r="E34" s="110" t="s">
        <v>128</v>
      </c>
      <c r="F34" s="6" t="s">
        <v>12</v>
      </c>
      <c r="G34" s="6" t="s">
        <v>976</v>
      </c>
      <c r="H34" s="6" t="s">
        <v>35</v>
      </c>
      <c r="I34" s="5">
        <v>8</v>
      </c>
      <c r="J34" s="94" t="s">
        <v>273</v>
      </c>
      <c r="K34" s="46">
        <v>63.131</v>
      </c>
      <c r="L34" s="46">
        <v>40.367000000000004</v>
      </c>
      <c r="M34" s="46">
        <v>67.59</v>
      </c>
      <c r="N34" s="46">
        <v>103.37599999999999</v>
      </c>
      <c r="O34" s="46">
        <v>63.619000000000007</v>
      </c>
      <c r="P34" s="46">
        <v>49.634000000000007</v>
      </c>
      <c r="Q34" s="46">
        <v>57.867000000000004</v>
      </c>
      <c r="R34" s="46">
        <v>81.816999999999979</v>
      </c>
      <c r="S34" s="46">
        <v>70.894999999999982</v>
      </c>
      <c r="T34" s="46">
        <v>84.478000000000009</v>
      </c>
      <c r="U34" s="46">
        <v>79.338000000000008</v>
      </c>
      <c r="V34" s="46">
        <v>62.38900000000001</v>
      </c>
      <c r="W34" s="46">
        <v>65.22699999999999</v>
      </c>
      <c r="X34" s="46">
        <v>76.823000000000008</v>
      </c>
      <c r="Y34" s="46">
        <v>84.911000000000001</v>
      </c>
      <c r="Z34" s="46">
        <v>51.121000000000002</v>
      </c>
      <c r="AA34" s="46">
        <v>78.295999999999978</v>
      </c>
      <c r="AB34" s="46">
        <v>63.146999999999998</v>
      </c>
      <c r="AC34" s="46">
        <v>81.085000000000008</v>
      </c>
      <c r="AD34" s="46">
        <v>88.328000000000003</v>
      </c>
      <c r="AE34" s="46">
        <v>87.812999999999974</v>
      </c>
      <c r="AF34" s="46">
        <v>53.357000000000006</v>
      </c>
      <c r="AG34" s="46">
        <v>33.916000000000004</v>
      </c>
      <c r="AH34" s="46">
        <v>122.807</v>
      </c>
      <c r="AI34" s="46">
        <v>73.152999999999992</v>
      </c>
      <c r="AJ34" s="46">
        <v>77.87</v>
      </c>
      <c r="AK34" s="46">
        <v>86.926999999999992</v>
      </c>
      <c r="AL34" s="46">
        <v>58.507000000000005</v>
      </c>
      <c r="AM34" s="46">
        <v>127.52400000000002</v>
      </c>
      <c r="AN34" s="46">
        <v>58.269999999999996</v>
      </c>
      <c r="AO34" s="46">
        <f t="shared" si="0"/>
        <v>73.119433333333333</v>
      </c>
      <c r="AP34" s="7">
        <f t="shared" si="1"/>
        <v>9.1399291666666667</v>
      </c>
    </row>
    <row r="35" spans="1:42" ht="13.5" customHeight="1" x14ac:dyDescent="0.3">
      <c r="A35" s="5">
        <v>34</v>
      </c>
      <c r="B35" s="107" t="s">
        <v>9</v>
      </c>
      <c r="C35" s="10" t="s">
        <v>616</v>
      </c>
      <c r="D35" s="39" t="s">
        <v>748</v>
      </c>
      <c r="E35" s="110" t="s">
        <v>128</v>
      </c>
      <c r="F35" s="6" t="s">
        <v>12</v>
      </c>
      <c r="G35" s="6" t="s">
        <v>979</v>
      </c>
      <c r="H35" s="6" t="s">
        <v>35</v>
      </c>
      <c r="I35" s="5">
        <v>2</v>
      </c>
      <c r="J35" s="94" t="s">
        <v>273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f t="shared" si="0"/>
        <v>0</v>
      </c>
      <c r="AP35" s="7">
        <f t="shared" si="1"/>
        <v>0</v>
      </c>
    </row>
    <row r="36" spans="1:42" ht="15.75" customHeight="1" x14ac:dyDescent="0.3">
      <c r="A36" s="5">
        <v>35</v>
      </c>
      <c r="B36" s="107" t="s">
        <v>9</v>
      </c>
      <c r="C36" s="112" t="s">
        <v>617</v>
      </c>
      <c r="D36" s="112" t="s">
        <v>722</v>
      </c>
      <c r="E36" s="110" t="s">
        <v>128</v>
      </c>
      <c r="F36" s="6" t="s">
        <v>12</v>
      </c>
      <c r="G36" s="6" t="s">
        <v>976</v>
      </c>
      <c r="H36" s="6" t="s">
        <v>35</v>
      </c>
      <c r="I36" s="5">
        <v>2</v>
      </c>
      <c r="J36" s="12" t="s">
        <v>589</v>
      </c>
      <c r="K36" s="46">
        <v>8.7720000000000002</v>
      </c>
      <c r="L36" s="46">
        <v>17.737000000000002</v>
      </c>
      <c r="M36" s="46">
        <v>9.4710000000000001</v>
      </c>
      <c r="N36" s="46">
        <v>18.718000000000004</v>
      </c>
      <c r="O36" s="46">
        <v>6.120000000000001</v>
      </c>
      <c r="P36" s="46">
        <v>13.089999999999998</v>
      </c>
      <c r="Q36" s="46">
        <v>22.355999999999998</v>
      </c>
      <c r="R36" s="46">
        <v>19.871000000000002</v>
      </c>
      <c r="S36" s="46">
        <v>22.469999999999995</v>
      </c>
      <c r="T36" s="46">
        <v>23.919</v>
      </c>
      <c r="U36" s="46">
        <v>27.974999999999994</v>
      </c>
      <c r="V36" s="46">
        <v>26.875</v>
      </c>
      <c r="W36" s="46">
        <v>14.974000000000002</v>
      </c>
      <c r="X36" s="46">
        <v>24.042000000000002</v>
      </c>
      <c r="Y36" s="46">
        <v>24.619000000000003</v>
      </c>
      <c r="Z36" s="46">
        <v>27.609000000000002</v>
      </c>
      <c r="AA36" s="46">
        <v>11.009</v>
      </c>
      <c r="AB36" s="46">
        <v>22.736999999999998</v>
      </c>
      <c r="AC36" s="46">
        <v>25.072000000000003</v>
      </c>
      <c r="AD36" s="46">
        <v>20.512999999999998</v>
      </c>
      <c r="AE36" s="46">
        <v>19.186</v>
      </c>
      <c r="AF36" s="46">
        <v>20.651</v>
      </c>
      <c r="AG36" s="46">
        <v>15.911000000000001</v>
      </c>
      <c r="AH36" s="46">
        <v>29.372999999999998</v>
      </c>
      <c r="AI36" s="46">
        <v>18.113</v>
      </c>
      <c r="AJ36" s="46">
        <v>20.164999999999999</v>
      </c>
      <c r="AK36" s="46">
        <v>28.436999999999998</v>
      </c>
      <c r="AL36" s="46">
        <v>9.3309999999999995</v>
      </c>
      <c r="AM36" s="46">
        <v>26.326999999999998</v>
      </c>
      <c r="AN36" s="46">
        <v>25.328999999999997</v>
      </c>
      <c r="AO36" s="46">
        <f t="shared" si="0"/>
        <v>20.025733333333331</v>
      </c>
      <c r="AP36" s="7">
        <f t="shared" si="1"/>
        <v>10.012866666666666</v>
      </c>
    </row>
    <row r="37" spans="1:42" x14ac:dyDescent="0.3">
      <c r="A37" s="5">
        <v>36</v>
      </c>
      <c r="B37" s="107" t="s">
        <v>9</v>
      </c>
      <c r="C37" s="112" t="s">
        <v>618</v>
      </c>
      <c r="D37" s="112" t="s">
        <v>762</v>
      </c>
      <c r="E37" s="110" t="s">
        <v>128</v>
      </c>
      <c r="F37" s="6" t="s">
        <v>12</v>
      </c>
      <c r="G37" s="6" t="s">
        <v>976</v>
      </c>
      <c r="H37" s="6" t="s">
        <v>35</v>
      </c>
      <c r="I37" s="5">
        <v>11</v>
      </c>
      <c r="J37" s="94" t="s">
        <v>273</v>
      </c>
      <c r="K37" s="46">
        <v>198.13800000000001</v>
      </c>
      <c r="L37" s="46">
        <v>111.96</v>
      </c>
      <c r="M37" s="46">
        <v>173.01900000000003</v>
      </c>
      <c r="N37" s="46">
        <v>238.67399999999998</v>
      </c>
      <c r="O37" s="46">
        <v>222.29</v>
      </c>
      <c r="P37" s="46">
        <v>182.84699999999998</v>
      </c>
      <c r="Q37" s="46">
        <v>75.265999999999991</v>
      </c>
      <c r="R37" s="46">
        <v>125.53000000000002</v>
      </c>
      <c r="S37" s="46">
        <v>201.43499999999995</v>
      </c>
      <c r="T37" s="46">
        <v>165.333</v>
      </c>
      <c r="U37" s="46">
        <v>177.41899999999998</v>
      </c>
      <c r="V37" s="46">
        <v>183.14200000000002</v>
      </c>
      <c r="W37" s="46">
        <v>120.81500000000001</v>
      </c>
      <c r="X37" s="46">
        <v>63.942</v>
      </c>
      <c r="Y37" s="46">
        <v>115.44799999999998</v>
      </c>
      <c r="Z37" s="46">
        <v>124.88600000000001</v>
      </c>
      <c r="AA37" s="46">
        <v>91.234000000000009</v>
      </c>
      <c r="AB37" s="46">
        <v>91.241</v>
      </c>
      <c r="AC37" s="46">
        <v>69.745000000000005</v>
      </c>
      <c r="AD37" s="46">
        <v>49.690000000000005</v>
      </c>
      <c r="AE37" s="46">
        <v>52.825999999999993</v>
      </c>
      <c r="AF37" s="46">
        <v>41.279000000000003</v>
      </c>
      <c r="AG37" s="46">
        <v>69.903999999999996</v>
      </c>
      <c r="AH37" s="46">
        <v>183.71300000000002</v>
      </c>
      <c r="AI37" s="46">
        <v>145.01899999999998</v>
      </c>
      <c r="AJ37" s="46">
        <v>173.98599999999999</v>
      </c>
      <c r="AK37" s="46">
        <v>71.327999999999989</v>
      </c>
      <c r="AL37" s="46">
        <v>72.088999999999999</v>
      </c>
      <c r="AM37" s="46">
        <v>77.039000000000001</v>
      </c>
      <c r="AN37" s="46">
        <v>95.243000000000009</v>
      </c>
      <c r="AO37" s="46">
        <f t="shared" si="0"/>
        <v>125.48266666666665</v>
      </c>
      <c r="AP37" s="7">
        <f t="shared" si="1"/>
        <v>11.407515151515149</v>
      </c>
    </row>
    <row r="38" spans="1:42" x14ac:dyDescent="0.3">
      <c r="A38" s="5">
        <v>37</v>
      </c>
      <c r="B38" s="107" t="s">
        <v>9</v>
      </c>
      <c r="C38" s="112" t="s">
        <v>962</v>
      </c>
      <c r="D38" s="112" t="s">
        <v>963</v>
      </c>
      <c r="E38" s="110" t="s">
        <v>128</v>
      </c>
      <c r="F38" s="6" t="s">
        <v>12</v>
      </c>
      <c r="G38" s="6" t="s">
        <v>971</v>
      </c>
      <c r="H38" s="6" t="s">
        <v>80</v>
      </c>
      <c r="I38" s="5">
        <v>1</v>
      </c>
      <c r="J38" s="94" t="s">
        <v>273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f t="shared" si="0"/>
        <v>0</v>
      </c>
      <c r="AP38" s="7">
        <f t="shared" si="1"/>
        <v>0</v>
      </c>
    </row>
    <row r="39" spans="1:42" x14ac:dyDescent="0.3">
      <c r="A39" s="5">
        <v>38</v>
      </c>
      <c r="B39" s="107" t="s">
        <v>9</v>
      </c>
      <c r="C39" s="112" t="s">
        <v>619</v>
      </c>
      <c r="D39" s="112" t="s">
        <v>736</v>
      </c>
      <c r="E39" s="110" t="s">
        <v>128</v>
      </c>
      <c r="F39" s="6" t="s">
        <v>12</v>
      </c>
      <c r="G39" s="6" t="s">
        <v>976</v>
      </c>
      <c r="H39" s="6" t="s">
        <v>35</v>
      </c>
      <c r="I39" s="5">
        <v>1</v>
      </c>
      <c r="J39" s="12" t="s">
        <v>590</v>
      </c>
      <c r="K39" s="46">
        <v>0</v>
      </c>
      <c r="L39" s="46">
        <v>0</v>
      </c>
      <c r="M39" s="46">
        <v>0</v>
      </c>
      <c r="N39" s="46">
        <v>0.79900000000000004</v>
      </c>
      <c r="O39" s="46">
        <v>1.7150000000000001</v>
      </c>
      <c r="P39" s="46">
        <v>0</v>
      </c>
      <c r="Q39" s="46">
        <v>0</v>
      </c>
      <c r="R39" s="46">
        <v>0</v>
      </c>
      <c r="S39" s="46">
        <v>0</v>
      </c>
      <c r="T39" s="46">
        <v>1.8029999999999999</v>
      </c>
      <c r="U39" s="46">
        <v>0</v>
      </c>
      <c r="V39" s="46">
        <v>1.133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2.0310000000000001</v>
      </c>
      <c r="AD39" s="46">
        <v>0</v>
      </c>
      <c r="AE39" s="46">
        <v>0</v>
      </c>
      <c r="AF39" s="46">
        <v>1.0720000000000001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1.903</v>
      </c>
      <c r="AM39" s="46">
        <v>0</v>
      </c>
      <c r="AN39" s="46">
        <v>0</v>
      </c>
      <c r="AO39" s="46">
        <f t="shared" si="0"/>
        <v>0.34853333333333336</v>
      </c>
      <c r="AP39" s="7">
        <f t="shared" si="1"/>
        <v>0.34853333333333336</v>
      </c>
    </row>
    <row r="40" spans="1:42" x14ac:dyDescent="0.3">
      <c r="A40" s="5">
        <v>39</v>
      </c>
      <c r="B40" s="107" t="s">
        <v>9</v>
      </c>
      <c r="C40" s="112" t="s">
        <v>620</v>
      </c>
      <c r="D40" s="112" t="s">
        <v>768</v>
      </c>
      <c r="E40" s="110" t="s">
        <v>128</v>
      </c>
      <c r="F40" s="6" t="s">
        <v>12</v>
      </c>
      <c r="G40" s="6" t="s">
        <v>976</v>
      </c>
      <c r="H40" s="6" t="s">
        <v>35</v>
      </c>
      <c r="I40" s="5">
        <v>6</v>
      </c>
      <c r="J40" s="94" t="s">
        <v>273</v>
      </c>
      <c r="K40" s="46">
        <v>53.573000000000008</v>
      </c>
      <c r="L40" s="46">
        <v>73.298000000000002</v>
      </c>
      <c r="M40" s="46">
        <v>55.528999999999989</v>
      </c>
      <c r="N40" s="46">
        <v>68.119000000000014</v>
      </c>
      <c r="O40" s="46">
        <v>100.69799999999998</v>
      </c>
      <c r="P40" s="46">
        <v>75.176999999999992</v>
      </c>
      <c r="Q40" s="46">
        <v>64.853000000000009</v>
      </c>
      <c r="R40" s="46">
        <v>75.734000000000023</v>
      </c>
      <c r="S40" s="46">
        <v>86.142000000000024</v>
      </c>
      <c r="T40" s="46">
        <v>50.113999999999997</v>
      </c>
      <c r="U40" s="46">
        <v>129.10399999999998</v>
      </c>
      <c r="V40" s="46">
        <v>120.509</v>
      </c>
      <c r="W40" s="46">
        <v>93.447000000000003</v>
      </c>
      <c r="X40" s="46">
        <v>79.080000000000013</v>
      </c>
      <c r="Y40" s="46">
        <v>110.965</v>
      </c>
      <c r="Z40" s="46">
        <v>118.232</v>
      </c>
      <c r="AA40" s="46">
        <v>107.74000000000002</v>
      </c>
      <c r="AB40" s="46">
        <v>101.73399999999998</v>
      </c>
      <c r="AC40" s="46">
        <v>108.392</v>
      </c>
      <c r="AD40" s="46">
        <v>65.274999999999977</v>
      </c>
      <c r="AE40" s="46">
        <v>26.403999999999993</v>
      </c>
      <c r="AF40" s="46">
        <v>20.737000000000002</v>
      </c>
      <c r="AG40" s="46">
        <v>9.6039999999999992</v>
      </c>
      <c r="AH40" s="46">
        <v>5.9189999999999996</v>
      </c>
      <c r="AI40" s="46">
        <v>10.673999999999999</v>
      </c>
      <c r="AJ40" s="46">
        <v>9.4759999999999991</v>
      </c>
      <c r="AK40" s="46">
        <v>11.928000000000001</v>
      </c>
      <c r="AL40" s="46">
        <v>9.0779999999999994</v>
      </c>
      <c r="AM40" s="46">
        <v>16.908999999999999</v>
      </c>
      <c r="AN40" s="46">
        <v>12.896000000000001</v>
      </c>
      <c r="AO40" s="46">
        <f t="shared" si="0"/>
        <v>62.378000000000007</v>
      </c>
      <c r="AP40" s="7">
        <f t="shared" si="1"/>
        <v>10.396333333333335</v>
      </c>
    </row>
    <row r="41" spans="1:42" x14ac:dyDescent="0.3">
      <c r="A41" s="5">
        <v>40</v>
      </c>
      <c r="B41" s="107" t="s">
        <v>9</v>
      </c>
      <c r="C41" s="112" t="s">
        <v>621</v>
      </c>
      <c r="D41" s="112" t="s">
        <v>766</v>
      </c>
      <c r="E41" s="110" t="s">
        <v>128</v>
      </c>
      <c r="F41" s="6" t="s">
        <v>12</v>
      </c>
      <c r="G41" s="6" t="s">
        <v>976</v>
      </c>
      <c r="H41" s="6" t="s">
        <v>35</v>
      </c>
      <c r="I41" s="5">
        <v>13</v>
      </c>
      <c r="J41" s="94" t="s">
        <v>273</v>
      </c>
      <c r="K41" s="46">
        <v>51.688000000000002</v>
      </c>
      <c r="L41" s="46">
        <v>40.028000000000006</v>
      </c>
      <c r="M41" s="46">
        <v>54.95000000000001</v>
      </c>
      <c r="N41" s="46">
        <v>63.901999999999994</v>
      </c>
      <c r="O41" s="46">
        <v>47.635000000000005</v>
      </c>
      <c r="P41" s="46">
        <v>53.333000000000006</v>
      </c>
      <c r="Q41" s="46">
        <v>61.490000000000009</v>
      </c>
      <c r="R41" s="46">
        <v>85.596999999999994</v>
      </c>
      <c r="S41" s="46">
        <v>42.091000000000001</v>
      </c>
      <c r="T41" s="46">
        <v>46.840999999999994</v>
      </c>
      <c r="U41" s="46">
        <v>63.459999999999994</v>
      </c>
      <c r="V41" s="46">
        <v>45.731999999999999</v>
      </c>
      <c r="W41" s="46">
        <v>37.974000000000004</v>
      </c>
      <c r="X41" s="46">
        <v>55.852999999999994</v>
      </c>
      <c r="Y41" s="46">
        <v>74.762</v>
      </c>
      <c r="Z41" s="46">
        <v>65.143000000000001</v>
      </c>
      <c r="AA41" s="46">
        <v>96.343000000000004</v>
      </c>
      <c r="AB41" s="46">
        <v>47.945</v>
      </c>
      <c r="AC41" s="46">
        <v>49.414000000000001</v>
      </c>
      <c r="AD41" s="46">
        <v>69.915999999999997</v>
      </c>
      <c r="AE41" s="46">
        <v>43.399000000000001</v>
      </c>
      <c r="AF41" s="46">
        <v>93.168000000000006</v>
      </c>
      <c r="AG41" s="46">
        <v>75.432999999999993</v>
      </c>
      <c r="AH41" s="46">
        <v>64.62299999999999</v>
      </c>
      <c r="AI41" s="46">
        <v>85.73399999999998</v>
      </c>
      <c r="AJ41" s="46">
        <v>78.331000000000017</v>
      </c>
      <c r="AK41" s="46">
        <v>79.100000000000009</v>
      </c>
      <c r="AL41" s="46">
        <v>57.883999999999986</v>
      </c>
      <c r="AM41" s="46">
        <v>96.279999999999987</v>
      </c>
      <c r="AN41" s="46">
        <v>86.967999999999989</v>
      </c>
      <c r="AO41" s="46">
        <f t="shared" si="0"/>
        <v>63.833900000000007</v>
      </c>
      <c r="AP41" s="7">
        <f t="shared" si="1"/>
        <v>4.9103000000000003</v>
      </c>
    </row>
    <row r="42" spans="1:42" x14ac:dyDescent="0.3">
      <c r="A42" s="5">
        <v>41</v>
      </c>
      <c r="B42" s="107" t="s">
        <v>9</v>
      </c>
      <c r="C42" s="112" t="s">
        <v>622</v>
      </c>
      <c r="D42" s="112" t="s">
        <v>987</v>
      </c>
      <c r="E42" s="110" t="s">
        <v>128</v>
      </c>
      <c r="F42" s="6" t="s">
        <v>12</v>
      </c>
      <c r="G42" s="6" t="s">
        <v>974</v>
      </c>
      <c r="H42" s="6" t="s">
        <v>35</v>
      </c>
      <c r="I42" s="5">
        <v>1</v>
      </c>
      <c r="J42" s="12" t="s">
        <v>590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f t="shared" si="0"/>
        <v>0</v>
      </c>
      <c r="AP42" s="7">
        <f t="shared" si="1"/>
        <v>0</v>
      </c>
    </row>
    <row r="43" spans="1:42" x14ac:dyDescent="0.3">
      <c r="A43" s="5">
        <v>42</v>
      </c>
      <c r="B43" s="107" t="s">
        <v>9</v>
      </c>
      <c r="C43" s="112" t="s">
        <v>623</v>
      </c>
      <c r="D43" s="112" t="s">
        <v>752</v>
      </c>
      <c r="E43" s="110" t="s">
        <v>128</v>
      </c>
      <c r="F43" s="6" t="s">
        <v>12</v>
      </c>
      <c r="G43" s="6" t="s">
        <v>976</v>
      </c>
      <c r="H43" s="6" t="s">
        <v>35</v>
      </c>
      <c r="I43" s="5">
        <v>5</v>
      </c>
      <c r="J43" s="94" t="s">
        <v>273</v>
      </c>
      <c r="K43" s="46">
        <v>12.459</v>
      </c>
      <c r="L43" s="46">
        <v>10.709</v>
      </c>
      <c r="M43" s="46">
        <v>7.7789999999999999</v>
      </c>
      <c r="N43" s="46">
        <v>10.292000000000002</v>
      </c>
      <c r="O43" s="46">
        <v>8.2789999999999999</v>
      </c>
      <c r="P43" s="46">
        <v>12.206</v>
      </c>
      <c r="Q43" s="46">
        <v>9.8000000000000007</v>
      </c>
      <c r="R43" s="46">
        <v>5.58</v>
      </c>
      <c r="S43" s="46">
        <v>11.704000000000001</v>
      </c>
      <c r="T43" s="46">
        <v>10.815000000000001</v>
      </c>
      <c r="U43" s="46">
        <v>8.7620000000000005</v>
      </c>
      <c r="V43" s="46">
        <v>9.0679999999999996</v>
      </c>
      <c r="W43" s="46">
        <v>9.4480000000000004</v>
      </c>
      <c r="X43" s="46">
        <v>14.530000000000001</v>
      </c>
      <c r="Y43" s="46">
        <v>4.3879999999999999</v>
      </c>
      <c r="Z43" s="46">
        <v>16.802</v>
      </c>
      <c r="AA43" s="46">
        <v>2.0529999999999999</v>
      </c>
      <c r="AB43" s="46">
        <v>8.738999999999999</v>
      </c>
      <c r="AC43" s="46">
        <v>9.0289999999999999</v>
      </c>
      <c r="AD43" s="46">
        <v>8.8000000000000007</v>
      </c>
      <c r="AE43" s="46">
        <v>11.396000000000001</v>
      </c>
      <c r="AF43" s="46">
        <v>8.0129999999999999</v>
      </c>
      <c r="AG43" s="46">
        <v>8.1270000000000007</v>
      </c>
      <c r="AH43" s="46">
        <v>11.515000000000001</v>
      </c>
      <c r="AI43" s="46">
        <v>7.7319999999999993</v>
      </c>
      <c r="AJ43" s="46">
        <v>3.6</v>
      </c>
      <c r="AK43" s="46">
        <v>3.7360000000000002</v>
      </c>
      <c r="AL43" s="46">
        <v>9.1280000000000001</v>
      </c>
      <c r="AM43" s="46">
        <v>4.8789999999999996</v>
      </c>
      <c r="AN43" s="46">
        <v>4.3620000000000001</v>
      </c>
      <c r="AO43" s="46">
        <f t="shared" si="0"/>
        <v>8.7910000000000004</v>
      </c>
      <c r="AP43" s="7">
        <f t="shared" si="1"/>
        <v>1.7582</v>
      </c>
    </row>
    <row r="44" spans="1:42" x14ac:dyDescent="0.3">
      <c r="A44" s="5">
        <v>43</v>
      </c>
      <c r="B44" s="107" t="s">
        <v>9</v>
      </c>
      <c r="C44" s="112" t="s">
        <v>624</v>
      </c>
      <c r="D44" s="112" t="s">
        <v>776</v>
      </c>
      <c r="E44" s="110" t="s">
        <v>30</v>
      </c>
      <c r="F44" s="6" t="s">
        <v>12</v>
      </c>
      <c r="G44" s="6" t="s">
        <v>976</v>
      </c>
      <c r="H44" s="6" t="s">
        <v>35</v>
      </c>
      <c r="I44" s="5">
        <v>1</v>
      </c>
      <c r="J44" s="12" t="s">
        <v>589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 t="shared" si="0"/>
        <v>0</v>
      </c>
      <c r="AP44" s="7">
        <f t="shared" si="1"/>
        <v>0</v>
      </c>
    </row>
    <row r="45" spans="1:42" x14ac:dyDescent="0.3">
      <c r="A45" s="5">
        <v>44</v>
      </c>
      <c r="B45" s="107" t="s">
        <v>9</v>
      </c>
      <c r="C45" s="112" t="s">
        <v>625</v>
      </c>
      <c r="D45" s="112" t="s">
        <v>777</v>
      </c>
      <c r="E45" s="110" t="s">
        <v>128</v>
      </c>
      <c r="F45" s="6" t="s">
        <v>12</v>
      </c>
      <c r="G45" s="6" t="s">
        <v>976</v>
      </c>
      <c r="H45" s="6" t="s">
        <v>35</v>
      </c>
      <c r="I45" s="5">
        <v>1</v>
      </c>
      <c r="J45" s="12" t="s">
        <v>590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f t="shared" si="0"/>
        <v>0</v>
      </c>
      <c r="AP45" s="7">
        <f t="shared" si="1"/>
        <v>0</v>
      </c>
    </row>
    <row r="46" spans="1:42" x14ac:dyDescent="0.3">
      <c r="A46" s="5">
        <v>45</v>
      </c>
      <c r="B46" s="107" t="s">
        <v>9</v>
      </c>
      <c r="C46" s="112" t="s">
        <v>626</v>
      </c>
      <c r="D46" s="112" t="s">
        <v>778</v>
      </c>
      <c r="E46" s="110" t="s">
        <v>30</v>
      </c>
      <c r="F46" s="6" t="s">
        <v>12</v>
      </c>
      <c r="G46" s="6" t="s">
        <v>976</v>
      </c>
      <c r="H46" s="6" t="s">
        <v>35</v>
      </c>
      <c r="I46" s="5">
        <v>1</v>
      </c>
      <c r="J46" s="12" t="s">
        <v>589</v>
      </c>
      <c r="K46" s="46">
        <v>0</v>
      </c>
      <c r="L46" s="46">
        <v>0</v>
      </c>
      <c r="M46" s="46">
        <v>0</v>
      </c>
      <c r="N46" s="46">
        <v>3.2549999999999999</v>
      </c>
      <c r="O46" s="46">
        <v>0</v>
      </c>
      <c r="P46" s="46">
        <v>0</v>
      </c>
      <c r="Q46" s="46">
        <v>1.738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2.7109999999999999</v>
      </c>
      <c r="AA46" s="46">
        <v>0.58899999999999997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1.9259999999999999</v>
      </c>
      <c r="AK46" s="46">
        <v>0</v>
      </c>
      <c r="AL46" s="46">
        <v>1.968</v>
      </c>
      <c r="AM46" s="46">
        <v>0</v>
      </c>
      <c r="AN46" s="46">
        <v>0</v>
      </c>
      <c r="AO46" s="46">
        <f t="shared" si="0"/>
        <v>0.40623333333333339</v>
      </c>
      <c r="AP46" s="7">
        <f t="shared" si="1"/>
        <v>0.40623333333333339</v>
      </c>
    </row>
    <row r="47" spans="1:42" x14ac:dyDescent="0.3">
      <c r="A47" s="5">
        <v>46</v>
      </c>
      <c r="B47" s="107" t="s">
        <v>9</v>
      </c>
      <c r="C47" s="112" t="s">
        <v>627</v>
      </c>
      <c r="D47" s="112" t="s">
        <v>779</v>
      </c>
      <c r="E47" s="110" t="s">
        <v>30</v>
      </c>
      <c r="F47" s="6" t="s">
        <v>12</v>
      </c>
      <c r="G47" s="6" t="s">
        <v>976</v>
      </c>
      <c r="H47" s="6" t="s">
        <v>35</v>
      </c>
      <c r="I47" s="5">
        <v>1</v>
      </c>
      <c r="J47" s="12" t="s">
        <v>589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f t="shared" si="0"/>
        <v>0</v>
      </c>
      <c r="AP47" s="7">
        <f t="shared" si="1"/>
        <v>0</v>
      </c>
    </row>
    <row r="48" spans="1:42" ht="15.75" customHeight="1" x14ac:dyDescent="0.3">
      <c r="A48" s="5">
        <v>47</v>
      </c>
      <c r="B48" s="107" t="s">
        <v>9</v>
      </c>
      <c r="C48" s="112" t="s">
        <v>628</v>
      </c>
      <c r="D48" s="112" t="s">
        <v>988</v>
      </c>
      <c r="E48" s="110" t="s">
        <v>128</v>
      </c>
      <c r="F48" s="6" t="s">
        <v>12</v>
      </c>
      <c r="G48" s="6" t="s">
        <v>975</v>
      </c>
      <c r="H48" s="6" t="s">
        <v>80</v>
      </c>
      <c r="I48" s="5">
        <v>2</v>
      </c>
      <c r="J48" s="67" t="s">
        <v>160</v>
      </c>
      <c r="K48" s="46">
        <v>179.81299999999999</v>
      </c>
      <c r="L48" s="46">
        <v>255.04399999999998</v>
      </c>
      <c r="M48" s="46">
        <v>180.06800000000001</v>
      </c>
      <c r="N48" s="46">
        <v>220.95900000000003</v>
      </c>
      <c r="O48" s="46">
        <v>166.654</v>
      </c>
      <c r="P48" s="46">
        <v>78.237999999999985</v>
      </c>
      <c r="Q48" s="46">
        <v>204.84899999999996</v>
      </c>
      <c r="R48" s="46">
        <v>352.92100000000005</v>
      </c>
      <c r="S48" s="46">
        <v>293.40499999999997</v>
      </c>
      <c r="T48" s="46">
        <v>311.303</v>
      </c>
      <c r="U48" s="46">
        <v>364.89299999999997</v>
      </c>
      <c r="V48" s="46">
        <v>197.55999999999997</v>
      </c>
      <c r="W48" s="46">
        <v>84.568999999999988</v>
      </c>
      <c r="X48" s="46">
        <v>213.87400000000002</v>
      </c>
      <c r="Y48" s="46">
        <v>308.03499999999997</v>
      </c>
      <c r="Z48" s="46">
        <v>353.65600000000001</v>
      </c>
      <c r="AA48" s="46">
        <v>309.82899999999995</v>
      </c>
      <c r="AB48" s="46">
        <v>0</v>
      </c>
      <c r="AC48" s="46">
        <v>152.44299999999998</v>
      </c>
      <c r="AD48" s="46">
        <v>50.620999999999995</v>
      </c>
      <c r="AE48" s="46">
        <v>230.32100000000003</v>
      </c>
      <c r="AF48" s="46">
        <v>385.678</v>
      </c>
      <c r="AG48" s="46">
        <v>360.70599999999996</v>
      </c>
      <c r="AH48" s="46">
        <v>335.84300000000002</v>
      </c>
      <c r="AI48" s="46">
        <v>422.10499999999996</v>
      </c>
      <c r="AJ48" s="46">
        <v>171.48699999999999</v>
      </c>
      <c r="AK48" s="46">
        <v>99.460000000000008</v>
      </c>
      <c r="AL48" s="46">
        <v>293.10399999999993</v>
      </c>
      <c r="AM48" s="46">
        <v>320.65299999999996</v>
      </c>
      <c r="AN48" s="46">
        <v>378.81400000000008</v>
      </c>
      <c r="AO48" s="46">
        <f t="shared" si="0"/>
        <v>242.5635</v>
      </c>
      <c r="AP48" s="7">
        <f t="shared" si="1"/>
        <v>121.28175</v>
      </c>
    </row>
    <row r="49" spans="1:42" ht="16.5" customHeight="1" x14ac:dyDescent="0.3">
      <c r="A49" s="5">
        <v>48</v>
      </c>
      <c r="B49" s="107" t="s">
        <v>9</v>
      </c>
      <c r="C49" s="112" t="s">
        <v>629</v>
      </c>
      <c r="D49" s="112" t="s">
        <v>735</v>
      </c>
      <c r="E49" s="110" t="s">
        <v>128</v>
      </c>
      <c r="F49" s="6" t="s">
        <v>12</v>
      </c>
      <c r="G49" s="6" t="s">
        <v>976</v>
      </c>
      <c r="H49" s="6" t="s">
        <v>35</v>
      </c>
      <c r="I49" s="5">
        <v>5</v>
      </c>
      <c r="J49" s="12" t="s">
        <v>590</v>
      </c>
      <c r="K49" s="46">
        <v>8.3000000000000007</v>
      </c>
      <c r="L49" s="46">
        <v>14.366000000000001</v>
      </c>
      <c r="M49" s="46">
        <v>3.3019999999999996</v>
      </c>
      <c r="N49" s="46">
        <v>12.771000000000001</v>
      </c>
      <c r="O49" s="46">
        <v>8.94</v>
      </c>
      <c r="P49" s="46">
        <v>1.96</v>
      </c>
      <c r="Q49" s="46">
        <v>6.5449999999999999</v>
      </c>
      <c r="R49" s="46">
        <v>11.159999999999998</v>
      </c>
      <c r="S49" s="46">
        <v>21.954999999999998</v>
      </c>
      <c r="T49" s="46">
        <v>4.8920000000000003</v>
      </c>
      <c r="U49" s="46">
        <v>24.293000000000003</v>
      </c>
      <c r="V49" s="46">
        <v>7.6280000000000001</v>
      </c>
      <c r="W49" s="46">
        <v>9.9789999999999992</v>
      </c>
      <c r="X49" s="46">
        <v>11.57</v>
      </c>
      <c r="Y49" s="46">
        <v>2.456</v>
      </c>
      <c r="Z49" s="46">
        <v>5.4590000000000005</v>
      </c>
      <c r="AA49" s="46">
        <v>18.904</v>
      </c>
      <c r="AB49" s="46">
        <v>6.68</v>
      </c>
      <c r="AC49" s="46">
        <v>6.7919999999999998</v>
      </c>
      <c r="AD49" s="46">
        <v>7.2350000000000003</v>
      </c>
      <c r="AE49" s="46">
        <v>9.8480000000000008</v>
      </c>
      <c r="AF49" s="46">
        <v>22.663</v>
      </c>
      <c r="AG49" s="46">
        <v>9.1630000000000003</v>
      </c>
      <c r="AH49" s="46">
        <v>6.5839999999999996</v>
      </c>
      <c r="AI49" s="46">
        <v>20.825999999999997</v>
      </c>
      <c r="AJ49" s="46">
        <v>8.5850000000000009</v>
      </c>
      <c r="AK49" s="46">
        <v>4.46</v>
      </c>
      <c r="AL49" s="46">
        <v>11.522</v>
      </c>
      <c r="AM49" s="46">
        <v>6.8289999999999997</v>
      </c>
      <c r="AN49" s="46">
        <v>3.5960000000000001</v>
      </c>
      <c r="AO49" s="46">
        <f t="shared" si="0"/>
        <v>9.9754333333333349</v>
      </c>
      <c r="AP49" s="7">
        <f t="shared" si="1"/>
        <v>1.9950866666666669</v>
      </c>
    </row>
    <row r="50" spans="1:42" x14ac:dyDescent="0.3">
      <c r="A50" s="5">
        <v>49</v>
      </c>
      <c r="B50" s="107" t="s">
        <v>9</v>
      </c>
      <c r="C50" s="112" t="s">
        <v>630</v>
      </c>
      <c r="D50" s="112" t="s">
        <v>780</v>
      </c>
      <c r="E50" s="110" t="s">
        <v>128</v>
      </c>
      <c r="F50" s="6" t="s">
        <v>12</v>
      </c>
      <c r="G50" s="6" t="s">
        <v>976</v>
      </c>
      <c r="H50" s="6" t="s">
        <v>35</v>
      </c>
      <c r="I50" s="5">
        <v>2</v>
      </c>
      <c r="J50" s="12" t="s">
        <v>590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f t="shared" si="0"/>
        <v>0</v>
      </c>
      <c r="AP50" s="7">
        <f t="shared" si="1"/>
        <v>0</v>
      </c>
    </row>
    <row r="51" spans="1:42" x14ac:dyDescent="0.3">
      <c r="A51" s="5">
        <v>50</v>
      </c>
      <c r="B51" s="107" t="s">
        <v>9</v>
      </c>
      <c r="C51" s="112" t="s">
        <v>630</v>
      </c>
      <c r="D51" s="112" t="s">
        <v>780</v>
      </c>
      <c r="E51" s="110" t="s">
        <v>128</v>
      </c>
      <c r="F51" s="6" t="s">
        <v>12</v>
      </c>
      <c r="G51" s="6" t="s">
        <v>974</v>
      </c>
      <c r="H51" s="6" t="s">
        <v>35</v>
      </c>
      <c r="I51" s="5">
        <v>2</v>
      </c>
      <c r="J51" s="12" t="s">
        <v>590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f t="shared" si="0"/>
        <v>0</v>
      </c>
      <c r="AP51" s="7">
        <f t="shared" si="1"/>
        <v>0</v>
      </c>
    </row>
    <row r="52" spans="1:42" x14ac:dyDescent="0.3">
      <c r="A52" s="5">
        <v>51</v>
      </c>
      <c r="B52" s="107" t="s">
        <v>9</v>
      </c>
      <c r="C52" s="112" t="s">
        <v>631</v>
      </c>
      <c r="D52" s="112" t="s">
        <v>743</v>
      </c>
      <c r="E52" s="110" t="s">
        <v>128</v>
      </c>
      <c r="F52" s="6" t="s">
        <v>12</v>
      </c>
      <c r="G52" s="6" t="s">
        <v>976</v>
      </c>
      <c r="H52" s="6" t="s">
        <v>35</v>
      </c>
      <c r="I52" s="5">
        <v>1</v>
      </c>
      <c r="J52" s="67" t="s">
        <v>160</v>
      </c>
      <c r="K52" s="46">
        <v>0</v>
      </c>
      <c r="L52" s="46">
        <v>0</v>
      </c>
      <c r="M52" s="46">
        <v>5.4889999999999999</v>
      </c>
      <c r="N52" s="46">
        <v>5.9669999999999996</v>
      </c>
      <c r="O52" s="46">
        <v>3.8359999999999999</v>
      </c>
      <c r="P52" s="46">
        <v>0</v>
      </c>
      <c r="Q52" s="46">
        <v>3.7850000000000001</v>
      </c>
      <c r="R52" s="46">
        <v>20.032</v>
      </c>
      <c r="S52" s="46">
        <v>5.9399999999999995</v>
      </c>
      <c r="T52" s="46">
        <v>3.5379999999999998</v>
      </c>
      <c r="U52" s="46">
        <v>3.948</v>
      </c>
      <c r="V52" s="46">
        <v>3.694</v>
      </c>
      <c r="W52" s="46">
        <v>0</v>
      </c>
      <c r="X52" s="46">
        <v>4.5440000000000005</v>
      </c>
      <c r="Y52" s="46">
        <v>4.0960000000000001</v>
      </c>
      <c r="Z52" s="46">
        <v>4.2309999999999999</v>
      </c>
      <c r="AA52" s="46">
        <v>3.548</v>
      </c>
      <c r="AB52" s="46">
        <v>1.984</v>
      </c>
      <c r="AC52" s="46">
        <v>0</v>
      </c>
      <c r="AD52" s="46">
        <v>0</v>
      </c>
      <c r="AE52" s="46">
        <v>3.7210000000000001</v>
      </c>
      <c r="AF52" s="46">
        <v>2.9209999999999998</v>
      </c>
      <c r="AG52" s="46">
        <v>2.964</v>
      </c>
      <c r="AH52" s="46">
        <v>2.0550000000000002</v>
      </c>
      <c r="AI52" s="46">
        <v>6.5759999999999996</v>
      </c>
      <c r="AJ52" s="46">
        <v>3.07</v>
      </c>
      <c r="AK52" s="46">
        <v>0</v>
      </c>
      <c r="AL52" s="46">
        <v>3.96</v>
      </c>
      <c r="AM52" s="46">
        <v>0</v>
      </c>
      <c r="AN52" s="46">
        <v>0</v>
      </c>
      <c r="AO52" s="46">
        <f t="shared" si="0"/>
        <v>3.3299666666666661</v>
      </c>
      <c r="AP52" s="7">
        <f t="shared" si="1"/>
        <v>3.3299666666666661</v>
      </c>
    </row>
    <row r="53" spans="1:42" x14ac:dyDescent="0.3">
      <c r="A53" s="5">
        <v>52</v>
      </c>
      <c r="B53" s="107" t="s">
        <v>9</v>
      </c>
      <c r="C53" s="112" t="s">
        <v>631</v>
      </c>
      <c r="D53" s="112" t="s">
        <v>743</v>
      </c>
      <c r="E53" s="110" t="s">
        <v>128</v>
      </c>
      <c r="F53" s="6" t="s">
        <v>12</v>
      </c>
      <c r="G53" s="6" t="s">
        <v>979</v>
      </c>
      <c r="H53" s="6" t="s">
        <v>35</v>
      </c>
      <c r="I53" s="5">
        <v>1</v>
      </c>
      <c r="J53" s="67" t="s">
        <v>160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10.51</v>
      </c>
      <c r="U53" s="46">
        <v>0</v>
      </c>
      <c r="V53" s="46">
        <v>11.615</v>
      </c>
      <c r="W53" s="46">
        <v>19.273</v>
      </c>
      <c r="X53" s="46">
        <v>0</v>
      </c>
      <c r="Y53" s="46">
        <v>0</v>
      </c>
      <c r="Z53" s="46">
        <v>6.5750000000000002</v>
      </c>
      <c r="AA53" s="46">
        <v>0</v>
      </c>
      <c r="AB53" s="46">
        <v>0</v>
      </c>
      <c r="AC53" s="46">
        <v>2.2389999999999999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f t="shared" si="0"/>
        <v>1.6737333333333333</v>
      </c>
      <c r="AP53" s="7">
        <f t="shared" si="1"/>
        <v>1.6737333333333333</v>
      </c>
    </row>
    <row r="54" spans="1:42" x14ac:dyDescent="0.3">
      <c r="A54" s="5">
        <v>53</v>
      </c>
      <c r="B54" s="107" t="s">
        <v>9</v>
      </c>
      <c r="C54" s="112" t="s">
        <v>631</v>
      </c>
      <c r="D54" s="112" t="s">
        <v>743</v>
      </c>
      <c r="E54" s="110" t="s">
        <v>128</v>
      </c>
      <c r="F54" s="6" t="s">
        <v>12</v>
      </c>
      <c r="G54" s="6" t="s">
        <v>971</v>
      </c>
      <c r="H54" s="6" t="s">
        <v>80</v>
      </c>
      <c r="I54" s="5">
        <v>1</v>
      </c>
      <c r="J54" s="67" t="s">
        <v>160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14.657</v>
      </c>
      <c r="AM54" s="46">
        <v>0</v>
      </c>
      <c r="AN54" s="46">
        <v>0</v>
      </c>
      <c r="AO54" s="46">
        <f t="shared" si="0"/>
        <v>0.48856666666666665</v>
      </c>
      <c r="AP54" s="7">
        <f t="shared" si="1"/>
        <v>0.48856666666666665</v>
      </c>
    </row>
    <row r="55" spans="1:42" x14ac:dyDescent="0.3">
      <c r="A55" s="5">
        <v>54</v>
      </c>
      <c r="B55" s="107" t="s">
        <v>9</v>
      </c>
      <c r="C55" s="112" t="s">
        <v>632</v>
      </c>
      <c r="D55" s="112" t="s">
        <v>781</v>
      </c>
      <c r="E55" s="110" t="s">
        <v>128</v>
      </c>
      <c r="F55" s="6" t="s">
        <v>12</v>
      </c>
      <c r="G55" s="6" t="s">
        <v>976</v>
      </c>
      <c r="H55" s="6" t="s">
        <v>35</v>
      </c>
      <c r="I55" s="5">
        <v>9</v>
      </c>
      <c r="J55" s="12" t="s">
        <v>590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f t="shared" si="0"/>
        <v>0</v>
      </c>
      <c r="AP55" s="7">
        <f t="shared" si="1"/>
        <v>0</v>
      </c>
    </row>
    <row r="56" spans="1:42" x14ac:dyDescent="0.3">
      <c r="A56" s="5">
        <v>55</v>
      </c>
      <c r="B56" s="107" t="s">
        <v>9</v>
      </c>
      <c r="C56" s="112" t="s">
        <v>633</v>
      </c>
      <c r="D56" s="112" t="s">
        <v>782</v>
      </c>
      <c r="E56" s="110" t="s">
        <v>128</v>
      </c>
      <c r="F56" s="6" t="s">
        <v>12</v>
      </c>
      <c r="G56" s="6" t="s">
        <v>976</v>
      </c>
      <c r="H56" s="6" t="s">
        <v>35</v>
      </c>
      <c r="I56" s="5">
        <v>1</v>
      </c>
      <c r="J56" s="12" t="s">
        <v>590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f t="shared" si="0"/>
        <v>0</v>
      </c>
      <c r="AP56" s="7">
        <f t="shared" si="1"/>
        <v>0</v>
      </c>
    </row>
    <row r="57" spans="1:42" x14ac:dyDescent="0.3">
      <c r="A57" s="5">
        <v>56</v>
      </c>
      <c r="B57" s="107" t="s">
        <v>498</v>
      </c>
      <c r="C57" s="112" t="s">
        <v>634</v>
      </c>
      <c r="D57" s="113" t="s">
        <v>783</v>
      </c>
      <c r="E57" s="110" t="s">
        <v>128</v>
      </c>
      <c r="F57" s="6" t="s">
        <v>12</v>
      </c>
      <c r="G57" s="6" t="s">
        <v>973</v>
      </c>
      <c r="H57" s="6" t="s">
        <v>80</v>
      </c>
      <c r="I57" s="5">
        <v>1</v>
      </c>
      <c r="J57" s="67" t="s">
        <v>160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v>0</v>
      </c>
      <c r="AO57" s="46">
        <f t="shared" si="0"/>
        <v>0</v>
      </c>
      <c r="AP57" s="7">
        <f t="shared" si="1"/>
        <v>0</v>
      </c>
    </row>
    <row r="58" spans="1:42" x14ac:dyDescent="0.3">
      <c r="A58" s="5">
        <v>57</v>
      </c>
      <c r="B58" s="107" t="s">
        <v>9</v>
      </c>
      <c r="C58" s="112" t="s">
        <v>635</v>
      </c>
      <c r="D58" s="112" t="s">
        <v>720</v>
      </c>
      <c r="E58" s="110" t="s">
        <v>128</v>
      </c>
      <c r="F58" s="6" t="s">
        <v>12</v>
      </c>
      <c r="G58" s="6" t="s">
        <v>976</v>
      </c>
      <c r="H58" s="6" t="s">
        <v>35</v>
      </c>
      <c r="I58" s="5">
        <v>1</v>
      </c>
      <c r="J58" s="12" t="s">
        <v>589</v>
      </c>
      <c r="K58" s="46">
        <v>3.6619999999999999</v>
      </c>
      <c r="L58" s="46">
        <v>7.9000000000000001E-2</v>
      </c>
      <c r="M58" s="46">
        <v>0.57199999999999995</v>
      </c>
      <c r="N58" s="46">
        <v>5.1880000000000006</v>
      </c>
      <c r="O58" s="46">
        <v>2.78</v>
      </c>
      <c r="P58" s="46">
        <v>0</v>
      </c>
      <c r="Q58" s="46">
        <v>6.7379999999999995</v>
      </c>
      <c r="R58" s="46">
        <v>5.44</v>
      </c>
      <c r="S58" s="46">
        <v>0</v>
      </c>
      <c r="T58" s="46">
        <v>0.55200000000000005</v>
      </c>
      <c r="U58" s="46">
        <v>5.8000000000000007</v>
      </c>
      <c r="V58" s="46">
        <v>0.89100000000000001</v>
      </c>
      <c r="W58" s="46">
        <v>6.0839999999999996</v>
      </c>
      <c r="X58" s="46">
        <v>3.3959999999999999</v>
      </c>
      <c r="Y58" s="46">
        <v>3.629</v>
      </c>
      <c r="Z58" s="46">
        <v>3.2040000000000002</v>
      </c>
      <c r="AA58" s="46">
        <v>0</v>
      </c>
      <c r="AB58" s="46">
        <v>1.3320000000000001</v>
      </c>
      <c r="AC58" s="46">
        <v>6.6010000000000009</v>
      </c>
      <c r="AD58" s="46">
        <v>3.839</v>
      </c>
      <c r="AE58" s="46">
        <v>2.1960000000000002</v>
      </c>
      <c r="AF58" s="46">
        <v>0.66500000000000004</v>
      </c>
      <c r="AG58" s="46">
        <v>0</v>
      </c>
      <c r="AH58" s="46">
        <v>1.3579999999999999</v>
      </c>
      <c r="AI58" s="46">
        <v>1.675</v>
      </c>
      <c r="AJ58" s="46">
        <v>4.4820000000000002</v>
      </c>
      <c r="AK58" s="46">
        <v>7.992</v>
      </c>
      <c r="AL58" s="46">
        <v>5.2750000000000004</v>
      </c>
      <c r="AM58" s="46">
        <v>2.7690000000000001</v>
      </c>
      <c r="AN58" s="46">
        <v>2.72</v>
      </c>
      <c r="AO58" s="46">
        <f t="shared" si="0"/>
        <v>2.9639666666666669</v>
      </c>
      <c r="AP58" s="7">
        <f t="shared" si="1"/>
        <v>2.9639666666666669</v>
      </c>
    </row>
    <row r="59" spans="1:42" x14ac:dyDescent="0.3">
      <c r="A59" s="5">
        <v>58</v>
      </c>
      <c r="B59" s="107" t="s">
        <v>9</v>
      </c>
      <c r="C59" s="112" t="s">
        <v>636</v>
      </c>
      <c r="D59" s="112" t="s">
        <v>753</v>
      </c>
      <c r="E59" s="110" t="s">
        <v>128</v>
      </c>
      <c r="F59" s="6" t="s">
        <v>12</v>
      </c>
      <c r="G59" s="6" t="s">
        <v>976</v>
      </c>
      <c r="H59" s="6" t="s">
        <v>35</v>
      </c>
      <c r="I59" s="5">
        <v>10</v>
      </c>
      <c r="J59" s="94" t="s">
        <v>273</v>
      </c>
      <c r="K59" s="46">
        <v>14.923</v>
      </c>
      <c r="L59" s="46">
        <v>24.762999999999998</v>
      </c>
      <c r="M59" s="46">
        <v>54.936000000000007</v>
      </c>
      <c r="N59" s="46">
        <v>4.9650000000000016</v>
      </c>
      <c r="O59" s="46">
        <v>30.710999999999999</v>
      </c>
      <c r="P59" s="46">
        <v>29.585999999999999</v>
      </c>
      <c r="Q59" s="46">
        <v>24.079000000000001</v>
      </c>
      <c r="R59" s="46">
        <v>34.192</v>
      </c>
      <c r="S59" s="46">
        <v>24.081</v>
      </c>
      <c r="T59" s="46">
        <v>43.225000000000001</v>
      </c>
      <c r="U59" s="46">
        <v>2.2960000000000003</v>
      </c>
      <c r="V59" s="46">
        <v>39.218000000000004</v>
      </c>
      <c r="W59" s="46">
        <v>10.207000000000001</v>
      </c>
      <c r="X59" s="46">
        <v>16.948</v>
      </c>
      <c r="Y59" s="46">
        <v>15.373999999999999</v>
      </c>
      <c r="Z59" s="46">
        <v>25.719000000000001</v>
      </c>
      <c r="AA59" s="46">
        <v>26.582000000000001</v>
      </c>
      <c r="AB59" s="46">
        <v>13.495999999999999</v>
      </c>
      <c r="AC59" s="46">
        <v>1E-3</v>
      </c>
      <c r="AD59" s="46">
        <v>31.89</v>
      </c>
      <c r="AE59" s="46">
        <v>19.370999999999999</v>
      </c>
      <c r="AF59" s="46">
        <v>37.862000000000009</v>
      </c>
      <c r="AG59" s="46">
        <v>23.558</v>
      </c>
      <c r="AH59" s="46">
        <v>53.019999999999996</v>
      </c>
      <c r="AI59" s="46">
        <v>27.173999999999996</v>
      </c>
      <c r="AJ59" s="46">
        <v>15.091000000000001</v>
      </c>
      <c r="AK59" s="46">
        <v>16.567</v>
      </c>
      <c r="AL59" s="46">
        <v>28.755000000000003</v>
      </c>
      <c r="AM59" s="46">
        <v>24.274000000000001</v>
      </c>
      <c r="AN59" s="46">
        <v>35.552999999999997</v>
      </c>
      <c r="AO59" s="46">
        <f t="shared" si="0"/>
        <v>24.94723333333333</v>
      </c>
      <c r="AP59" s="7">
        <f t="shared" si="1"/>
        <v>2.494723333333333</v>
      </c>
    </row>
    <row r="60" spans="1:42" x14ac:dyDescent="0.3">
      <c r="A60" s="5">
        <v>59</v>
      </c>
      <c r="B60" s="107" t="s">
        <v>9</v>
      </c>
      <c r="C60" s="112"/>
      <c r="D60" s="112" t="s">
        <v>753</v>
      </c>
      <c r="E60" s="110" t="s">
        <v>128</v>
      </c>
      <c r="F60" s="6" t="s">
        <v>12</v>
      </c>
      <c r="G60" s="6" t="s">
        <v>1052</v>
      </c>
      <c r="H60" s="6" t="s">
        <v>80</v>
      </c>
      <c r="I60" s="5">
        <v>1</v>
      </c>
      <c r="J60" s="67" t="s">
        <v>160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f t="shared" si="0"/>
        <v>0</v>
      </c>
      <c r="AP60" s="7">
        <f t="shared" si="1"/>
        <v>0</v>
      </c>
    </row>
    <row r="61" spans="1:42" x14ac:dyDescent="0.3">
      <c r="A61" s="5">
        <v>60</v>
      </c>
      <c r="B61" s="107" t="s">
        <v>9</v>
      </c>
      <c r="C61" s="112" t="s">
        <v>637</v>
      </c>
      <c r="D61" s="112" t="s">
        <v>721</v>
      </c>
      <c r="E61" s="110" t="s">
        <v>128</v>
      </c>
      <c r="F61" s="6" t="s">
        <v>12</v>
      </c>
      <c r="G61" s="6" t="s">
        <v>976</v>
      </c>
      <c r="H61" s="6" t="s">
        <v>35</v>
      </c>
      <c r="I61" s="5">
        <v>2</v>
      </c>
      <c r="J61" s="12" t="s">
        <v>589</v>
      </c>
      <c r="K61" s="46">
        <v>15.998000000000001</v>
      </c>
      <c r="L61" s="46">
        <v>10.729000000000001</v>
      </c>
      <c r="M61" s="46">
        <v>21.556000000000001</v>
      </c>
      <c r="N61" s="46">
        <v>16.738</v>
      </c>
      <c r="O61" s="46">
        <v>13.635999999999999</v>
      </c>
      <c r="P61" s="46">
        <v>16.736000000000001</v>
      </c>
      <c r="Q61" s="46">
        <v>12.133000000000001</v>
      </c>
      <c r="R61" s="46">
        <v>21.274999999999999</v>
      </c>
      <c r="S61" s="46">
        <v>20.344999999999999</v>
      </c>
      <c r="T61" s="46">
        <v>16.492999999999999</v>
      </c>
      <c r="U61" s="46">
        <v>14.95</v>
      </c>
      <c r="V61" s="46">
        <v>13.138</v>
      </c>
      <c r="W61" s="46">
        <v>11.618</v>
      </c>
      <c r="X61" s="46">
        <v>30.405000000000001</v>
      </c>
      <c r="Y61" s="46">
        <v>11.373000000000001</v>
      </c>
      <c r="Z61" s="46">
        <v>22.338999999999999</v>
      </c>
      <c r="AA61" s="46">
        <v>11.167000000000002</v>
      </c>
      <c r="AB61" s="46">
        <v>13.239000000000001</v>
      </c>
      <c r="AC61" s="46">
        <v>11.724</v>
      </c>
      <c r="AD61" s="46">
        <v>10.313000000000001</v>
      </c>
      <c r="AE61" s="46">
        <v>12.355999999999998</v>
      </c>
      <c r="AF61" s="46">
        <v>17.204000000000001</v>
      </c>
      <c r="AG61" s="46">
        <v>7.9820000000000011</v>
      </c>
      <c r="AH61" s="46">
        <v>6.1660000000000004</v>
      </c>
      <c r="AI61" s="46">
        <v>8.5630000000000006</v>
      </c>
      <c r="AJ61" s="46">
        <v>14.999000000000001</v>
      </c>
      <c r="AK61" s="46">
        <v>11.333</v>
      </c>
      <c r="AL61" s="46">
        <v>8.3620000000000001</v>
      </c>
      <c r="AM61" s="46">
        <v>16.334</v>
      </c>
      <c r="AN61" s="46">
        <v>23.33</v>
      </c>
      <c r="AO61" s="46">
        <f t="shared" si="0"/>
        <v>14.751133333333335</v>
      </c>
      <c r="AP61" s="7">
        <f t="shared" si="1"/>
        <v>7.3755666666666677</v>
      </c>
    </row>
    <row r="62" spans="1:42" x14ac:dyDescent="0.3">
      <c r="A62" s="5">
        <v>61</v>
      </c>
      <c r="B62" s="107" t="s">
        <v>9</v>
      </c>
      <c r="C62" s="5"/>
      <c r="D62" s="6" t="s">
        <v>93</v>
      </c>
      <c r="E62" s="110" t="s">
        <v>26</v>
      </c>
      <c r="F62" s="6" t="s">
        <v>19</v>
      </c>
      <c r="G62" s="6" t="s">
        <v>976</v>
      </c>
      <c r="H62" s="6" t="s">
        <v>14</v>
      </c>
      <c r="I62" s="5">
        <v>1</v>
      </c>
      <c r="J62" s="67" t="s">
        <v>160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v>0</v>
      </c>
      <c r="AO62" s="46">
        <f t="shared" si="0"/>
        <v>0</v>
      </c>
      <c r="AP62" s="7">
        <f t="shared" si="1"/>
        <v>0</v>
      </c>
    </row>
    <row r="63" spans="1:42" x14ac:dyDescent="0.3">
      <c r="A63" s="5">
        <v>62</v>
      </c>
      <c r="B63" s="107" t="s">
        <v>9</v>
      </c>
      <c r="C63" s="112" t="s">
        <v>638</v>
      </c>
      <c r="D63" s="112" t="s">
        <v>759</v>
      </c>
      <c r="E63" s="110" t="s">
        <v>128</v>
      </c>
      <c r="F63" s="6" t="s">
        <v>12</v>
      </c>
      <c r="G63" s="6" t="s">
        <v>976</v>
      </c>
      <c r="H63" s="6" t="s">
        <v>35</v>
      </c>
      <c r="I63" s="5">
        <v>8</v>
      </c>
      <c r="J63" s="94" t="s">
        <v>273</v>
      </c>
      <c r="K63" s="46">
        <v>75.393000000000029</v>
      </c>
      <c r="L63" s="46">
        <v>112.47800000000001</v>
      </c>
      <c r="M63" s="46">
        <v>96.778000000000006</v>
      </c>
      <c r="N63" s="46">
        <v>86.084999999999994</v>
      </c>
      <c r="O63" s="46">
        <v>93.637999999999991</v>
      </c>
      <c r="P63" s="46">
        <v>76.472999999999999</v>
      </c>
      <c r="Q63" s="46">
        <v>74.163999999999987</v>
      </c>
      <c r="R63" s="46">
        <v>120.51099999999997</v>
      </c>
      <c r="S63" s="46">
        <v>83.935999999999993</v>
      </c>
      <c r="T63" s="46">
        <v>90.451000000000008</v>
      </c>
      <c r="U63" s="46">
        <v>104.39699999999999</v>
      </c>
      <c r="V63" s="46">
        <v>61.499999999999993</v>
      </c>
      <c r="W63" s="46">
        <v>80.180000000000007</v>
      </c>
      <c r="X63" s="46">
        <v>49.447000000000003</v>
      </c>
      <c r="Y63" s="46">
        <v>95.295000000000002</v>
      </c>
      <c r="Z63" s="46">
        <v>26.894000000000002</v>
      </c>
      <c r="AA63" s="46">
        <v>66.679000000000002</v>
      </c>
      <c r="AB63" s="46">
        <v>21.545999999999999</v>
      </c>
      <c r="AC63" s="46">
        <v>30.265000000000004</v>
      </c>
      <c r="AD63" s="46">
        <v>32.143999999999998</v>
      </c>
      <c r="AE63" s="46">
        <v>61.344999999999999</v>
      </c>
      <c r="AF63" s="46">
        <v>48.142000000000017</v>
      </c>
      <c r="AG63" s="46">
        <v>18.5</v>
      </c>
      <c r="AH63" s="46">
        <v>41.176000000000002</v>
      </c>
      <c r="AI63" s="46">
        <v>9.7129999999999992</v>
      </c>
      <c r="AJ63" s="46">
        <v>52.91</v>
      </c>
      <c r="AK63" s="46">
        <v>19.301000000000002</v>
      </c>
      <c r="AL63" s="46">
        <v>37.605999999999995</v>
      </c>
      <c r="AM63" s="46">
        <v>55.028999999999996</v>
      </c>
      <c r="AN63" s="46">
        <v>84.259999999999991</v>
      </c>
      <c r="AO63" s="46">
        <f t="shared" si="0"/>
        <v>63.541200000000011</v>
      </c>
      <c r="AP63" s="7">
        <f t="shared" si="1"/>
        <v>7.9426500000000013</v>
      </c>
    </row>
    <row r="64" spans="1:42" x14ac:dyDescent="0.3">
      <c r="A64" s="5">
        <v>63</v>
      </c>
      <c r="B64" s="107" t="s">
        <v>9</v>
      </c>
      <c r="C64" s="112"/>
      <c r="D64" s="10" t="s">
        <v>1068</v>
      </c>
      <c r="E64" s="110" t="s">
        <v>128</v>
      </c>
      <c r="F64" s="6" t="s">
        <v>12</v>
      </c>
      <c r="G64" s="6" t="s">
        <v>976</v>
      </c>
      <c r="H64" s="6" t="s">
        <v>35</v>
      </c>
      <c r="I64" s="5">
        <v>10</v>
      </c>
      <c r="J64" s="94" t="s">
        <v>273</v>
      </c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>
        <v>5.444</v>
      </c>
      <c r="V64" s="46">
        <v>19.125</v>
      </c>
      <c r="W64" s="46">
        <v>0</v>
      </c>
      <c r="X64" s="46">
        <v>43.570000000000007</v>
      </c>
      <c r="Y64" s="46">
        <v>67.989000000000004</v>
      </c>
      <c r="Z64" s="46">
        <v>34.762</v>
      </c>
      <c r="AA64" s="46">
        <v>39.594999999999999</v>
      </c>
      <c r="AB64" s="46">
        <v>42.195999999999998</v>
      </c>
      <c r="AC64" s="46">
        <v>29.790000000000003</v>
      </c>
      <c r="AD64" s="46">
        <v>20.375</v>
      </c>
      <c r="AE64" s="46">
        <v>18.214000000000002</v>
      </c>
      <c r="AF64" s="46">
        <v>35.478999999999999</v>
      </c>
      <c r="AG64" s="46">
        <v>51.954000000000001</v>
      </c>
      <c r="AH64" s="46">
        <v>40.947000000000003</v>
      </c>
      <c r="AI64" s="46">
        <v>32.701999999999998</v>
      </c>
      <c r="AJ64" s="46">
        <v>46.503</v>
      </c>
      <c r="AK64" s="46">
        <v>6.4180000000000001</v>
      </c>
      <c r="AL64" s="46">
        <v>31.060999999999993</v>
      </c>
      <c r="AM64" s="46">
        <v>39.405999999999999</v>
      </c>
      <c r="AN64" s="46">
        <v>46.048999999999992</v>
      </c>
      <c r="AO64" s="46">
        <f t="shared" si="0"/>
        <v>32.578949999999999</v>
      </c>
      <c r="AP64" s="7">
        <f t="shared" si="1"/>
        <v>3.257895</v>
      </c>
    </row>
    <row r="65" spans="1:42" x14ac:dyDescent="0.3">
      <c r="A65" s="5">
        <v>64</v>
      </c>
      <c r="B65" s="107" t="s">
        <v>9</v>
      </c>
      <c r="C65" s="112" t="s">
        <v>713</v>
      </c>
      <c r="D65" s="112" t="s">
        <v>714</v>
      </c>
      <c r="E65" s="110" t="s">
        <v>128</v>
      </c>
      <c r="F65" s="6" t="s">
        <v>12</v>
      </c>
      <c r="G65" s="6" t="s">
        <v>976</v>
      </c>
      <c r="H65" s="6" t="s">
        <v>35</v>
      </c>
      <c r="I65" s="5">
        <v>6</v>
      </c>
      <c r="J65" s="94" t="s">
        <v>273</v>
      </c>
      <c r="K65" s="46">
        <v>62.338000000000001</v>
      </c>
      <c r="L65" s="46">
        <v>82.742000000000019</v>
      </c>
      <c r="M65" s="46">
        <v>77.747</v>
      </c>
      <c r="N65" s="46">
        <v>63.896999999999991</v>
      </c>
      <c r="O65" s="46">
        <v>71.108999999999995</v>
      </c>
      <c r="P65" s="46">
        <v>79.149000000000015</v>
      </c>
      <c r="Q65" s="46">
        <v>54.949999999999996</v>
      </c>
      <c r="R65" s="46">
        <v>76.222999999999985</v>
      </c>
      <c r="S65" s="46">
        <v>71.871000000000009</v>
      </c>
      <c r="T65" s="46">
        <v>68.77000000000001</v>
      </c>
      <c r="U65" s="46">
        <v>54.67</v>
      </c>
      <c r="V65" s="46">
        <v>68.649000000000001</v>
      </c>
      <c r="W65" s="46">
        <v>48.543999999999997</v>
      </c>
      <c r="X65" s="46">
        <v>73.539000000000001</v>
      </c>
      <c r="Y65" s="46">
        <v>64.410000000000011</v>
      </c>
      <c r="Z65" s="46">
        <v>71.487000000000009</v>
      </c>
      <c r="AA65" s="46">
        <v>57.391999999999996</v>
      </c>
      <c r="AB65" s="46">
        <v>48.245000000000012</v>
      </c>
      <c r="AC65" s="46">
        <v>89.346999999999994</v>
      </c>
      <c r="AD65" s="46">
        <v>73.535000000000011</v>
      </c>
      <c r="AE65" s="46">
        <v>79.551999999999992</v>
      </c>
      <c r="AF65" s="46">
        <v>69.460000000000008</v>
      </c>
      <c r="AG65" s="46">
        <v>66.461999999999989</v>
      </c>
      <c r="AH65" s="46">
        <v>85.186999999999983</v>
      </c>
      <c r="AI65" s="46">
        <v>59.161999999999985</v>
      </c>
      <c r="AJ65" s="46">
        <v>64.215000000000003</v>
      </c>
      <c r="AK65" s="46">
        <v>61.640999999999991</v>
      </c>
      <c r="AL65" s="46">
        <v>77.428000000000011</v>
      </c>
      <c r="AM65" s="46">
        <v>75.833999999999989</v>
      </c>
      <c r="AN65" s="46">
        <v>47.027999999999999</v>
      </c>
      <c r="AO65" s="46">
        <f t="shared" si="0"/>
        <v>68.152766666666665</v>
      </c>
      <c r="AP65" s="7">
        <f t="shared" si="1"/>
        <v>11.358794444444444</v>
      </c>
    </row>
    <row r="66" spans="1:42" x14ac:dyDescent="0.3">
      <c r="A66" s="5">
        <v>65</v>
      </c>
      <c r="B66" s="107" t="s">
        <v>9</v>
      </c>
      <c r="C66" s="112" t="s">
        <v>857</v>
      </c>
      <c r="D66" s="112" t="s">
        <v>856</v>
      </c>
      <c r="E66" s="110" t="s">
        <v>128</v>
      </c>
      <c r="F66" s="6" t="s">
        <v>12</v>
      </c>
      <c r="G66" s="6" t="s">
        <v>290</v>
      </c>
      <c r="H66" s="6" t="s">
        <v>80</v>
      </c>
      <c r="I66" s="5">
        <v>1</v>
      </c>
      <c r="J66" s="12" t="s">
        <v>590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f t="shared" si="0"/>
        <v>0</v>
      </c>
      <c r="AP66" s="7">
        <f t="shared" si="1"/>
        <v>0</v>
      </c>
    </row>
    <row r="67" spans="1:42" ht="15.6" x14ac:dyDescent="0.3">
      <c r="A67" s="5">
        <v>66</v>
      </c>
      <c r="B67" s="107" t="s">
        <v>9</v>
      </c>
      <c r="C67" s="112" t="s">
        <v>968</v>
      </c>
      <c r="D67" s="114" t="s">
        <v>969</v>
      </c>
      <c r="E67" s="110" t="s">
        <v>128</v>
      </c>
      <c r="F67" s="6" t="s">
        <v>12</v>
      </c>
      <c r="G67" s="6" t="s">
        <v>976</v>
      </c>
      <c r="H67" s="6" t="s">
        <v>35</v>
      </c>
      <c r="I67" s="5">
        <v>1</v>
      </c>
      <c r="J67" s="12" t="s">
        <v>590</v>
      </c>
      <c r="K67" s="46">
        <v>0</v>
      </c>
      <c r="L67" s="46">
        <v>0</v>
      </c>
      <c r="M67" s="46">
        <v>0</v>
      </c>
      <c r="N67" s="46">
        <v>0.41299999999999998</v>
      </c>
      <c r="O67" s="46">
        <v>0</v>
      </c>
      <c r="P67" s="46">
        <v>2.109</v>
      </c>
      <c r="Q67" s="46">
        <v>0</v>
      </c>
      <c r="R67" s="46">
        <v>0</v>
      </c>
      <c r="S67" s="46">
        <v>3.0019999999999998</v>
      </c>
      <c r="T67" s="46">
        <v>0</v>
      </c>
      <c r="U67" s="46">
        <v>0</v>
      </c>
      <c r="V67" s="46">
        <v>0</v>
      </c>
      <c r="W67" s="46">
        <v>0</v>
      </c>
      <c r="X67" s="46">
        <v>2.9990000000000001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2.0419999999999998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f t="shared" ref="AO67:AO130" si="2">AVERAGE(K67:AN67)</f>
        <v>0.35216666666666663</v>
      </c>
      <c r="AP67" s="7">
        <f t="shared" ref="AP67:AP130" si="3">AO67/I67</f>
        <v>0.35216666666666663</v>
      </c>
    </row>
    <row r="68" spans="1:42" x14ac:dyDescent="0.3">
      <c r="A68" s="5">
        <v>67</v>
      </c>
      <c r="B68" s="107" t="s">
        <v>9</v>
      </c>
      <c r="C68" s="10"/>
      <c r="D68" s="39" t="s">
        <v>918</v>
      </c>
      <c r="E68" s="110" t="s">
        <v>128</v>
      </c>
      <c r="F68" s="6" t="s">
        <v>12</v>
      </c>
      <c r="G68" s="6" t="s">
        <v>976</v>
      </c>
      <c r="H68" s="6" t="s">
        <v>35</v>
      </c>
      <c r="I68" s="92">
        <v>2</v>
      </c>
      <c r="J68" s="94" t="s">
        <v>590</v>
      </c>
      <c r="K68" s="46">
        <v>0</v>
      </c>
      <c r="L68" s="46">
        <v>3.0209999999999999</v>
      </c>
      <c r="M68" s="46">
        <v>0</v>
      </c>
      <c r="N68" s="46">
        <v>2.8319999999999999</v>
      </c>
      <c r="O68" s="46">
        <v>2.9050000000000002</v>
      </c>
      <c r="P68" s="46">
        <v>0</v>
      </c>
      <c r="Q68" s="46">
        <v>2.157</v>
      </c>
      <c r="R68" s="46">
        <v>0</v>
      </c>
      <c r="S68" s="46">
        <v>1.256</v>
      </c>
      <c r="T68" s="46">
        <v>2.3330000000000002</v>
      </c>
      <c r="U68" s="46">
        <v>2.1040000000000001</v>
      </c>
      <c r="V68" s="46">
        <v>5.1869999999999994</v>
      </c>
      <c r="W68" s="46">
        <v>0.45400000000000001</v>
      </c>
      <c r="X68" s="46">
        <v>0.629</v>
      </c>
      <c r="Y68" s="46">
        <v>1.234</v>
      </c>
      <c r="Z68" s="46">
        <v>3.698</v>
      </c>
      <c r="AA68" s="46">
        <v>2.4209999999999998</v>
      </c>
      <c r="AB68" s="46">
        <v>0</v>
      </c>
      <c r="AC68" s="46">
        <v>2.5609999999999999</v>
      </c>
      <c r="AD68" s="46">
        <v>0</v>
      </c>
      <c r="AE68" s="46">
        <v>5.32</v>
      </c>
      <c r="AF68" s="46">
        <v>0</v>
      </c>
      <c r="AG68" s="46">
        <v>1.9870000000000001</v>
      </c>
      <c r="AH68" s="46">
        <v>1.0780000000000001</v>
      </c>
      <c r="AI68" s="46">
        <v>2.7440000000000002</v>
      </c>
      <c r="AJ68" s="46">
        <v>1.7999999999999998</v>
      </c>
      <c r="AK68" s="46">
        <v>1.7390000000000001</v>
      </c>
      <c r="AL68" s="46">
        <v>2.347</v>
      </c>
      <c r="AM68" s="46">
        <v>0</v>
      </c>
      <c r="AN68" s="46">
        <v>10.273000000000001</v>
      </c>
      <c r="AO68" s="46">
        <f t="shared" si="2"/>
        <v>2.0026666666666668</v>
      </c>
      <c r="AP68" s="7">
        <f t="shared" si="3"/>
        <v>1.0013333333333334</v>
      </c>
    </row>
    <row r="69" spans="1:42" x14ac:dyDescent="0.3">
      <c r="A69" s="5">
        <v>68</v>
      </c>
      <c r="B69" s="107" t="s">
        <v>9</v>
      </c>
      <c r="C69" s="10"/>
      <c r="D69" s="39" t="s">
        <v>918</v>
      </c>
      <c r="E69" s="110" t="s">
        <v>128</v>
      </c>
      <c r="F69" s="6" t="s">
        <v>12</v>
      </c>
      <c r="G69" s="6" t="s">
        <v>979</v>
      </c>
      <c r="H69" s="6" t="s">
        <v>35</v>
      </c>
      <c r="I69" s="92">
        <v>2</v>
      </c>
      <c r="J69" s="94" t="s">
        <v>590</v>
      </c>
      <c r="K69" s="46">
        <v>36.097000000000001</v>
      </c>
      <c r="L69" s="46">
        <v>0</v>
      </c>
      <c r="M69" s="46">
        <v>0</v>
      </c>
      <c r="N69" s="46">
        <v>0</v>
      </c>
      <c r="O69" s="46">
        <v>0</v>
      </c>
      <c r="P69" s="46">
        <v>0</v>
      </c>
      <c r="Q69" s="46">
        <v>28.975000000000001</v>
      </c>
      <c r="R69" s="46">
        <v>3.367</v>
      </c>
      <c r="S69" s="46">
        <v>6.2560000000000002</v>
      </c>
      <c r="T69" s="46">
        <v>27.533999999999999</v>
      </c>
      <c r="U69" s="46">
        <v>0</v>
      </c>
      <c r="V69" s="46">
        <v>0</v>
      </c>
      <c r="W69" s="46">
        <v>42.813000000000002</v>
      </c>
      <c r="X69" s="46">
        <v>0</v>
      </c>
      <c r="Y69" s="46">
        <v>0</v>
      </c>
      <c r="Z69" s="46">
        <v>0</v>
      </c>
      <c r="AA69" s="46">
        <v>26.984999999999999</v>
      </c>
      <c r="AB69" s="46">
        <v>2.089</v>
      </c>
      <c r="AC69" s="46">
        <v>0.88600000000000001</v>
      </c>
      <c r="AD69" s="46">
        <v>7.2970000000000006</v>
      </c>
      <c r="AE69" s="46">
        <v>20.891000000000002</v>
      </c>
      <c r="AF69" s="46">
        <v>4.8860000000000001</v>
      </c>
      <c r="AG69" s="46">
        <v>0</v>
      </c>
      <c r="AH69" s="46">
        <v>0</v>
      </c>
      <c r="AI69" s="46">
        <v>0</v>
      </c>
      <c r="AJ69" s="46">
        <v>42.578000000000003</v>
      </c>
      <c r="AK69" s="46">
        <v>0</v>
      </c>
      <c r="AL69" s="46">
        <v>0</v>
      </c>
      <c r="AM69" s="46">
        <v>0</v>
      </c>
      <c r="AN69" s="46">
        <v>0</v>
      </c>
      <c r="AO69" s="46">
        <f t="shared" si="2"/>
        <v>8.3551333333333346</v>
      </c>
      <c r="AP69" s="7">
        <f t="shared" si="3"/>
        <v>4.1775666666666673</v>
      </c>
    </row>
    <row r="70" spans="1:42" x14ac:dyDescent="0.3">
      <c r="A70" s="5">
        <v>69</v>
      </c>
      <c r="B70" s="107" t="s">
        <v>9</v>
      </c>
      <c r="C70" s="10"/>
      <c r="D70" s="116" t="s">
        <v>991</v>
      </c>
      <c r="E70" s="6" t="s">
        <v>128</v>
      </c>
      <c r="F70" s="6" t="s">
        <v>12</v>
      </c>
      <c r="G70" s="6" t="s">
        <v>13</v>
      </c>
      <c r="H70" s="6" t="s">
        <v>35</v>
      </c>
      <c r="I70" s="92">
        <v>2</v>
      </c>
      <c r="J70" s="94" t="s">
        <v>590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2.3929999999999998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1.117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v>0</v>
      </c>
      <c r="AN70" s="46">
        <v>0.1</v>
      </c>
      <c r="AO70" s="46">
        <f t="shared" si="2"/>
        <v>0.12033333333333333</v>
      </c>
      <c r="AP70" s="7">
        <f t="shared" si="3"/>
        <v>6.0166666666666667E-2</v>
      </c>
    </row>
    <row r="71" spans="1:42" x14ac:dyDescent="0.3">
      <c r="A71" s="5">
        <v>70</v>
      </c>
      <c r="B71" s="107" t="s">
        <v>9</v>
      </c>
      <c r="C71" s="10"/>
      <c r="D71" s="116" t="s">
        <v>991</v>
      </c>
      <c r="E71" s="6" t="s">
        <v>128</v>
      </c>
      <c r="F71" s="6" t="s">
        <v>12</v>
      </c>
      <c r="G71" s="6" t="s">
        <v>40</v>
      </c>
      <c r="H71" s="6" t="s">
        <v>35</v>
      </c>
      <c r="I71" s="92">
        <v>5</v>
      </c>
      <c r="J71" s="94" t="s">
        <v>590</v>
      </c>
      <c r="K71" s="46">
        <v>5.3739999999999997</v>
      </c>
      <c r="L71" s="46">
        <v>4.867</v>
      </c>
      <c r="M71" s="46">
        <v>0</v>
      </c>
      <c r="N71" s="46">
        <v>0</v>
      </c>
      <c r="O71" s="46">
        <v>9.0050000000000008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8.0549999999999997</v>
      </c>
      <c r="X71" s="46">
        <v>0</v>
      </c>
      <c r="Y71" s="46">
        <v>0</v>
      </c>
      <c r="Z71" s="46">
        <v>7.7769999999999992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7.7850000000000001</v>
      </c>
      <c r="AI71" s="46">
        <v>0</v>
      </c>
      <c r="AJ71" s="46">
        <v>0</v>
      </c>
      <c r="AK71" s="46">
        <v>12</v>
      </c>
      <c r="AL71" s="46">
        <v>0</v>
      </c>
      <c r="AM71" s="46">
        <v>0</v>
      </c>
      <c r="AN71" s="46">
        <v>2.6259999999999999</v>
      </c>
      <c r="AO71" s="46">
        <f t="shared" si="2"/>
        <v>1.9162999999999999</v>
      </c>
      <c r="AP71" s="7">
        <f t="shared" si="3"/>
        <v>0.38325999999999999</v>
      </c>
    </row>
    <row r="72" spans="1:42" x14ac:dyDescent="0.3">
      <c r="A72" s="5">
        <v>71</v>
      </c>
      <c r="B72" s="107" t="s">
        <v>1024</v>
      </c>
      <c r="C72" s="10"/>
      <c r="D72" s="116" t="s">
        <v>1022</v>
      </c>
      <c r="E72" s="6" t="s">
        <v>128</v>
      </c>
      <c r="F72" s="6" t="s">
        <v>12</v>
      </c>
      <c r="G72" s="6" t="s">
        <v>1023</v>
      </c>
      <c r="H72" s="6" t="s">
        <v>80</v>
      </c>
      <c r="I72" s="92">
        <v>1</v>
      </c>
      <c r="J72" s="67" t="s">
        <v>160</v>
      </c>
      <c r="K72" s="46">
        <v>36.549999999999997</v>
      </c>
      <c r="L72" s="46">
        <v>0</v>
      </c>
      <c r="M72" s="46">
        <v>0</v>
      </c>
      <c r="N72" s="46">
        <v>0</v>
      </c>
      <c r="O72" s="46">
        <v>53.4</v>
      </c>
      <c r="P72" s="46">
        <v>5.5750000000000002</v>
      </c>
      <c r="Q72" s="46">
        <v>0</v>
      </c>
      <c r="R72" s="46">
        <v>34.700000000000003</v>
      </c>
      <c r="S72" s="46">
        <v>340.52500000000003</v>
      </c>
      <c r="T72" s="46">
        <v>329.2</v>
      </c>
      <c r="U72" s="46">
        <v>381.94999999999993</v>
      </c>
      <c r="V72" s="46">
        <v>361.07499999999999</v>
      </c>
      <c r="W72" s="46">
        <v>299.25</v>
      </c>
      <c r="X72" s="46">
        <v>195.02500000000001</v>
      </c>
      <c r="Y72" s="46">
        <v>95.3</v>
      </c>
      <c r="Z72" s="46">
        <v>204.9</v>
      </c>
      <c r="AA72" s="46">
        <v>311.99999999999994</v>
      </c>
      <c r="AB72" s="46">
        <v>23.375</v>
      </c>
      <c r="AC72" s="46">
        <v>225.95</v>
      </c>
      <c r="AD72" s="46">
        <v>906.07400000000007</v>
      </c>
      <c r="AE72" s="46">
        <v>120.62499999999999</v>
      </c>
      <c r="AF72" s="46">
        <v>374.45000000000005</v>
      </c>
      <c r="AG72" s="46">
        <v>488.35000000000008</v>
      </c>
      <c r="AH72" s="46">
        <v>576.57500000000005</v>
      </c>
      <c r="AI72" s="46">
        <v>650.87400000000002</v>
      </c>
      <c r="AJ72" s="46">
        <v>578.09999999999991</v>
      </c>
      <c r="AK72" s="46">
        <v>578.851</v>
      </c>
      <c r="AL72" s="46">
        <v>479.274</v>
      </c>
      <c r="AM72" s="46">
        <v>401.02499999999998</v>
      </c>
      <c r="AN72" s="46">
        <v>467.22500000000008</v>
      </c>
      <c r="AO72" s="46">
        <f t="shared" si="2"/>
        <v>284.00659999999999</v>
      </c>
      <c r="AP72" s="7">
        <f t="shared" si="3"/>
        <v>284.00659999999999</v>
      </c>
    </row>
    <row r="73" spans="1:42" x14ac:dyDescent="0.3">
      <c r="A73" s="5">
        <v>72</v>
      </c>
      <c r="B73" s="107" t="s">
        <v>9</v>
      </c>
      <c r="C73" s="10"/>
      <c r="D73" s="10" t="s">
        <v>1061</v>
      </c>
      <c r="E73" s="6" t="s">
        <v>128</v>
      </c>
      <c r="F73" s="6" t="s">
        <v>12</v>
      </c>
      <c r="G73" s="6" t="s">
        <v>1023</v>
      </c>
      <c r="H73" s="6" t="s">
        <v>80</v>
      </c>
      <c r="I73" s="92">
        <v>4</v>
      </c>
      <c r="J73" s="67" t="s">
        <v>160</v>
      </c>
      <c r="K73" s="46">
        <v>245.41</v>
      </c>
      <c r="L73" s="46">
        <v>224.16</v>
      </c>
      <c r="M73" s="46">
        <v>331.20000000000005</v>
      </c>
      <c r="N73" s="46">
        <v>354.93999999999988</v>
      </c>
      <c r="O73" s="46">
        <v>251.39000000000001</v>
      </c>
      <c r="P73" s="46">
        <v>165.34</v>
      </c>
      <c r="Q73" s="46">
        <v>371.73</v>
      </c>
      <c r="R73" s="46">
        <v>439.48000000000008</v>
      </c>
      <c r="S73" s="46">
        <v>539.61</v>
      </c>
      <c r="T73" s="46">
        <v>372.59</v>
      </c>
      <c r="U73" s="46">
        <v>388.62000000000006</v>
      </c>
      <c r="V73" s="46">
        <v>318.75</v>
      </c>
      <c r="W73" s="46">
        <v>194.57999999999998</v>
      </c>
      <c r="X73" s="46">
        <v>457.00999999999993</v>
      </c>
      <c r="Y73" s="46">
        <v>648.27</v>
      </c>
      <c r="Z73" s="46">
        <v>606.66999999999985</v>
      </c>
      <c r="AA73" s="46">
        <v>416.3900000000001</v>
      </c>
      <c r="AB73" s="46">
        <v>298.42</v>
      </c>
      <c r="AC73" s="46">
        <v>369.31999999999994</v>
      </c>
      <c r="AD73" s="46">
        <v>247.36000000000004</v>
      </c>
      <c r="AE73" s="46">
        <v>655.83</v>
      </c>
      <c r="AF73" s="46">
        <v>446.36999999999995</v>
      </c>
      <c r="AG73" s="46">
        <v>561.84999999999991</v>
      </c>
      <c r="AH73" s="46">
        <v>463.10000000000008</v>
      </c>
      <c r="AI73" s="46">
        <v>472.42000000000019</v>
      </c>
      <c r="AJ73" s="46">
        <v>684.40000000000009</v>
      </c>
      <c r="AK73" s="46">
        <v>295.00000000000006</v>
      </c>
      <c r="AL73" s="46">
        <v>385.06999999999994</v>
      </c>
      <c r="AM73" s="46">
        <v>633.76999999999975</v>
      </c>
      <c r="AN73" s="46">
        <v>618.66000000000008</v>
      </c>
      <c r="AO73" s="46">
        <f t="shared" si="2"/>
        <v>415.25700000000001</v>
      </c>
      <c r="AP73" s="7">
        <f t="shared" si="3"/>
        <v>103.81425</v>
      </c>
    </row>
    <row r="74" spans="1:42" x14ac:dyDescent="0.3">
      <c r="A74" s="5">
        <v>73</v>
      </c>
      <c r="B74" s="107" t="s">
        <v>9</v>
      </c>
      <c r="C74" s="10"/>
      <c r="D74" s="10" t="s">
        <v>1061</v>
      </c>
      <c r="E74" s="6" t="s">
        <v>128</v>
      </c>
      <c r="F74" s="6" t="s">
        <v>12</v>
      </c>
      <c r="G74" s="6" t="s">
        <v>40</v>
      </c>
      <c r="H74" s="6" t="s">
        <v>35</v>
      </c>
      <c r="I74" s="92">
        <v>2</v>
      </c>
      <c r="J74" s="67" t="s">
        <v>160</v>
      </c>
      <c r="K74" s="46"/>
      <c r="L74" s="46"/>
      <c r="M74" s="46"/>
      <c r="N74" s="46">
        <v>1.4929999999999999</v>
      </c>
      <c r="O74" s="46">
        <v>0</v>
      </c>
      <c r="P74" s="46">
        <v>0</v>
      </c>
      <c r="Q74" s="46">
        <v>3.8940000000000001</v>
      </c>
      <c r="R74" s="46">
        <v>0</v>
      </c>
      <c r="S74" s="46">
        <v>0</v>
      </c>
      <c r="T74" s="46">
        <v>57.155999999999999</v>
      </c>
      <c r="U74" s="46">
        <v>0.16500000000000001</v>
      </c>
      <c r="V74" s="46">
        <v>23.34</v>
      </c>
      <c r="W74" s="46">
        <v>0</v>
      </c>
      <c r="X74" s="46">
        <v>0</v>
      </c>
      <c r="Y74" s="46">
        <v>19.545000000000002</v>
      </c>
      <c r="Z74" s="46">
        <v>51.31</v>
      </c>
      <c r="AA74" s="46">
        <v>3.3040000000000003</v>
      </c>
      <c r="AB74" s="46">
        <v>0</v>
      </c>
      <c r="AC74" s="46">
        <v>0</v>
      </c>
      <c r="AD74" s="46">
        <v>28.481999999999999</v>
      </c>
      <c r="AE74" s="46">
        <v>0</v>
      </c>
      <c r="AF74" s="46">
        <v>21.038</v>
      </c>
      <c r="AG74" s="46">
        <v>14.566999999999998</v>
      </c>
      <c r="AH74" s="46">
        <v>48.163000000000004</v>
      </c>
      <c r="AI74" s="46">
        <v>0</v>
      </c>
      <c r="AJ74" s="46">
        <v>0</v>
      </c>
      <c r="AK74" s="46">
        <v>14.811999999999999</v>
      </c>
      <c r="AL74" s="46">
        <v>5.47</v>
      </c>
      <c r="AM74" s="46">
        <v>35.161000000000001</v>
      </c>
      <c r="AN74" s="46">
        <v>25.764000000000003</v>
      </c>
      <c r="AO74" s="46">
        <f t="shared" si="2"/>
        <v>13.09866666666667</v>
      </c>
      <c r="AP74" s="7">
        <f t="shared" si="3"/>
        <v>6.549333333333335</v>
      </c>
    </row>
    <row r="75" spans="1:42" x14ac:dyDescent="0.3">
      <c r="A75" s="5">
        <v>74</v>
      </c>
      <c r="B75" s="107" t="s">
        <v>9</v>
      </c>
      <c r="C75" s="10"/>
      <c r="D75" s="10" t="s">
        <v>1061</v>
      </c>
      <c r="E75" s="6" t="s">
        <v>128</v>
      </c>
      <c r="F75" s="6" t="s">
        <v>12</v>
      </c>
      <c r="G75" s="6" t="s">
        <v>13</v>
      </c>
      <c r="H75" s="6" t="s">
        <v>35</v>
      </c>
      <c r="I75" s="92">
        <v>1</v>
      </c>
      <c r="J75" s="67" t="s">
        <v>160</v>
      </c>
      <c r="K75" s="46"/>
      <c r="L75" s="46"/>
      <c r="M75" s="46"/>
      <c r="N75" s="46"/>
      <c r="O75" s="46"/>
      <c r="P75" s="46"/>
      <c r="Q75" s="46"/>
      <c r="R75" s="46"/>
      <c r="S75" s="46">
        <v>0</v>
      </c>
      <c r="T75" s="46">
        <v>2.593</v>
      </c>
      <c r="U75" s="46">
        <v>7.3650000000000002</v>
      </c>
      <c r="V75" s="46">
        <v>8.1739999999999995</v>
      </c>
      <c r="W75" s="46">
        <v>11.952000000000002</v>
      </c>
      <c r="X75" s="46">
        <v>5.0609999999999999</v>
      </c>
      <c r="Y75" s="46">
        <v>9.5359999999999996</v>
      </c>
      <c r="Z75" s="46">
        <v>21.633999999999997</v>
      </c>
      <c r="AA75" s="46">
        <v>15.539</v>
      </c>
      <c r="AB75" s="46">
        <v>28.477</v>
      </c>
      <c r="AC75" s="46">
        <v>26.007000000000001</v>
      </c>
      <c r="AD75" s="46">
        <v>12.722</v>
      </c>
      <c r="AE75" s="46">
        <v>21.41</v>
      </c>
      <c r="AF75" s="46">
        <v>14.266</v>
      </c>
      <c r="AG75" s="46">
        <v>7.84</v>
      </c>
      <c r="AH75" s="46">
        <v>26.253</v>
      </c>
      <c r="AI75" s="46">
        <v>18.189</v>
      </c>
      <c r="AJ75" s="46">
        <v>30.222000000000001</v>
      </c>
      <c r="AK75" s="46">
        <v>12.82</v>
      </c>
      <c r="AL75" s="46">
        <v>14.308000000000002</v>
      </c>
      <c r="AM75" s="46">
        <v>16.251999999999999</v>
      </c>
      <c r="AN75" s="46">
        <v>9.956999999999999</v>
      </c>
      <c r="AO75" s="46">
        <f t="shared" si="2"/>
        <v>14.571681818181817</v>
      </c>
      <c r="AP75" s="7">
        <f t="shared" si="3"/>
        <v>14.571681818181817</v>
      </c>
    </row>
    <row r="76" spans="1:42" x14ac:dyDescent="0.3">
      <c r="A76" s="5">
        <v>75</v>
      </c>
      <c r="B76" s="6" t="s">
        <v>1050</v>
      </c>
      <c r="C76" s="10"/>
      <c r="D76" s="116" t="s">
        <v>1049</v>
      </c>
      <c r="E76" s="6" t="s">
        <v>128</v>
      </c>
      <c r="F76" s="6" t="s">
        <v>12</v>
      </c>
      <c r="G76" s="6" t="s">
        <v>13</v>
      </c>
      <c r="H76" s="6" t="s">
        <v>35</v>
      </c>
      <c r="I76" s="92">
        <v>1</v>
      </c>
      <c r="J76" s="94" t="s">
        <v>590</v>
      </c>
      <c r="K76" s="46">
        <v>20.802</v>
      </c>
      <c r="L76" s="46">
        <v>2.2629999999999999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1.5349999999999999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0</v>
      </c>
      <c r="AL76" s="46">
        <v>6.6050000000000004</v>
      </c>
      <c r="AM76" s="46">
        <v>0</v>
      </c>
      <c r="AN76" s="46">
        <v>0</v>
      </c>
      <c r="AO76" s="46">
        <f t="shared" si="2"/>
        <v>1.0401666666666667</v>
      </c>
      <c r="AP76" s="7">
        <f t="shared" si="3"/>
        <v>1.0401666666666667</v>
      </c>
    </row>
    <row r="77" spans="1:42" x14ac:dyDescent="0.3">
      <c r="A77" s="5">
        <v>76</v>
      </c>
      <c r="B77" s="6" t="s">
        <v>1050</v>
      </c>
      <c r="C77" s="10"/>
      <c r="D77" s="116" t="s">
        <v>1049</v>
      </c>
      <c r="E77" s="6" t="s">
        <v>128</v>
      </c>
      <c r="F77" s="6" t="s">
        <v>12</v>
      </c>
      <c r="G77" s="6" t="s">
        <v>135</v>
      </c>
      <c r="H77" s="6" t="s">
        <v>35</v>
      </c>
      <c r="I77" s="92">
        <v>1</v>
      </c>
      <c r="J77" s="94" t="s">
        <v>590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33.504999999999995</v>
      </c>
      <c r="AB77" s="46">
        <v>0</v>
      </c>
      <c r="AC77" s="46">
        <v>0</v>
      </c>
      <c r="AD77" s="46">
        <v>0</v>
      </c>
      <c r="AE77" s="46">
        <v>1.728</v>
      </c>
      <c r="AF77" s="46">
        <v>0</v>
      </c>
      <c r="AG77" s="46">
        <v>0</v>
      </c>
      <c r="AH77" s="46">
        <v>0</v>
      </c>
      <c r="AI77" s="46">
        <v>13.259999999999998</v>
      </c>
      <c r="AJ77" s="46">
        <v>0</v>
      </c>
      <c r="AK77" s="46">
        <v>0</v>
      </c>
      <c r="AL77" s="46">
        <v>13.925000000000001</v>
      </c>
      <c r="AM77" s="46">
        <v>0</v>
      </c>
      <c r="AN77" s="46">
        <v>0</v>
      </c>
      <c r="AO77" s="46">
        <f t="shared" si="2"/>
        <v>2.0805999999999996</v>
      </c>
      <c r="AP77" s="7">
        <f t="shared" si="3"/>
        <v>2.0805999999999996</v>
      </c>
    </row>
    <row r="78" spans="1:42" x14ac:dyDescent="0.3">
      <c r="A78" s="5">
        <v>77</v>
      </c>
      <c r="B78" s="6" t="s">
        <v>1050</v>
      </c>
      <c r="C78" s="10"/>
      <c r="D78" s="116" t="s">
        <v>1049</v>
      </c>
      <c r="E78" s="6" t="s">
        <v>128</v>
      </c>
      <c r="F78" s="6" t="s">
        <v>12</v>
      </c>
      <c r="G78" s="6" t="s">
        <v>41</v>
      </c>
      <c r="H78" s="6" t="s">
        <v>35</v>
      </c>
      <c r="I78" s="92">
        <v>1</v>
      </c>
      <c r="J78" s="94" t="s">
        <v>590</v>
      </c>
      <c r="K78" s="46">
        <v>0</v>
      </c>
      <c r="L78" s="46">
        <v>0</v>
      </c>
      <c r="M78" s="46">
        <v>2.839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18.757999999999999</v>
      </c>
      <c r="AJ78" s="46">
        <v>0</v>
      </c>
      <c r="AK78" s="46">
        <v>0</v>
      </c>
      <c r="AL78" s="46">
        <v>0</v>
      </c>
      <c r="AM78" s="46">
        <v>0</v>
      </c>
      <c r="AN78" s="46">
        <v>0</v>
      </c>
      <c r="AO78" s="46">
        <f t="shared" si="2"/>
        <v>0.71989999999999987</v>
      </c>
      <c r="AP78" s="7">
        <f t="shared" si="3"/>
        <v>0.71989999999999987</v>
      </c>
    </row>
    <row r="79" spans="1:42" x14ac:dyDescent="0.3">
      <c r="A79" s="5">
        <v>78</v>
      </c>
      <c r="B79" s="107" t="s">
        <v>536</v>
      </c>
      <c r="C79" s="112" t="s">
        <v>639</v>
      </c>
      <c r="D79" s="112" t="s">
        <v>784</v>
      </c>
      <c r="E79" s="110" t="s">
        <v>128</v>
      </c>
      <c r="F79" s="6" t="s">
        <v>12</v>
      </c>
      <c r="G79" s="6" t="s">
        <v>973</v>
      </c>
      <c r="H79" s="6" t="s">
        <v>80</v>
      </c>
      <c r="I79" s="5">
        <v>1</v>
      </c>
      <c r="J79" s="67" t="s">
        <v>160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16.619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v>0</v>
      </c>
      <c r="AO79" s="46">
        <f t="shared" si="2"/>
        <v>0.55396666666666661</v>
      </c>
      <c r="AP79" s="7">
        <f t="shared" si="3"/>
        <v>0.55396666666666661</v>
      </c>
    </row>
    <row r="80" spans="1:42" x14ac:dyDescent="0.3">
      <c r="A80" s="5">
        <v>79</v>
      </c>
      <c r="B80" s="107" t="s">
        <v>9</v>
      </c>
      <c r="C80" s="5"/>
      <c r="D80" s="6" t="s">
        <v>27</v>
      </c>
      <c r="E80" s="110" t="s">
        <v>28</v>
      </c>
      <c r="F80" s="6" t="s">
        <v>19</v>
      </c>
      <c r="G80" s="6" t="s">
        <v>976</v>
      </c>
      <c r="H80" s="6" t="s">
        <v>14</v>
      </c>
      <c r="I80" s="5">
        <v>4</v>
      </c>
      <c r="J80" s="67" t="s">
        <v>160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f t="shared" si="2"/>
        <v>0</v>
      </c>
      <c r="AP80" s="7">
        <f t="shared" si="3"/>
        <v>0</v>
      </c>
    </row>
    <row r="81" spans="1:42" x14ac:dyDescent="0.3">
      <c r="A81" s="5">
        <v>80</v>
      </c>
      <c r="B81" s="107" t="s">
        <v>9</v>
      </c>
      <c r="C81" s="5"/>
      <c r="D81" s="6" t="s">
        <v>94</v>
      </c>
      <c r="E81" s="110" t="s">
        <v>32</v>
      </c>
      <c r="F81" s="6" t="s">
        <v>19</v>
      </c>
      <c r="G81" s="6" t="s">
        <v>976</v>
      </c>
      <c r="H81" s="6" t="s">
        <v>14</v>
      </c>
      <c r="I81" s="5">
        <v>2</v>
      </c>
      <c r="J81" s="67" t="s">
        <v>160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v>0</v>
      </c>
      <c r="AO81" s="46">
        <f t="shared" si="2"/>
        <v>0</v>
      </c>
      <c r="AP81" s="7">
        <f t="shared" si="3"/>
        <v>0</v>
      </c>
    </row>
    <row r="82" spans="1:42" x14ac:dyDescent="0.3">
      <c r="A82" s="5">
        <v>81</v>
      </c>
      <c r="B82" s="107" t="s">
        <v>49</v>
      </c>
      <c r="C82" s="5"/>
      <c r="D82" s="39" t="s">
        <v>1056</v>
      </c>
      <c r="E82" s="110" t="s">
        <v>128</v>
      </c>
      <c r="F82" s="6" t="s">
        <v>12</v>
      </c>
      <c r="G82" s="6" t="s">
        <v>1023</v>
      </c>
      <c r="H82" s="6" t="s">
        <v>80</v>
      </c>
      <c r="I82" s="92">
        <v>1</v>
      </c>
      <c r="J82" s="67" t="s">
        <v>160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46.198999999999998</v>
      </c>
      <c r="S82" s="46">
        <v>151</v>
      </c>
      <c r="T82" s="46">
        <v>0</v>
      </c>
      <c r="U82" s="46">
        <v>189.4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355.2</v>
      </c>
      <c r="AD82" s="46">
        <v>205.52500000000001</v>
      </c>
      <c r="AE82" s="46">
        <v>761.875</v>
      </c>
      <c r="AF82" s="46">
        <v>486.45</v>
      </c>
      <c r="AG82" s="46">
        <v>350.4</v>
      </c>
      <c r="AH82" s="46">
        <v>450.20000000000005</v>
      </c>
      <c r="AI82" s="46">
        <v>367.67500000000001</v>
      </c>
      <c r="AJ82" s="46">
        <v>472.92499999999995</v>
      </c>
      <c r="AK82" s="46">
        <v>419.22500000000002</v>
      </c>
      <c r="AL82" s="46">
        <v>515.04999999999995</v>
      </c>
      <c r="AM82" s="46">
        <v>362.52499999999998</v>
      </c>
      <c r="AN82" s="46">
        <v>254.72499999999999</v>
      </c>
      <c r="AO82" s="46">
        <f t="shared" si="2"/>
        <v>179.61246666666668</v>
      </c>
      <c r="AP82" s="7">
        <f t="shared" si="3"/>
        <v>179.61246666666668</v>
      </c>
    </row>
    <row r="83" spans="1:42" x14ac:dyDescent="0.3">
      <c r="A83" s="5">
        <v>82</v>
      </c>
      <c r="B83" s="107" t="s">
        <v>49</v>
      </c>
      <c r="C83" s="112" t="s">
        <v>640</v>
      </c>
      <c r="D83" s="112" t="s">
        <v>717</v>
      </c>
      <c r="E83" s="110" t="s">
        <v>128</v>
      </c>
      <c r="F83" s="6" t="s">
        <v>12</v>
      </c>
      <c r="G83" s="6" t="s">
        <v>976</v>
      </c>
      <c r="H83" s="6" t="s">
        <v>35</v>
      </c>
      <c r="I83" s="5">
        <v>5</v>
      </c>
      <c r="J83" s="12" t="s">
        <v>589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46">
        <v>0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>
        <v>0</v>
      </c>
      <c r="AK83" s="46">
        <v>0</v>
      </c>
      <c r="AL83" s="46">
        <v>0</v>
      </c>
      <c r="AM83" s="46">
        <v>0</v>
      </c>
      <c r="AN83" s="46">
        <v>0</v>
      </c>
      <c r="AO83" s="46">
        <f t="shared" si="2"/>
        <v>0</v>
      </c>
      <c r="AP83" s="7">
        <f t="shared" si="3"/>
        <v>0</v>
      </c>
    </row>
    <row r="84" spans="1:42" x14ac:dyDescent="0.3">
      <c r="A84" s="5">
        <v>83</v>
      </c>
      <c r="B84" s="107" t="s">
        <v>49</v>
      </c>
      <c r="C84" s="112" t="s">
        <v>641</v>
      </c>
      <c r="D84" s="112" t="s">
        <v>725</v>
      </c>
      <c r="E84" s="110" t="s">
        <v>128</v>
      </c>
      <c r="F84" s="6" t="s">
        <v>12</v>
      </c>
      <c r="G84" s="6" t="s">
        <v>976</v>
      </c>
      <c r="H84" s="6" t="s">
        <v>35</v>
      </c>
      <c r="I84" s="5">
        <v>10</v>
      </c>
      <c r="J84" s="12" t="s">
        <v>589</v>
      </c>
      <c r="K84" s="46">
        <v>26.632000000000005</v>
      </c>
      <c r="L84" s="46">
        <v>5.0949999999999998</v>
      </c>
      <c r="M84" s="46">
        <v>22.042999999999999</v>
      </c>
      <c r="N84" s="46">
        <v>31.266000000000002</v>
      </c>
      <c r="O84" s="46">
        <v>51.784000000000006</v>
      </c>
      <c r="P84" s="46">
        <v>17.083000000000002</v>
      </c>
      <c r="Q84" s="46">
        <v>31.957999999999998</v>
      </c>
      <c r="R84" s="46">
        <v>51.180999999999997</v>
      </c>
      <c r="S84" s="46">
        <v>41.345999999999997</v>
      </c>
      <c r="T84" s="46">
        <v>28.409000000000002</v>
      </c>
      <c r="U84" s="46">
        <v>35.663000000000004</v>
      </c>
      <c r="V84" s="46">
        <v>40.197000000000003</v>
      </c>
      <c r="W84" s="46">
        <v>23.492000000000001</v>
      </c>
      <c r="X84" s="46">
        <v>25.244</v>
      </c>
      <c r="Y84" s="46">
        <v>49.391000000000005</v>
      </c>
      <c r="Z84" s="46">
        <v>31.224999999999998</v>
      </c>
      <c r="AA84" s="46">
        <v>23.485000000000003</v>
      </c>
      <c r="AB84" s="46">
        <v>31.782000000000004</v>
      </c>
      <c r="AC84" s="46">
        <v>52.405999999999999</v>
      </c>
      <c r="AD84" s="46">
        <v>32.197000000000003</v>
      </c>
      <c r="AE84" s="46">
        <v>39.902999999999999</v>
      </c>
      <c r="AF84" s="46">
        <v>29.328999999999997</v>
      </c>
      <c r="AG84" s="46">
        <v>26.009999999999998</v>
      </c>
      <c r="AH84" s="46">
        <v>46.795999999999999</v>
      </c>
      <c r="AI84" s="46">
        <v>41.669999999999995</v>
      </c>
      <c r="AJ84" s="46">
        <v>43.277000000000001</v>
      </c>
      <c r="AK84" s="46">
        <v>28.684999999999999</v>
      </c>
      <c r="AL84" s="46">
        <v>43.192999999999998</v>
      </c>
      <c r="AM84" s="46">
        <v>36.348999999999997</v>
      </c>
      <c r="AN84" s="46">
        <v>22.805</v>
      </c>
      <c r="AO84" s="46">
        <f t="shared" si="2"/>
        <v>33.663199999999996</v>
      </c>
      <c r="AP84" s="7">
        <f t="shared" si="3"/>
        <v>3.3663199999999995</v>
      </c>
    </row>
    <row r="85" spans="1:42" x14ac:dyDescent="0.3">
      <c r="A85" s="5">
        <v>84</v>
      </c>
      <c r="B85" s="107" t="s">
        <v>52</v>
      </c>
      <c r="C85" s="112" t="s">
        <v>642</v>
      </c>
      <c r="D85" s="112" t="s">
        <v>970</v>
      </c>
      <c r="E85" s="110" t="s">
        <v>128</v>
      </c>
      <c r="F85" s="6" t="s">
        <v>12</v>
      </c>
      <c r="G85" s="6" t="s">
        <v>976</v>
      </c>
      <c r="H85" s="6" t="s">
        <v>35</v>
      </c>
      <c r="I85" s="5">
        <v>3</v>
      </c>
      <c r="J85" s="12" t="s">
        <v>589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46">
        <v>0</v>
      </c>
      <c r="AN85" s="46">
        <v>0</v>
      </c>
      <c r="AO85" s="46">
        <f t="shared" si="2"/>
        <v>0</v>
      </c>
      <c r="AP85" s="7">
        <f t="shared" si="3"/>
        <v>0</v>
      </c>
    </row>
    <row r="86" spans="1:42" x14ac:dyDescent="0.3">
      <c r="A86" s="5">
        <v>85</v>
      </c>
      <c r="B86" s="107" t="s">
        <v>52</v>
      </c>
      <c r="C86" s="112" t="s">
        <v>643</v>
      </c>
      <c r="D86" s="112" t="s">
        <v>749</v>
      </c>
      <c r="E86" s="110" t="s">
        <v>128</v>
      </c>
      <c r="F86" s="6" t="s">
        <v>12</v>
      </c>
      <c r="G86" s="6" t="s">
        <v>976</v>
      </c>
      <c r="H86" s="6" t="s">
        <v>35</v>
      </c>
      <c r="I86" s="5">
        <v>7</v>
      </c>
      <c r="J86" s="12" t="s">
        <v>273</v>
      </c>
      <c r="K86" s="46">
        <v>4.8019999999999987</v>
      </c>
      <c r="L86" s="46">
        <v>38.405000000000008</v>
      </c>
      <c r="M86" s="46">
        <v>8.4400000000000013</v>
      </c>
      <c r="N86" s="46">
        <v>27.838999999999999</v>
      </c>
      <c r="O86" s="46">
        <v>14.214</v>
      </c>
      <c r="P86" s="46">
        <v>14.909000000000001</v>
      </c>
      <c r="Q86" s="46">
        <v>23.709</v>
      </c>
      <c r="R86" s="46">
        <v>19.315999999999999</v>
      </c>
      <c r="S86" s="46">
        <v>15.827</v>
      </c>
      <c r="T86" s="46">
        <v>24.352</v>
      </c>
      <c r="U86" s="46">
        <v>22.810000000000006</v>
      </c>
      <c r="V86" s="46">
        <v>22.535</v>
      </c>
      <c r="W86" s="46">
        <v>17.603999999999999</v>
      </c>
      <c r="X86" s="46">
        <v>14.312999999999999</v>
      </c>
      <c r="Y86" s="46">
        <v>26.423999999999999</v>
      </c>
      <c r="Z86" s="46">
        <v>22.400999999999996</v>
      </c>
      <c r="AA86" s="46">
        <v>25.200000000000003</v>
      </c>
      <c r="AB86" s="46">
        <v>17.712</v>
      </c>
      <c r="AC86" s="46">
        <v>24.402999999999999</v>
      </c>
      <c r="AD86" s="46">
        <v>48.378</v>
      </c>
      <c r="AE86" s="46">
        <v>90.052999999999969</v>
      </c>
      <c r="AF86" s="46">
        <v>53.277000000000015</v>
      </c>
      <c r="AG86" s="46">
        <v>75.896000000000001</v>
      </c>
      <c r="AH86" s="46">
        <v>71.725999999999985</v>
      </c>
      <c r="AI86" s="46">
        <v>67.443999999999988</v>
      </c>
      <c r="AJ86" s="46">
        <v>80.047000000000011</v>
      </c>
      <c r="AK86" s="46">
        <v>56.856000000000009</v>
      </c>
      <c r="AL86" s="46">
        <v>66.600999999999999</v>
      </c>
      <c r="AM86" s="46">
        <v>91.586999999999989</v>
      </c>
      <c r="AN86" s="46">
        <v>80.25800000000001</v>
      </c>
      <c r="AO86" s="46">
        <f t="shared" si="2"/>
        <v>38.911266666666663</v>
      </c>
      <c r="AP86" s="7">
        <f t="shared" si="3"/>
        <v>5.55875238095238</v>
      </c>
    </row>
    <row r="87" spans="1:42" x14ac:dyDescent="0.3">
      <c r="A87" s="5">
        <v>86</v>
      </c>
      <c r="B87" s="107" t="s">
        <v>52</v>
      </c>
      <c r="C87" s="112"/>
      <c r="D87" s="10" t="s">
        <v>1078</v>
      </c>
      <c r="E87" s="110" t="s">
        <v>128</v>
      </c>
      <c r="F87" s="6" t="s">
        <v>12</v>
      </c>
      <c r="G87" s="6" t="s">
        <v>976</v>
      </c>
      <c r="H87" s="6" t="s">
        <v>35</v>
      </c>
      <c r="I87" s="5">
        <v>3</v>
      </c>
      <c r="J87" s="12" t="s">
        <v>590</v>
      </c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>
        <v>0</v>
      </c>
      <c r="AO87" s="46">
        <f t="shared" si="2"/>
        <v>0</v>
      </c>
      <c r="AP87" s="7">
        <f t="shared" si="3"/>
        <v>0</v>
      </c>
    </row>
    <row r="88" spans="1:42" x14ac:dyDescent="0.3">
      <c r="A88" s="5">
        <v>87</v>
      </c>
      <c r="B88" s="107" t="s">
        <v>52</v>
      </c>
      <c r="C88" s="112"/>
      <c r="D88" s="10" t="s">
        <v>1078</v>
      </c>
      <c r="E88" s="110" t="s">
        <v>128</v>
      </c>
      <c r="F88" s="6" t="s">
        <v>12</v>
      </c>
      <c r="G88" s="6" t="s">
        <v>135</v>
      </c>
      <c r="H88" s="6" t="s">
        <v>35</v>
      </c>
      <c r="I88" s="5">
        <v>1</v>
      </c>
      <c r="J88" s="12" t="s">
        <v>590</v>
      </c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>
        <v>0</v>
      </c>
      <c r="AO88" s="46">
        <f t="shared" si="2"/>
        <v>0</v>
      </c>
      <c r="AP88" s="7">
        <f t="shared" si="3"/>
        <v>0</v>
      </c>
    </row>
    <row r="89" spans="1:42" ht="16.5" customHeight="1" x14ac:dyDescent="0.3">
      <c r="A89" s="5">
        <v>88</v>
      </c>
      <c r="B89" s="107" t="s">
        <v>134</v>
      </c>
      <c r="C89" s="112" t="s">
        <v>644</v>
      </c>
      <c r="D89" s="112" t="s">
        <v>754</v>
      </c>
      <c r="E89" s="110" t="s">
        <v>128</v>
      </c>
      <c r="F89" s="6" t="s">
        <v>12</v>
      </c>
      <c r="G89" s="6" t="s">
        <v>976</v>
      </c>
      <c r="H89" s="6" t="s">
        <v>35</v>
      </c>
      <c r="I89" s="5">
        <v>7</v>
      </c>
      <c r="J89" s="12" t="s">
        <v>273</v>
      </c>
      <c r="K89" s="46">
        <v>29.097000000000001</v>
      </c>
      <c r="L89" s="46">
        <v>61.619000000000007</v>
      </c>
      <c r="M89" s="46">
        <v>54.099999999999994</v>
      </c>
      <c r="N89" s="46">
        <v>30.980000000000004</v>
      </c>
      <c r="O89" s="46">
        <v>31.792000000000002</v>
      </c>
      <c r="P89" s="46">
        <v>56.954999999999998</v>
      </c>
      <c r="Q89" s="46">
        <v>43.356999999999992</v>
      </c>
      <c r="R89" s="46">
        <v>43.947999999999993</v>
      </c>
      <c r="S89" s="46">
        <v>33.384999999999998</v>
      </c>
      <c r="T89" s="46">
        <v>52.268000000000001</v>
      </c>
      <c r="U89" s="46">
        <v>43.29</v>
      </c>
      <c r="V89" s="46">
        <v>31.498000000000001</v>
      </c>
      <c r="W89" s="46">
        <v>51.766999999999996</v>
      </c>
      <c r="X89" s="46">
        <v>37.809000000000005</v>
      </c>
      <c r="Y89" s="46">
        <v>19.830000000000002</v>
      </c>
      <c r="Z89" s="46">
        <v>53.128000000000007</v>
      </c>
      <c r="AA89" s="46">
        <v>56.017999999999994</v>
      </c>
      <c r="AB89" s="46">
        <v>48.86999999999999</v>
      </c>
      <c r="AC89" s="46">
        <v>37.043999999999997</v>
      </c>
      <c r="AD89" s="46">
        <v>47.812999999999995</v>
      </c>
      <c r="AE89" s="46">
        <v>39.804000000000002</v>
      </c>
      <c r="AF89" s="46">
        <v>51.006</v>
      </c>
      <c r="AG89" s="46">
        <v>31.625</v>
      </c>
      <c r="AH89" s="46">
        <v>41.832999999999998</v>
      </c>
      <c r="AI89" s="46">
        <v>32.141000000000005</v>
      </c>
      <c r="AJ89" s="46">
        <v>41.772999999999996</v>
      </c>
      <c r="AK89" s="46">
        <v>46.682999999999993</v>
      </c>
      <c r="AL89" s="46">
        <v>39.629000000000005</v>
      </c>
      <c r="AM89" s="46">
        <v>45.692999999999998</v>
      </c>
      <c r="AN89" s="46">
        <v>39.573999999999998</v>
      </c>
      <c r="AO89" s="46">
        <f t="shared" si="2"/>
        <v>42.47763333333333</v>
      </c>
      <c r="AP89" s="7">
        <f t="shared" si="3"/>
        <v>6.0682333333333327</v>
      </c>
    </row>
    <row r="90" spans="1:42" x14ac:dyDescent="0.3">
      <c r="A90" s="5">
        <v>89</v>
      </c>
      <c r="B90" s="107" t="s">
        <v>58</v>
      </c>
      <c r="C90" s="112"/>
      <c r="D90" s="39" t="s">
        <v>1037</v>
      </c>
      <c r="E90" s="110" t="s">
        <v>128</v>
      </c>
      <c r="F90" s="6" t="s">
        <v>12</v>
      </c>
      <c r="G90" s="6" t="s">
        <v>13</v>
      </c>
      <c r="H90" s="6" t="s">
        <v>35</v>
      </c>
      <c r="I90" s="5">
        <v>1</v>
      </c>
      <c r="J90" s="94" t="s">
        <v>590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v>0</v>
      </c>
      <c r="AN90" s="46">
        <v>0</v>
      </c>
      <c r="AO90" s="46">
        <f t="shared" si="2"/>
        <v>0</v>
      </c>
      <c r="AP90" s="7">
        <f t="shared" si="3"/>
        <v>0</v>
      </c>
    </row>
    <row r="91" spans="1:42" x14ac:dyDescent="0.3">
      <c r="A91" s="5">
        <v>90</v>
      </c>
      <c r="B91" s="107" t="s">
        <v>58</v>
      </c>
      <c r="C91" s="112"/>
      <c r="D91" s="39" t="s">
        <v>1037</v>
      </c>
      <c r="E91" s="6" t="s">
        <v>128</v>
      </c>
      <c r="F91" s="6" t="s">
        <v>12</v>
      </c>
      <c r="G91" s="6" t="s">
        <v>1038</v>
      </c>
      <c r="H91" s="6" t="s">
        <v>35</v>
      </c>
      <c r="I91" s="92">
        <v>1</v>
      </c>
      <c r="J91" s="94" t="s">
        <v>590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0</v>
      </c>
      <c r="AL91" s="46">
        <v>0</v>
      </c>
      <c r="AM91" s="46">
        <v>0</v>
      </c>
      <c r="AN91" s="46">
        <v>0</v>
      </c>
      <c r="AO91" s="46">
        <f t="shared" si="2"/>
        <v>0</v>
      </c>
      <c r="AP91" s="7">
        <f t="shared" si="3"/>
        <v>0</v>
      </c>
    </row>
    <row r="92" spans="1:42" x14ac:dyDescent="0.3">
      <c r="A92" s="5">
        <v>91</v>
      </c>
      <c r="B92" s="107" t="s">
        <v>58</v>
      </c>
      <c r="C92" s="112"/>
      <c r="D92" s="39" t="s">
        <v>1037</v>
      </c>
      <c r="E92" s="6" t="s">
        <v>128</v>
      </c>
      <c r="F92" s="6" t="s">
        <v>12</v>
      </c>
      <c r="G92" s="6" t="s">
        <v>41</v>
      </c>
      <c r="H92" s="6" t="s">
        <v>35</v>
      </c>
      <c r="I92" s="92">
        <v>1</v>
      </c>
      <c r="J92" s="94" t="s">
        <v>590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f t="shared" si="2"/>
        <v>0</v>
      </c>
      <c r="AP92" s="7">
        <f t="shared" si="3"/>
        <v>0</v>
      </c>
    </row>
    <row r="93" spans="1:42" x14ac:dyDescent="0.3">
      <c r="A93" s="5">
        <v>92</v>
      </c>
      <c r="B93" s="108" t="s">
        <v>246</v>
      </c>
      <c r="C93" s="112" t="s">
        <v>645</v>
      </c>
      <c r="D93" s="112" t="s">
        <v>765</v>
      </c>
      <c r="E93" s="6" t="s">
        <v>128</v>
      </c>
      <c r="F93" s="6" t="s">
        <v>12</v>
      </c>
      <c r="G93" s="6" t="s">
        <v>976</v>
      </c>
      <c r="H93" s="6" t="s">
        <v>35</v>
      </c>
      <c r="I93" s="92">
        <v>5</v>
      </c>
      <c r="J93" s="12" t="s">
        <v>273</v>
      </c>
      <c r="K93" s="46">
        <v>18.637999999999998</v>
      </c>
      <c r="L93" s="46">
        <v>21.225999999999999</v>
      </c>
      <c r="M93" s="46">
        <v>35.638999999999996</v>
      </c>
      <c r="N93" s="46">
        <v>5.3800000000000008</v>
      </c>
      <c r="O93" s="46">
        <v>53.031000000000006</v>
      </c>
      <c r="P93" s="46">
        <v>24.628</v>
      </c>
      <c r="Q93" s="46">
        <v>19.224</v>
      </c>
      <c r="R93" s="46">
        <v>19.738999999999997</v>
      </c>
      <c r="S93" s="46">
        <v>18.765000000000001</v>
      </c>
      <c r="T93" s="46">
        <v>41.887999999999998</v>
      </c>
      <c r="U93" s="46">
        <v>23.12</v>
      </c>
      <c r="V93" s="46">
        <v>13.725</v>
      </c>
      <c r="W93" s="46">
        <v>21.520000000000003</v>
      </c>
      <c r="X93" s="46">
        <v>47.936999999999998</v>
      </c>
      <c r="Y93" s="46">
        <v>28.282000000000004</v>
      </c>
      <c r="Z93" s="46">
        <v>20.712</v>
      </c>
      <c r="AA93" s="46">
        <v>28.696000000000002</v>
      </c>
      <c r="AB93" s="46">
        <v>22.875999999999998</v>
      </c>
      <c r="AC93" s="46">
        <v>35.242000000000004</v>
      </c>
      <c r="AD93" s="46">
        <v>8.8470000000000013</v>
      </c>
      <c r="AE93" s="46">
        <v>31.994</v>
      </c>
      <c r="AF93" s="46">
        <v>17.032</v>
      </c>
      <c r="AG93" s="46">
        <v>26.137</v>
      </c>
      <c r="AH93" s="46">
        <v>20.779</v>
      </c>
      <c r="AI93" s="46">
        <v>28.713000000000001</v>
      </c>
      <c r="AJ93" s="46">
        <v>26.898000000000003</v>
      </c>
      <c r="AK93" s="46">
        <v>17.349</v>
      </c>
      <c r="AL93" s="46">
        <v>39.757999999999996</v>
      </c>
      <c r="AM93" s="46">
        <v>10.683</v>
      </c>
      <c r="AN93" s="46">
        <v>23.844999999999999</v>
      </c>
      <c r="AO93" s="46">
        <f t="shared" si="2"/>
        <v>25.076766666666671</v>
      </c>
      <c r="AP93" s="7">
        <f t="shared" si="3"/>
        <v>5.0153533333333344</v>
      </c>
    </row>
    <row r="94" spans="1:42" ht="17.25" customHeight="1" x14ac:dyDescent="0.3">
      <c r="A94" s="5">
        <v>93</v>
      </c>
      <c r="B94" s="107" t="s">
        <v>58</v>
      </c>
      <c r="C94" s="112" t="s">
        <v>646</v>
      </c>
      <c r="D94" s="112" t="s">
        <v>724</v>
      </c>
      <c r="E94" s="110" t="s">
        <v>61</v>
      </c>
      <c r="F94" s="6" t="s">
        <v>12</v>
      </c>
      <c r="G94" s="6" t="s">
        <v>976</v>
      </c>
      <c r="H94" s="6" t="s">
        <v>35</v>
      </c>
      <c r="I94" s="5">
        <v>4</v>
      </c>
      <c r="J94" s="12" t="s">
        <v>589</v>
      </c>
      <c r="K94" s="46">
        <v>7.7040000000000006</v>
      </c>
      <c r="L94" s="46">
        <v>11.86</v>
      </c>
      <c r="M94" s="46">
        <v>12.452999999999999</v>
      </c>
      <c r="N94" s="46">
        <v>10.72</v>
      </c>
      <c r="O94" s="46">
        <v>10.074999999999999</v>
      </c>
      <c r="P94" s="46">
        <v>11.228999999999999</v>
      </c>
      <c r="Q94" s="46">
        <v>13.294</v>
      </c>
      <c r="R94" s="46">
        <v>11.898</v>
      </c>
      <c r="S94" s="46">
        <v>17.128</v>
      </c>
      <c r="T94" s="46">
        <v>22.638000000000002</v>
      </c>
      <c r="U94" s="46">
        <v>11.648</v>
      </c>
      <c r="V94" s="46">
        <v>12.283999999999999</v>
      </c>
      <c r="W94" s="46">
        <v>13.170999999999999</v>
      </c>
      <c r="X94" s="46">
        <v>19.143999999999998</v>
      </c>
      <c r="Y94" s="46">
        <v>9.722999999999999</v>
      </c>
      <c r="Z94" s="46">
        <v>10.039000000000001</v>
      </c>
      <c r="AA94" s="46">
        <v>8.3170000000000002</v>
      </c>
      <c r="AB94" s="46">
        <v>11.321000000000002</v>
      </c>
      <c r="AC94" s="46">
        <v>4.2830000000000004</v>
      </c>
      <c r="AD94" s="46">
        <v>0</v>
      </c>
      <c r="AE94" s="46">
        <v>14.536</v>
      </c>
      <c r="AF94" s="46">
        <v>4.569</v>
      </c>
      <c r="AG94" s="46">
        <v>13.666</v>
      </c>
      <c r="AH94" s="46">
        <v>10.269</v>
      </c>
      <c r="AI94" s="46">
        <v>11.436</v>
      </c>
      <c r="AJ94" s="46">
        <v>13.858999999999998</v>
      </c>
      <c r="AK94" s="46">
        <v>16.57</v>
      </c>
      <c r="AL94" s="46">
        <v>12.670000000000002</v>
      </c>
      <c r="AM94" s="46">
        <v>5.7240000000000002</v>
      </c>
      <c r="AN94" s="46">
        <v>7.6280000000000001</v>
      </c>
      <c r="AO94" s="46">
        <f t="shared" si="2"/>
        <v>11.328533333333331</v>
      </c>
      <c r="AP94" s="7">
        <f t="shared" si="3"/>
        <v>2.8321333333333327</v>
      </c>
    </row>
    <row r="95" spans="1:42" x14ac:dyDescent="0.3">
      <c r="A95" s="5">
        <v>94</v>
      </c>
      <c r="B95" s="107" t="s">
        <v>58</v>
      </c>
      <c r="C95" s="112" t="s">
        <v>647</v>
      </c>
      <c r="D95" s="112" t="s">
        <v>727</v>
      </c>
      <c r="E95" s="110" t="s">
        <v>61</v>
      </c>
      <c r="F95" s="6" t="s">
        <v>12</v>
      </c>
      <c r="G95" s="6" t="s">
        <v>976</v>
      </c>
      <c r="H95" s="6" t="s">
        <v>35</v>
      </c>
      <c r="I95" s="5">
        <v>9</v>
      </c>
      <c r="J95" s="12" t="s">
        <v>589</v>
      </c>
      <c r="K95" s="46">
        <v>13.707000000000001</v>
      </c>
      <c r="L95" s="46">
        <v>35.619</v>
      </c>
      <c r="M95" s="46">
        <v>47.527999999999992</v>
      </c>
      <c r="N95" s="46">
        <v>72.136999999999986</v>
      </c>
      <c r="O95" s="46">
        <v>38.225000000000001</v>
      </c>
      <c r="P95" s="46">
        <v>53.649000000000001</v>
      </c>
      <c r="Q95" s="46">
        <v>52.496000000000002</v>
      </c>
      <c r="R95" s="46">
        <v>46.296999999999997</v>
      </c>
      <c r="S95" s="46">
        <v>37.225000000000001</v>
      </c>
      <c r="T95" s="46">
        <v>41.542999999999992</v>
      </c>
      <c r="U95" s="46">
        <v>42.939000000000007</v>
      </c>
      <c r="V95" s="46">
        <v>33.891999999999996</v>
      </c>
      <c r="W95" s="46">
        <v>8.7620000000000005</v>
      </c>
      <c r="X95" s="46">
        <v>38.436</v>
      </c>
      <c r="Y95" s="46">
        <v>14.853</v>
      </c>
      <c r="Z95" s="46">
        <v>29.93</v>
      </c>
      <c r="AA95" s="46">
        <v>48.057999999999993</v>
      </c>
      <c r="AB95" s="46">
        <v>26.385000000000009</v>
      </c>
      <c r="AC95" s="46">
        <v>32.305</v>
      </c>
      <c r="AD95" s="46">
        <v>33.011000000000003</v>
      </c>
      <c r="AE95" s="46">
        <v>37.618999999999993</v>
      </c>
      <c r="AF95" s="46">
        <v>21.289000000000001</v>
      </c>
      <c r="AG95" s="46">
        <v>32.049999999999997</v>
      </c>
      <c r="AH95" s="46">
        <v>32.641000000000005</v>
      </c>
      <c r="AI95" s="46">
        <v>16.540999999999997</v>
      </c>
      <c r="AJ95" s="46">
        <v>25.031000000000002</v>
      </c>
      <c r="AK95" s="46">
        <v>6.9879999999999995</v>
      </c>
      <c r="AL95" s="46">
        <v>25.635000000000002</v>
      </c>
      <c r="AM95" s="46">
        <v>19.064</v>
      </c>
      <c r="AN95" s="46">
        <v>44.169000000000011</v>
      </c>
      <c r="AO95" s="46">
        <f t="shared" si="2"/>
        <v>33.600799999999985</v>
      </c>
      <c r="AP95" s="7">
        <f t="shared" si="3"/>
        <v>3.7334222222222206</v>
      </c>
    </row>
    <row r="96" spans="1:42" x14ac:dyDescent="0.3">
      <c r="A96" s="5">
        <v>95</v>
      </c>
      <c r="B96" s="107" t="s">
        <v>58</v>
      </c>
      <c r="C96" s="112" t="s">
        <v>648</v>
      </c>
      <c r="D96" s="113" t="s">
        <v>763</v>
      </c>
      <c r="E96" s="110" t="s">
        <v>63</v>
      </c>
      <c r="F96" s="6" t="s">
        <v>19</v>
      </c>
      <c r="G96" s="6" t="s">
        <v>976</v>
      </c>
      <c r="H96" s="12" t="s">
        <v>35</v>
      </c>
      <c r="I96" s="5">
        <v>8</v>
      </c>
      <c r="J96" s="94" t="s">
        <v>273</v>
      </c>
      <c r="K96" s="46">
        <v>76.483000000000018</v>
      </c>
      <c r="L96" s="46">
        <v>111.28599999999999</v>
      </c>
      <c r="M96" s="46">
        <v>128.53899999999999</v>
      </c>
      <c r="N96" s="46">
        <v>109.91000000000001</v>
      </c>
      <c r="O96" s="46">
        <v>74.986000000000004</v>
      </c>
      <c r="P96" s="46">
        <v>106.49400000000003</v>
      </c>
      <c r="Q96" s="46">
        <v>80.936999999999983</v>
      </c>
      <c r="R96" s="46">
        <v>97.051999999999978</v>
      </c>
      <c r="S96" s="46">
        <v>105.39499999999998</v>
      </c>
      <c r="T96" s="46">
        <v>108.94000000000001</v>
      </c>
      <c r="U96" s="46">
        <v>98.47</v>
      </c>
      <c r="V96" s="46">
        <v>82.027000000000001</v>
      </c>
      <c r="W96" s="46">
        <v>105.67</v>
      </c>
      <c r="X96" s="46">
        <v>78.343000000000004</v>
      </c>
      <c r="Y96" s="46">
        <v>97.325000000000003</v>
      </c>
      <c r="Z96" s="46">
        <v>91.859000000000009</v>
      </c>
      <c r="AA96" s="46">
        <v>81.911000000000016</v>
      </c>
      <c r="AB96" s="46">
        <v>74.421000000000006</v>
      </c>
      <c r="AC96" s="46">
        <v>75.611999999999995</v>
      </c>
      <c r="AD96" s="46">
        <v>43.303000000000004</v>
      </c>
      <c r="AE96" s="46">
        <v>88.92</v>
      </c>
      <c r="AF96" s="46">
        <v>84.040999999999997</v>
      </c>
      <c r="AG96" s="46">
        <v>103.98500000000001</v>
      </c>
      <c r="AH96" s="46">
        <v>111.52799999999999</v>
      </c>
      <c r="AI96" s="46">
        <v>80.858999999999995</v>
      </c>
      <c r="AJ96" s="46">
        <v>103.45400000000002</v>
      </c>
      <c r="AK96" s="46">
        <v>85.725999999999985</v>
      </c>
      <c r="AL96" s="46">
        <v>79.369000000000014</v>
      </c>
      <c r="AM96" s="46">
        <v>107.15399999999998</v>
      </c>
      <c r="AN96" s="46">
        <v>106.84899999999999</v>
      </c>
      <c r="AO96" s="46">
        <f t="shared" si="2"/>
        <v>92.694933333333367</v>
      </c>
      <c r="AP96" s="7">
        <f t="shared" si="3"/>
        <v>11.586866666666671</v>
      </c>
    </row>
    <row r="97" spans="1:42" ht="15" customHeight="1" x14ac:dyDescent="0.3">
      <c r="A97" s="5">
        <v>96</v>
      </c>
      <c r="B97" s="107" t="s">
        <v>58</v>
      </c>
      <c r="C97" s="10" t="s">
        <v>648</v>
      </c>
      <c r="D97" s="39" t="s">
        <v>763</v>
      </c>
      <c r="E97" s="110" t="s">
        <v>63</v>
      </c>
      <c r="F97" s="6" t="s">
        <v>19</v>
      </c>
      <c r="G97" s="6" t="s">
        <v>978</v>
      </c>
      <c r="H97" s="6" t="s">
        <v>80</v>
      </c>
      <c r="I97" s="5">
        <v>1</v>
      </c>
      <c r="J97" s="94" t="s">
        <v>273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0</v>
      </c>
      <c r="AL97" s="46">
        <v>0</v>
      </c>
      <c r="AM97" s="46">
        <v>0</v>
      </c>
      <c r="AN97" s="46">
        <v>0</v>
      </c>
      <c r="AO97" s="46">
        <f t="shared" si="2"/>
        <v>0</v>
      </c>
      <c r="AP97" s="7">
        <f t="shared" si="3"/>
        <v>0</v>
      </c>
    </row>
    <row r="98" spans="1:42" x14ac:dyDescent="0.3">
      <c r="A98" s="5">
        <v>97</v>
      </c>
      <c r="B98" s="107" t="s">
        <v>58</v>
      </c>
      <c r="C98" s="112" t="s">
        <v>649</v>
      </c>
      <c r="D98" s="112" t="s">
        <v>767</v>
      </c>
      <c r="E98" s="110" t="s">
        <v>128</v>
      </c>
      <c r="F98" s="6" t="s">
        <v>12</v>
      </c>
      <c r="G98" s="6" t="s">
        <v>976</v>
      </c>
      <c r="H98" s="12" t="s">
        <v>35</v>
      </c>
      <c r="I98" s="5">
        <v>7</v>
      </c>
      <c r="J98" s="94" t="s">
        <v>273</v>
      </c>
      <c r="K98" s="46">
        <v>100.012</v>
      </c>
      <c r="L98" s="46">
        <v>54.214999999999996</v>
      </c>
      <c r="M98" s="46">
        <v>120.01199999999996</v>
      </c>
      <c r="N98" s="46">
        <v>90.113</v>
      </c>
      <c r="O98" s="46">
        <v>63.14</v>
      </c>
      <c r="P98" s="46">
        <v>175.08999999999997</v>
      </c>
      <c r="Q98" s="46">
        <v>90.552999999999997</v>
      </c>
      <c r="R98" s="46">
        <v>159.62899999999999</v>
      </c>
      <c r="S98" s="46">
        <v>120.34000000000003</v>
      </c>
      <c r="T98" s="46">
        <v>133.434</v>
      </c>
      <c r="U98" s="46">
        <v>139.18500000000003</v>
      </c>
      <c r="V98" s="46">
        <v>102.24500000000003</v>
      </c>
      <c r="W98" s="46">
        <v>116.95699999999998</v>
      </c>
      <c r="X98" s="46">
        <v>125.25699999999998</v>
      </c>
      <c r="Y98" s="46">
        <v>107.03699999999999</v>
      </c>
      <c r="Z98" s="46">
        <v>66.037000000000006</v>
      </c>
      <c r="AA98" s="46">
        <v>129.27799999999999</v>
      </c>
      <c r="AB98" s="46">
        <v>92.834999999999994</v>
      </c>
      <c r="AC98" s="46">
        <v>108.94800000000001</v>
      </c>
      <c r="AD98" s="46">
        <v>109.67700000000001</v>
      </c>
      <c r="AE98" s="46">
        <v>111.529</v>
      </c>
      <c r="AF98" s="46">
        <v>90.57</v>
      </c>
      <c r="AG98" s="46">
        <v>111.51600000000001</v>
      </c>
      <c r="AH98" s="46">
        <v>85.390999999999991</v>
      </c>
      <c r="AI98" s="46">
        <v>87.716000000000008</v>
      </c>
      <c r="AJ98" s="46">
        <v>91.99</v>
      </c>
      <c r="AK98" s="46">
        <v>102.26299999999999</v>
      </c>
      <c r="AL98" s="46">
        <v>97.131</v>
      </c>
      <c r="AM98" s="46">
        <v>86.305999999999997</v>
      </c>
      <c r="AN98" s="46">
        <v>104.985</v>
      </c>
      <c r="AO98" s="46">
        <f t="shared" si="2"/>
        <v>105.77970000000001</v>
      </c>
      <c r="AP98" s="7">
        <f t="shared" si="3"/>
        <v>15.111385714285715</v>
      </c>
    </row>
    <row r="99" spans="1:42" x14ac:dyDescent="0.3">
      <c r="A99" s="5">
        <v>98</v>
      </c>
      <c r="B99" s="107" t="s">
        <v>58</v>
      </c>
      <c r="C99" s="112" t="s">
        <v>650</v>
      </c>
      <c r="D99" s="112" t="s">
        <v>758</v>
      </c>
      <c r="E99" s="110" t="s">
        <v>128</v>
      </c>
      <c r="F99" s="6" t="s">
        <v>12</v>
      </c>
      <c r="G99" s="6" t="s">
        <v>976</v>
      </c>
      <c r="H99" s="12" t="s">
        <v>35</v>
      </c>
      <c r="I99" s="5">
        <v>10</v>
      </c>
      <c r="J99" s="94" t="s">
        <v>273</v>
      </c>
      <c r="K99" s="46">
        <v>75.994999999999976</v>
      </c>
      <c r="L99" s="46">
        <v>107.61100000000003</v>
      </c>
      <c r="M99" s="46">
        <v>120.77699999999999</v>
      </c>
      <c r="N99" s="46">
        <v>154.756</v>
      </c>
      <c r="O99" s="46">
        <v>136.25700000000003</v>
      </c>
      <c r="P99" s="46">
        <v>119.84399999999999</v>
      </c>
      <c r="Q99" s="46">
        <v>136.63199999999998</v>
      </c>
      <c r="R99" s="46">
        <v>97.981999999999999</v>
      </c>
      <c r="S99" s="46">
        <v>121.068</v>
      </c>
      <c r="T99" s="46">
        <v>115.14299999999999</v>
      </c>
      <c r="U99" s="46">
        <v>91.075000000000003</v>
      </c>
      <c r="V99" s="46">
        <v>123.29900000000005</v>
      </c>
      <c r="W99" s="46">
        <v>97.129000000000005</v>
      </c>
      <c r="X99" s="46">
        <v>84.746000000000009</v>
      </c>
      <c r="Y99" s="46">
        <v>123.97600000000001</v>
      </c>
      <c r="Z99" s="46">
        <v>77.769000000000005</v>
      </c>
      <c r="AA99" s="46">
        <v>126.85600000000002</v>
      </c>
      <c r="AB99" s="46">
        <v>82.251000000000005</v>
      </c>
      <c r="AC99" s="46">
        <v>82.869</v>
      </c>
      <c r="AD99" s="46">
        <v>82.761999999999972</v>
      </c>
      <c r="AE99" s="46">
        <v>76.709000000000003</v>
      </c>
      <c r="AF99" s="46">
        <v>97.850000000000009</v>
      </c>
      <c r="AG99" s="46">
        <v>81.978999999999999</v>
      </c>
      <c r="AH99" s="46">
        <v>112.06500000000003</v>
      </c>
      <c r="AI99" s="46">
        <v>81.076000000000008</v>
      </c>
      <c r="AJ99" s="46">
        <v>94.004999999999995</v>
      </c>
      <c r="AK99" s="46">
        <v>70.85499999999999</v>
      </c>
      <c r="AL99" s="46">
        <v>101.777</v>
      </c>
      <c r="AM99" s="46">
        <v>90.905999999999992</v>
      </c>
      <c r="AN99" s="46">
        <v>84.512000000000015</v>
      </c>
      <c r="AO99" s="46">
        <f t="shared" si="2"/>
        <v>101.68436666666668</v>
      </c>
      <c r="AP99" s="7">
        <f t="shared" si="3"/>
        <v>10.168436666666668</v>
      </c>
    </row>
    <row r="100" spans="1:42" x14ac:dyDescent="0.3">
      <c r="A100" s="5">
        <v>99</v>
      </c>
      <c r="B100" s="107" t="s">
        <v>58</v>
      </c>
      <c r="C100" s="112" t="s">
        <v>651</v>
      </c>
      <c r="D100" s="112" t="s">
        <v>756</v>
      </c>
      <c r="E100" s="110" t="s">
        <v>128</v>
      </c>
      <c r="F100" s="6" t="s">
        <v>12</v>
      </c>
      <c r="G100" s="6" t="s">
        <v>976</v>
      </c>
      <c r="H100" s="12" t="s">
        <v>35</v>
      </c>
      <c r="I100" s="5">
        <v>8</v>
      </c>
      <c r="J100" s="94" t="s">
        <v>273</v>
      </c>
      <c r="K100" s="46">
        <v>35.606000000000002</v>
      </c>
      <c r="L100" s="46">
        <v>33.299999999999997</v>
      </c>
      <c r="M100" s="46">
        <v>26.725000000000012</v>
      </c>
      <c r="N100" s="46">
        <v>41.063000000000002</v>
      </c>
      <c r="O100" s="46">
        <v>41.172999999999995</v>
      </c>
      <c r="P100" s="46">
        <v>19.789000000000001</v>
      </c>
      <c r="Q100" s="46">
        <v>50.867999999999995</v>
      </c>
      <c r="R100" s="46">
        <v>37.660999999999994</v>
      </c>
      <c r="S100" s="46">
        <v>27.631000000000004</v>
      </c>
      <c r="T100" s="46">
        <v>62.372999999999998</v>
      </c>
      <c r="U100" s="46">
        <v>31.622</v>
      </c>
      <c r="V100" s="46">
        <v>25.463999999999999</v>
      </c>
      <c r="W100" s="46">
        <v>51.387</v>
      </c>
      <c r="X100" s="46">
        <v>26.437000000000001</v>
      </c>
      <c r="Y100" s="46">
        <v>25.800999999999998</v>
      </c>
      <c r="Z100" s="46">
        <v>18.516999999999999</v>
      </c>
      <c r="AA100" s="46">
        <v>37.570999999999998</v>
      </c>
      <c r="AB100" s="46">
        <v>37.183</v>
      </c>
      <c r="AC100" s="46">
        <v>14.229000000000003</v>
      </c>
      <c r="AD100" s="46">
        <v>18.106000000000002</v>
      </c>
      <c r="AE100" s="46">
        <v>27.457999999999998</v>
      </c>
      <c r="AF100" s="46">
        <v>24.402000000000001</v>
      </c>
      <c r="AG100" s="46">
        <v>17.972999999999999</v>
      </c>
      <c r="AH100" s="46">
        <v>29.774999999999995</v>
      </c>
      <c r="AI100" s="46">
        <v>24.117000000000001</v>
      </c>
      <c r="AJ100" s="46">
        <v>11.738</v>
      </c>
      <c r="AK100" s="46">
        <v>30.558</v>
      </c>
      <c r="AL100" s="46">
        <v>7.109</v>
      </c>
      <c r="AM100" s="46">
        <v>36.548999999999992</v>
      </c>
      <c r="AN100" s="46">
        <v>13.1</v>
      </c>
      <c r="AO100" s="46">
        <f t="shared" si="2"/>
        <v>29.509500000000003</v>
      </c>
      <c r="AP100" s="7">
        <f t="shared" si="3"/>
        <v>3.6886875000000003</v>
      </c>
    </row>
    <row r="101" spans="1:42" x14ac:dyDescent="0.3">
      <c r="A101" s="5">
        <v>100</v>
      </c>
      <c r="B101" s="107" t="s">
        <v>58</v>
      </c>
      <c r="C101" s="112" t="s">
        <v>652</v>
      </c>
      <c r="D101" s="112" t="s">
        <v>786</v>
      </c>
      <c r="E101" s="110" t="s">
        <v>128</v>
      </c>
      <c r="F101" s="6" t="s">
        <v>12</v>
      </c>
      <c r="G101" s="6" t="s">
        <v>976</v>
      </c>
      <c r="H101" s="12" t="s">
        <v>35</v>
      </c>
      <c r="I101" s="5">
        <v>6</v>
      </c>
      <c r="J101" s="94" t="s">
        <v>273</v>
      </c>
      <c r="K101" s="46">
        <v>14.766</v>
      </c>
      <c r="L101" s="46">
        <v>17.902999999999999</v>
      </c>
      <c r="M101" s="46">
        <v>15.722000000000001</v>
      </c>
      <c r="N101" s="46">
        <v>17.631</v>
      </c>
      <c r="O101" s="46">
        <v>21.107999999999997</v>
      </c>
      <c r="P101" s="46">
        <v>30.613999999999997</v>
      </c>
      <c r="Q101" s="46">
        <v>11.004</v>
      </c>
      <c r="R101" s="46">
        <v>21.422000000000001</v>
      </c>
      <c r="S101" s="46">
        <v>28.113</v>
      </c>
      <c r="T101" s="46">
        <v>17.396000000000001</v>
      </c>
      <c r="U101" s="46">
        <v>9.8710000000000022</v>
      </c>
      <c r="V101" s="46">
        <v>26.986000000000001</v>
      </c>
      <c r="W101" s="46">
        <v>13.883999999999999</v>
      </c>
      <c r="X101" s="46">
        <v>13.416</v>
      </c>
      <c r="Y101" s="46">
        <v>26.467000000000006</v>
      </c>
      <c r="Z101" s="46">
        <v>6.9740000000000002</v>
      </c>
      <c r="AA101" s="46">
        <v>21.558</v>
      </c>
      <c r="AB101" s="46">
        <v>7.7410000000000005</v>
      </c>
      <c r="AC101" s="46">
        <v>9.3919999999999995</v>
      </c>
      <c r="AD101" s="46">
        <v>10.968000000000002</v>
      </c>
      <c r="AE101" s="46">
        <v>25.862000000000002</v>
      </c>
      <c r="AF101" s="46">
        <v>9.2470000000000017</v>
      </c>
      <c r="AG101" s="46">
        <v>21.669999999999998</v>
      </c>
      <c r="AH101" s="46">
        <v>11.367000000000001</v>
      </c>
      <c r="AI101" s="46">
        <v>4.4349999999999996</v>
      </c>
      <c r="AJ101" s="46">
        <v>0</v>
      </c>
      <c r="AK101" s="46">
        <v>13.85</v>
      </c>
      <c r="AL101" s="46">
        <v>9.5120000000000005</v>
      </c>
      <c r="AM101" s="46">
        <v>6.2190000000000003</v>
      </c>
      <c r="AN101" s="46">
        <v>17.498000000000001</v>
      </c>
      <c r="AO101" s="46">
        <f t="shared" si="2"/>
        <v>15.419866666666667</v>
      </c>
      <c r="AP101" s="7">
        <f t="shared" si="3"/>
        <v>2.5699777777777779</v>
      </c>
    </row>
    <row r="102" spans="1:42" x14ac:dyDescent="0.3">
      <c r="A102" s="5">
        <v>101</v>
      </c>
      <c r="B102" s="107" t="s">
        <v>58</v>
      </c>
      <c r="C102" s="112" t="s">
        <v>653</v>
      </c>
      <c r="D102" s="112" t="s">
        <v>953</v>
      </c>
      <c r="E102" s="110" t="s">
        <v>128</v>
      </c>
      <c r="F102" s="6" t="s">
        <v>12</v>
      </c>
      <c r="G102" s="6" t="s">
        <v>976</v>
      </c>
      <c r="H102" s="12" t="s">
        <v>35</v>
      </c>
      <c r="I102" s="5">
        <v>2</v>
      </c>
      <c r="J102" s="94" t="s">
        <v>273</v>
      </c>
      <c r="K102" s="46">
        <v>35.199999999999996</v>
      </c>
      <c r="L102" s="46">
        <v>34.591999999999999</v>
      </c>
      <c r="M102" s="46">
        <v>27.438000000000002</v>
      </c>
      <c r="N102" s="46">
        <v>29.944000000000003</v>
      </c>
      <c r="O102" s="46">
        <v>22.433</v>
      </c>
      <c r="P102" s="46">
        <v>27.617000000000001</v>
      </c>
      <c r="Q102" s="46">
        <v>35.994999999999997</v>
      </c>
      <c r="R102" s="46">
        <v>20.268000000000001</v>
      </c>
      <c r="S102" s="46">
        <v>12.155999999999999</v>
      </c>
      <c r="T102" s="46">
        <v>31.297999999999998</v>
      </c>
      <c r="U102" s="46">
        <v>38.527999999999999</v>
      </c>
      <c r="V102" s="46">
        <v>31.166999999999994</v>
      </c>
      <c r="W102" s="46">
        <v>0</v>
      </c>
      <c r="X102" s="46">
        <v>3.5739999999999998</v>
      </c>
      <c r="Y102" s="46">
        <v>13.446999999999999</v>
      </c>
      <c r="Z102" s="46">
        <v>18.442999999999998</v>
      </c>
      <c r="AA102" s="46">
        <v>30.369</v>
      </c>
      <c r="AB102" s="46">
        <v>32.211000000000006</v>
      </c>
      <c r="AC102" s="46">
        <v>13.882999999999999</v>
      </c>
      <c r="AD102" s="46">
        <v>19.051000000000002</v>
      </c>
      <c r="AE102" s="46">
        <v>6.7600000000000007</v>
      </c>
      <c r="AF102" s="46">
        <v>15.885999999999999</v>
      </c>
      <c r="AG102" s="46">
        <v>35.548999999999999</v>
      </c>
      <c r="AH102" s="46">
        <v>38.271000000000001</v>
      </c>
      <c r="AI102" s="46">
        <v>29.391999999999999</v>
      </c>
      <c r="AJ102" s="46">
        <v>16.974999999999998</v>
      </c>
      <c r="AK102" s="46">
        <v>11.357000000000001</v>
      </c>
      <c r="AL102" s="46">
        <v>22.038999999999998</v>
      </c>
      <c r="AM102" s="46">
        <v>24.935000000000002</v>
      </c>
      <c r="AN102" s="46">
        <v>7.8140000000000001</v>
      </c>
      <c r="AO102" s="46">
        <f t="shared" si="2"/>
        <v>22.886399999999998</v>
      </c>
      <c r="AP102" s="7">
        <f t="shared" si="3"/>
        <v>11.443199999999999</v>
      </c>
    </row>
    <row r="103" spans="1:42" x14ac:dyDescent="0.3">
      <c r="A103" s="5">
        <v>102</v>
      </c>
      <c r="B103" s="107" t="s">
        <v>58</v>
      </c>
      <c r="C103" s="10"/>
      <c r="D103" s="39" t="s">
        <v>917</v>
      </c>
      <c r="E103" s="110" t="s">
        <v>128</v>
      </c>
      <c r="F103" s="6" t="s">
        <v>12</v>
      </c>
      <c r="G103" s="6" t="s">
        <v>973</v>
      </c>
      <c r="H103" s="6" t="s">
        <v>80</v>
      </c>
      <c r="I103" s="92">
        <v>1</v>
      </c>
      <c r="J103" s="67" t="s">
        <v>590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1.91</v>
      </c>
      <c r="W103" s="46">
        <v>0</v>
      </c>
      <c r="X103" s="46">
        <v>0</v>
      </c>
      <c r="Y103" s="46">
        <v>0</v>
      </c>
      <c r="Z103" s="46">
        <v>0.32999999999999996</v>
      </c>
      <c r="AA103" s="46">
        <v>15</v>
      </c>
      <c r="AB103" s="46">
        <v>0</v>
      </c>
      <c r="AC103" s="46">
        <v>0</v>
      </c>
      <c r="AD103" s="46">
        <v>0</v>
      </c>
      <c r="AE103" s="46">
        <v>17.39</v>
      </c>
      <c r="AF103" s="46">
        <v>0</v>
      </c>
      <c r="AG103" s="46">
        <v>14.96</v>
      </c>
      <c r="AH103" s="46">
        <v>0</v>
      </c>
      <c r="AI103" s="46">
        <v>12.94</v>
      </c>
      <c r="AJ103" s="46">
        <v>4.3600000000000003</v>
      </c>
      <c r="AK103" s="46">
        <v>0</v>
      </c>
      <c r="AL103" s="46">
        <v>0</v>
      </c>
      <c r="AM103" s="46">
        <v>11.54</v>
      </c>
      <c r="AN103" s="46">
        <v>0</v>
      </c>
      <c r="AO103" s="46">
        <f t="shared" si="2"/>
        <v>2.6143333333333336</v>
      </c>
      <c r="AP103" s="7">
        <f t="shared" si="3"/>
        <v>2.6143333333333336</v>
      </c>
    </row>
    <row r="104" spans="1:42" x14ac:dyDescent="0.3">
      <c r="A104" s="5">
        <v>103</v>
      </c>
      <c r="B104" s="107" t="s">
        <v>58</v>
      </c>
      <c r="C104" s="10"/>
      <c r="D104" s="39" t="s">
        <v>1007</v>
      </c>
      <c r="E104" s="110" t="s">
        <v>128</v>
      </c>
      <c r="F104" s="6" t="s">
        <v>12</v>
      </c>
      <c r="G104" s="6" t="s">
        <v>974</v>
      </c>
      <c r="H104" s="12" t="s">
        <v>35</v>
      </c>
      <c r="I104" s="5">
        <v>2</v>
      </c>
      <c r="J104" s="67" t="s">
        <v>590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v>0</v>
      </c>
      <c r="AO104" s="46">
        <f t="shared" si="2"/>
        <v>0</v>
      </c>
      <c r="AP104" s="7">
        <f t="shared" si="3"/>
        <v>0</v>
      </c>
    </row>
    <row r="105" spans="1:42" ht="15.6" x14ac:dyDescent="0.3">
      <c r="A105" s="5">
        <v>104</v>
      </c>
      <c r="B105" s="107" t="s">
        <v>476</v>
      </c>
      <c r="C105" s="112" t="s">
        <v>698</v>
      </c>
      <c r="D105" s="114" t="s">
        <v>956</v>
      </c>
      <c r="E105" s="110" t="s">
        <v>128</v>
      </c>
      <c r="F105" s="6" t="s">
        <v>12</v>
      </c>
      <c r="G105" s="6" t="s">
        <v>976</v>
      </c>
      <c r="H105" s="12" t="s">
        <v>35</v>
      </c>
      <c r="I105" s="5">
        <v>1</v>
      </c>
      <c r="J105" s="67" t="s">
        <v>590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0</v>
      </c>
      <c r="AL105" s="46">
        <v>0</v>
      </c>
      <c r="AM105" s="46">
        <v>0</v>
      </c>
      <c r="AN105" s="46">
        <v>0</v>
      </c>
      <c r="AO105" s="46">
        <f t="shared" si="2"/>
        <v>0</v>
      </c>
      <c r="AP105" s="7">
        <f t="shared" si="3"/>
        <v>0</v>
      </c>
    </row>
    <row r="106" spans="1:42" ht="15.6" x14ac:dyDescent="0.3">
      <c r="A106" s="5">
        <v>105</v>
      </c>
      <c r="B106" s="107" t="s">
        <v>569</v>
      </c>
      <c r="C106" s="112" t="s">
        <v>656</v>
      </c>
      <c r="D106" s="114" t="s">
        <v>955</v>
      </c>
      <c r="E106" s="110" t="s">
        <v>61</v>
      </c>
      <c r="F106" s="6" t="s">
        <v>12</v>
      </c>
      <c r="G106" s="6" t="s">
        <v>976</v>
      </c>
      <c r="H106" s="12" t="s">
        <v>35</v>
      </c>
      <c r="I106" s="5">
        <v>14</v>
      </c>
      <c r="J106" s="67" t="s">
        <v>160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2.56</v>
      </c>
      <c r="T106" s="46">
        <v>0</v>
      </c>
      <c r="U106" s="46">
        <v>2.5409999999999999</v>
      </c>
      <c r="V106" s="46">
        <v>2.8769999999999998</v>
      </c>
      <c r="W106" s="46">
        <v>0</v>
      </c>
      <c r="X106" s="46">
        <v>0</v>
      </c>
      <c r="Y106" s="46">
        <v>0</v>
      </c>
      <c r="Z106" s="46">
        <v>0</v>
      </c>
      <c r="AA106" s="46">
        <v>2.129</v>
      </c>
      <c r="AB106" s="46">
        <v>2.7080000000000002</v>
      </c>
      <c r="AC106" s="46">
        <v>2.4510000000000001</v>
      </c>
      <c r="AD106" s="46">
        <v>0</v>
      </c>
      <c r="AE106" s="46">
        <v>2.4829999999999997</v>
      </c>
      <c r="AF106" s="46">
        <v>2.78</v>
      </c>
      <c r="AG106" s="46">
        <v>2.8119999999999998</v>
      </c>
      <c r="AH106" s="46">
        <v>0</v>
      </c>
      <c r="AI106" s="46">
        <v>2.8580000000000001</v>
      </c>
      <c r="AJ106" s="46">
        <v>0</v>
      </c>
      <c r="AK106" s="46">
        <v>0</v>
      </c>
      <c r="AL106" s="46">
        <v>2.782</v>
      </c>
      <c r="AM106" s="46">
        <v>2.5270000000000001</v>
      </c>
      <c r="AN106" s="46">
        <v>2.3479999999999999</v>
      </c>
      <c r="AO106" s="46">
        <f t="shared" si="2"/>
        <v>1.1285333333333334</v>
      </c>
      <c r="AP106" s="7">
        <f t="shared" si="3"/>
        <v>8.0609523809523811E-2</v>
      </c>
    </row>
    <row r="107" spans="1:42" x14ac:dyDescent="0.3">
      <c r="A107" s="5">
        <v>106</v>
      </c>
      <c r="B107" s="107" t="s">
        <v>829</v>
      </c>
      <c r="C107" s="112" t="s">
        <v>831</v>
      </c>
      <c r="D107" s="112" t="s">
        <v>830</v>
      </c>
      <c r="E107" s="110" t="s">
        <v>128</v>
      </c>
      <c r="F107" s="6" t="s">
        <v>12</v>
      </c>
      <c r="G107" s="6" t="s">
        <v>973</v>
      </c>
      <c r="H107" s="6" t="s">
        <v>80</v>
      </c>
      <c r="I107" s="5">
        <v>1</v>
      </c>
      <c r="J107" s="67" t="s">
        <v>160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0</v>
      </c>
      <c r="AO107" s="46">
        <f t="shared" si="2"/>
        <v>0</v>
      </c>
      <c r="AP107" s="7">
        <f t="shared" si="3"/>
        <v>0</v>
      </c>
    </row>
    <row r="108" spans="1:42" x14ac:dyDescent="0.3">
      <c r="A108" s="5">
        <v>107</v>
      </c>
      <c r="B108" s="107" t="s">
        <v>866</v>
      </c>
      <c r="C108" s="112" t="s">
        <v>957</v>
      </c>
      <c r="D108" s="112" t="s">
        <v>867</v>
      </c>
      <c r="E108" s="110" t="s">
        <v>128</v>
      </c>
      <c r="F108" s="6" t="s">
        <v>12</v>
      </c>
      <c r="G108" s="6" t="s">
        <v>973</v>
      </c>
      <c r="H108" s="6" t="s">
        <v>80</v>
      </c>
      <c r="I108" s="5">
        <v>1</v>
      </c>
      <c r="J108" s="67" t="s">
        <v>160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0</v>
      </c>
      <c r="AN108" s="46">
        <v>0</v>
      </c>
      <c r="AO108" s="46">
        <f t="shared" si="2"/>
        <v>0</v>
      </c>
      <c r="AP108" s="7">
        <f t="shared" si="3"/>
        <v>0</v>
      </c>
    </row>
    <row r="109" spans="1:42" x14ac:dyDescent="0.3">
      <c r="A109" s="5">
        <v>108</v>
      </c>
      <c r="B109" s="107" t="s">
        <v>892</v>
      </c>
      <c r="C109" s="112" t="s">
        <v>954</v>
      </c>
      <c r="D109" s="112" t="s">
        <v>893</v>
      </c>
      <c r="E109" s="110" t="s">
        <v>128</v>
      </c>
      <c r="F109" s="6" t="s">
        <v>12</v>
      </c>
      <c r="G109" s="6" t="s">
        <v>973</v>
      </c>
      <c r="H109" s="6" t="s">
        <v>80</v>
      </c>
      <c r="I109" s="5">
        <v>1</v>
      </c>
      <c r="J109" s="67" t="s">
        <v>160</v>
      </c>
      <c r="K109" s="46">
        <v>12.209999999999999</v>
      </c>
      <c r="L109" s="46">
        <v>15.940000000000001</v>
      </c>
      <c r="M109" s="46">
        <v>5.2299999999999995</v>
      </c>
      <c r="N109" s="46">
        <v>0</v>
      </c>
      <c r="O109" s="46">
        <v>0</v>
      </c>
      <c r="P109" s="46">
        <v>0</v>
      </c>
      <c r="Q109" s="46">
        <v>11.739999999999998</v>
      </c>
      <c r="R109" s="46">
        <v>3.64</v>
      </c>
      <c r="S109" s="46">
        <v>0</v>
      </c>
      <c r="T109" s="46">
        <v>5.46</v>
      </c>
      <c r="U109" s="46">
        <v>9.64</v>
      </c>
      <c r="V109" s="46">
        <v>0</v>
      </c>
      <c r="W109" s="46">
        <v>0</v>
      </c>
      <c r="X109" s="46">
        <v>0</v>
      </c>
      <c r="Y109" s="46">
        <v>4.2300000000000004</v>
      </c>
      <c r="Z109" s="46">
        <v>10.620000000000001</v>
      </c>
      <c r="AA109" s="46">
        <v>5.51</v>
      </c>
      <c r="AB109" s="46">
        <v>0</v>
      </c>
      <c r="AC109" s="46">
        <v>0</v>
      </c>
      <c r="AD109" s="46">
        <v>0</v>
      </c>
      <c r="AE109" s="46">
        <v>8.9390000000000001</v>
      </c>
      <c r="AF109" s="46">
        <v>11.45</v>
      </c>
      <c r="AG109" s="46">
        <v>10.170999999999999</v>
      </c>
      <c r="AH109" s="46">
        <v>0</v>
      </c>
      <c r="AI109" s="46">
        <v>7.5400000000000009</v>
      </c>
      <c r="AJ109" s="46">
        <v>7.2589999999999995</v>
      </c>
      <c r="AK109" s="46">
        <v>0</v>
      </c>
      <c r="AL109" s="46">
        <v>5.43</v>
      </c>
      <c r="AM109" s="46">
        <v>0</v>
      </c>
      <c r="AN109" s="46">
        <v>5.45</v>
      </c>
      <c r="AO109" s="46">
        <f t="shared" si="2"/>
        <v>4.6819666666666668</v>
      </c>
      <c r="AP109" s="7">
        <f t="shared" si="3"/>
        <v>4.6819666666666668</v>
      </c>
    </row>
    <row r="110" spans="1:42" x14ac:dyDescent="0.3">
      <c r="A110" s="5">
        <v>109</v>
      </c>
      <c r="B110" s="107" t="s">
        <v>895</v>
      </c>
      <c r="C110" s="115"/>
      <c r="D110" s="39" t="s">
        <v>896</v>
      </c>
      <c r="E110" s="110" t="s">
        <v>128</v>
      </c>
      <c r="F110" s="6" t="s">
        <v>12</v>
      </c>
      <c r="G110" s="6" t="s">
        <v>973</v>
      </c>
      <c r="H110" s="6" t="s">
        <v>80</v>
      </c>
      <c r="I110" s="5">
        <v>1</v>
      </c>
      <c r="J110" s="67" t="s">
        <v>160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v>5.74</v>
      </c>
      <c r="AN110" s="46">
        <v>0</v>
      </c>
      <c r="AO110" s="46">
        <f t="shared" si="2"/>
        <v>0.19133333333333333</v>
      </c>
      <c r="AP110" s="7">
        <f t="shared" si="3"/>
        <v>0.19133333333333333</v>
      </c>
    </row>
    <row r="111" spans="1:42" x14ac:dyDescent="0.3">
      <c r="A111" s="5">
        <v>110</v>
      </c>
      <c r="B111" s="6" t="s">
        <v>1047</v>
      </c>
      <c r="C111" s="115"/>
      <c r="D111" s="39" t="s">
        <v>1045</v>
      </c>
      <c r="E111" s="6" t="s">
        <v>128</v>
      </c>
      <c r="F111" s="6" t="s">
        <v>12</v>
      </c>
      <c r="G111" s="6" t="s">
        <v>255</v>
      </c>
      <c r="H111" s="6" t="s">
        <v>80</v>
      </c>
      <c r="I111" s="92">
        <v>2</v>
      </c>
      <c r="J111" s="67" t="s">
        <v>590</v>
      </c>
      <c r="K111" s="46">
        <v>0</v>
      </c>
      <c r="L111" s="46">
        <v>0</v>
      </c>
      <c r="M111" s="46">
        <v>0</v>
      </c>
      <c r="N111" s="46">
        <v>0</v>
      </c>
      <c r="O111" s="46">
        <v>5.26</v>
      </c>
      <c r="P111" s="46">
        <v>0</v>
      </c>
      <c r="Q111" s="46">
        <v>0</v>
      </c>
      <c r="R111" s="46">
        <v>0</v>
      </c>
      <c r="S111" s="46">
        <v>0</v>
      </c>
      <c r="T111" s="46">
        <v>11.81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0</v>
      </c>
      <c r="AO111" s="46">
        <f t="shared" si="2"/>
        <v>0.56900000000000006</v>
      </c>
      <c r="AP111" s="7">
        <f t="shared" si="3"/>
        <v>0.28450000000000003</v>
      </c>
    </row>
    <row r="112" spans="1:42" x14ac:dyDescent="0.3">
      <c r="A112" s="5">
        <v>111</v>
      </c>
      <c r="B112" s="6" t="s">
        <v>1048</v>
      </c>
      <c r="C112" s="115"/>
      <c r="D112" s="39" t="s">
        <v>1046</v>
      </c>
      <c r="E112" s="6" t="s">
        <v>128</v>
      </c>
      <c r="F112" s="6" t="s">
        <v>12</v>
      </c>
      <c r="G112" s="6" t="s">
        <v>255</v>
      </c>
      <c r="H112" s="6" t="s">
        <v>80</v>
      </c>
      <c r="I112" s="92">
        <v>1</v>
      </c>
      <c r="J112" s="67" t="s">
        <v>590</v>
      </c>
      <c r="K112" s="46">
        <v>20.8</v>
      </c>
      <c r="L112" s="46">
        <v>0</v>
      </c>
      <c r="M112" s="46">
        <v>0</v>
      </c>
      <c r="N112" s="46">
        <v>24.67</v>
      </c>
      <c r="O112" s="46">
        <v>0</v>
      </c>
      <c r="P112" s="46">
        <v>0</v>
      </c>
      <c r="Q112" s="46">
        <v>0</v>
      </c>
      <c r="R112" s="46">
        <v>19.52</v>
      </c>
      <c r="S112" s="46">
        <v>0</v>
      </c>
      <c r="T112" s="46">
        <v>0</v>
      </c>
      <c r="U112" s="46">
        <v>0</v>
      </c>
      <c r="V112" s="46">
        <v>23.41</v>
      </c>
      <c r="W112" s="46">
        <v>0</v>
      </c>
      <c r="X112" s="46">
        <v>0</v>
      </c>
      <c r="Y112" s="46">
        <v>0</v>
      </c>
      <c r="Z112" s="46">
        <v>0</v>
      </c>
      <c r="AA112" s="46">
        <v>11.14</v>
      </c>
      <c r="AB112" s="46">
        <v>13.21</v>
      </c>
      <c r="AC112" s="46">
        <v>0</v>
      </c>
      <c r="AD112" s="46">
        <v>0</v>
      </c>
      <c r="AE112" s="46">
        <v>0</v>
      </c>
      <c r="AF112" s="46">
        <v>0</v>
      </c>
      <c r="AG112" s="46">
        <v>12.42</v>
      </c>
      <c r="AH112" s="46">
        <v>0</v>
      </c>
      <c r="AI112" s="46">
        <v>0</v>
      </c>
      <c r="AJ112" s="46">
        <v>26.689999999999998</v>
      </c>
      <c r="AK112" s="46">
        <v>14.73</v>
      </c>
      <c r="AL112" s="46">
        <v>0</v>
      </c>
      <c r="AM112" s="46">
        <v>0</v>
      </c>
      <c r="AN112" s="46">
        <v>21.53</v>
      </c>
      <c r="AO112" s="46">
        <f t="shared" si="2"/>
        <v>6.2706666666666671</v>
      </c>
      <c r="AP112" s="7">
        <f t="shared" si="3"/>
        <v>6.2706666666666671</v>
      </c>
    </row>
    <row r="113" spans="1:42" x14ac:dyDescent="0.3">
      <c r="A113" s="5">
        <v>112</v>
      </c>
      <c r="B113" s="107" t="s">
        <v>844</v>
      </c>
      <c r="C113" s="112" t="s">
        <v>845</v>
      </c>
      <c r="D113" s="112" t="s">
        <v>843</v>
      </c>
      <c r="E113" s="110" t="s">
        <v>128</v>
      </c>
      <c r="F113" s="6" t="s">
        <v>12</v>
      </c>
      <c r="G113" s="6" t="s">
        <v>973</v>
      </c>
      <c r="H113" s="6" t="s">
        <v>80</v>
      </c>
      <c r="I113" s="92">
        <v>1</v>
      </c>
      <c r="J113" s="67" t="s">
        <v>160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46">
        <v>0</v>
      </c>
      <c r="AM113" s="46">
        <v>0</v>
      </c>
      <c r="AN113" s="46">
        <v>0</v>
      </c>
      <c r="AO113" s="46">
        <f t="shared" si="2"/>
        <v>0</v>
      </c>
      <c r="AP113" s="7">
        <f t="shared" si="3"/>
        <v>0</v>
      </c>
    </row>
    <row r="114" spans="1:42" x14ac:dyDescent="0.3">
      <c r="A114" s="5">
        <v>113</v>
      </c>
      <c r="B114" s="107" t="s">
        <v>119</v>
      </c>
      <c r="C114" s="112" t="s">
        <v>654</v>
      </c>
      <c r="D114" s="112" t="s">
        <v>716</v>
      </c>
      <c r="E114" s="110" t="s">
        <v>30</v>
      </c>
      <c r="F114" s="6" t="s">
        <v>12</v>
      </c>
      <c r="G114" s="6" t="s">
        <v>976</v>
      </c>
      <c r="H114" s="6" t="s">
        <v>35</v>
      </c>
      <c r="I114" s="5">
        <v>20</v>
      </c>
      <c r="J114" s="12" t="s">
        <v>589</v>
      </c>
      <c r="K114" s="46">
        <v>22.611000000000001</v>
      </c>
      <c r="L114" s="46">
        <v>10.054</v>
      </c>
      <c r="M114" s="46">
        <v>9.9239999999999995</v>
      </c>
      <c r="N114" s="46">
        <v>10.103</v>
      </c>
      <c r="O114" s="46">
        <v>72.596000000000004</v>
      </c>
      <c r="P114" s="46">
        <v>26.667000000000002</v>
      </c>
      <c r="Q114" s="46">
        <v>0</v>
      </c>
      <c r="R114" s="46">
        <v>12.425000000000001</v>
      </c>
      <c r="S114" s="46">
        <v>9.9779999999999998</v>
      </c>
      <c r="T114" s="46">
        <v>27.860999999999997</v>
      </c>
      <c r="U114" s="46">
        <v>19.035</v>
      </c>
      <c r="V114" s="46">
        <v>11.132999999999999</v>
      </c>
      <c r="W114" s="46">
        <v>13.315</v>
      </c>
      <c r="X114" s="46">
        <v>1E-3</v>
      </c>
      <c r="Y114" s="46">
        <v>25.984000000000002</v>
      </c>
      <c r="Z114" s="46">
        <v>0.90700000000000003</v>
      </c>
      <c r="AA114" s="46">
        <v>0</v>
      </c>
      <c r="AB114" s="46">
        <v>0</v>
      </c>
      <c r="AC114" s="46">
        <v>119.74</v>
      </c>
      <c r="AD114" s="46">
        <v>13.337999999999999</v>
      </c>
      <c r="AE114" s="46">
        <v>0</v>
      </c>
      <c r="AF114" s="46">
        <v>1.2040000000000002</v>
      </c>
      <c r="AG114" s="46">
        <v>231.35300000000001</v>
      </c>
      <c r="AH114" s="46">
        <v>0</v>
      </c>
      <c r="AI114" s="46">
        <v>6.4450000000000003</v>
      </c>
      <c r="AJ114" s="46">
        <v>0</v>
      </c>
      <c r="AK114" s="46">
        <v>0</v>
      </c>
      <c r="AL114" s="46">
        <v>0.38800000000000001</v>
      </c>
      <c r="AM114" s="46">
        <v>0</v>
      </c>
      <c r="AN114" s="46">
        <v>0</v>
      </c>
      <c r="AO114" s="46">
        <f t="shared" si="2"/>
        <v>21.502066666666671</v>
      </c>
      <c r="AP114" s="7">
        <f t="shared" si="3"/>
        <v>1.0751033333333335</v>
      </c>
    </row>
    <row r="115" spans="1:42" x14ac:dyDescent="0.3">
      <c r="A115" s="5">
        <v>114</v>
      </c>
      <c r="B115" s="107" t="s">
        <v>119</v>
      </c>
      <c r="C115" s="112" t="s">
        <v>655</v>
      </c>
      <c r="D115" s="112" t="s">
        <v>726</v>
      </c>
      <c r="E115" s="110" t="s">
        <v>30</v>
      </c>
      <c r="F115" s="6" t="s">
        <v>12</v>
      </c>
      <c r="G115" s="6" t="s">
        <v>976</v>
      </c>
      <c r="H115" s="6" t="s">
        <v>35</v>
      </c>
      <c r="I115" s="5">
        <v>3</v>
      </c>
      <c r="J115" s="12" t="s">
        <v>589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v>0</v>
      </c>
      <c r="AN115" s="46">
        <v>0</v>
      </c>
      <c r="AO115" s="46">
        <f t="shared" si="2"/>
        <v>0</v>
      </c>
      <c r="AP115" s="7">
        <f t="shared" si="3"/>
        <v>0</v>
      </c>
    </row>
    <row r="116" spans="1:42" x14ac:dyDescent="0.3">
      <c r="A116" s="5">
        <v>115</v>
      </c>
      <c r="B116" s="107" t="s">
        <v>578</v>
      </c>
      <c r="C116" s="112" t="s">
        <v>657</v>
      </c>
      <c r="D116" s="113" t="s">
        <v>951</v>
      </c>
      <c r="E116" s="110" t="s">
        <v>128</v>
      </c>
      <c r="F116" s="6" t="s">
        <v>12</v>
      </c>
      <c r="G116" s="6" t="s">
        <v>973</v>
      </c>
      <c r="H116" s="6" t="s">
        <v>80</v>
      </c>
      <c r="I116" s="5">
        <v>1</v>
      </c>
      <c r="J116" s="67" t="s">
        <v>160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46">
        <v>0</v>
      </c>
      <c r="AM116" s="46">
        <v>0</v>
      </c>
      <c r="AN116" s="46">
        <v>0</v>
      </c>
      <c r="AO116" s="46">
        <f t="shared" si="2"/>
        <v>0</v>
      </c>
      <c r="AP116" s="7">
        <f t="shared" si="3"/>
        <v>0</v>
      </c>
    </row>
    <row r="117" spans="1:42" x14ac:dyDescent="0.3">
      <c r="A117" s="5">
        <v>116</v>
      </c>
      <c r="B117" s="107" t="s">
        <v>576</v>
      </c>
      <c r="C117" s="112" t="s">
        <v>658</v>
      </c>
      <c r="D117" s="112" t="s">
        <v>788</v>
      </c>
      <c r="E117" s="110" t="s">
        <v>128</v>
      </c>
      <c r="F117" s="6" t="s">
        <v>12</v>
      </c>
      <c r="G117" s="6" t="s">
        <v>973</v>
      </c>
      <c r="H117" s="6" t="s">
        <v>80</v>
      </c>
      <c r="I117" s="5">
        <v>1</v>
      </c>
      <c r="J117" s="67" t="s">
        <v>160</v>
      </c>
      <c r="K117" s="46">
        <v>0</v>
      </c>
      <c r="L117" s="46">
        <v>0</v>
      </c>
      <c r="M117" s="46">
        <v>0</v>
      </c>
      <c r="N117" s="46">
        <v>0</v>
      </c>
      <c r="O117" s="46">
        <v>6.6790000000000003</v>
      </c>
      <c r="P117" s="46">
        <v>0</v>
      </c>
      <c r="Q117" s="46">
        <v>11.14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17.011000000000003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18.588999999999999</v>
      </c>
      <c r="AH117" s="46">
        <v>0</v>
      </c>
      <c r="AI117" s="46">
        <v>0</v>
      </c>
      <c r="AJ117" s="46">
        <v>0</v>
      </c>
      <c r="AK117" s="46">
        <v>0</v>
      </c>
      <c r="AL117" s="46">
        <v>0</v>
      </c>
      <c r="AM117" s="46">
        <v>0</v>
      </c>
      <c r="AN117" s="46">
        <v>0</v>
      </c>
      <c r="AO117" s="46">
        <f t="shared" si="2"/>
        <v>1.7806333333333335</v>
      </c>
      <c r="AP117" s="7">
        <f t="shared" si="3"/>
        <v>1.7806333333333335</v>
      </c>
    </row>
    <row r="118" spans="1:42" x14ac:dyDescent="0.3">
      <c r="A118" s="5">
        <v>117</v>
      </c>
      <c r="B118" s="107" t="s">
        <v>499</v>
      </c>
      <c r="C118" s="10" t="s">
        <v>660</v>
      </c>
      <c r="D118" s="39" t="s">
        <v>789</v>
      </c>
      <c r="E118" s="110" t="s">
        <v>128</v>
      </c>
      <c r="F118" s="6" t="s">
        <v>12</v>
      </c>
      <c r="G118" s="6" t="s">
        <v>973</v>
      </c>
      <c r="H118" s="6" t="s">
        <v>80</v>
      </c>
      <c r="I118" s="5">
        <v>1</v>
      </c>
      <c r="J118" s="67" t="s">
        <v>160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0</v>
      </c>
      <c r="AN118" s="46">
        <v>0</v>
      </c>
      <c r="AO118" s="46">
        <f t="shared" si="2"/>
        <v>0</v>
      </c>
      <c r="AP118" s="7">
        <f t="shared" si="3"/>
        <v>0</v>
      </c>
    </row>
    <row r="119" spans="1:42" x14ac:dyDescent="0.3">
      <c r="A119" s="5">
        <v>118</v>
      </c>
      <c r="B119" s="109" t="s">
        <v>560</v>
      </c>
      <c r="C119" s="112" t="s">
        <v>661</v>
      </c>
      <c r="D119" s="112" t="s">
        <v>913</v>
      </c>
      <c r="E119" s="110" t="s">
        <v>128</v>
      </c>
      <c r="F119" s="6" t="s">
        <v>12</v>
      </c>
      <c r="G119" s="6" t="s">
        <v>973</v>
      </c>
      <c r="H119" s="6" t="s">
        <v>80</v>
      </c>
      <c r="I119" s="5">
        <v>1</v>
      </c>
      <c r="J119" s="67" t="s">
        <v>160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2.6850000000000001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35.731999999999999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f t="shared" si="2"/>
        <v>1.2805666666666666</v>
      </c>
      <c r="AP119" s="7">
        <f t="shared" si="3"/>
        <v>1.2805666666666666</v>
      </c>
    </row>
    <row r="120" spans="1:42" x14ac:dyDescent="0.3">
      <c r="A120" s="5">
        <v>119</v>
      </c>
      <c r="B120" s="107" t="s">
        <v>862</v>
      </c>
      <c r="C120" s="112" t="s">
        <v>864</v>
      </c>
      <c r="D120" s="112" t="s">
        <v>952</v>
      </c>
      <c r="E120" s="110" t="s">
        <v>128</v>
      </c>
      <c r="F120" s="6" t="s">
        <v>12</v>
      </c>
      <c r="G120" s="6" t="s">
        <v>973</v>
      </c>
      <c r="H120" s="6" t="s">
        <v>80</v>
      </c>
      <c r="I120" s="5">
        <v>1</v>
      </c>
      <c r="J120" s="67" t="s">
        <v>160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f t="shared" si="2"/>
        <v>0</v>
      </c>
      <c r="AP120" s="7">
        <f t="shared" si="3"/>
        <v>0</v>
      </c>
    </row>
    <row r="121" spans="1:42" x14ac:dyDescent="0.3">
      <c r="A121" s="5">
        <v>120</v>
      </c>
      <c r="B121" s="107" t="s">
        <v>1014</v>
      </c>
      <c r="C121" s="112"/>
      <c r="D121" s="10" t="s">
        <v>1013</v>
      </c>
      <c r="E121" s="6" t="s">
        <v>128</v>
      </c>
      <c r="F121" s="6" t="s">
        <v>12</v>
      </c>
      <c r="G121" s="6" t="s">
        <v>973</v>
      </c>
      <c r="H121" s="6" t="s">
        <v>80</v>
      </c>
      <c r="I121" s="92">
        <v>1</v>
      </c>
      <c r="J121" s="67" t="s">
        <v>160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f t="shared" si="2"/>
        <v>0</v>
      </c>
      <c r="AP121" s="7">
        <f t="shared" si="3"/>
        <v>0</v>
      </c>
    </row>
    <row r="122" spans="1:42" x14ac:dyDescent="0.3">
      <c r="A122" s="5">
        <v>121</v>
      </c>
      <c r="B122" s="107" t="s">
        <v>905</v>
      </c>
      <c r="C122" s="10"/>
      <c r="D122" s="39" t="s">
        <v>906</v>
      </c>
      <c r="E122" s="110" t="s">
        <v>128</v>
      </c>
      <c r="F122" s="6" t="s">
        <v>12</v>
      </c>
      <c r="G122" s="6" t="s">
        <v>973</v>
      </c>
      <c r="H122" s="6" t="s">
        <v>80</v>
      </c>
      <c r="I122" s="5">
        <v>2</v>
      </c>
      <c r="J122" s="67" t="s">
        <v>590</v>
      </c>
      <c r="K122" s="46">
        <v>28.31</v>
      </c>
      <c r="L122" s="46">
        <v>17.079999999999998</v>
      </c>
      <c r="M122" s="46">
        <v>17.509999999999998</v>
      </c>
      <c r="N122" s="46">
        <v>29.65</v>
      </c>
      <c r="O122" s="46">
        <v>16.829999999999998</v>
      </c>
      <c r="P122" s="46">
        <v>0</v>
      </c>
      <c r="Q122" s="46">
        <v>35.17</v>
      </c>
      <c r="R122" s="46">
        <v>29.039999999999996</v>
      </c>
      <c r="S122" s="46">
        <v>22.93</v>
      </c>
      <c r="T122" s="46">
        <v>0.37</v>
      </c>
      <c r="U122" s="46">
        <v>14.75</v>
      </c>
      <c r="V122" s="46">
        <v>11.920000000000002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21.419999999999998</v>
      </c>
      <c r="AC122" s="46">
        <v>0</v>
      </c>
      <c r="AD122" s="46">
        <v>0</v>
      </c>
      <c r="AE122" s="46">
        <v>0</v>
      </c>
      <c r="AF122" s="46">
        <v>22.66</v>
      </c>
      <c r="AG122" s="46">
        <v>0</v>
      </c>
      <c r="AH122" s="46">
        <v>0</v>
      </c>
      <c r="AI122" s="46">
        <v>1.8</v>
      </c>
      <c r="AJ122" s="46">
        <v>0</v>
      </c>
      <c r="AK122" s="46">
        <v>0</v>
      </c>
      <c r="AL122" s="46">
        <v>35.519999999999996</v>
      </c>
      <c r="AM122" s="46">
        <v>26.08</v>
      </c>
      <c r="AN122" s="46">
        <v>15.02</v>
      </c>
      <c r="AO122" s="46">
        <f t="shared" si="2"/>
        <v>11.535333333333332</v>
      </c>
      <c r="AP122" s="7">
        <f t="shared" si="3"/>
        <v>5.7676666666666661</v>
      </c>
    </row>
    <row r="123" spans="1:42" x14ac:dyDescent="0.3">
      <c r="A123" s="5">
        <v>122</v>
      </c>
      <c r="B123" s="109" t="s">
        <v>563</v>
      </c>
      <c r="C123" s="112" t="s">
        <v>659</v>
      </c>
      <c r="D123" s="112" t="s">
        <v>791</v>
      </c>
      <c r="E123" s="110" t="s">
        <v>128</v>
      </c>
      <c r="F123" s="6" t="s">
        <v>12</v>
      </c>
      <c r="G123" s="6" t="s">
        <v>973</v>
      </c>
      <c r="H123" s="6" t="s">
        <v>80</v>
      </c>
      <c r="I123" s="5">
        <v>1</v>
      </c>
      <c r="J123" s="67" t="s">
        <v>160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f t="shared" si="2"/>
        <v>0</v>
      </c>
      <c r="AP123" s="7">
        <f t="shared" si="3"/>
        <v>0</v>
      </c>
    </row>
    <row r="124" spans="1:42" x14ac:dyDescent="0.3">
      <c r="A124" s="5">
        <v>123</v>
      </c>
      <c r="B124" s="101" t="s">
        <v>832</v>
      </c>
      <c r="C124" s="112" t="s">
        <v>833</v>
      </c>
      <c r="D124" s="112" t="s">
        <v>834</v>
      </c>
      <c r="E124" s="110" t="s">
        <v>128</v>
      </c>
      <c r="F124" s="6" t="s">
        <v>12</v>
      </c>
      <c r="G124" s="6" t="s">
        <v>973</v>
      </c>
      <c r="H124" s="6" t="s">
        <v>80</v>
      </c>
      <c r="I124" s="92">
        <v>1</v>
      </c>
      <c r="J124" s="67" t="s">
        <v>160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f t="shared" si="2"/>
        <v>0</v>
      </c>
      <c r="AP124" s="7">
        <f t="shared" si="3"/>
        <v>0</v>
      </c>
    </row>
    <row r="125" spans="1:42" x14ac:dyDescent="0.3">
      <c r="A125" s="5">
        <v>124</v>
      </c>
      <c r="B125" s="109" t="s">
        <v>597</v>
      </c>
      <c r="C125" s="112" t="s">
        <v>699</v>
      </c>
      <c r="D125" s="112" t="s">
        <v>792</v>
      </c>
      <c r="E125" s="110" t="s">
        <v>128</v>
      </c>
      <c r="F125" s="6" t="s">
        <v>12</v>
      </c>
      <c r="G125" s="6" t="s">
        <v>973</v>
      </c>
      <c r="H125" s="6" t="s">
        <v>80</v>
      </c>
      <c r="I125" s="5">
        <v>1</v>
      </c>
      <c r="J125" s="67" t="s">
        <v>160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13.38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6.29</v>
      </c>
      <c r="AK125" s="46">
        <v>0</v>
      </c>
      <c r="AL125" s="46">
        <v>0</v>
      </c>
      <c r="AM125" s="46">
        <v>0</v>
      </c>
      <c r="AN125" s="46">
        <v>0</v>
      </c>
      <c r="AO125" s="46">
        <f t="shared" si="2"/>
        <v>0.65566666666666673</v>
      </c>
      <c r="AP125" s="7">
        <f t="shared" si="3"/>
        <v>0.65566666666666673</v>
      </c>
    </row>
    <row r="126" spans="1:42" x14ac:dyDescent="0.3">
      <c r="A126" s="5">
        <v>125</v>
      </c>
      <c r="B126" s="109" t="s">
        <v>885</v>
      </c>
      <c r="C126" s="112" t="s">
        <v>887</v>
      </c>
      <c r="D126" s="112" t="s">
        <v>886</v>
      </c>
      <c r="E126" s="110" t="s">
        <v>128</v>
      </c>
      <c r="F126" s="6" t="s">
        <v>12</v>
      </c>
      <c r="G126" s="6" t="s">
        <v>973</v>
      </c>
      <c r="H126" s="6" t="s">
        <v>80</v>
      </c>
      <c r="I126" s="5">
        <v>1</v>
      </c>
      <c r="J126" s="67" t="s">
        <v>160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f t="shared" si="2"/>
        <v>0</v>
      </c>
      <c r="AP126" s="7">
        <f t="shared" si="3"/>
        <v>0</v>
      </c>
    </row>
    <row r="127" spans="1:42" x14ac:dyDescent="0.3">
      <c r="A127" s="5">
        <v>126</v>
      </c>
      <c r="B127" s="109" t="s">
        <v>598</v>
      </c>
      <c r="C127" s="112" t="s">
        <v>700</v>
      </c>
      <c r="D127" s="112" t="s">
        <v>793</v>
      </c>
      <c r="E127" s="110" t="s">
        <v>128</v>
      </c>
      <c r="F127" s="6" t="s">
        <v>12</v>
      </c>
      <c r="G127" s="6" t="s">
        <v>973</v>
      </c>
      <c r="H127" s="6" t="s">
        <v>80</v>
      </c>
      <c r="I127" s="5">
        <v>1</v>
      </c>
      <c r="J127" s="67" t="s">
        <v>160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3.2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f t="shared" si="2"/>
        <v>0.10666666666666667</v>
      </c>
      <c r="AP127" s="7">
        <f t="shared" si="3"/>
        <v>0.10666666666666667</v>
      </c>
    </row>
    <row r="128" spans="1:42" x14ac:dyDescent="0.3">
      <c r="A128" s="5">
        <v>127</v>
      </c>
      <c r="B128" s="109" t="s">
        <v>708</v>
      </c>
      <c r="C128" s="112" t="s">
        <v>709</v>
      </c>
      <c r="D128" s="112" t="s">
        <v>794</v>
      </c>
      <c r="E128" s="110" t="s">
        <v>128</v>
      </c>
      <c r="F128" s="6" t="s">
        <v>12</v>
      </c>
      <c r="G128" s="6" t="s">
        <v>973</v>
      </c>
      <c r="H128" s="6" t="s">
        <v>80</v>
      </c>
      <c r="I128" s="5">
        <v>1</v>
      </c>
      <c r="J128" s="67" t="s">
        <v>160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f t="shared" si="2"/>
        <v>0</v>
      </c>
      <c r="AP128" s="7">
        <f t="shared" si="3"/>
        <v>0</v>
      </c>
    </row>
    <row r="129" spans="1:42" x14ac:dyDescent="0.3">
      <c r="A129" s="5">
        <v>128</v>
      </c>
      <c r="B129" s="95" t="s">
        <v>822</v>
      </c>
      <c r="C129" s="112" t="s">
        <v>823</v>
      </c>
      <c r="D129" s="112" t="s">
        <v>824</v>
      </c>
      <c r="E129" s="110" t="s">
        <v>128</v>
      </c>
      <c r="F129" s="6" t="s">
        <v>12</v>
      </c>
      <c r="G129" s="6" t="s">
        <v>973</v>
      </c>
      <c r="H129" s="6" t="s">
        <v>80</v>
      </c>
      <c r="I129" s="5">
        <v>1</v>
      </c>
      <c r="J129" s="67" t="s">
        <v>160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f t="shared" si="2"/>
        <v>0</v>
      </c>
      <c r="AP129" s="7">
        <f t="shared" si="3"/>
        <v>0</v>
      </c>
    </row>
    <row r="130" spans="1:42" x14ac:dyDescent="0.3">
      <c r="A130" s="5">
        <v>129</v>
      </c>
      <c r="B130" s="95" t="s">
        <v>882</v>
      </c>
      <c r="C130" s="112" t="s">
        <v>884</v>
      </c>
      <c r="D130" s="112" t="s">
        <v>883</v>
      </c>
      <c r="E130" s="110" t="s">
        <v>128</v>
      </c>
      <c r="F130" s="6" t="s">
        <v>12</v>
      </c>
      <c r="G130" s="6" t="s">
        <v>973</v>
      </c>
      <c r="H130" s="6" t="s">
        <v>80</v>
      </c>
      <c r="I130" s="5">
        <v>1</v>
      </c>
      <c r="J130" s="67" t="s">
        <v>160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f t="shared" si="2"/>
        <v>0</v>
      </c>
      <c r="AP130" s="7">
        <f t="shared" si="3"/>
        <v>0</v>
      </c>
    </row>
    <row r="131" spans="1:42" x14ac:dyDescent="0.3">
      <c r="A131" s="5">
        <v>130</v>
      </c>
      <c r="B131" s="107" t="s">
        <v>55</v>
      </c>
      <c r="C131" s="112" t="s">
        <v>662</v>
      </c>
      <c r="D131" s="112" t="s">
        <v>731</v>
      </c>
      <c r="E131" s="110" t="s">
        <v>57</v>
      </c>
      <c r="F131" s="6" t="s">
        <v>12</v>
      </c>
      <c r="G131" s="6" t="s">
        <v>976</v>
      </c>
      <c r="H131" s="6" t="s">
        <v>35</v>
      </c>
      <c r="I131" s="5">
        <v>40</v>
      </c>
      <c r="J131" s="12" t="s">
        <v>589</v>
      </c>
      <c r="K131" s="46">
        <v>100.134</v>
      </c>
      <c r="L131" s="46">
        <v>378.54199999999992</v>
      </c>
      <c r="M131" s="46">
        <v>343.09200000000004</v>
      </c>
      <c r="N131" s="46">
        <v>252.97400000000005</v>
      </c>
      <c r="O131" s="46">
        <v>259.21699999999993</v>
      </c>
      <c r="P131" s="46">
        <v>298.38799999999998</v>
      </c>
      <c r="Q131" s="46">
        <v>274.27399999999994</v>
      </c>
      <c r="R131" s="46">
        <v>85.541999999999973</v>
      </c>
      <c r="S131" s="46">
        <v>249.876</v>
      </c>
      <c r="T131" s="46">
        <v>314.57999999999993</v>
      </c>
      <c r="U131" s="46">
        <v>332.45</v>
      </c>
      <c r="V131" s="46">
        <v>418.33200000000005</v>
      </c>
      <c r="W131" s="46">
        <v>522.94100000000003</v>
      </c>
      <c r="X131" s="46">
        <v>485.52200000000005</v>
      </c>
      <c r="Y131" s="46">
        <v>194.71599999999995</v>
      </c>
      <c r="Z131" s="46">
        <v>86.335999999999999</v>
      </c>
      <c r="AA131" s="46">
        <v>289.24900000000008</v>
      </c>
      <c r="AB131" s="46">
        <v>275.24299999999994</v>
      </c>
      <c r="AC131" s="46">
        <v>387.38499999999999</v>
      </c>
      <c r="AD131" s="46">
        <v>334.26900000000006</v>
      </c>
      <c r="AE131" s="46">
        <v>122.53000000000003</v>
      </c>
      <c r="AF131" s="46">
        <v>367.57899999999995</v>
      </c>
      <c r="AG131" s="46">
        <v>237.62299999999999</v>
      </c>
      <c r="AH131" s="46">
        <v>251.68799999999999</v>
      </c>
      <c r="AI131" s="46">
        <v>237.02800000000013</v>
      </c>
      <c r="AJ131" s="46">
        <v>332.29</v>
      </c>
      <c r="AK131" s="46">
        <v>423.93900000000002</v>
      </c>
      <c r="AL131" s="46">
        <v>369.94700000000006</v>
      </c>
      <c r="AM131" s="46">
        <v>168.98300000000003</v>
      </c>
      <c r="AN131" s="46">
        <v>232.51499999999999</v>
      </c>
      <c r="AO131" s="46">
        <f t="shared" ref="AO131:AO194" si="4">AVERAGE(K131:AN131)</f>
        <v>287.57279999999997</v>
      </c>
      <c r="AP131" s="7">
        <f t="shared" ref="AP131:AP194" si="5">AO131/I131</f>
        <v>7.1893199999999995</v>
      </c>
    </row>
    <row r="132" spans="1:42" x14ac:dyDescent="0.3">
      <c r="A132" s="5">
        <v>131</v>
      </c>
      <c r="B132" s="107" t="s">
        <v>919</v>
      </c>
      <c r="C132" s="10"/>
      <c r="D132" s="39" t="s">
        <v>989</v>
      </c>
      <c r="E132" s="110" t="s">
        <v>128</v>
      </c>
      <c r="F132" s="6" t="s">
        <v>12</v>
      </c>
      <c r="G132" s="6" t="s">
        <v>977</v>
      </c>
      <c r="H132" s="6" t="s">
        <v>80</v>
      </c>
      <c r="I132" s="92">
        <v>1</v>
      </c>
      <c r="J132" s="12" t="s">
        <v>590</v>
      </c>
      <c r="K132" s="46">
        <v>0</v>
      </c>
      <c r="L132" s="46">
        <v>12.709999999999999</v>
      </c>
      <c r="M132" s="46">
        <v>47.04</v>
      </c>
      <c r="N132" s="46">
        <v>0.86</v>
      </c>
      <c r="O132" s="46">
        <v>51.29</v>
      </c>
      <c r="P132" s="46">
        <v>0</v>
      </c>
      <c r="Q132" s="46">
        <v>14.88</v>
      </c>
      <c r="R132" s="46">
        <v>18.570000000000004</v>
      </c>
      <c r="S132" s="46">
        <v>33.950000000000003</v>
      </c>
      <c r="T132" s="46">
        <v>1.7200000000000002</v>
      </c>
      <c r="U132" s="46">
        <v>34.700000000000003</v>
      </c>
      <c r="V132" s="46">
        <v>2.5</v>
      </c>
      <c r="W132" s="46">
        <v>0</v>
      </c>
      <c r="X132" s="46">
        <v>5.2099999999999991</v>
      </c>
      <c r="Y132" s="46">
        <v>0</v>
      </c>
      <c r="Z132" s="46">
        <v>46.309999999999995</v>
      </c>
      <c r="AA132" s="46">
        <v>45.49</v>
      </c>
      <c r="AB132" s="46">
        <v>33.29</v>
      </c>
      <c r="AC132" s="46">
        <v>37.9</v>
      </c>
      <c r="AD132" s="46">
        <v>27.79</v>
      </c>
      <c r="AE132" s="46">
        <v>32.200000000000003</v>
      </c>
      <c r="AF132" s="46">
        <v>22.2</v>
      </c>
      <c r="AG132" s="46">
        <v>64.149999999999991</v>
      </c>
      <c r="AH132" s="46">
        <v>8.5</v>
      </c>
      <c r="AI132" s="46">
        <v>0</v>
      </c>
      <c r="AJ132" s="46">
        <v>1.23</v>
      </c>
      <c r="AK132" s="46">
        <v>18.07</v>
      </c>
      <c r="AL132" s="46">
        <v>0</v>
      </c>
      <c r="AM132" s="46">
        <v>32.300000000000004</v>
      </c>
      <c r="AN132" s="46">
        <v>30.490000000000002</v>
      </c>
      <c r="AO132" s="46">
        <f t="shared" si="4"/>
        <v>20.778333333333332</v>
      </c>
      <c r="AP132" s="7">
        <f t="shared" si="5"/>
        <v>20.778333333333332</v>
      </c>
    </row>
    <row r="133" spans="1:42" x14ac:dyDescent="0.3">
      <c r="A133" s="5">
        <v>132</v>
      </c>
      <c r="B133" s="6" t="s">
        <v>1008</v>
      </c>
      <c r="C133" s="10"/>
      <c r="D133" s="39" t="s">
        <v>1009</v>
      </c>
      <c r="E133" s="6" t="s">
        <v>128</v>
      </c>
      <c r="F133" s="6" t="s">
        <v>12</v>
      </c>
      <c r="G133" s="6" t="s">
        <v>973</v>
      </c>
      <c r="H133" s="6" t="s">
        <v>80</v>
      </c>
      <c r="I133" s="92">
        <v>1</v>
      </c>
      <c r="J133" s="67" t="s">
        <v>160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46">
        <v>0</v>
      </c>
      <c r="AN133" s="46">
        <v>0</v>
      </c>
      <c r="AO133" s="46">
        <f t="shared" si="4"/>
        <v>0</v>
      </c>
      <c r="AP133" s="7">
        <f t="shared" si="5"/>
        <v>0</v>
      </c>
    </row>
    <row r="134" spans="1:42" x14ac:dyDescent="0.3">
      <c r="A134" s="5">
        <v>133</v>
      </c>
      <c r="B134" s="108" t="s">
        <v>221</v>
      </c>
      <c r="C134" s="112" t="s">
        <v>664</v>
      </c>
      <c r="D134" s="112" t="s">
        <v>795</v>
      </c>
      <c r="E134" s="110" t="s">
        <v>30</v>
      </c>
      <c r="F134" s="6" t="s">
        <v>12</v>
      </c>
      <c r="G134" s="6" t="s">
        <v>976</v>
      </c>
      <c r="H134" s="6" t="s">
        <v>35</v>
      </c>
      <c r="I134" s="5">
        <v>19</v>
      </c>
      <c r="J134" s="12" t="s">
        <v>589</v>
      </c>
      <c r="K134" s="46">
        <v>0.35499999999999998</v>
      </c>
      <c r="L134" s="46">
        <v>1.121</v>
      </c>
      <c r="M134" s="46">
        <v>1.222</v>
      </c>
      <c r="N134" s="46">
        <v>1.419</v>
      </c>
      <c r="O134" s="46">
        <v>1.304</v>
      </c>
      <c r="P134" s="46">
        <v>2.069</v>
      </c>
      <c r="Q134" s="46">
        <v>1.1870000000000001</v>
      </c>
      <c r="R134" s="46">
        <v>2.2709999999999999</v>
      </c>
      <c r="S134" s="46">
        <v>3.593</v>
      </c>
      <c r="T134" s="46">
        <v>2.4910000000000001</v>
      </c>
      <c r="U134" s="46">
        <v>1.8740000000000001</v>
      </c>
      <c r="V134" s="46">
        <v>0.48299999999999998</v>
      </c>
      <c r="W134" s="46">
        <v>2.4950000000000001</v>
      </c>
      <c r="X134" s="46">
        <v>3.6229999999999998</v>
      </c>
      <c r="Y134" s="46">
        <v>3.5650000000000004</v>
      </c>
      <c r="Z134" s="46">
        <v>3.9609999999999999</v>
      </c>
      <c r="AA134" s="46">
        <v>3.52</v>
      </c>
      <c r="AB134" s="46">
        <v>4.0540000000000003</v>
      </c>
      <c r="AC134" s="46">
        <v>3.2279999999999998</v>
      </c>
      <c r="AD134" s="46">
        <v>3.5430000000000001</v>
      </c>
      <c r="AE134" s="46">
        <v>4.2590000000000003</v>
      </c>
      <c r="AF134" s="46">
        <v>3.0819999999999999</v>
      </c>
      <c r="AG134" s="46">
        <v>3.5679999999999996</v>
      </c>
      <c r="AH134" s="46">
        <v>4.0350000000000001</v>
      </c>
      <c r="AI134" s="46">
        <v>3.8499999999999996</v>
      </c>
      <c r="AJ134" s="46">
        <v>4.7590000000000003</v>
      </c>
      <c r="AK134" s="46">
        <v>3.589</v>
      </c>
      <c r="AL134" s="46">
        <v>2.8</v>
      </c>
      <c r="AM134" s="46">
        <v>2.6920000000000002</v>
      </c>
      <c r="AN134" s="46">
        <v>6.7110000000000003</v>
      </c>
      <c r="AO134" s="46">
        <f t="shared" si="4"/>
        <v>2.8907666666666665</v>
      </c>
      <c r="AP134" s="7">
        <f t="shared" si="5"/>
        <v>0.15214561403508772</v>
      </c>
    </row>
    <row r="135" spans="1:42" ht="13.5" customHeight="1" x14ac:dyDescent="0.3">
      <c r="A135" s="5">
        <v>134</v>
      </c>
      <c r="B135" s="108" t="s">
        <v>222</v>
      </c>
      <c r="C135" s="112" t="s">
        <v>663</v>
      </c>
      <c r="D135" s="112" t="s">
        <v>796</v>
      </c>
      <c r="E135" s="110" t="s">
        <v>69</v>
      </c>
      <c r="F135" s="6" t="s">
        <v>12</v>
      </c>
      <c r="G135" s="6" t="s">
        <v>979</v>
      </c>
      <c r="H135" s="6" t="s">
        <v>35</v>
      </c>
      <c r="I135" s="5">
        <v>2</v>
      </c>
      <c r="J135" s="12" t="s">
        <v>160</v>
      </c>
      <c r="K135" s="46">
        <v>0</v>
      </c>
      <c r="L135" s="46">
        <v>33.843000000000004</v>
      </c>
      <c r="M135" s="46">
        <v>38.798000000000002</v>
      </c>
      <c r="N135" s="46">
        <v>0</v>
      </c>
      <c r="O135" s="46">
        <v>0</v>
      </c>
      <c r="P135" s="46">
        <v>52.050000000000004</v>
      </c>
      <c r="Q135" s="46">
        <v>0</v>
      </c>
      <c r="R135" s="46">
        <v>0.29699999999999999</v>
      </c>
      <c r="S135" s="46">
        <v>0</v>
      </c>
      <c r="T135" s="46">
        <v>40.255000000000003</v>
      </c>
      <c r="U135" s="46">
        <v>0</v>
      </c>
      <c r="V135" s="46">
        <v>0</v>
      </c>
      <c r="W135" s="46">
        <v>39.936</v>
      </c>
      <c r="X135" s="46">
        <v>27.193000000000001</v>
      </c>
      <c r="Y135" s="46">
        <v>0</v>
      </c>
      <c r="Z135" s="46">
        <v>50.941000000000003</v>
      </c>
      <c r="AA135" s="46">
        <v>0</v>
      </c>
      <c r="AB135" s="46">
        <v>12.304</v>
      </c>
      <c r="AC135" s="46">
        <v>0</v>
      </c>
      <c r="AD135" s="46">
        <v>0</v>
      </c>
      <c r="AE135" s="46">
        <v>6.3029999999999999</v>
      </c>
      <c r="AF135" s="46">
        <v>0</v>
      </c>
      <c r="AG135" s="46">
        <v>0</v>
      </c>
      <c r="AH135" s="46">
        <v>33.235999999999997</v>
      </c>
      <c r="AI135" s="46">
        <v>0</v>
      </c>
      <c r="AJ135" s="46">
        <v>35.423999999999999</v>
      </c>
      <c r="AK135" s="46">
        <v>0</v>
      </c>
      <c r="AL135" s="46">
        <v>2.2949999999999999</v>
      </c>
      <c r="AM135" s="46">
        <v>0</v>
      </c>
      <c r="AN135" s="46">
        <v>0</v>
      </c>
      <c r="AO135" s="46">
        <f t="shared" si="4"/>
        <v>12.429166666666665</v>
      </c>
      <c r="AP135" s="7">
        <f t="shared" si="5"/>
        <v>6.2145833333333327</v>
      </c>
    </row>
    <row r="136" spans="1:42" x14ac:dyDescent="0.3">
      <c r="A136" s="5">
        <v>135</v>
      </c>
      <c r="B136" s="108" t="s">
        <v>175</v>
      </c>
      <c r="C136" s="112" t="s">
        <v>665</v>
      </c>
      <c r="D136" s="112" t="s">
        <v>718</v>
      </c>
      <c r="E136" s="110" t="s">
        <v>128</v>
      </c>
      <c r="F136" s="6" t="s">
        <v>12</v>
      </c>
      <c r="G136" s="6" t="s">
        <v>976</v>
      </c>
      <c r="H136" s="6" t="s">
        <v>35</v>
      </c>
      <c r="I136" s="5">
        <v>6</v>
      </c>
      <c r="J136" s="12" t="s">
        <v>589</v>
      </c>
      <c r="K136" s="46">
        <v>9.3979999999999997</v>
      </c>
      <c r="L136" s="46">
        <v>1.3199999999999998</v>
      </c>
      <c r="M136" s="46">
        <v>2.6389999999999998</v>
      </c>
      <c r="N136" s="46">
        <v>11.346</v>
      </c>
      <c r="O136" s="46">
        <v>21.590999999999998</v>
      </c>
      <c r="P136" s="46">
        <v>0</v>
      </c>
      <c r="Q136" s="46">
        <v>0</v>
      </c>
      <c r="R136" s="46">
        <v>0</v>
      </c>
      <c r="S136" s="46">
        <v>17.725000000000001</v>
      </c>
      <c r="T136" s="46">
        <v>6.9350000000000005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0</v>
      </c>
      <c r="AM136" s="46">
        <v>0</v>
      </c>
      <c r="AN136" s="46">
        <v>0</v>
      </c>
      <c r="AO136" s="46">
        <f t="shared" si="4"/>
        <v>2.3651333333333335</v>
      </c>
      <c r="AP136" s="7">
        <f t="shared" si="5"/>
        <v>0.39418888888888892</v>
      </c>
    </row>
    <row r="137" spans="1:42" x14ac:dyDescent="0.3">
      <c r="A137" s="5">
        <v>136</v>
      </c>
      <c r="B137" s="108" t="s">
        <v>175</v>
      </c>
      <c r="C137" s="112" t="s">
        <v>666</v>
      </c>
      <c r="D137" s="112" t="s">
        <v>799</v>
      </c>
      <c r="E137" s="110" t="s">
        <v>128</v>
      </c>
      <c r="F137" s="6" t="s">
        <v>12</v>
      </c>
      <c r="G137" s="6" t="s">
        <v>971</v>
      </c>
      <c r="H137" s="6" t="s">
        <v>80</v>
      </c>
      <c r="I137" s="5">
        <v>1</v>
      </c>
      <c r="J137" s="67" t="s">
        <v>160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v>0</v>
      </c>
      <c r="AN137" s="46">
        <v>0</v>
      </c>
      <c r="AO137" s="46">
        <f t="shared" si="4"/>
        <v>0</v>
      </c>
      <c r="AP137" s="7">
        <f t="shared" si="5"/>
        <v>0</v>
      </c>
    </row>
    <row r="138" spans="1:42" x14ac:dyDescent="0.3">
      <c r="A138" s="5">
        <v>137</v>
      </c>
      <c r="B138" s="108" t="s">
        <v>175</v>
      </c>
      <c r="C138" s="112" t="s">
        <v>667</v>
      </c>
      <c r="D138" s="112" t="s">
        <v>798</v>
      </c>
      <c r="E138" s="110" t="s">
        <v>128</v>
      </c>
      <c r="F138" s="6" t="s">
        <v>12</v>
      </c>
      <c r="G138" s="6" t="s">
        <v>971</v>
      </c>
      <c r="H138" s="6" t="s">
        <v>80</v>
      </c>
      <c r="I138" s="5">
        <v>1</v>
      </c>
      <c r="J138" s="67" t="s">
        <v>160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46">
        <v>0</v>
      </c>
      <c r="AN138" s="46">
        <v>0</v>
      </c>
      <c r="AO138" s="46">
        <f t="shared" si="4"/>
        <v>0</v>
      </c>
      <c r="AP138" s="7">
        <f t="shared" si="5"/>
        <v>0</v>
      </c>
    </row>
    <row r="139" spans="1:42" x14ac:dyDescent="0.3">
      <c r="A139" s="5">
        <v>138</v>
      </c>
      <c r="B139" s="108" t="s">
        <v>175</v>
      </c>
      <c r="C139" s="112" t="s">
        <v>668</v>
      </c>
      <c r="D139" s="112" t="s">
        <v>797</v>
      </c>
      <c r="E139" s="110" t="s">
        <v>128</v>
      </c>
      <c r="F139" s="6" t="s">
        <v>12</v>
      </c>
      <c r="G139" s="6" t="s">
        <v>971</v>
      </c>
      <c r="H139" s="6" t="s">
        <v>80</v>
      </c>
      <c r="I139" s="5">
        <v>1</v>
      </c>
      <c r="J139" s="67" t="s">
        <v>160</v>
      </c>
      <c r="K139" s="46">
        <v>0</v>
      </c>
      <c r="L139" s="46">
        <v>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>
        <v>0</v>
      </c>
      <c r="AO139" s="46">
        <f t="shared" si="4"/>
        <v>0</v>
      </c>
      <c r="AP139" s="7">
        <f t="shared" si="5"/>
        <v>0</v>
      </c>
    </row>
    <row r="140" spans="1:42" x14ac:dyDescent="0.3">
      <c r="A140" s="5">
        <v>139</v>
      </c>
      <c r="B140" s="108" t="s">
        <v>565</v>
      </c>
      <c r="C140" s="10" t="s">
        <v>669</v>
      </c>
      <c r="D140" s="39" t="s">
        <v>764</v>
      </c>
      <c r="E140" s="110" t="s">
        <v>128</v>
      </c>
      <c r="F140" s="6" t="s">
        <v>12</v>
      </c>
      <c r="G140" s="6" t="s">
        <v>976</v>
      </c>
      <c r="H140" s="6" t="s">
        <v>35</v>
      </c>
      <c r="I140" s="5">
        <v>15</v>
      </c>
      <c r="J140" s="94" t="s">
        <v>273</v>
      </c>
      <c r="K140" s="46">
        <v>228.79099999999994</v>
      </c>
      <c r="L140" s="46">
        <v>284.23099999999999</v>
      </c>
      <c r="M140" s="46">
        <v>274.14200000000005</v>
      </c>
      <c r="N140" s="46">
        <v>217.61700000000005</v>
      </c>
      <c r="O140" s="46">
        <v>309.19599999999991</v>
      </c>
      <c r="P140" s="46">
        <v>246.34700000000004</v>
      </c>
      <c r="Q140" s="46">
        <v>329.66999999999996</v>
      </c>
      <c r="R140" s="46">
        <v>227.6279999999999</v>
      </c>
      <c r="S140" s="46">
        <v>222.35799999999992</v>
      </c>
      <c r="T140" s="46">
        <v>242.93599999999992</v>
      </c>
      <c r="U140" s="46">
        <v>197.70400000000004</v>
      </c>
      <c r="V140" s="46">
        <v>264.90799999999996</v>
      </c>
      <c r="W140" s="46">
        <v>266.4310000000001</v>
      </c>
      <c r="X140" s="46">
        <v>269.59399999999999</v>
      </c>
      <c r="Y140" s="46">
        <v>317.26100000000002</v>
      </c>
      <c r="Z140" s="46">
        <v>283.11999999999995</v>
      </c>
      <c r="AA140" s="46">
        <v>345.66899999999993</v>
      </c>
      <c r="AB140" s="46">
        <v>322.77000000000004</v>
      </c>
      <c r="AC140" s="46">
        <v>316.726</v>
      </c>
      <c r="AD140" s="46">
        <v>322.16600000000011</v>
      </c>
      <c r="AE140" s="46">
        <v>279.08900000000017</v>
      </c>
      <c r="AF140" s="46">
        <v>317.45300000000009</v>
      </c>
      <c r="AG140" s="46">
        <v>328.25500000000005</v>
      </c>
      <c r="AH140" s="46">
        <v>291.62800000000004</v>
      </c>
      <c r="AI140" s="46">
        <v>355.46600000000012</v>
      </c>
      <c r="AJ140" s="46">
        <v>322.46299999999991</v>
      </c>
      <c r="AK140" s="46">
        <v>312.82000000000011</v>
      </c>
      <c r="AL140" s="46">
        <v>336.87099999999998</v>
      </c>
      <c r="AM140" s="46">
        <v>364.1520000000001</v>
      </c>
      <c r="AN140" s="46">
        <v>308.53099999999995</v>
      </c>
      <c r="AO140" s="46">
        <f t="shared" si="4"/>
        <v>290.19976666666662</v>
      </c>
      <c r="AP140" s="7">
        <f t="shared" si="5"/>
        <v>19.346651111111107</v>
      </c>
    </row>
    <row r="141" spans="1:42" x14ac:dyDescent="0.3">
      <c r="A141" s="5">
        <v>140</v>
      </c>
      <c r="B141" s="108" t="s">
        <v>565</v>
      </c>
      <c r="C141" s="10" t="s">
        <v>669</v>
      </c>
      <c r="D141" s="39" t="s">
        <v>912</v>
      </c>
      <c r="E141" s="110" t="s">
        <v>128</v>
      </c>
      <c r="F141" s="6" t="s">
        <v>12</v>
      </c>
      <c r="G141" s="6" t="s">
        <v>971</v>
      </c>
      <c r="H141" s="6" t="s">
        <v>80</v>
      </c>
      <c r="I141" s="5">
        <v>1</v>
      </c>
      <c r="J141" s="94" t="s">
        <v>273</v>
      </c>
      <c r="K141" s="46">
        <v>5.92</v>
      </c>
      <c r="L141" s="46">
        <v>0.03</v>
      </c>
      <c r="M141" s="46">
        <v>0</v>
      </c>
      <c r="N141" s="46">
        <v>0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0.67</v>
      </c>
      <c r="Z141" s="46">
        <v>0</v>
      </c>
      <c r="AA141" s="46">
        <v>0</v>
      </c>
      <c r="AB141" s="46">
        <v>0</v>
      </c>
      <c r="AC141" s="46">
        <v>0</v>
      </c>
      <c r="AD141" s="46">
        <v>0</v>
      </c>
      <c r="AE141" s="46">
        <v>0</v>
      </c>
      <c r="AF141" s="46">
        <v>0.15</v>
      </c>
      <c r="AG141" s="46">
        <v>3.1999999999999997</v>
      </c>
      <c r="AH141" s="46">
        <v>0</v>
      </c>
      <c r="AI141" s="46">
        <v>0</v>
      </c>
      <c r="AJ141" s="46">
        <v>0</v>
      </c>
      <c r="AK141" s="46">
        <v>0</v>
      </c>
      <c r="AL141" s="46">
        <v>0</v>
      </c>
      <c r="AM141" s="46">
        <v>0</v>
      </c>
      <c r="AN141" s="46">
        <v>0</v>
      </c>
      <c r="AO141" s="46">
        <f t="shared" si="4"/>
        <v>0.33233333333333337</v>
      </c>
      <c r="AP141" s="7">
        <f t="shared" si="5"/>
        <v>0.33233333333333337</v>
      </c>
    </row>
    <row r="142" spans="1:42" ht="14.25" customHeight="1" x14ac:dyDescent="0.3">
      <c r="A142" s="5">
        <v>141</v>
      </c>
      <c r="B142" s="107" t="s">
        <v>65</v>
      </c>
      <c r="C142" s="10" t="s">
        <v>670</v>
      </c>
      <c r="D142" s="12" t="s">
        <v>732</v>
      </c>
      <c r="E142" s="110" t="s">
        <v>30</v>
      </c>
      <c r="F142" s="6" t="s">
        <v>12</v>
      </c>
      <c r="G142" s="6" t="s">
        <v>976</v>
      </c>
      <c r="H142" s="6" t="s">
        <v>35</v>
      </c>
      <c r="I142" s="5">
        <v>5</v>
      </c>
      <c r="J142" s="12" t="s">
        <v>589</v>
      </c>
      <c r="K142" s="46">
        <v>0</v>
      </c>
      <c r="L142" s="46">
        <v>0</v>
      </c>
      <c r="M142" s="46">
        <v>0</v>
      </c>
      <c r="N142" s="46">
        <v>0</v>
      </c>
      <c r="O142" s="46">
        <v>0.36199999999999999</v>
      </c>
      <c r="P142" s="46">
        <v>1.0999999999999999E-2</v>
      </c>
      <c r="Q142" s="46">
        <v>0.69099999999999995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3.1960000000000002</v>
      </c>
      <c r="X142" s="46">
        <v>0</v>
      </c>
      <c r="Y142" s="46">
        <v>0</v>
      </c>
      <c r="Z142" s="46">
        <v>2.7289999999999996</v>
      </c>
      <c r="AA142" s="46">
        <v>1.0900000000000001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0.90900000000000003</v>
      </c>
      <c r="AH142" s="46">
        <v>0</v>
      </c>
      <c r="AI142" s="46">
        <v>0</v>
      </c>
      <c r="AJ142" s="46">
        <v>0</v>
      </c>
      <c r="AK142" s="46">
        <v>0</v>
      </c>
      <c r="AL142" s="46">
        <v>0</v>
      </c>
      <c r="AM142" s="46">
        <v>0.20699999999999999</v>
      </c>
      <c r="AN142" s="46">
        <v>0</v>
      </c>
      <c r="AO142" s="46">
        <f t="shared" si="4"/>
        <v>0.30649999999999999</v>
      </c>
      <c r="AP142" s="7">
        <f t="shared" si="5"/>
        <v>6.13E-2</v>
      </c>
    </row>
    <row r="143" spans="1:42" x14ac:dyDescent="0.3">
      <c r="A143" s="5">
        <v>142</v>
      </c>
      <c r="B143" s="107" t="s">
        <v>65</v>
      </c>
      <c r="C143" s="10" t="s">
        <v>671</v>
      </c>
      <c r="D143" s="12" t="s">
        <v>723</v>
      </c>
      <c r="E143" s="110" t="s">
        <v>30</v>
      </c>
      <c r="F143" s="6" t="s">
        <v>12</v>
      </c>
      <c r="G143" s="6" t="s">
        <v>976</v>
      </c>
      <c r="H143" s="6" t="s">
        <v>35</v>
      </c>
      <c r="I143" s="5">
        <v>16</v>
      </c>
      <c r="J143" s="12" t="s">
        <v>589</v>
      </c>
      <c r="K143" s="46">
        <v>121.51899999999999</v>
      </c>
      <c r="L143" s="46">
        <v>154.39699999999999</v>
      </c>
      <c r="M143" s="46">
        <v>100.68299999999998</v>
      </c>
      <c r="N143" s="46">
        <v>116.806</v>
      </c>
      <c r="O143" s="46">
        <v>118.56300000000002</v>
      </c>
      <c r="P143" s="46">
        <v>116.68700000000001</v>
      </c>
      <c r="Q143" s="46">
        <v>89.564000000000007</v>
      </c>
      <c r="R143" s="46">
        <v>125.11499999999998</v>
      </c>
      <c r="S143" s="46">
        <v>49.148000000000003</v>
      </c>
      <c r="T143" s="46">
        <v>76.048000000000002</v>
      </c>
      <c r="U143" s="46">
        <v>74.073999999999998</v>
      </c>
      <c r="V143" s="46">
        <v>38.878</v>
      </c>
      <c r="W143" s="46">
        <v>47.150999999999996</v>
      </c>
      <c r="X143" s="46">
        <v>64.430000000000007</v>
      </c>
      <c r="Y143" s="46">
        <v>70.998000000000005</v>
      </c>
      <c r="Z143" s="46">
        <v>49.981999999999999</v>
      </c>
      <c r="AA143" s="46">
        <v>8.0869999999999997</v>
      </c>
      <c r="AB143" s="46">
        <v>6.976</v>
      </c>
      <c r="AC143" s="46">
        <v>13.328000000000001</v>
      </c>
      <c r="AD143" s="46">
        <v>32.82</v>
      </c>
      <c r="AE143" s="46">
        <v>29.742000000000001</v>
      </c>
      <c r="AF143" s="46">
        <v>42.3</v>
      </c>
      <c r="AG143" s="46">
        <v>41.987000000000002</v>
      </c>
      <c r="AH143" s="46">
        <v>21.179000000000002</v>
      </c>
      <c r="AI143" s="46">
        <v>31.100999999999999</v>
      </c>
      <c r="AJ143" s="46">
        <v>20.544</v>
      </c>
      <c r="AK143" s="46">
        <v>21.561</v>
      </c>
      <c r="AL143" s="46">
        <v>54.972999999999999</v>
      </c>
      <c r="AM143" s="46">
        <v>38.513000000000005</v>
      </c>
      <c r="AN143" s="46">
        <v>97.986999999999995</v>
      </c>
      <c r="AO143" s="46">
        <f t="shared" si="4"/>
        <v>62.5047</v>
      </c>
      <c r="AP143" s="7">
        <f t="shared" si="5"/>
        <v>3.90654375</v>
      </c>
    </row>
    <row r="144" spans="1:42" x14ac:dyDescent="0.3">
      <c r="A144" s="5">
        <v>143</v>
      </c>
      <c r="B144" s="107" t="s">
        <v>65</v>
      </c>
      <c r="C144" s="10" t="s">
        <v>672</v>
      </c>
      <c r="D144" s="12" t="s">
        <v>818</v>
      </c>
      <c r="E144" s="110" t="s">
        <v>30</v>
      </c>
      <c r="F144" s="6" t="s">
        <v>12</v>
      </c>
      <c r="G144" s="6" t="s">
        <v>976</v>
      </c>
      <c r="H144" s="6" t="s">
        <v>35</v>
      </c>
      <c r="I144" s="5">
        <v>10</v>
      </c>
      <c r="J144" s="12" t="s">
        <v>589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v>0</v>
      </c>
      <c r="AN144" s="46">
        <v>0</v>
      </c>
      <c r="AO144" s="46">
        <f t="shared" si="4"/>
        <v>0</v>
      </c>
      <c r="AP144" s="7">
        <f t="shared" si="5"/>
        <v>0</v>
      </c>
    </row>
    <row r="145" spans="1:42" x14ac:dyDescent="0.3">
      <c r="A145" s="5">
        <v>144</v>
      </c>
      <c r="B145" s="107" t="s">
        <v>65</v>
      </c>
      <c r="C145" s="10" t="s">
        <v>673</v>
      </c>
      <c r="D145" s="12" t="s">
        <v>719</v>
      </c>
      <c r="E145" s="110" t="s">
        <v>30</v>
      </c>
      <c r="F145" s="6" t="s">
        <v>12</v>
      </c>
      <c r="G145" s="6" t="s">
        <v>976</v>
      </c>
      <c r="H145" s="6" t="s">
        <v>35</v>
      </c>
      <c r="I145" s="5">
        <v>13</v>
      </c>
      <c r="J145" s="12" t="s">
        <v>589</v>
      </c>
      <c r="K145" s="46">
        <v>172.637</v>
      </c>
      <c r="L145" s="46">
        <v>149.06899999999999</v>
      </c>
      <c r="M145" s="46">
        <v>116.43199999999999</v>
      </c>
      <c r="N145" s="46">
        <v>125.26600000000001</v>
      </c>
      <c r="O145" s="46">
        <v>106.64099999999998</v>
      </c>
      <c r="P145" s="46">
        <v>111.76300000000001</v>
      </c>
      <c r="Q145" s="46">
        <v>114.22699999999999</v>
      </c>
      <c r="R145" s="46">
        <v>92.557000000000002</v>
      </c>
      <c r="S145" s="46">
        <v>118.94</v>
      </c>
      <c r="T145" s="46">
        <v>113.48099999999998</v>
      </c>
      <c r="U145" s="46">
        <v>98.018000000000001</v>
      </c>
      <c r="V145" s="46">
        <v>64.435999999999993</v>
      </c>
      <c r="W145" s="46">
        <v>74.833000000000013</v>
      </c>
      <c r="X145" s="46">
        <v>62.617999999999995</v>
      </c>
      <c r="Y145" s="46">
        <v>111.282</v>
      </c>
      <c r="Z145" s="46">
        <v>93.085999999999984</v>
      </c>
      <c r="AA145" s="46">
        <v>92.123000000000005</v>
      </c>
      <c r="AB145" s="46">
        <v>87.421999999999983</v>
      </c>
      <c r="AC145" s="46">
        <v>102.38900000000001</v>
      </c>
      <c r="AD145" s="46">
        <v>6.3410000000000002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>
        <v>0</v>
      </c>
      <c r="AK145" s="46">
        <v>0</v>
      </c>
      <c r="AL145" s="46">
        <v>0</v>
      </c>
      <c r="AM145" s="46">
        <v>0</v>
      </c>
      <c r="AN145" s="46">
        <v>0</v>
      </c>
      <c r="AO145" s="46">
        <f t="shared" si="4"/>
        <v>67.11869999999999</v>
      </c>
      <c r="AP145" s="7">
        <f t="shared" si="5"/>
        <v>5.162976923076922</v>
      </c>
    </row>
    <row r="146" spans="1:42" x14ac:dyDescent="0.3">
      <c r="A146" s="5">
        <v>145</v>
      </c>
      <c r="B146" s="107" t="s">
        <v>65</v>
      </c>
      <c r="C146" s="112" t="s">
        <v>941</v>
      </c>
      <c r="D146" s="112" t="s">
        <v>904</v>
      </c>
      <c r="E146" s="110" t="s">
        <v>128</v>
      </c>
      <c r="F146" s="6" t="s">
        <v>12</v>
      </c>
      <c r="G146" s="6" t="s">
        <v>976</v>
      </c>
      <c r="H146" s="6" t="s">
        <v>35</v>
      </c>
      <c r="I146" s="5">
        <v>15</v>
      </c>
      <c r="J146" s="94" t="s">
        <v>273</v>
      </c>
      <c r="K146" s="46">
        <v>394.48400000000004</v>
      </c>
      <c r="L146" s="46">
        <v>379.51999999999992</v>
      </c>
      <c r="M146" s="46">
        <v>357.47899999999998</v>
      </c>
      <c r="N146" s="46">
        <v>395.11400000000003</v>
      </c>
      <c r="O146" s="46">
        <v>334.02299999999997</v>
      </c>
      <c r="P146" s="46">
        <v>342.99599999999998</v>
      </c>
      <c r="Q146" s="46">
        <v>227.85400000000004</v>
      </c>
      <c r="R146" s="46">
        <v>424.02100000000002</v>
      </c>
      <c r="S146" s="46">
        <v>381.92300000000006</v>
      </c>
      <c r="T146" s="46">
        <v>362.0870000000001</v>
      </c>
      <c r="U146" s="46">
        <v>384.28199999999993</v>
      </c>
      <c r="V146" s="46">
        <v>499.12300000000016</v>
      </c>
      <c r="W146" s="46">
        <v>367.83800000000002</v>
      </c>
      <c r="X146" s="46">
        <v>416.505</v>
      </c>
      <c r="Y146" s="46">
        <v>381.18500000000012</v>
      </c>
      <c r="Z146" s="46">
        <v>361.98300000000006</v>
      </c>
      <c r="AA146" s="46">
        <v>380.37</v>
      </c>
      <c r="AB146" s="46">
        <v>428.23199999999974</v>
      </c>
      <c r="AC146" s="46">
        <v>354.08800000000002</v>
      </c>
      <c r="AD146" s="46">
        <v>317.01400000000007</v>
      </c>
      <c r="AE146" s="46">
        <v>321.51700000000011</v>
      </c>
      <c r="AF146" s="46">
        <v>318.53200000000004</v>
      </c>
      <c r="AG146" s="46">
        <v>395.23700000000002</v>
      </c>
      <c r="AH146" s="46">
        <v>332.74400000000014</v>
      </c>
      <c r="AI146" s="46">
        <v>307.02199999999999</v>
      </c>
      <c r="AJ146" s="46">
        <v>269.26700000000011</v>
      </c>
      <c r="AK146" s="46">
        <v>293.01299999999998</v>
      </c>
      <c r="AL146" s="46">
        <v>298.61999999999995</v>
      </c>
      <c r="AM146" s="46">
        <v>319.21100000000001</v>
      </c>
      <c r="AN146" s="46">
        <v>418.59200000000016</v>
      </c>
      <c r="AO146" s="46">
        <f t="shared" si="4"/>
        <v>358.79586666666677</v>
      </c>
      <c r="AP146" s="7">
        <f t="shared" si="5"/>
        <v>23.919724444444451</v>
      </c>
    </row>
    <row r="147" spans="1:42" x14ac:dyDescent="0.3">
      <c r="A147" s="5">
        <v>146</v>
      </c>
      <c r="B147" s="107" t="s">
        <v>65</v>
      </c>
      <c r="C147" s="10" t="s">
        <v>674</v>
      </c>
      <c r="D147" s="12" t="s">
        <v>730</v>
      </c>
      <c r="E147" s="110" t="s">
        <v>30</v>
      </c>
      <c r="F147" s="6" t="s">
        <v>12</v>
      </c>
      <c r="G147" s="6" t="s">
        <v>976</v>
      </c>
      <c r="H147" s="6" t="s">
        <v>35</v>
      </c>
      <c r="I147" s="5">
        <v>20</v>
      </c>
      <c r="J147" s="12" t="s">
        <v>589</v>
      </c>
      <c r="K147" s="46">
        <v>269.38600000000002</v>
      </c>
      <c r="L147" s="46">
        <v>394.97499999999997</v>
      </c>
      <c r="M147" s="46">
        <v>268.99899999999991</v>
      </c>
      <c r="N147" s="46">
        <v>230.83699999999999</v>
      </c>
      <c r="O147" s="46">
        <v>259.76900000000001</v>
      </c>
      <c r="P147" s="46">
        <v>218.85</v>
      </c>
      <c r="Q147" s="46">
        <v>250.98500000000004</v>
      </c>
      <c r="R147" s="46">
        <v>261.90400000000011</v>
      </c>
      <c r="S147" s="46">
        <v>255.04700000000003</v>
      </c>
      <c r="T147" s="46">
        <v>291.11700000000008</v>
      </c>
      <c r="U147" s="46">
        <v>267.20899999999995</v>
      </c>
      <c r="V147" s="46">
        <v>379.952</v>
      </c>
      <c r="W147" s="46">
        <v>257.40800000000002</v>
      </c>
      <c r="X147" s="46">
        <v>306.26100000000002</v>
      </c>
      <c r="Y147" s="46">
        <v>239.80899999999997</v>
      </c>
      <c r="Z147" s="46">
        <v>292.584</v>
      </c>
      <c r="AA147" s="46">
        <v>313.12199999999996</v>
      </c>
      <c r="AB147" s="46">
        <v>322.62100000000009</v>
      </c>
      <c r="AC147" s="46">
        <v>304.78400000000005</v>
      </c>
      <c r="AD147" s="46">
        <v>255.99800000000002</v>
      </c>
      <c r="AE147" s="46">
        <v>326.38899999999995</v>
      </c>
      <c r="AF147" s="46">
        <v>319.44599999999991</v>
      </c>
      <c r="AG147" s="46">
        <v>325.39199999999994</v>
      </c>
      <c r="AH147" s="46">
        <v>318.45500000000004</v>
      </c>
      <c r="AI147" s="46">
        <v>248.48499999999996</v>
      </c>
      <c r="AJ147" s="46">
        <v>300.30799999999999</v>
      </c>
      <c r="AK147" s="46">
        <v>275.95</v>
      </c>
      <c r="AL147" s="46">
        <v>292.92</v>
      </c>
      <c r="AM147" s="46">
        <v>315.67500000000001</v>
      </c>
      <c r="AN147" s="46">
        <v>293.90999999999991</v>
      </c>
      <c r="AO147" s="46">
        <f t="shared" si="4"/>
        <v>288.61823333333331</v>
      </c>
      <c r="AP147" s="7">
        <f t="shared" si="5"/>
        <v>14.430911666666665</v>
      </c>
    </row>
    <row r="148" spans="1:42" x14ac:dyDescent="0.3">
      <c r="A148" s="5">
        <v>147</v>
      </c>
      <c r="B148" s="107" t="s">
        <v>65</v>
      </c>
      <c r="C148" s="112" t="s">
        <v>942</v>
      </c>
      <c r="D148" s="112" t="s">
        <v>922</v>
      </c>
      <c r="E148" s="110" t="s">
        <v>30</v>
      </c>
      <c r="F148" s="6" t="s">
        <v>12</v>
      </c>
      <c r="G148" s="6" t="s">
        <v>971</v>
      </c>
      <c r="H148" s="6" t="s">
        <v>80</v>
      </c>
      <c r="I148" s="5">
        <v>2</v>
      </c>
      <c r="J148" s="12" t="s">
        <v>589</v>
      </c>
      <c r="K148" s="46">
        <v>0</v>
      </c>
      <c r="L148" s="46">
        <v>0</v>
      </c>
      <c r="M148" s="46">
        <v>0</v>
      </c>
      <c r="N148" s="46">
        <v>20.47</v>
      </c>
      <c r="O148" s="46">
        <v>42.77000000000001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8.6</v>
      </c>
      <c r="X148" s="46">
        <v>0</v>
      </c>
      <c r="Y148" s="46">
        <v>0</v>
      </c>
      <c r="Z148" s="46">
        <v>0</v>
      </c>
      <c r="AA148" s="46">
        <v>0</v>
      </c>
      <c r="AB148" s="46">
        <v>0</v>
      </c>
      <c r="AC148" s="46">
        <v>15.07</v>
      </c>
      <c r="AD148" s="46">
        <v>70.86999999999999</v>
      </c>
      <c r="AE148" s="46">
        <v>14.599999999999998</v>
      </c>
      <c r="AF148" s="46">
        <v>18.82</v>
      </c>
      <c r="AG148" s="46">
        <v>23.720000000000006</v>
      </c>
      <c r="AH148" s="46">
        <v>27.59</v>
      </c>
      <c r="AI148" s="46">
        <v>41.06</v>
      </c>
      <c r="AJ148" s="46">
        <v>38.309999999999995</v>
      </c>
      <c r="AK148" s="46">
        <v>50.46</v>
      </c>
      <c r="AL148" s="46">
        <v>49.360000000000007</v>
      </c>
      <c r="AM148" s="46">
        <v>77.11999999999999</v>
      </c>
      <c r="AN148" s="46">
        <v>10.209999999999997</v>
      </c>
      <c r="AO148" s="46">
        <f t="shared" si="4"/>
        <v>16.967666666666663</v>
      </c>
      <c r="AP148" s="7">
        <f t="shared" si="5"/>
        <v>8.4838333333333313</v>
      </c>
    </row>
    <row r="149" spans="1:42" x14ac:dyDescent="0.3">
      <c r="A149" s="5">
        <v>148</v>
      </c>
      <c r="B149" s="107" t="s">
        <v>65</v>
      </c>
      <c r="C149" s="10" t="s">
        <v>675</v>
      </c>
      <c r="D149" s="12" t="s">
        <v>800</v>
      </c>
      <c r="E149" s="110" t="s">
        <v>30</v>
      </c>
      <c r="F149" s="6" t="s">
        <v>12</v>
      </c>
      <c r="G149" s="6" t="s">
        <v>976</v>
      </c>
      <c r="H149" s="6" t="s">
        <v>35</v>
      </c>
      <c r="I149" s="5">
        <v>1</v>
      </c>
      <c r="J149" s="12" t="s">
        <v>160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>
        <v>0</v>
      </c>
      <c r="AL149" s="46">
        <v>0</v>
      </c>
      <c r="AM149" s="46">
        <v>0</v>
      </c>
      <c r="AN149" s="46">
        <v>0</v>
      </c>
      <c r="AO149" s="46">
        <f t="shared" si="4"/>
        <v>0</v>
      </c>
      <c r="AP149" s="7">
        <f t="shared" si="5"/>
        <v>0</v>
      </c>
    </row>
    <row r="150" spans="1:42" x14ac:dyDescent="0.3">
      <c r="A150" s="5">
        <v>149</v>
      </c>
      <c r="B150" s="107" t="s">
        <v>65</v>
      </c>
      <c r="C150" s="10" t="s">
        <v>676</v>
      </c>
      <c r="D150" s="12" t="s">
        <v>801</v>
      </c>
      <c r="E150" s="110" t="s">
        <v>30</v>
      </c>
      <c r="F150" s="6" t="s">
        <v>12</v>
      </c>
      <c r="G150" s="6" t="s">
        <v>976</v>
      </c>
      <c r="H150" s="6" t="s">
        <v>35</v>
      </c>
      <c r="I150" s="5">
        <v>1</v>
      </c>
      <c r="J150" s="12" t="s">
        <v>160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J150" s="46">
        <v>0</v>
      </c>
      <c r="AK150" s="46">
        <v>0</v>
      </c>
      <c r="AL150" s="46">
        <v>0</v>
      </c>
      <c r="AM150" s="46">
        <v>0</v>
      </c>
      <c r="AN150" s="46">
        <v>0</v>
      </c>
      <c r="AO150" s="46">
        <f t="shared" si="4"/>
        <v>0</v>
      </c>
      <c r="AP150" s="7">
        <f t="shared" si="5"/>
        <v>0</v>
      </c>
    </row>
    <row r="151" spans="1:42" x14ac:dyDescent="0.3">
      <c r="A151" s="5">
        <v>150</v>
      </c>
      <c r="B151" s="107" t="s">
        <v>65</v>
      </c>
      <c r="C151" s="10" t="s">
        <v>677</v>
      </c>
      <c r="D151" s="12" t="s">
        <v>990</v>
      </c>
      <c r="E151" s="110" t="s">
        <v>128</v>
      </c>
      <c r="F151" s="6" t="s">
        <v>12</v>
      </c>
      <c r="G151" s="6" t="s">
        <v>979</v>
      </c>
      <c r="H151" s="6" t="s">
        <v>35</v>
      </c>
      <c r="I151" s="5">
        <v>2</v>
      </c>
      <c r="J151" s="67" t="s">
        <v>160</v>
      </c>
      <c r="K151" s="46">
        <v>0</v>
      </c>
      <c r="L151" s="46">
        <v>0</v>
      </c>
      <c r="M151" s="46">
        <v>2.3860000000000001</v>
      </c>
      <c r="N151" s="46">
        <v>0</v>
      </c>
      <c r="O151" s="46">
        <v>9.0489999999999995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8.9550000000000001</v>
      </c>
      <c r="W151" s="46">
        <v>29.387</v>
      </c>
      <c r="X151" s="46">
        <v>43.082000000000001</v>
      </c>
      <c r="Y151" s="46">
        <v>28.58</v>
      </c>
      <c r="Z151" s="46">
        <v>25.288</v>
      </c>
      <c r="AA151" s="46">
        <v>0</v>
      </c>
      <c r="AB151" s="46">
        <v>0</v>
      </c>
      <c r="AC151" s="46">
        <v>29.36</v>
      </c>
      <c r="AD151" s="46">
        <v>9.5459999999999994</v>
      </c>
      <c r="AE151" s="46">
        <v>47.606999999999999</v>
      </c>
      <c r="AF151" s="46">
        <v>0</v>
      </c>
      <c r="AG151" s="46">
        <v>0</v>
      </c>
      <c r="AH151" s="46">
        <v>0</v>
      </c>
      <c r="AI151" s="46">
        <v>32.151000000000003</v>
      </c>
      <c r="AJ151" s="46">
        <v>0</v>
      </c>
      <c r="AK151" s="46">
        <v>0</v>
      </c>
      <c r="AL151" s="46">
        <v>9.2349999999999994</v>
      </c>
      <c r="AM151" s="46">
        <v>35.616999999999997</v>
      </c>
      <c r="AN151" s="46">
        <v>0</v>
      </c>
      <c r="AO151" s="46">
        <f t="shared" si="4"/>
        <v>10.341433333333333</v>
      </c>
      <c r="AP151" s="7">
        <f t="shared" si="5"/>
        <v>5.1707166666666664</v>
      </c>
    </row>
    <row r="152" spans="1:42" ht="15.75" customHeight="1" x14ac:dyDescent="0.3">
      <c r="A152" s="5">
        <v>151</v>
      </c>
      <c r="B152" s="107" t="s">
        <v>65</v>
      </c>
      <c r="C152" s="10" t="s">
        <v>678</v>
      </c>
      <c r="D152" s="12" t="s">
        <v>803</v>
      </c>
      <c r="E152" s="110"/>
      <c r="F152" s="6" t="s">
        <v>130</v>
      </c>
      <c r="G152" s="6" t="s">
        <v>976</v>
      </c>
      <c r="H152" s="6" t="s">
        <v>35</v>
      </c>
      <c r="I152" s="5">
        <v>2</v>
      </c>
      <c r="J152" s="12" t="s">
        <v>590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f t="shared" si="4"/>
        <v>0</v>
      </c>
      <c r="AP152" s="7">
        <f t="shared" si="5"/>
        <v>0</v>
      </c>
    </row>
    <row r="153" spans="1:42" x14ac:dyDescent="0.3">
      <c r="A153" s="5">
        <v>152</v>
      </c>
      <c r="B153" s="107" t="s">
        <v>65</v>
      </c>
      <c r="C153" s="10" t="s">
        <v>679</v>
      </c>
      <c r="D153" s="12" t="s">
        <v>737</v>
      </c>
      <c r="E153" s="110" t="s">
        <v>128</v>
      </c>
      <c r="F153" s="6" t="s">
        <v>19</v>
      </c>
      <c r="G153" s="6" t="s">
        <v>976</v>
      </c>
      <c r="H153" s="6" t="s">
        <v>35</v>
      </c>
      <c r="I153" s="5">
        <v>6</v>
      </c>
      <c r="J153" s="12" t="s">
        <v>590</v>
      </c>
      <c r="K153" s="46">
        <v>9.0690000000000008</v>
      </c>
      <c r="L153" s="46">
        <v>18.512</v>
      </c>
      <c r="M153" s="46">
        <v>5.8420000000000005</v>
      </c>
      <c r="N153" s="46">
        <v>20.588999999999999</v>
      </c>
      <c r="O153" s="46">
        <v>0</v>
      </c>
      <c r="P153" s="46">
        <v>0</v>
      </c>
      <c r="Q153" s="46">
        <v>11.225000000000001</v>
      </c>
      <c r="R153" s="46">
        <v>9.7539999999999996</v>
      </c>
      <c r="S153" s="46">
        <v>16.234000000000002</v>
      </c>
      <c r="T153" s="46">
        <v>4.3999999999999995</v>
      </c>
      <c r="U153" s="46">
        <v>33.603999999999999</v>
      </c>
      <c r="V153" s="46">
        <v>0</v>
      </c>
      <c r="W153" s="46">
        <v>0</v>
      </c>
      <c r="X153" s="46">
        <v>0</v>
      </c>
      <c r="Y153" s="46">
        <v>17.202000000000002</v>
      </c>
      <c r="Z153" s="46">
        <v>11.273</v>
      </c>
      <c r="AA153" s="46">
        <v>17.783000000000001</v>
      </c>
      <c r="AB153" s="46">
        <v>1.9E-2</v>
      </c>
      <c r="AC153" s="46">
        <v>0</v>
      </c>
      <c r="AD153" s="46">
        <v>0</v>
      </c>
      <c r="AE153" s="46">
        <v>11.594999999999999</v>
      </c>
      <c r="AF153" s="46">
        <v>15.035</v>
      </c>
      <c r="AG153" s="46">
        <v>14.728</v>
      </c>
      <c r="AH153" s="46">
        <v>17.832000000000001</v>
      </c>
      <c r="AI153" s="46">
        <v>24.239999999999995</v>
      </c>
      <c r="AJ153" s="46">
        <v>0</v>
      </c>
      <c r="AK153" s="46">
        <v>0</v>
      </c>
      <c r="AL153" s="46">
        <v>12.374000000000001</v>
      </c>
      <c r="AM153" s="46">
        <v>22.734999999999999</v>
      </c>
      <c r="AN153" s="46">
        <v>32.944000000000003</v>
      </c>
      <c r="AO153" s="46">
        <f t="shared" si="4"/>
        <v>10.899633333333334</v>
      </c>
      <c r="AP153" s="7">
        <f t="shared" si="5"/>
        <v>1.8166055555555556</v>
      </c>
    </row>
    <row r="154" spans="1:42" x14ac:dyDescent="0.3">
      <c r="A154" s="5">
        <v>153</v>
      </c>
      <c r="B154" s="107" t="s">
        <v>65</v>
      </c>
      <c r="C154" s="10" t="s">
        <v>680</v>
      </c>
      <c r="D154" s="12" t="s">
        <v>751</v>
      </c>
      <c r="E154" s="110" t="s">
        <v>128</v>
      </c>
      <c r="F154" s="6" t="s">
        <v>12</v>
      </c>
      <c r="G154" s="6" t="s">
        <v>976</v>
      </c>
      <c r="H154" s="6" t="s">
        <v>35</v>
      </c>
      <c r="I154" s="5">
        <v>20</v>
      </c>
      <c r="J154" s="94" t="s">
        <v>273</v>
      </c>
      <c r="K154" s="46">
        <v>204.916</v>
      </c>
      <c r="L154" s="46">
        <v>195.91099999999997</v>
      </c>
      <c r="M154" s="46">
        <v>185.24199999999999</v>
      </c>
      <c r="N154" s="46">
        <v>181.31900000000005</v>
      </c>
      <c r="O154" s="46">
        <v>217.59699999999995</v>
      </c>
      <c r="P154" s="46">
        <v>172.61600000000004</v>
      </c>
      <c r="Q154" s="46">
        <v>206.01499999999996</v>
      </c>
      <c r="R154" s="46">
        <v>189.81299999999999</v>
      </c>
      <c r="S154" s="46">
        <v>180.95299999999995</v>
      </c>
      <c r="T154" s="46">
        <v>219.51</v>
      </c>
      <c r="U154" s="46">
        <v>192.108</v>
      </c>
      <c r="V154" s="46">
        <v>165.99799999999996</v>
      </c>
      <c r="W154" s="46">
        <v>232.52499999999995</v>
      </c>
      <c r="X154" s="46">
        <v>221.51500000000001</v>
      </c>
      <c r="Y154" s="46">
        <v>39.695</v>
      </c>
      <c r="Z154" s="46">
        <v>110.75399999999999</v>
      </c>
      <c r="AA154" s="46">
        <v>161.48700000000002</v>
      </c>
      <c r="AB154" s="46">
        <v>175.48699999999999</v>
      </c>
      <c r="AC154" s="46">
        <v>209.18600000000004</v>
      </c>
      <c r="AD154" s="46">
        <v>155.64699999999999</v>
      </c>
      <c r="AE154" s="46">
        <v>193.62499999999997</v>
      </c>
      <c r="AF154" s="46">
        <v>197.37299999999999</v>
      </c>
      <c r="AG154" s="46">
        <v>161.351</v>
      </c>
      <c r="AH154" s="46">
        <v>180.37599999999998</v>
      </c>
      <c r="AI154" s="46">
        <v>169.13800000000001</v>
      </c>
      <c r="AJ154" s="46">
        <v>115.66700000000003</v>
      </c>
      <c r="AK154" s="46">
        <v>156.87299999999996</v>
      </c>
      <c r="AL154" s="46">
        <v>133.67799999999997</v>
      </c>
      <c r="AM154" s="46">
        <v>161.38800000000001</v>
      </c>
      <c r="AN154" s="46">
        <v>93.832999999999984</v>
      </c>
      <c r="AO154" s="46">
        <f t="shared" si="4"/>
        <v>172.71986666666666</v>
      </c>
      <c r="AP154" s="7">
        <f t="shared" si="5"/>
        <v>8.6359933333333334</v>
      </c>
    </row>
    <row r="155" spans="1:42" x14ac:dyDescent="0.3">
      <c r="A155" s="5">
        <v>154</v>
      </c>
      <c r="B155" s="107" t="s">
        <v>65</v>
      </c>
      <c r="C155" s="112" t="s">
        <v>945</v>
      </c>
      <c r="D155" s="112" t="s">
        <v>946</v>
      </c>
      <c r="E155" s="110" t="s">
        <v>128</v>
      </c>
      <c r="F155" s="6" t="s">
        <v>12</v>
      </c>
      <c r="G155" s="6" t="s">
        <v>979</v>
      </c>
      <c r="H155" s="6" t="s">
        <v>35</v>
      </c>
      <c r="I155" s="5">
        <v>1</v>
      </c>
      <c r="J155" s="67" t="s">
        <v>160</v>
      </c>
      <c r="K155" s="46">
        <v>13.855999999999998</v>
      </c>
      <c r="L155" s="46">
        <v>16.454000000000001</v>
      </c>
      <c r="M155" s="46">
        <v>18.484999999999999</v>
      </c>
      <c r="N155" s="46">
        <v>16.821000000000002</v>
      </c>
      <c r="O155" s="46">
        <v>18.949000000000002</v>
      </c>
      <c r="P155" s="46">
        <v>14.557</v>
      </c>
      <c r="Q155" s="46">
        <v>20.292999999999999</v>
      </c>
      <c r="R155" s="46">
        <v>15.036</v>
      </c>
      <c r="S155" s="46">
        <v>21.91</v>
      </c>
      <c r="T155" s="46">
        <v>22.399000000000001</v>
      </c>
      <c r="U155" s="46">
        <v>14.876999999999999</v>
      </c>
      <c r="V155" s="46">
        <v>21.003999999999998</v>
      </c>
      <c r="W155" s="46">
        <v>20.131999999999998</v>
      </c>
      <c r="X155" s="46">
        <v>22.483000000000001</v>
      </c>
      <c r="Y155" s="46">
        <v>3.4</v>
      </c>
      <c r="Z155" s="46">
        <v>31.624000000000002</v>
      </c>
      <c r="AA155" s="46">
        <v>26.839999999999996</v>
      </c>
      <c r="AB155" s="46">
        <v>30.497999999999998</v>
      </c>
      <c r="AC155" s="46">
        <v>15.343999999999999</v>
      </c>
      <c r="AD155" s="46">
        <v>22.850999999999999</v>
      </c>
      <c r="AE155" s="46">
        <v>22.715999999999998</v>
      </c>
      <c r="AF155" s="46">
        <v>30.113</v>
      </c>
      <c r="AG155" s="46">
        <v>15.741999999999999</v>
      </c>
      <c r="AH155" s="46">
        <v>28.918999999999997</v>
      </c>
      <c r="AI155" s="46">
        <v>8.5640000000000001</v>
      </c>
      <c r="AJ155" s="46">
        <v>24.493000000000002</v>
      </c>
      <c r="AK155" s="46">
        <v>18.616</v>
      </c>
      <c r="AL155" s="46">
        <v>23.884999999999998</v>
      </c>
      <c r="AM155" s="46">
        <v>15.323</v>
      </c>
      <c r="AN155" s="46">
        <v>20.413</v>
      </c>
      <c r="AO155" s="46">
        <f t="shared" si="4"/>
        <v>19.886566666666667</v>
      </c>
      <c r="AP155" s="7">
        <f t="shared" si="5"/>
        <v>19.886566666666667</v>
      </c>
    </row>
    <row r="156" spans="1:42" x14ac:dyDescent="0.3">
      <c r="A156" s="5">
        <v>155</v>
      </c>
      <c r="B156" s="107" t="s">
        <v>65</v>
      </c>
      <c r="C156" s="112" t="s">
        <v>945</v>
      </c>
      <c r="D156" s="112" t="s">
        <v>946</v>
      </c>
      <c r="E156" s="110" t="s">
        <v>128</v>
      </c>
      <c r="F156" s="6" t="s">
        <v>12</v>
      </c>
      <c r="G156" s="6" t="s">
        <v>971</v>
      </c>
      <c r="H156" s="6" t="s">
        <v>80</v>
      </c>
      <c r="I156" s="5">
        <v>1</v>
      </c>
      <c r="J156" s="12" t="s">
        <v>589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0.74</v>
      </c>
      <c r="AF156" s="46">
        <v>0</v>
      </c>
      <c r="AG156" s="46">
        <v>0</v>
      </c>
      <c r="AH156" s="46">
        <v>0</v>
      </c>
      <c r="AI156" s="59">
        <v>0</v>
      </c>
      <c r="AJ156" s="59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f t="shared" si="4"/>
        <v>2.4666666666666667E-2</v>
      </c>
      <c r="AP156" s="7">
        <f t="shared" si="5"/>
        <v>2.4666666666666667E-2</v>
      </c>
    </row>
    <row r="157" spans="1:42" x14ac:dyDescent="0.3">
      <c r="A157" s="5">
        <v>156</v>
      </c>
      <c r="B157" s="107" t="s">
        <v>65</v>
      </c>
      <c r="C157" s="112" t="s">
        <v>701</v>
      </c>
      <c r="D157" s="112" t="s">
        <v>938</v>
      </c>
      <c r="E157" s="110" t="s">
        <v>128</v>
      </c>
      <c r="F157" s="6" t="s">
        <v>12</v>
      </c>
      <c r="G157" s="6" t="s">
        <v>976</v>
      </c>
      <c r="H157" s="6" t="s">
        <v>35</v>
      </c>
      <c r="I157" s="5">
        <v>5</v>
      </c>
      <c r="J157" s="12" t="s">
        <v>589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59">
        <v>0</v>
      </c>
      <c r="W157" s="59">
        <v>0</v>
      </c>
      <c r="X157" s="59">
        <v>0</v>
      </c>
      <c r="Y157" s="59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f t="shared" si="4"/>
        <v>0</v>
      </c>
      <c r="AP157" s="7">
        <f t="shared" si="5"/>
        <v>0</v>
      </c>
    </row>
    <row r="158" spans="1:42" x14ac:dyDescent="0.3">
      <c r="A158" s="5">
        <v>157</v>
      </c>
      <c r="B158" s="107" t="s">
        <v>65</v>
      </c>
      <c r="C158" s="10" t="s">
        <v>681</v>
      </c>
      <c r="D158" s="12" t="s">
        <v>757</v>
      </c>
      <c r="E158" s="110" t="s">
        <v>128</v>
      </c>
      <c r="F158" s="6" t="s">
        <v>12</v>
      </c>
      <c r="G158" s="6" t="s">
        <v>976</v>
      </c>
      <c r="H158" s="6" t="s">
        <v>35</v>
      </c>
      <c r="I158" s="5">
        <v>15</v>
      </c>
      <c r="J158" s="94" t="s">
        <v>273</v>
      </c>
      <c r="K158" s="46">
        <v>176.90200000000002</v>
      </c>
      <c r="L158" s="46">
        <v>196.88200000000001</v>
      </c>
      <c r="M158" s="46">
        <v>237.86900000000003</v>
      </c>
      <c r="N158" s="46">
        <v>199.04599999999996</v>
      </c>
      <c r="O158" s="46">
        <v>200.78</v>
      </c>
      <c r="P158" s="46">
        <v>196.81299999999999</v>
      </c>
      <c r="Q158" s="46">
        <v>191.751</v>
      </c>
      <c r="R158" s="46">
        <v>181.04500000000002</v>
      </c>
      <c r="S158" s="46">
        <v>181.5</v>
      </c>
      <c r="T158" s="46">
        <v>216.33300000000003</v>
      </c>
      <c r="U158" s="46">
        <v>240.48800000000003</v>
      </c>
      <c r="V158" s="46">
        <v>281.21799999999996</v>
      </c>
      <c r="W158" s="46">
        <v>256.88100000000009</v>
      </c>
      <c r="X158" s="46">
        <v>234.57200000000009</v>
      </c>
      <c r="Y158" s="46">
        <v>261.27799999999991</v>
      </c>
      <c r="Z158" s="46">
        <v>227.66700000000003</v>
      </c>
      <c r="AA158" s="46">
        <v>252.999</v>
      </c>
      <c r="AB158" s="46">
        <v>217.67499999999995</v>
      </c>
      <c r="AC158" s="46">
        <v>255.97800000000007</v>
      </c>
      <c r="AD158" s="46">
        <v>298.25099999999998</v>
      </c>
      <c r="AE158" s="46">
        <v>277.85099999999994</v>
      </c>
      <c r="AF158" s="46">
        <v>253.85300000000001</v>
      </c>
      <c r="AG158" s="46">
        <v>252.46199999999999</v>
      </c>
      <c r="AH158" s="46">
        <v>238.50300000000004</v>
      </c>
      <c r="AI158" s="46">
        <v>226.32300000000001</v>
      </c>
      <c r="AJ158" s="46">
        <v>229.59900000000007</v>
      </c>
      <c r="AK158" s="46">
        <v>275.24300000000005</v>
      </c>
      <c r="AL158" s="46">
        <v>255.96899999999999</v>
      </c>
      <c r="AM158" s="46">
        <v>250.08999999999997</v>
      </c>
      <c r="AN158" s="46">
        <v>245.79900000000006</v>
      </c>
      <c r="AO158" s="46">
        <f t="shared" si="4"/>
        <v>233.72066666666666</v>
      </c>
      <c r="AP158" s="7">
        <f t="shared" si="5"/>
        <v>15.581377777777778</v>
      </c>
    </row>
    <row r="159" spans="1:42" x14ac:dyDescent="0.3">
      <c r="A159" s="5">
        <v>158</v>
      </c>
      <c r="B159" s="107" t="s">
        <v>65</v>
      </c>
      <c r="C159" s="112" t="s">
        <v>943</v>
      </c>
      <c r="D159" s="112" t="s">
        <v>944</v>
      </c>
      <c r="E159" s="110" t="s">
        <v>128</v>
      </c>
      <c r="F159" s="6" t="s">
        <v>12</v>
      </c>
      <c r="G159" s="6" t="s">
        <v>971</v>
      </c>
      <c r="H159" s="6" t="s">
        <v>80</v>
      </c>
      <c r="I159" s="5">
        <v>1</v>
      </c>
      <c r="J159" s="94" t="s">
        <v>273</v>
      </c>
      <c r="K159" s="46">
        <v>8.9700000000000006</v>
      </c>
      <c r="L159" s="46">
        <v>8.75</v>
      </c>
      <c r="M159" s="46">
        <v>0</v>
      </c>
      <c r="N159" s="46">
        <v>0</v>
      </c>
      <c r="O159" s="46">
        <v>0</v>
      </c>
      <c r="P159" s="46">
        <v>15.02</v>
      </c>
      <c r="Q159" s="46">
        <v>5.22</v>
      </c>
      <c r="R159" s="46">
        <v>5.66</v>
      </c>
      <c r="S159" s="46">
        <v>0</v>
      </c>
      <c r="T159" s="46">
        <v>0</v>
      </c>
      <c r="U159" s="46">
        <v>1.26</v>
      </c>
      <c r="V159" s="46">
        <v>3.06</v>
      </c>
      <c r="W159" s="46">
        <v>8.61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f t="shared" si="4"/>
        <v>1.8849999999999996</v>
      </c>
      <c r="AP159" s="7">
        <f t="shared" si="5"/>
        <v>1.8849999999999996</v>
      </c>
    </row>
    <row r="160" spans="1:42" x14ac:dyDescent="0.3">
      <c r="A160" s="5">
        <v>159</v>
      </c>
      <c r="B160" s="107" t="s">
        <v>65</v>
      </c>
      <c r="C160" s="10" t="s">
        <v>682</v>
      </c>
      <c r="D160" s="12" t="s">
        <v>744</v>
      </c>
      <c r="E160" s="110" t="s">
        <v>128</v>
      </c>
      <c r="F160" s="6" t="s">
        <v>12</v>
      </c>
      <c r="G160" s="6" t="s">
        <v>976</v>
      </c>
      <c r="H160" s="6" t="s">
        <v>35</v>
      </c>
      <c r="I160" s="5">
        <v>4</v>
      </c>
      <c r="J160" s="12" t="s">
        <v>160</v>
      </c>
      <c r="K160" s="46">
        <v>0</v>
      </c>
      <c r="L160" s="46">
        <v>0</v>
      </c>
      <c r="M160" s="46">
        <v>0.87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1.3109999999999999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1.9E-2</v>
      </c>
      <c r="AM160" s="46">
        <v>0</v>
      </c>
      <c r="AN160" s="46">
        <v>0</v>
      </c>
      <c r="AO160" s="46">
        <f t="shared" si="4"/>
        <v>7.3333333333333334E-2</v>
      </c>
      <c r="AP160" s="7">
        <f t="shared" si="5"/>
        <v>1.8333333333333333E-2</v>
      </c>
    </row>
    <row r="161" spans="1:42" x14ac:dyDescent="0.3">
      <c r="A161" s="5">
        <v>160</v>
      </c>
      <c r="B161" s="107" t="s">
        <v>65</v>
      </c>
      <c r="C161" s="10" t="s">
        <v>682</v>
      </c>
      <c r="D161" s="12" t="s">
        <v>744</v>
      </c>
      <c r="E161" s="110" t="s">
        <v>128</v>
      </c>
      <c r="F161" s="6" t="s">
        <v>12</v>
      </c>
      <c r="G161" s="6" t="s">
        <v>979</v>
      </c>
      <c r="H161" s="6" t="s">
        <v>35</v>
      </c>
      <c r="I161" s="5">
        <v>2</v>
      </c>
      <c r="J161" s="12" t="s">
        <v>160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f t="shared" si="4"/>
        <v>0</v>
      </c>
      <c r="AP161" s="7">
        <f t="shared" si="5"/>
        <v>0</v>
      </c>
    </row>
    <row r="162" spans="1:42" x14ac:dyDescent="0.3">
      <c r="A162" s="5">
        <v>161</v>
      </c>
      <c r="B162" s="107" t="s">
        <v>65</v>
      </c>
      <c r="C162" s="5" t="s">
        <v>702</v>
      </c>
      <c r="D162" s="12" t="s">
        <v>734</v>
      </c>
      <c r="E162" s="110" t="s">
        <v>236</v>
      </c>
      <c r="F162" s="6" t="s">
        <v>12</v>
      </c>
      <c r="G162" s="6" t="s">
        <v>976</v>
      </c>
      <c r="H162" s="6" t="s">
        <v>35</v>
      </c>
      <c r="I162" s="5">
        <v>2</v>
      </c>
      <c r="J162" s="67" t="s">
        <v>160</v>
      </c>
      <c r="K162" s="46">
        <v>1.8280000000000001</v>
      </c>
      <c r="L162" s="46">
        <v>0</v>
      </c>
      <c r="M162" s="46">
        <v>1.431</v>
      </c>
      <c r="N162" s="46">
        <v>0.16300000000000001</v>
      </c>
      <c r="O162" s="46">
        <v>0</v>
      </c>
      <c r="P162" s="46">
        <v>0</v>
      </c>
      <c r="Q162" s="46">
        <v>0</v>
      </c>
      <c r="R162" s="46">
        <v>0.79900000000000004</v>
      </c>
      <c r="S162" s="46">
        <v>0</v>
      </c>
      <c r="T162" s="46">
        <v>0</v>
      </c>
      <c r="U162" s="46">
        <v>8.1000000000000003E-2</v>
      </c>
      <c r="V162" s="46">
        <v>0</v>
      </c>
      <c r="W162" s="46">
        <v>7.8840000000000003</v>
      </c>
      <c r="X162" s="46">
        <v>12.588000000000001</v>
      </c>
      <c r="Y162" s="46">
        <v>11.463999999999999</v>
      </c>
      <c r="Z162" s="46">
        <v>4.9830000000000032</v>
      </c>
      <c r="AA162" s="46">
        <v>12.672000000000001</v>
      </c>
      <c r="AB162" s="46">
        <v>16.809999999999999</v>
      </c>
      <c r="AC162" s="46">
        <v>5.2010000000000005</v>
      </c>
      <c r="AD162" s="46">
        <v>24.597000000000001</v>
      </c>
      <c r="AE162" s="46">
        <v>3.4989999999999997</v>
      </c>
      <c r="AF162" s="46">
        <v>0</v>
      </c>
      <c r="AG162" s="46">
        <v>10.031000000000001</v>
      </c>
      <c r="AH162" s="46">
        <v>12.193999999999999</v>
      </c>
      <c r="AI162" s="46">
        <v>22.977</v>
      </c>
      <c r="AJ162" s="46">
        <v>5.5139999999999993</v>
      </c>
      <c r="AK162" s="46">
        <v>21.198</v>
      </c>
      <c r="AL162" s="46">
        <v>8.4059999999999988</v>
      </c>
      <c r="AM162" s="46">
        <v>15.158000000000001</v>
      </c>
      <c r="AN162" s="46">
        <v>9.4039999999999999</v>
      </c>
      <c r="AO162" s="46">
        <f t="shared" si="4"/>
        <v>6.9627333333333334</v>
      </c>
      <c r="AP162" s="7">
        <f t="shared" si="5"/>
        <v>3.4813666666666667</v>
      </c>
    </row>
    <row r="163" spans="1:42" x14ac:dyDescent="0.3">
      <c r="A163" s="5">
        <v>162</v>
      </c>
      <c r="B163" s="107" t="s">
        <v>65</v>
      </c>
      <c r="C163" s="10" t="s">
        <v>683</v>
      </c>
      <c r="D163" s="12" t="s">
        <v>927</v>
      </c>
      <c r="E163" s="110" t="s">
        <v>236</v>
      </c>
      <c r="F163" s="6" t="s">
        <v>12</v>
      </c>
      <c r="G163" s="6" t="s">
        <v>976</v>
      </c>
      <c r="H163" s="6" t="s">
        <v>35</v>
      </c>
      <c r="I163" s="5">
        <v>3</v>
      </c>
      <c r="J163" s="67" t="s">
        <v>160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f t="shared" si="4"/>
        <v>0</v>
      </c>
      <c r="AP163" s="7">
        <f t="shared" si="5"/>
        <v>0</v>
      </c>
    </row>
    <row r="164" spans="1:42" x14ac:dyDescent="0.3">
      <c r="A164" s="5">
        <v>163</v>
      </c>
      <c r="B164" s="107" t="s">
        <v>65</v>
      </c>
      <c r="C164" s="10" t="s">
        <v>684</v>
      </c>
      <c r="D164" s="12" t="s">
        <v>926</v>
      </c>
      <c r="E164" s="110" t="s">
        <v>236</v>
      </c>
      <c r="F164" s="6" t="s">
        <v>12</v>
      </c>
      <c r="G164" s="6" t="s">
        <v>976</v>
      </c>
      <c r="H164" s="6" t="s">
        <v>35</v>
      </c>
      <c r="I164" s="5">
        <v>3</v>
      </c>
      <c r="J164" s="67" t="s">
        <v>160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f t="shared" si="4"/>
        <v>0</v>
      </c>
      <c r="AP164" s="7">
        <f t="shared" si="5"/>
        <v>0</v>
      </c>
    </row>
    <row r="165" spans="1:42" x14ac:dyDescent="0.3">
      <c r="A165" s="5">
        <v>164</v>
      </c>
      <c r="B165" s="107" t="s">
        <v>65</v>
      </c>
      <c r="C165" s="10" t="s">
        <v>684</v>
      </c>
      <c r="D165" s="12" t="s">
        <v>926</v>
      </c>
      <c r="E165" s="110" t="s">
        <v>236</v>
      </c>
      <c r="F165" s="6" t="s">
        <v>12</v>
      </c>
      <c r="G165" s="6" t="s">
        <v>971</v>
      </c>
      <c r="H165" s="6" t="s">
        <v>80</v>
      </c>
      <c r="I165" s="5">
        <v>1</v>
      </c>
      <c r="J165" s="67" t="s">
        <v>160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f t="shared" si="4"/>
        <v>0</v>
      </c>
      <c r="AP165" s="7">
        <f t="shared" si="5"/>
        <v>0</v>
      </c>
    </row>
    <row r="166" spans="1:42" x14ac:dyDescent="0.3">
      <c r="A166" s="5">
        <v>165</v>
      </c>
      <c r="B166" s="107" t="s">
        <v>65</v>
      </c>
      <c r="C166" s="10" t="s">
        <v>685</v>
      </c>
      <c r="D166" s="12" t="s">
        <v>928</v>
      </c>
      <c r="E166" s="110" t="s">
        <v>236</v>
      </c>
      <c r="F166" s="6" t="s">
        <v>12</v>
      </c>
      <c r="G166" s="6" t="s">
        <v>976</v>
      </c>
      <c r="H166" s="6" t="s">
        <v>35</v>
      </c>
      <c r="I166" s="5">
        <v>3</v>
      </c>
      <c r="J166" s="67" t="s">
        <v>160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f t="shared" si="4"/>
        <v>0</v>
      </c>
      <c r="AP166" s="7">
        <f t="shared" si="5"/>
        <v>0</v>
      </c>
    </row>
    <row r="167" spans="1:42" x14ac:dyDescent="0.3">
      <c r="A167" s="5">
        <v>166</v>
      </c>
      <c r="B167" s="107" t="s">
        <v>65</v>
      </c>
      <c r="C167" s="10" t="s">
        <v>686</v>
      </c>
      <c r="D167" s="12" t="s">
        <v>929</v>
      </c>
      <c r="E167" s="110" t="s">
        <v>236</v>
      </c>
      <c r="F167" s="6" t="s">
        <v>12</v>
      </c>
      <c r="G167" s="6" t="s">
        <v>976</v>
      </c>
      <c r="H167" s="6" t="s">
        <v>35</v>
      </c>
      <c r="I167" s="5">
        <v>3</v>
      </c>
      <c r="J167" s="67" t="s">
        <v>160</v>
      </c>
      <c r="K167" s="46">
        <v>7.5890000000000004</v>
      </c>
      <c r="L167" s="46">
        <v>14.161000000000001</v>
      </c>
      <c r="M167" s="46">
        <v>15.680999999999999</v>
      </c>
      <c r="N167" s="46">
        <v>20.341999999999999</v>
      </c>
      <c r="O167" s="46">
        <v>6.22</v>
      </c>
      <c r="P167" s="46">
        <v>21.122</v>
      </c>
      <c r="Q167" s="46">
        <v>9.7639999999999993</v>
      </c>
      <c r="R167" s="46">
        <v>17.279</v>
      </c>
      <c r="S167" s="46">
        <v>13.499000000000001</v>
      </c>
      <c r="T167" s="46">
        <v>11.587999999999999</v>
      </c>
      <c r="U167" s="46">
        <v>8.6280000000000001</v>
      </c>
      <c r="V167" s="46">
        <v>13.201000000000001</v>
      </c>
      <c r="W167" s="46">
        <v>7.8410000000000002</v>
      </c>
      <c r="X167" s="46">
        <v>2.8090000000000002</v>
      </c>
      <c r="Y167" s="46">
        <v>8.4920000000000009</v>
      </c>
      <c r="Z167" s="46">
        <v>16.074999999999999</v>
      </c>
      <c r="AA167" s="46">
        <v>6.2590000000000003</v>
      </c>
      <c r="AB167" s="46">
        <v>15.382</v>
      </c>
      <c r="AC167" s="46">
        <v>17.173999999999999</v>
      </c>
      <c r="AD167" s="46">
        <v>18.609000000000002</v>
      </c>
      <c r="AE167" s="46">
        <v>6.8079999999999998</v>
      </c>
      <c r="AF167" s="46">
        <v>12.015000000000001</v>
      </c>
      <c r="AG167" s="46">
        <v>4.8730000000000002</v>
      </c>
      <c r="AH167" s="46">
        <v>13.013999999999999</v>
      </c>
      <c r="AI167" s="46">
        <v>0</v>
      </c>
      <c r="AJ167" s="46">
        <v>25.297000000000001</v>
      </c>
      <c r="AK167" s="46">
        <v>19.374000000000002</v>
      </c>
      <c r="AL167" s="46">
        <v>7.7130000000000001</v>
      </c>
      <c r="AM167" s="46">
        <v>12.718</v>
      </c>
      <c r="AN167" s="46">
        <v>16.094999999999999</v>
      </c>
      <c r="AO167" s="46">
        <f t="shared" si="4"/>
        <v>12.320733333333335</v>
      </c>
      <c r="AP167" s="7">
        <f t="shared" si="5"/>
        <v>4.1069111111111116</v>
      </c>
    </row>
    <row r="168" spans="1:42" x14ac:dyDescent="0.3">
      <c r="A168" s="5">
        <v>167</v>
      </c>
      <c r="B168" s="107" t="s">
        <v>65</v>
      </c>
      <c r="C168" s="10" t="s">
        <v>687</v>
      </c>
      <c r="D168" s="12" t="s">
        <v>930</v>
      </c>
      <c r="E168" s="110" t="s">
        <v>236</v>
      </c>
      <c r="F168" s="6" t="s">
        <v>12</v>
      </c>
      <c r="G168" s="6" t="s">
        <v>976</v>
      </c>
      <c r="H168" s="6" t="s">
        <v>35</v>
      </c>
      <c r="I168" s="5">
        <v>3</v>
      </c>
      <c r="J168" s="67" t="s">
        <v>160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>
        <v>0</v>
      </c>
      <c r="AO168" s="46">
        <f t="shared" si="4"/>
        <v>0</v>
      </c>
      <c r="AP168" s="7">
        <f t="shared" si="5"/>
        <v>0</v>
      </c>
    </row>
    <row r="169" spans="1:42" x14ac:dyDescent="0.3">
      <c r="A169" s="5">
        <v>168</v>
      </c>
      <c r="B169" s="107" t="s">
        <v>65</v>
      </c>
      <c r="C169" s="10" t="s">
        <v>688</v>
      </c>
      <c r="D169" s="12" t="s">
        <v>931</v>
      </c>
      <c r="E169" s="110" t="s">
        <v>236</v>
      </c>
      <c r="F169" s="6" t="s">
        <v>12</v>
      </c>
      <c r="G169" s="6" t="s">
        <v>976</v>
      </c>
      <c r="H169" s="6" t="s">
        <v>35</v>
      </c>
      <c r="I169" s="5">
        <v>3</v>
      </c>
      <c r="J169" s="67" t="s">
        <v>160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v>0</v>
      </c>
      <c r="AN169" s="46">
        <v>0</v>
      </c>
      <c r="AO169" s="46">
        <f t="shared" si="4"/>
        <v>0</v>
      </c>
      <c r="AP169" s="7">
        <f t="shared" si="5"/>
        <v>0</v>
      </c>
    </row>
    <row r="170" spans="1:42" x14ac:dyDescent="0.3">
      <c r="A170" s="5">
        <v>169</v>
      </c>
      <c r="B170" s="107" t="s">
        <v>65</v>
      </c>
      <c r="C170" s="10" t="s">
        <v>689</v>
      </c>
      <c r="D170" s="12" t="s">
        <v>811</v>
      </c>
      <c r="E170" s="110" t="s">
        <v>30</v>
      </c>
      <c r="F170" s="6" t="s">
        <v>12</v>
      </c>
      <c r="G170" s="6" t="s">
        <v>976</v>
      </c>
      <c r="H170" s="6" t="s">
        <v>35</v>
      </c>
      <c r="I170" s="5">
        <v>4</v>
      </c>
      <c r="J170" s="12" t="s">
        <v>590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1.6850000000000001</v>
      </c>
      <c r="R170" s="46">
        <v>10.789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7.5330000000000004</v>
      </c>
      <c r="AI170" s="46">
        <v>10.81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f t="shared" si="4"/>
        <v>1.0272333333333334</v>
      </c>
      <c r="AP170" s="7">
        <f t="shared" si="5"/>
        <v>0.25680833333333336</v>
      </c>
    </row>
    <row r="171" spans="1:42" ht="15.75" customHeight="1" x14ac:dyDescent="0.3">
      <c r="A171" s="5">
        <v>170</v>
      </c>
      <c r="B171" s="107" t="s">
        <v>65</v>
      </c>
      <c r="C171" s="10" t="s">
        <v>690</v>
      </c>
      <c r="D171" s="12" t="s">
        <v>769</v>
      </c>
      <c r="E171" s="110" t="s">
        <v>128</v>
      </c>
      <c r="F171" s="6" t="s">
        <v>12</v>
      </c>
      <c r="G171" s="6" t="s">
        <v>976</v>
      </c>
      <c r="H171" s="6" t="s">
        <v>35</v>
      </c>
      <c r="I171" s="5">
        <v>15</v>
      </c>
      <c r="J171" s="94" t="s">
        <v>273</v>
      </c>
      <c r="K171" s="46">
        <v>114.03500000000001</v>
      </c>
      <c r="L171" s="46">
        <v>110.99499999999999</v>
      </c>
      <c r="M171" s="46">
        <v>96.491000000000028</v>
      </c>
      <c r="N171" s="46">
        <v>109.28499999999998</v>
      </c>
      <c r="O171" s="46">
        <v>102.51500000000001</v>
      </c>
      <c r="P171" s="46">
        <v>100.54299999999998</v>
      </c>
      <c r="Q171" s="46">
        <v>126.00499999999998</v>
      </c>
      <c r="R171" s="46">
        <v>94.406999999999996</v>
      </c>
      <c r="S171" s="46">
        <v>99.879000000000005</v>
      </c>
      <c r="T171" s="46">
        <v>109.23100000000001</v>
      </c>
      <c r="U171" s="46">
        <v>114.51800000000001</v>
      </c>
      <c r="V171" s="46">
        <v>104.26600000000001</v>
      </c>
      <c r="W171" s="46">
        <v>98.683999999999997</v>
      </c>
      <c r="X171" s="46">
        <v>104.95700000000001</v>
      </c>
      <c r="Y171" s="46">
        <v>110.32199999999999</v>
      </c>
      <c r="Z171" s="46">
        <v>59.489999999999995</v>
      </c>
      <c r="AA171" s="46">
        <v>110.89300000000001</v>
      </c>
      <c r="AB171" s="46">
        <v>92.971000000000004</v>
      </c>
      <c r="AC171" s="46">
        <v>110.25899999999999</v>
      </c>
      <c r="AD171" s="46">
        <v>89.823000000000008</v>
      </c>
      <c r="AE171" s="46">
        <v>71.994</v>
      </c>
      <c r="AF171" s="46">
        <v>93.571999999999989</v>
      </c>
      <c r="AG171" s="46">
        <v>82.802000000000007</v>
      </c>
      <c r="AH171" s="46">
        <v>101.95800000000001</v>
      </c>
      <c r="AI171" s="46">
        <v>95.444000000000003</v>
      </c>
      <c r="AJ171" s="46">
        <v>100.76900000000001</v>
      </c>
      <c r="AK171" s="46">
        <v>78.077999999999989</v>
      </c>
      <c r="AL171" s="46">
        <v>80.414000000000001</v>
      </c>
      <c r="AM171" s="46">
        <v>60.113</v>
      </c>
      <c r="AN171" s="46">
        <v>57.802999999999997</v>
      </c>
      <c r="AO171" s="46">
        <f t="shared" si="4"/>
        <v>96.083866666666694</v>
      </c>
      <c r="AP171" s="7">
        <f t="shared" si="5"/>
        <v>6.4055911111111126</v>
      </c>
    </row>
    <row r="172" spans="1:42" ht="15.75" customHeight="1" x14ac:dyDescent="0.3">
      <c r="A172" s="5">
        <v>171</v>
      </c>
      <c r="B172" s="107" t="s">
        <v>65</v>
      </c>
      <c r="C172" s="112" t="s">
        <v>947</v>
      </c>
      <c r="D172" s="112" t="s">
        <v>948</v>
      </c>
      <c r="E172" s="110" t="s">
        <v>128</v>
      </c>
      <c r="F172" s="6" t="s">
        <v>12</v>
      </c>
      <c r="G172" s="6" t="s">
        <v>971</v>
      </c>
      <c r="H172" s="6" t="s">
        <v>80</v>
      </c>
      <c r="I172" s="5">
        <v>1</v>
      </c>
      <c r="J172" s="67" t="s">
        <v>160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12.81</v>
      </c>
      <c r="AF172" s="46">
        <v>27.46</v>
      </c>
      <c r="AG172" s="46">
        <v>23.51</v>
      </c>
      <c r="AH172" s="46">
        <v>24.869999999999997</v>
      </c>
      <c r="AI172" s="46">
        <v>0</v>
      </c>
      <c r="AJ172" s="46">
        <v>25.61</v>
      </c>
      <c r="AK172" s="46">
        <v>23.43</v>
      </c>
      <c r="AL172" s="46">
        <v>39.021000000000001</v>
      </c>
      <c r="AM172" s="46">
        <v>6.16</v>
      </c>
      <c r="AN172" s="46">
        <v>0</v>
      </c>
      <c r="AO172" s="46">
        <f t="shared" si="4"/>
        <v>6.0956999999999999</v>
      </c>
      <c r="AP172" s="7">
        <f t="shared" si="5"/>
        <v>6.0956999999999999</v>
      </c>
    </row>
    <row r="173" spans="1:42" x14ac:dyDescent="0.3">
      <c r="A173" s="5">
        <v>172</v>
      </c>
      <c r="B173" s="107" t="s">
        <v>65</v>
      </c>
      <c r="C173" s="10" t="s">
        <v>691</v>
      </c>
      <c r="D173" s="12" t="s">
        <v>932</v>
      </c>
      <c r="E173" s="110" t="s">
        <v>407</v>
      </c>
      <c r="F173" s="6" t="s">
        <v>19</v>
      </c>
      <c r="G173" s="6" t="s">
        <v>976</v>
      </c>
      <c r="H173" s="6" t="s">
        <v>35</v>
      </c>
      <c r="I173" s="5">
        <v>2</v>
      </c>
      <c r="J173" s="12" t="s">
        <v>590</v>
      </c>
      <c r="K173" s="46">
        <v>7.2430000000000003</v>
      </c>
      <c r="L173" s="46">
        <v>13.303000000000001</v>
      </c>
      <c r="M173" s="46">
        <v>9.9589999999999996</v>
      </c>
      <c r="N173" s="46">
        <v>10.431999999999999</v>
      </c>
      <c r="O173" s="46">
        <v>0</v>
      </c>
      <c r="P173" s="46">
        <v>0</v>
      </c>
      <c r="Q173" s="46">
        <v>17.626999999999999</v>
      </c>
      <c r="R173" s="46">
        <v>10.904</v>
      </c>
      <c r="S173" s="46">
        <v>8.375</v>
      </c>
      <c r="T173" s="46">
        <v>0</v>
      </c>
      <c r="U173" s="46">
        <v>9.2249999999999996</v>
      </c>
      <c r="V173" s="46">
        <v>0</v>
      </c>
      <c r="W173" s="46">
        <v>0</v>
      </c>
      <c r="X173" s="46">
        <v>0</v>
      </c>
      <c r="Y173" s="46">
        <v>8.0410000000000004</v>
      </c>
      <c r="Z173" s="46">
        <v>4.3250000000000002</v>
      </c>
      <c r="AA173" s="46">
        <v>10.718999999999999</v>
      </c>
      <c r="AB173" s="46">
        <v>0</v>
      </c>
      <c r="AC173" s="46">
        <v>0</v>
      </c>
      <c r="AD173" s="46">
        <v>0</v>
      </c>
      <c r="AE173" s="46">
        <v>0</v>
      </c>
      <c r="AF173" s="46">
        <v>8.5180000000000007</v>
      </c>
      <c r="AG173" s="46">
        <v>13.837</v>
      </c>
      <c r="AH173" s="46">
        <v>4.7649999999999997</v>
      </c>
      <c r="AI173" s="46">
        <v>13.863</v>
      </c>
      <c r="AJ173" s="46">
        <v>0</v>
      </c>
      <c r="AK173" s="46">
        <v>0</v>
      </c>
      <c r="AL173" s="46">
        <v>5.7509999999999994</v>
      </c>
      <c r="AM173" s="46">
        <v>9.5839999999999996</v>
      </c>
      <c r="AN173" s="46">
        <v>5.5640000000000001</v>
      </c>
      <c r="AO173" s="46">
        <f t="shared" si="4"/>
        <v>5.7344999999999988</v>
      </c>
      <c r="AP173" s="7">
        <f t="shared" si="5"/>
        <v>2.8672499999999994</v>
      </c>
    </row>
    <row r="174" spans="1:42" x14ac:dyDescent="0.3">
      <c r="A174" s="5">
        <v>173</v>
      </c>
      <c r="B174" s="107" t="s">
        <v>65</v>
      </c>
      <c r="C174" s="10" t="s">
        <v>692</v>
      </c>
      <c r="D174" s="12" t="s">
        <v>933</v>
      </c>
      <c r="E174" s="110" t="s">
        <v>432</v>
      </c>
      <c r="F174" s="6" t="s">
        <v>19</v>
      </c>
      <c r="G174" s="6" t="s">
        <v>976</v>
      </c>
      <c r="H174" s="6" t="s">
        <v>35</v>
      </c>
      <c r="I174" s="5">
        <v>2</v>
      </c>
      <c r="J174" s="12" t="s">
        <v>590</v>
      </c>
      <c r="K174" s="46">
        <v>3.004</v>
      </c>
      <c r="L174" s="46">
        <v>5.0670000000000002</v>
      </c>
      <c r="M174" s="46">
        <v>0</v>
      </c>
      <c r="N174" s="46">
        <v>0</v>
      </c>
      <c r="O174" s="46">
        <v>0</v>
      </c>
      <c r="P174" s="46">
        <v>0</v>
      </c>
      <c r="Q174" s="46">
        <v>7.5110000000000001</v>
      </c>
      <c r="R174" s="46">
        <v>7.2249999999999996</v>
      </c>
      <c r="S174" s="46">
        <v>4.9130000000000003</v>
      </c>
      <c r="T174" s="46">
        <v>0</v>
      </c>
      <c r="U174" s="46">
        <v>4.6449999999999996</v>
      </c>
      <c r="V174" s="46">
        <v>0</v>
      </c>
      <c r="W174" s="46">
        <v>0</v>
      </c>
      <c r="X174" s="46">
        <v>0</v>
      </c>
      <c r="Y174" s="46">
        <v>2.0169999999999999</v>
      </c>
      <c r="Z174" s="46">
        <v>9.8209999999999997</v>
      </c>
      <c r="AA174" s="46">
        <v>0</v>
      </c>
      <c r="AB174" s="46">
        <v>0</v>
      </c>
      <c r="AC174" s="46">
        <v>0</v>
      </c>
      <c r="AD174" s="46">
        <v>0</v>
      </c>
      <c r="AE174" s="46">
        <v>11.974</v>
      </c>
      <c r="AF174" s="46">
        <v>0</v>
      </c>
      <c r="AG174" s="46">
        <v>0</v>
      </c>
      <c r="AH174" s="46">
        <v>0</v>
      </c>
      <c r="AI174" s="46">
        <v>0</v>
      </c>
      <c r="AJ174" s="46">
        <v>0</v>
      </c>
      <c r="AK174" s="46">
        <v>0</v>
      </c>
      <c r="AL174" s="46">
        <v>0</v>
      </c>
      <c r="AM174" s="46">
        <v>0</v>
      </c>
      <c r="AN174" s="46">
        <v>0</v>
      </c>
      <c r="AO174" s="46">
        <f t="shared" si="4"/>
        <v>1.8725666666666669</v>
      </c>
      <c r="AP174" s="7">
        <f t="shared" si="5"/>
        <v>0.93628333333333347</v>
      </c>
    </row>
    <row r="175" spans="1:42" x14ac:dyDescent="0.3">
      <c r="A175" s="5">
        <v>174</v>
      </c>
      <c r="B175" s="107" t="s">
        <v>65</v>
      </c>
      <c r="C175" s="10" t="s">
        <v>693</v>
      </c>
      <c r="D175" s="12" t="s">
        <v>934</v>
      </c>
      <c r="E175" s="110" t="s">
        <v>407</v>
      </c>
      <c r="F175" s="6" t="s">
        <v>19</v>
      </c>
      <c r="G175" s="6" t="s">
        <v>976</v>
      </c>
      <c r="H175" s="6" t="s">
        <v>35</v>
      </c>
      <c r="I175" s="5">
        <v>1</v>
      </c>
      <c r="J175" s="12" t="s">
        <v>590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0</v>
      </c>
      <c r="AL175" s="46">
        <v>0</v>
      </c>
      <c r="AM175" s="46">
        <v>0</v>
      </c>
      <c r="AN175" s="46">
        <v>0</v>
      </c>
      <c r="AO175" s="46">
        <f t="shared" si="4"/>
        <v>0</v>
      </c>
      <c r="AP175" s="7">
        <f t="shared" si="5"/>
        <v>0</v>
      </c>
    </row>
    <row r="176" spans="1:42" x14ac:dyDescent="0.3">
      <c r="A176" s="5">
        <v>175</v>
      </c>
      <c r="B176" s="107" t="s">
        <v>65</v>
      </c>
      <c r="C176" s="112" t="s">
        <v>694</v>
      </c>
      <c r="D176" s="112" t="s">
        <v>935</v>
      </c>
      <c r="E176" s="110" t="s">
        <v>432</v>
      </c>
      <c r="F176" s="6" t="s">
        <v>19</v>
      </c>
      <c r="G176" s="6" t="s">
        <v>976</v>
      </c>
      <c r="H176" s="6" t="s">
        <v>35</v>
      </c>
      <c r="I176" s="5">
        <v>2</v>
      </c>
      <c r="J176" s="12" t="s">
        <v>590</v>
      </c>
      <c r="K176" s="46">
        <v>0</v>
      </c>
      <c r="L176" s="46">
        <v>0</v>
      </c>
      <c r="M176" s="46">
        <v>0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0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>
        <v>0</v>
      </c>
      <c r="AL176" s="46">
        <v>0</v>
      </c>
      <c r="AM176" s="46">
        <v>0</v>
      </c>
      <c r="AN176" s="46">
        <v>0</v>
      </c>
      <c r="AO176" s="46">
        <f t="shared" si="4"/>
        <v>0</v>
      </c>
      <c r="AP176" s="7">
        <f t="shared" si="5"/>
        <v>0</v>
      </c>
    </row>
    <row r="177" spans="1:42" x14ac:dyDescent="0.3">
      <c r="A177" s="5">
        <v>176</v>
      </c>
      <c r="B177" s="107" t="s">
        <v>65</v>
      </c>
      <c r="C177" s="112" t="s">
        <v>695</v>
      </c>
      <c r="D177" s="112" t="s">
        <v>936</v>
      </c>
      <c r="E177" s="110" t="s">
        <v>521</v>
      </c>
      <c r="F177" s="6" t="s">
        <v>19</v>
      </c>
      <c r="G177" s="6" t="s">
        <v>976</v>
      </c>
      <c r="H177" s="6" t="s">
        <v>35</v>
      </c>
      <c r="I177" s="5">
        <v>1</v>
      </c>
      <c r="J177" s="12" t="s">
        <v>590</v>
      </c>
      <c r="K177" s="46">
        <v>0</v>
      </c>
      <c r="L177" s="46">
        <v>0</v>
      </c>
      <c r="M177" s="46">
        <v>0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0</v>
      </c>
      <c r="AL177" s="46">
        <v>0</v>
      </c>
      <c r="AM177" s="46">
        <v>0</v>
      </c>
      <c r="AN177" s="46">
        <v>0</v>
      </c>
      <c r="AO177" s="46">
        <f t="shared" si="4"/>
        <v>0</v>
      </c>
      <c r="AP177" s="7">
        <f t="shared" si="5"/>
        <v>0</v>
      </c>
    </row>
    <row r="178" spans="1:42" x14ac:dyDescent="0.3">
      <c r="A178" s="5">
        <v>177</v>
      </c>
      <c r="B178" s="107" t="s">
        <v>65</v>
      </c>
      <c r="C178" s="10" t="s">
        <v>846</v>
      </c>
      <c r="D178" s="39" t="s">
        <v>841</v>
      </c>
      <c r="E178" s="110" t="s">
        <v>521</v>
      </c>
      <c r="F178" s="6" t="s">
        <v>19</v>
      </c>
      <c r="G178" s="6" t="s">
        <v>976</v>
      </c>
      <c r="H178" s="6" t="s">
        <v>35</v>
      </c>
      <c r="I178" s="5">
        <v>2</v>
      </c>
      <c r="J178" s="12" t="s">
        <v>590</v>
      </c>
      <c r="K178" s="46">
        <v>14.548999999999999</v>
      </c>
      <c r="L178" s="46">
        <v>12.667999999999999</v>
      </c>
      <c r="M178" s="46">
        <v>8.3740000000000006</v>
      </c>
      <c r="N178" s="46">
        <v>7.5529999999999999</v>
      </c>
      <c r="O178" s="46">
        <v>0</v>
      </c>
      <c r="P178" s="46">
        <v>0</v>
      </c>
      <c r="Q178" s="46">
        <v>11.291</v>
      </c>
      <c r="R178" s="46">
        <v>8.6110000000000007</v>
      </c>
      <c r="S178" s="46">
        <v>11.319000000000001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9.56</v>
      </c>
      <c r="AG178" s="46">
        <v>6.32</v>
      </c>
      <c r="AH178" s="46">
        <v>11.297000000000001</v>
      </c>
      <c r="AI178" s="46">
        <v>7.7750000000000004</v>
      </c>
      <c r="AJ178" s="46">
        <v>0</v>
      </c>
      <c r="AK178" s="46">
        <v>0</v>
      </c>
      <c r="AL178" s="46">
        <v>10.757999999999999</v>
      </c>
      <c r="AM178" s="46">
        <v>11.305</v>
      </c>
      <c r="AN178" s="46">
        <v>4.5430000000000001</v>
      </c>
      <c r="AO178" s="46">
        <f t="shared" si="4"/>
        <v>4.5307666666666666</v>
      </c>
      <c r="AP178" s="7">
        <f t="shared" si="5"/>
        <v>2.2653833333333333</v>
      </c>
    </row>
    <row r="179" spans="1:42" x14ac:dyDescent="0.3">
      <c r="A179" s="5">
        <v>178</v>
      </c>
      <c r="B179" s="107" t="s">
        <v>65</v>
      </c>
      <c r="C179" s="112" t="s">
        <v>696</v>
      </c>
      <c r="D179" s="112" t="s">
        <v>937</v>
      </c>
      <c r="E179" s="110" t="s">
        <v>128</v>
      </c>
      <c r="F179" s="6" t="s">
        <v>12</v>
      </c>
      <c r="G179" s="6" t="s">
        <v>976</v>
      </c>
      <c r="H179" s="6" t="s">
        <v>35</v>
      </c>
      <c r="I179" s="5">
        <v>15</v>
      </c>
      <c r="J179" s="94" t="s">
        <v>273</v>
      </c>
      <c r="K179" s="46">
        <v>165.23099999999999</v>
      </c>
      <c r="L179" s="46">
        <v>151.96799999999999</v>
      </c>
      <c r="M179" s="46">
        <v>196.09700000000001</v>
      </c>
      <c r="N179" s="46">
        <v>196.08799999999999</v>
      </c>
      <c r="O179" s="46">
        <v>174.239</v>
      </c>
      <c r="P179" s="46">
        <v>162.44499999999999</v>
      </c>
      <c r="Q179" s="46">
        <v>159.59900000000002</v>
      </c>
      <c r="R179" s="46">
        <v>191.065</v>
      </c>
      <c r="S179" s="46">
        <v>186.14300000000003</v>
      </c>
      <c r="T179" s="46">
        <v>218.57000000000005</v>
      </c>
      <c r="U179" s="46">
        <v>208.345</v>
      </c>
      <c r="V179" s="46">
        <v>179.27799999999999</v>
      </c>
      <c r="W179" s="46">
        <v>182.459</v>
      </c>
      <c r="X179" s="46">
        <v>156.608</v>
      </c>
      <c r="Y179" s="46">
        <v>161.679</v>
      </c>
      <c r="Z179" s="46">
        <v>65.411999999999992</v>
      </c>
      <c r="AA179" s="46">
        <v>83.463000000000008</v>
      </c>
      <c r="AB179" s="46">
        <v>88.679000000000002</v>
      </c>
      <c r="AC179" s="46">
        <v>95.580999999999989</v>
      </c>
      <c r="AD179" s="46">
        <v>118.866</v>
      </c>
      <c r="AE179" s="46">
        <v>100.56399999999999</v>
      </c>
      <c r="AF179" s="46">
        <v>110.577</v>
      </c>
      <c r="AG179" s="46">
        <v>132.90400000000002</v>
      </c>
      <c r="AH179" s="46">
        <v>106.80500000000002</v>
      </c>
      <c r="AI179" s="46">
        <v>98.146000000000015</v>
      </c>
      <c r="AJ179" s="46">
        <v>105.84</v>
      </c>
      <c r="AK179" s="46">
        <v>66.230999999999995</v>
      </c>
      <c r="AL179" s="46">
        <v>54.22</v>
      </c>
      <c r="AM179" s="46">
        <v>56.042000000000002</v>
      </c>
      <c r="AN179" s="46">
        <v>66.611000000000004</v>
      </c>
      <c r="AO179" s="46">
        <f t="shared" si="4"/>
        <v>134.6585</v>
      </c>
      <c r="AP179" s="7">
        <f t="shared" si="5"/>
        <v>8.9772333333333343</v>
      </c>
    </row>
    <row r="180" spans="1:42" x14ac:dyDescent="0.3">
      <c r="A180" s="5">
        <v>179</v>
      </c>
      <c r="B180" s="107" t="s">
        <v>65</v>
      </c>
      <c r="C180" s="112" t="s">
        <v>939</v>
      </c>
      <c r="D180" s="112" t="s">
        <v>940</v>
      </c>
      <c r="E180" s="110" t="s">
        <v>128</v>
      </c>
      <c r="F180" s="6" t="s">
        <v>12</v>
      </c>
      <c r="G180" s="6" t="s">
        <v>971</v>
      </c>
      <c r="H180" s="6" t="s">
        <v>80</v>
      </c>
      <c r="I180" s="5">
        <v>2</v>
      </c>
      <c r="J180" s="94" t="s">
        <v>273</v>
      </c>
      <c r="K180" s="46">
        <v>0</v>
      </c>
      <c r="L180" s="46">
        <v>0</v>
      </c>
      <c r="M180" s="46">
        <v>0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0.34100000000000003</v>
      </c>
      <c r="AD180" s="46">
        <v>0</v>
      </c>
      <c r="AE180" s="46">
        <v>0</v>
      </c>
      <c r="AF180" s="46">
        <v>0</v>
      </c>
      <c r="AG180" s="46">
        <v>12.92</v>
      </c>
      <c r="AH180" s="46">
        <v>8.65</v>
      </c>
      <c r="AI180" s="46">
        <v>7.34</v>
      </c>
      <c r="AJ180" s="46">
        <v>0</v>
      </c>
      <c r="AK180" s="46">
        <v>0</v>
      </c>
      <c r="AL180" s="46">
        <v>0</v>
      </c>
      <c r="AM180" s="46">
        <v>0</v>
      </c>
      <c r="AN180" s="46">
        <v>0</v>
      </c>
      <c r="AO180" s="46">
        <f t="shared" si="4"/>
        <v>0.97503333333333342</v>
      </c>
      <c r="AP180" s="7">
        <f t="shared" si="5"/>
        <v>0.48751666666666671</v>
      </c>
    </row>
    <row r="181" spans="1:42" x14ac:dyDescent="0.3">
      <c r="A181" s="5">
        <v>180</v>
      </c>
      <c r="B181" s="107" t="s">
        <v>65</v>
      </c>
      <c r="C181" s="112"/>
      <c r="D181" s="112" t="s">
        <v>1012</v>
      </c>
      <c r="E181" s="6" t="s">
        <v>128</v>
      </c>
      <c r="F181" s="6" t="s">
        <v>12</v>
      </c>
      <c r="G181" s="6" t="s">
        <v>13</v>
      </c>
      <c r="H181" s="6" t="s">
        <v>35</v>
      </c>
      <c r="I181" s="92">
        <v>2</v>
      </c>
      <c r="J181" s="94" t="s">
        <v>273</v>
      </c>
      <c r="K181" s="46">
        <v>0</v>
      </c>
      <c r="L181" s="46">
        <v>0</v>
      </c>
      <c r="M181" s="46">
        <v>0</v>
      </c>
      <c r="N181" s="46">
        <v>0</v>
      </c>
      <c r="O181" s="46">
        <v>0</v>
      </c>
      <c r="P181" s="46">
        <v>10.423999999999999</v>
      </c>
      <c r="Q181" s="46">
        <v>16.088999999999999</v>
      </c>
      <c r="R181" s="46">
        <v>6.891</v>
      </c>
      <c r="S181" s="46">
        <v>10.102</v>
      </c>
      <c r="T181" s="46">
        <v>12.951000000000001</v>
      </c>
      <c r="U181" s="46">
        <v>7.27</v>
      </c>
      <c r="V181" s="46">
        <v>20.239999999999998</v>
      </c>
      <c r="W181" s="46">
        <v>10.768000000000001</v>
      </c>
      <c r="X181" s="46">
        <v>22.518999999999998</v>
      </c>
      <c r="Y181" s="46">
        <v>14.529</v>
      </c>
      <c r="Z181" s="46">
        <v>11.367000000000001</v>
      </c>
      <c r="AA181" s="46">
        <v>6.13</v>
      </c>
      <c r="AB181" s="46">
        <v>0</v>
      </c>
      <c r="AC181" s="46">
        <v>1E-3</v>
      </c>
      <c r="AD181" s="46">
        <v>0</v>
      </c>
      <c r="AE181" s="46">
        <v>14.675999999999998</v>
      </c>
      <c r="AF181" s="46">
        <v>1E-3</v>
      </c>
      <c r="AG181" s="46">
        <v>1.839</v>
      </c>
      <c r="AH181" s="46">
        <v>0</v>
      </c>
      <c r="AI181" s="46">
        <v>0</v>
      </c>
      <c r="AJ181" s="46">
        <v>7.5150000000000006</v>
      </c>
      <c r="AK181" s="46">
        <v>5.6109999999999998</v>
      </c>
      <c r="AL181" s="46">
        <v>5.1269999999999998</v>
      </c>
      <c r="AM181" s="46">
        <v>0</v>
      </c>
      <c r="AN181" s="46">
        <v>0</v>
      </c>
      <c r="AO181" s="46">
        <f t="shared" si="4"/>
        <v>6.1349999999999989</v>
      </c>
      <c r="AP181" s="7">
        <f t="shared" si="5"/>
        <v>3.0674999999999994</v>
      </c>
    </row>
    <row r="182" spans="1:42" x14ac:dyDescent="0.3">
      <c r="A182" s="5">
        <v>181</v>
      </c>
      <c r="B182" s="107" t="s">
        <v>65</v>
      </c>
      <c r="C182" s="112"/>
      <c r="D182" s="10" t="s">
        <v>1062</v>
      </c>
      <c r="E182" s="6" t="s">
        <v>128</v>
      </c>
      <c r="F182" s="6" t="s">
        <v>12</v>
      </c>
      <c r="G182" s="6" t="s">
        <v>13</v>
      </c>
      <c r="H182" s="6" t="s">
        <v>35</v>
      </c>
      <c r="I182" s="92">
        <v>1</v>
      </c>
      <c r="J182" s="94" t="s">
        <v>160</v>
      </c>
      <c r="K182" s="46"/>
      <c r="L182" s="46"/>
      <c r="M182" s="46"/>
      <c r="N182" s="46">
        <v>1.3939999999999999</v>
      </c>
      <c r="O182" s="46">
        <v>0</v>
      </c>
      <c r="P182" s="46">
        <v>0</v>
      </c>
      <c r="Q182" s="46">
        <v>0</v>
      </c>
      <c r="R182" s="46">
        <v>0</v>
      </c>
      <c r="S182" s="46">
        <v>2.2319999999999998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0</v>
      </c>
      <c r="AD182" s="46">
        <v>0</v>
      </c>
      <c r="AE182" s="46">
        <v>0</v>
      </c>
      <c r="AF182" s="46">
        <v>0</v>
      </c>
      <c r="AG182" s="46">
        <v>6.5510000000000002</v>
      </c>
      <c r="AH182" s="46">
        <v>2.6659999999999999</v>
      </c>
      <c r="AI182" s="46">
        <v>0</v>
      </c>
      <c r="AJ182" s="46">
        <v>0</v>
      </c>
      <c r="AK182" s="46">
        <v>0</v>
      </c>
      <c r="AL182" s="46">
        <v>0</v>
      </c>
      <c r="AM182" s="46">
        <v>0</v>
      </c>
      <c r="AN182" s="46">
        <v>0</v>
      </c>
      <c r="AO182" s="46">
        <f t="shared" si="4"/>
        <v>0.47566666666666668</v>
      </c>
      <c r="AP182" s="7">
        <f t="shared" si="5"/>
        <v>0.47566666666666668</v>
      </c>
    </row>
    <row r="183" spans="1:42" x14ac:dyDescent="0.3">
      <c r="A183" s="5">
        <v>182</v>
      </c>
      <c r="B183" s="107" t="s">
        <v>65</v>
      </c>
      <c r="C183" s="112"/>
      <c r="D183" s="10" t="s">
        <v>1063</v>
      </c>
      <c r="E183" s="6" t="s">
        <v>128</v>
      </c>
      <c r="F183" s="6" t="s">
        <v>12</v>
      </c>
      <c r="G183" s="6" t="s">
        <v>13</v>
      </c>
      <c r="H183" s="6" t="s">
        <v>35</v>
      </c>
      <c r="I183" s="92">
        <v>1</v>
      </c>
      <c r="J183" s="94" t="s">
        <v>160</v>
      </c>
      <c r="K183" s="46"/>
      <c r="L183" s="46"/>
      <c r="M183" s="46"/>
      <c r="N183" s="46"/>
      <c r="O183" s="46"/>
      <c r="P183" s="46"/>
      <c r="Q183" s="46">
        <v>0</v>
      </c>
      <c r="R183" s="46">
        <v>0.71699999999999997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0</v>
      </c>
      <c r="AL183" s="46">
        <v>0</v>
      </c>
      <c r="AM183" s="46">
        <v>0</v>
      </c>
      <c r="AN183" s="46">
        <v>0</v>
      </c>
      <c r="AO183" s="46">
        <f t="shared" si="4"/>
        <v>2.9874999999999999E-2</v>
      </c>
      <c r="AP183" s="7">
        <f t="shared" si="5"/>
        <v>2.9874999999999999E-2</v>
      </c>
    </row>
    <row r="184" spans="1:42" x14ac:dyDescent="0.3">
      <c r="A184" s="5">
        <v>183</v>
      </c>
      <c r="B184" s="107" t="s">
        <v>65</v>
      </c>
      <c r="C184" s="112"/>
      <c r="D184" s="10" t="s">
        <v>1064</v>
      </c>
      <c r="E184" s="6" t="s">
        <v>128</v>
      </c>
      <c r="F184" s="6" t="s">
        <v>12</v>
      </c>
      <c r="G184" s="6" t="s">
        <v>13</v>
      </c>
      <c r="H184" s="6" t="s">
        <v>35</v>
      </c>
      <c r="I184" s="92">
        <v>1</v>
      </c>
      <c r="J184" s="94" t="s">
        <v>160</v>
      </c>
      <c r="K184" s="46"/>
      <c r="L184" s="46"/>
      <c r="M184" s="46"/>
      <c r="N184" s="46"/>
      <c r="O184" s="46"/>
      <c r="P184" s="46"/>
      <c r="Q184" s="46">
        <v>0</v>
      </c>
      <c r="R184" s="46">
        <v>1.119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f t="shared" si="4"/>
        <v>4.6625E-2</v>
      </c>
      <c r="AP184" s="7">
        <f t="shared" si="5"/>
        <v>4.6625E-2</v>
      </c>
    </row>
    <row r="185" spans="1:42" x14ac:dyDescent="0.3">
      <c r="A185" s="5">
        <v>184</v>
      </c>
      <c r="B185" s="107" t="s">
        <v>65</v>
      </c>
      <c r="C185" s="112"/>
      <c r="D185" s="10" t="s">
        <v>1066</v>
      </c>
      <c r="E185" s="6" t="s">
        <v>128</v>
      </c>
      <c r="F185" s="6" t="s">
        <v>12</v>
      </c>
      <c r="G185" s="6" t="s">
        <v>135</v>
      </c>
      <c r="H185" s="6" t="s">
        <v>35</v>
      </c>
      <c r="I185" s="107">
        <v>1</v>
      </c>
      <c r="J185" s="6" t="s">
        <v>160</v>
      </c>
      <c r="K185" s="46"/>
      <c r="L185" s="46"/>
      <c r="M185" s="46"/>
      <c r="N185" s="46"/>
      <c r="O185" s="46"/>
      <c r="P185" s="46"/>
      <c r="Q185" s="46"/>
      <c r="R185" s="46"/>
      <c r="S185" s="46">
        <v>0</v>
      </c>
      <c r="T185" s="46">
        <v>30.036000000000001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0</v>
      </c>
      <c r="AL185" s="46">
        <v>0</v>
      </c>
      <c r="AM185" s="46">
        <v>0</v>
      </c>
      <c r="AN185" s="46">
        <v>0</v>
      </c>
      <c r="AO185" s="46">
        <f t="shared" si="4"/>
        <v>1.3652727272727274</v>
      </c>
      <c r="AP185" s="7">
        <f t="shared" si="5"/>
        <v>1.3652727272727274</v>
      </c>
    </row>
    <row r="186" spans="1:42" x14ac:dyDescent="0.3">
      <c r="A186" s="5">
        <v>185</v>
      </c>
      <c r="B186" s="107" t="s">
        <v>65</v>
      </c>
      <c r="C186" s="112"/>
      <c r="D186" s="10" t="s">
        <v>1065</v>
      </c>
      <c r="E186" s="6" t="s">
        <v>128</v>
      </c>
      <c r="F186" s="6" t="s">
        <v>12</v>
      </c>
      <c r="G186" s="6" t="s">
        <v>13</v>
      </c>
      <c r="H186" s="6" t="s">
        <v>35</v>
      </c>
      <c r="I186" s="92">
        <v>1</v>
      </c>
      <c r="J186" s="94" t="s">
        <v>160</v>
      </c>
      <c r="K186" s="46"/>
      <c r="L186" s="46"/>
      <c r="M186" s="46"/>
      <c r="N186" s="46"/>
      <c r="O186" s="46"/>
      <c r="P186" s="46"/>
      <c r="Q186" s="46">
        <v>0</v>
      </c>
      <c r="R186" s="46">
        <v>2.7389999999999999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0.77300000000000002</v>
      </c>
      <c r="Y186" s="46">
        <v>0</v>
      </c>
      <c r="Z186" s="46"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0</v>
      </c>
      <c r="AF186" s="46">
        <v>5.585</v>
      </c>
      <c r="AG186" s="46">
        <v>0.71599999999999997</v>
      </c>
      <c r="AH186" s="46">
        <v>0</v>
      </c>
      <c r="AI186" s="46">
        <v>0</v>
      </c>
      <c r="AJ186" s="46">
        <v>0</v>
      </c>
      <c r="AK186" s="46">
        <v>0</v>
      </c>
      <c r="AL186" s="46">
        <v>0</v>
      </c>
      <c r="AM186" s="46">
        <v>0</v>
      </c>
      <c r="AN186" s="46">
        <v>0</v>
      </c>
      <c r="AO186" s="46">
        <f t="shared" si="4"/>
        <v>0.40887499999999993</v>
      </c>
      <c r="AP186" s="7">
        <f t="shared" si="5"/>
        <v>0.40887499999999993</v>
      </c>
    </row>
    <row r="187" spans="1:42" x14ac:dyDescent="0.3">
      <c r="A187" s="5">
        <v>186</v>
      </c>
      <c r="B187" s="107" t="s">
        <v>65</v>
      </c>
      <c r="C187" s="112"/>
      <c r="D187" s="10" t="s">
        <v>1067</v>
      </c>
      <c r="E187" s="6" t="s">
        <v>128</v>
      </c>
      <c r="F187" s="6" t="s">
        <v>12</v>
      </c>
      <c r="G187" s="6" t="s">
        <v>13</v>
      </c>
      <c r="H187" s="6" t="s">
        <v>35</v>
      </c>
      <c r="I187" s="92">
        <v>1</v>
      </c>
      <c r="J187" s="94" t="s">
        <v>160</v>
      </c>
      <c r="K187" s="46"/>
      <c r="L187" s="46"/>
      <c r="M187" s="46"/>
      <c r="N187" s="46"/>
      <c r="O187" s="46"/>
      <c r="P187" s="46"/>
      <c r="Q187" s="46"/>
      <c r="R187" s="46"/>
      <c r="S187" s="46">
        <v>0</v>
      </c>
      <c r="T187" s="46">
        <v>0</v>
      </c>
      <c r="U187" s="46">
        <v>2.3610000000000002</v>
      </c>
      <c r="V187" s="46">
        <v>0</v>
      </c>
      <c r="W187" s="46">
        <v>0</v>
      </c>
      <c r="X187" s="46">
        <v>0.84499999999999997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f t="shared" si="4"/>
        <v>0.14572727272727273</v>
      </c>
      <c r="AP187" s="7">
        <f t="shared" si="5"/>
        <v>0.14572727272727273</v>
      </c>
    </row>
    <row r="188" spans="1:42" x14ac:dyDescent="0.3">
      <c r="A188" s="5">
        <v>187</v>
      </c>
      <c r="B188" s="107" t="s">
        <v>65</v>
      </c>
      <c r="C188" s="112"/>
      <c r="D188" s="10" t="s">
        <v>1069</v>
      </c>
      <c r="E188" s="6" t="s">
        <v>128</v>
      </c>
      <c r="F188" s="6" t="s">
        <v>12</v>
      </c>
      <c r="G188" s="6" t="s">
        <v>13</v>
      </c>
      <c r="H188" s="6" t="s">
        <v>35</v>
      </c>
      <c r="I188" s="92">
        <v>1</v>
      </c>
      <c r="J188" s="94" t="s">
        <v>160</v>
      </c>
      <c r="K188" s="46"/>
      <c r="L188" s="46"/>
      <c r="M188" s="46"/>
      <c r="N188" s="46"/>
      <c r="O188" s="46"/>
      <c r="P188" s="46"/>
      <c r="Q188" s="46"/>
      <c r="R188" s="46"/>
      <c r="S188" s="46">
        <v>0</v>
      </c>
      <c r="T188" s="46">
        <v>0</v>
      </c>
      <c r="U188" s="46">
        <v>0.65900000000000003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0</v>
      </c>
      <c r="AD188" s="46">
        <v>0</v>
      </c>
      <c r="AE188" s="46">
        <v>0</v>
      </c>
      <c r="AF188" s="46">
        <v>0</v>
      </c>
      <c r="AG188" s="46">
        <v>0</v>
      </c>
      <c r="AH188" s="46">
        <v>0</v>
      </c>
      <c r="AI188" s="46">
        <v>0</v>
      </c>
      <c r="AJ188" s="46">
        <v>0</v>
      </c>
      <c r="AK188" s="46">
        <v>0</v>
      </c>
      <c r="AL188" s="46">
        <v>0</v>
      </c>
      <c r="AM188" s="46">
        <v>0</v>
      </c>
      <c r="AN188" s="46">
        <v>0</v>
      </c>
      <c r="AO188" s="46">
        <f t="shared" si="4"/>
        <v>2.9954545454545456E-2</v>
      </c>
      <c r="AP188" s="7">
        <f t="shared" si="5"/>
        <v>2.9954545454545456E-2</v>
      </c>
    </row>
    <row r="189" spans="1:42" x14ac:dyDescent="0.3">
      <c r="A189" s="5">
        <v>188</v>
      </c>
      <c r="B189" s="107" t="s">
        <v>65</v>
      </c>
      <c r="C189" s="112"/>
      <c r="D189" s="10" t="s">
        <v>1070</v>
      </c>
      <c r="E189" s="6" t="s">
        <v>128</v>
      </c>
      <c r="F189" s="6" t="s">
        <v>12</v>
      </c>
      <c r="G189" s="6" t="s">
        <v>135</v>
      </c>
      <c r="H189" s="6" t="s">
        <v>35</v>
      </c>
      <c r="I189" s="92">
        <v>1</v>
      </c>
      <c r="J189" s="94" t="s">
        <v>160</v>
      </c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>
        <v>0</v>
      </c>
      <c r="V189" s="46">
        <v>10.65</v>
      </c>
      <c r="W189" s="46">
        <v>6.6950000000000003</v>
      </c>
      <c r="X189" s="46">
        <v>0</v>
      </c>
      <c r="Y189" s="46">
        <v>1E-3</v>
      </c>
      <c r="Z189" s="46">
        <v>0</v>
      </c>
      <c r="AA189" s="46">
        <v>0</v>
      </c>
      <c r="AB189" s="46">
        <v>0</v>
      </c>
      <c r="AC189" s="46">
        <v>2E-3</v>
      </c>
      <c r="AD189" s="46">
        <v>0</v>
      </c>
      <c r="AE189" s="46">
        <v>0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0</v>
      </c>
      <c r="AL189" s="46">
        <v>0</v>
      </c>
      <c r="AM189" s="46">
        <v>0</v>
      </c>
      <c r="AN189" s="46">
        <v>0</v>
      </c>
      <c r="AO189" s="46">
        <f t="shared" si="4"/>
        <v>0.86739999999999995</v>
      </c>
      <c r="AP189" s="7">
        <f t="shared" si="5"/>
        <v>0.86739999999999995</v>
      </c>
    </row>
    <row r="190" spans="1:42" x14ac:dyDescent="0.3">
      <c r="A190" s="5">
        <v>189</v>
      </c>
      <c r="B190" s="107" t="s">
        <v>65</v>
      </c>
      <c r="C190" s="112"/>
      <c r="D190" s="10" t="s">
        <v>1071</v>
      </c>
      <c r="E190" s="6" t="s">
        <v>128</v>
      </c>
      <c r="F190" s="6" t="s">
        <v>12</v>
      </c>
      <c r="G190" s="6" t="s">
        <v>135</v>
      </c>
      <c r="H190" s="6" t="s">
        <v>35</v>
      </c>
      <c r="I190" s="92">
        <v>1</v>
      </c>
      <c r="J190" s="94" t="s">
        <v>160</v>
      </c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>
        <v>0</v>
      </c>
      <c r="V190" s="46">
        <v>4.0129999999999999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12.901999999999999</v>
      </c>
      <c r="AD190" s="46">
        <v>0</v>
      </c>
      <c r="AE190" s="46">
        <v>0</v>
      </c>
      <c r="AF190" s="46">
        <v>14.135999999999999</v>
      </c>
      <c r="AG190" s="46">
        <v>0</v>
      </c>
      <c r="AH190" s="46">
        <v>0</v>
      </c>
      <c r="AI190" s="46">
        <v>0</v>
      </c>
      <c r="AJ190" s="46">
        <v>0</v>
      </c>
      <c r="AK190" s="46">
        <v>0</v>
      </c>
      <c r="AL190" s="46">
        <v>0</v>
      </c>
      <c r="AM190" s="46">
        <v>0</v>
      </c>
      <c r="AN190" s="46">
        <v>0</v>
      </c>
      <c r="AO190" s="46">
        <f t="shared" si="4"/>
        <v>1.5525499999999999</v>
      </c>
      <c r="AP190" s="7">
        <f t="shared" si="5"/>
        <v>1.5525499999999999</v>
      </c>
    </row>
    <row r="191" spans="1:42" x14ac:dyDescent="0.3">
      <c r="A191" s="5">
        <v>190</v>
      </c>
      <c r="B191" s="107" t="s">
        <v>65</v>
      </c>
      <c r="C191" s="112"/>
      <c r="D191" s="10" t="s">
        <v>1072</v>
      </c>
      <c r="E191" s="6" t="s">
        <v>128</v>
      </c>
      <c r="F191" s="6" t="s">
        <v>12</v>
      </c>
      <c r="G191" s="6" t="s">
        <v>13</v>
      </c>
      <c r="H191" s="6" t="s">
        <v>35</v>
      </c>
      <c r="I191" s="92">
        <v>1</v>
      </c>
      <c r="J191" s="94" t="s">
        <v>160</v>
      </c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>
        <v>3.5270000000000001</v>
      </c>
      <c r="Z191" s="46">
        <v>5.1219999999999999</v>
      </c>
      <c r="AA191" s="46">
        <v>6.431</v>
      </c>
      <c r="AB191" s="46">
        <v>7.7290000000000001</v>
      </c>
      <c r="AC191" s="46">
        <v>1.548</v>
      </c>
      <c r="AD191" s="46">
        <v>4.3419999999999996</v>
      </c>
      <c r="AE191" s="46">
        <v>4.6589999999999998</v>
      </c>
      <c r="AF191" s="46">
        <v>9.9749999999999996</v>
      </c>
      <c r="AG191" s="46">
        <v>7.7309999999999999</v>
      </c>
      <c r="AH191" s="46">
        <v>2.609</v>
      </c>
      <c r="AI191" s="46">
        <v>0</v>
      </c>
      <c r="AJ191" s="46">
        <v>0</v>
      </c>
      <c r="AK191" s="46">
        <v>0</v>
      </c>
      <c r="AL191" s="46">
        <v>0</v>
      </c>
      <c r="AM191" s="46">
        <v>0.76900000000000002</v>
      </c>
      <c r="AN191" s="46">
        <v>0</v>
      </c>
      <c r="AO191" s="46">
        <f t="shared" si="4"/>
        <v>3.402625</v>
      </c>
      <c r="AP191" s="7">
        <f t="shared" si="5"/>
        <v>3.402625</v>
      </c>
    </row>
    <row r="192" spans="1:42" x14ac:dyDescent="0.3">
      <c r="A192" s="5">
        <v>191</v>
      </c>
      <c r="B192" s="107" t="s">
        <v>65</v>
      </c>
      <c r="C192" s="112"/>
      <c r="D192" s="10" t="s">
        <v>1073</v>
      </c>
      <c r="E192" s="6" t="s">
        <v>128</v>
      </c>
      <c r="F192" s="6" t="s">
        <v>12</v>
      </c>
      <c r="G192" s="6" t="s">
        <v>13</v>
      </c>
      <c r="H192" s="6" t="s">
        <v>35</v>
      </c>
      <c r="I192" s="92">
        <v>1</v>
      </c>
      <c r="J192" s="94" t="s">
        <v>160</v>
      </c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>
        <v>6.1679999999999993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0</v>
      </c>
      <c r="AL192" s="46">
        <v>0</v>
      </c>
      <c r="AM192" s="46">
        <v>0</v>
      </c>
      <c r="AN192" s="46">
        <v>0</v>
      </c>
      <c r="AO192" s="46">
        <f t="shared" si="4"/>
        <v>0.4405714285714285</v>
      </c>
      <c r="AP192" s="7">
        <f t="shared" si="5"/>
        <v>0.4405714285714285</v>
      </c>
    </row>
    <row r="193" spans="1:42" x14ac:dyDescent="0.3">
      <c r="A193" s="5">
        <v>192</v>
      </c>
      <c r="B193" s="107" t="s">
        <v>65</v>
      </c>
      <c r="C193" s="112"/>
      <c r="D193" s="10" t="s">
        <v>1074</v>
      </c>
      <c r="E193" s="6" t="s">
        <v>128</v>
      </c>
      <c r="F193" s="6" t="s">
        <v>12</v>
      </c>
      <c r="G193" s="6" t="s">
        <v>135</v>
      </c>
      <c r="H193" s="6" t="s">
        <v>35</v>
      </c>
      <c r="I193" s="92">
        <v>1</v>
      </c>
      <c r="J193" s="94" t="s">
        <v>160</v>
      </c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>
        <v>15.307</v>
      </c>
      <c r="AC193" s="46">
        <v>12.362</v>
      </c>
      <c r="AD193" s="46">
        <v>27.610999999999997</v>
      </c>
      <c r="AE193" s="46">
        <v>0</v>
      </c>
      <c r="AF193" s="46">
        <v>12.359</v>
      </c>
      <c r="AG193" s="46">
        <v>12.791</v>
      </c>
      <c r="AH193" s="46">
        <v>0</v>
      </c>
      <c r="AI193" s="46">
        <v>0</v>
      </c>
      <c r="AJ193" s="46">
        <v>0</v>
      </c>
      <c r="AK193" s="46">
        <v>0</v>
      </c>
      <c r="AL193" s="46">
        <v>0</v>
      </c>
      <c r="AM193" s="46">
        <v>0</v>
      </c>
      <c r="AN193" s="46">
        <v>0</v>
      </c>
      <c r="AO193" s="46">
        <f t="shared" si="4"/>
        <v>6.1869230769230761</v>
      </c>
      <c r="AP193" s="7">
        <f t="shared" si="5"/>
        <v>6.1869230769230761</v>
      </c>
    </row>
    <row r="194" spans="1:42" x14ac:dyDescent="0.3">
      <c r="A194" s="5">
        <v>193</v>
      </c>
      <c r="B194" s="107" t="s">
        <v>65</v>
      </c>
      <c r="C194" s="112"/>
      <c r="D194" s="10" t="s">
        <v>1075</v>
      </c>
      <c r="E194" s="6" t="s">
        <v>128</v>
      </c>
      <c r="F194" s="6" t="s">
        <v>12</v>
      </c>
      <c r="G194" s="6" t="s">
        <v>13</v>
      </c>
      <c r="H194" s="6" t="s">
        <v>35</v>
      </c>
      <c r="I194" s="92">
        <v>1</v>
      </c>
      <c r="J194" s="94" t="s">
        <v>160</v>
      </c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>
        <v>0</v>
      </c>
      <c r="AD194" s="46">
        <v>0</v>
      </c>
      <c r="AE194" s="46">
        <v>0</v>
      </c>
      <c r="AF194" s="46">
        <v>0</v>
      </c>
      <c r="AG194" s="46">
        <v>2.4049999999999998</v>
      </c>
      <c r="AH194" s="46">
        <v>2.41</v>
      </c>
      <c r="AI194" s="46">
        <v>0</v>
      </c>
      <c r="AJ194" s="46">
        <v>0</v>
      </c>
      <c r="AK194" s="46">
        <v>0</v>
      </c>
      <c r="AL194" s="46">
        <v>0</v>
      </c>
      <c r="AM194" s="46">
        <v>0</v>
      </c>
      <c r="AN194" s="46">
        <v>0</v>
      </c>
      <c r="AO194" s="46">
        <f t="shared" si="4"/>
        <v>0.40124999999999994</v>
      </c>
      <c r="AP194" s="7">
        <f t="shared" si="5"/>
        <v>0.40124999999999994</v>
      </c>
    </row>
    <row r="195" spans="1:42" x14ac:dyDescent="0.3">
      <c r="A195" s="5">
        <v>194</v>
      </c>
      <c r="B195" s="107" t="s">
        <v>1077</v>
      </c>
      <c r="C195" s="112"/>
      <c r="D195" s="10" t="s">
        <v>1076</v>
      </c>
      <c r="E195" s="6" t="s">
        <v>128</v>
      </c>
      <c r="F195" s="6" t="s">
        <v>12</v>
      </c>
      <c r="G195" s="6" t="s">
        <v>290</v>
      </c>
      <c r="H195" s="6" t="s">
        <v>80</v>
      </c>
      <c r="I195" s="92">
        <v>1</v>
      </c>
      <c r="J195" s="94" t="s">
        <v>160</v>
      </c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>
        <v>0</v>
      </c>
      <c r="AD195" s="46">
        <v>9.6300000000000008</v>
      </c>
      <c r="AE195" s="46">
        <v>13.09</v>
      </c>
      <c r="AF195" s="46">
        <v>0</v>
      </c>
      <c r="AG195" s="46">
        <v>0</v>
      </c>
      <c r="AH195" s="46">
        <v>0</v>
      </c>
      <c r="AI195" s="46">
        <v>10.58</v>
      </c>
      <c r="AJ195" s="46">
        <v>0</v>
      </c>
      <c r="AK195" s="46">
        <v>0</v>
      </c>
      <c r="AL195" s="46">
        <v>10.82</v>
      </c>
      <c r="AM195" s="46">
        <v>3.95</v>
      </c>
      <c r="AN195" s="46">
        <v>16.380000000000003</v>
      </c>
      <c r="AO195" s="46">
        <f t="shared" ref="AO195:AO206" si="6">AVERAGE(K195:AN195)</f>
        <v>5.3708333333333336</v>
      </c>
      <c r="AP195" s="7">
        <f t="shared" ref="AP195:AP206" si="7">AO195/I195</f>
        <v>5.3708333333333336</v>
      </c>
    </row>
    <row r="196" spans="1:42" x14ac:dyDescent="0.3">
      <c r="A196" s="5">
        <v>195</v>
      </c>
      <c r="B196" s="107" t="s">
        <v>1080</v>
      </c>
      <c r="C196" s="112"/>
      <c r="D196" s="10" t="s">
        <v>1079</v>
      </c>
      <c r="E196" s="6" t="s">
        <v>128</v>
      </c>
      <c r="F196" s="6" t="s">
        <v>12</v>
      </c>
      <c r="G196" s="6" t="s">
        <v>290</v>
      </c>
      <c r="H196" s="6" t="s">
        <v>80</v>
      </c>
      <c r="I196" s="92">
        <v>1</v>
      </c>
      <c r="J196" s="94" t="s">
        <v>160</v>
      </c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>
        <v>14.79</v>
      </c>
      <c r="AO196" s="46">
        <f t="shared" si="6"/>
        <v>14.79</v>
      </c>
      <c r="AP196" s="7">
        <f t="shared" si="7"/>
        <v>14.79</v>
      </c>
    </row>
    <row r="197" spans="1:42" x14ac:dyDescent="0.3">
      <c r="A197" s="5">
        <v>196</v>
      </c>
      <c r="B197" s="107" t="s">
        <v>1080</v>
      </c>
      <c r="C197" s="112"/>
      <c r="D197" s="10" t="s">
        <v>1081</v>
      </c>
      <c r="E197" s="6" t="s">
        <v>128</v>
      </c>
      <c r="F197" s="6" t="s">
        <v>12</v>
      </c>
      <c r="G197" s="6" t="s">
        <v>135</v>
      </c>
      <c r="H197" s="6" t="s">
        <v>35</v>
      </c>
      <c r="I197" s="92">
        <v>1</v>
      </c>
      <c r="J197" s="94" t="s">
        <v>160</v>
      </c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>
        <v>28.468</v>
      </c>
      <c r="AO197" s="46">
        <f t="shared" si="6"/>
        <v>28.468</v>
      </c>
      <c r="AP197" s="7">
        <f t="shared" si="7"/>
        <v>28.468</v>
      </c>
    </row>
    <row r="198" spans="1:42" x14ac:dyDescent="0.3">
      <c r="A198" s="5">
        <v>197</v>
      </c>
      <c r="B198" s="107" t="s">
        <v>65</v>
      </c>
      <c r="C198" s="112"/>
      <c r="D198" s="39" t="s">
        <v>115</v>
      </c>
      <c r="E198" s="110" t="s">
        <v>113</v>
      </c>
      <c r="F198" s="6" t="s">
        <v>19</v>
      </c>
      <c r="G198" s="6" t="s">
        <v>973</v>
      </c>
      <c r="H198" s="6" t="s">
        <v>80</v>
      </c>
      <c r="I198" s="5">
        <v>1</v>
      </c>
      <c r="J198" s="67" t="s">
        <v>160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0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0</v>
      </c>
      <c r="AF198" s="46">
        <v>0</v>
      </c>
      <c r="AG198" s="46">
        <v>0</v>
      </c>
      <c r="AH198" s="46">
        <v>0</v>
      </c>
      <c r="AI198" s="46">
        <v>0</v>
      </c>
      <c r="AJ198" s="46">
        <v>0</v>
      </c>
      <c r="AK198" s="46">
        <v>0</v>
      </c>
      <c r="AL198" s="46">
        <v>0</v>
      </c>
      <c r="AM198" s="46">
        <v>0</v>
      </c>
      <c r="AN198" s="46">
        <v>0</v>
      </c>
      <c r="AO198" s="46">
        <f t="shared" si="6"/>
        <v>0</v>
      </c>
      <c r="AP198" s="7">
        <f t="shared" si="7"/>
        <v>0</v>
      </c>
    </row>
    <row r="199" spans="1:42" x14ac:dyDescent="0.3">
      <c r="A199" s="5">
        <v>198</v>
      </c>
      <c r="B199" s="107" t="s">
        <v>65</v>
      </c>
      <c r="C199" s="5"/>
      <c r="D199" s="39" t="s">
        <v>117</v>
      </c>
      <c r="E199" s="110" t="s">
        <v>113</v>
      </c>
      <c r="F199" s="6" t="s">
        <v>19</v>
      </c>
      <c r="G199" s="6" t="s">
        <v>973</v>
      </c>
      <c r="H199" s="6" t="s">
        <v>80</v>
      </c>
      <c r="I199" s="5">
        <v>1</v>
      </c>
      <c r="J199" s="67" t="s">
        <v>160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0</v>
      </c>
      <c r="AO199" s="46">
        <f t="shared" si="6"/>
        <v>0</v>
      </c>
      <c r="AP199" s="7">
        <f t="shared" si="7"/>
        <v>0</v>
      </c>
    </row>
    <row r="200" spans="1:42" x14ac:dyDescent="0.3">
      <c r="A200" s="5">
        <v>199</v>
      </c>
      <c r="B200" s="107" t="s">
        <v>65</v>
      </c>
      <c r="C200" s="5"/>
      <c r="D200" s="6" t="s">
        <v>66</v>
      </c>
      <c r="E200" s="110" t="s">
        <v>67</v>
      </c>
      <c r="F200" s="6" t="s">
        <v>12</v>
      </c>
      <c r="G200" s="6" t="s">
        <v>976</v>
      </c>
      <c r="H200" s="6" t="s">
        <v>14</v>
      </c>
      <c r="I200" s="5">
        <v>87</v>
      </c>
      <c r="J200" s="67" t="s">
        <v>160</v>
      </c>
      <c r="K200" s="46">
        <v>0</v>
      </c>
      <c r="L200" s="46">
        <v>0</v>
      </c>
      <c r="M200" s="46">
        <v>0</v>
      </c>
      <c r="N200" s="46">
        <v>0</v>
      </c>
      <c r="O200" s="46">
        <v>0</v>
      </c>
      <c r="P200" s="46">
        <v>0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J200" s="46">
        <v>0</v>
      </c>
      <c r="AK200" s="46">
        <v>0</v>
      </c>
      <c r="AL200" s="46">
        <v>0</v>
      </c>
      <c r="AM200" s="46">
        <v>0</v>
      </c>
      <c r="AN200" s="46">
        <v>0</v>
      </c>
      <c r="AO200" s="46">
        <f t="shared" si="6"/>
        <v>0</v>
      </c>
      <c r="AP200" s="7">
        <f t="shared" si="7"/>
        <v>0</v>
      </c>
    </row>
    <row r="201" spans="1:42" x14ac:dyDescent="0.3">
      <c r="A201" s="5">
        <v>200</v>
      </c>
      <c r="B201" s="107" t="s">
        <v>65</v>
      </c>
      <c r="C201" s="5"/>
      <c r="D201" s="6" t="s">
        <v>70</v>
      </c>
      <c r="E201" s="110"/>
      <c r="F201" s="6" t="s">
        <v>12</v>
      </c>
      <c r="G201" s="6" t="s">
        <v>976</v>
      </c>
      <c r="H201" s="6" t="s">
        <v>14</v>
      </c>
      <c r="I201" s="5">
        <v>82</v>
      </c>
      <c r="J201" s="67" t="s">
        <v>160</v>
      </c>
      <c r="K201" s="46">
        <v>0</v>
      </c>
      <c r="L201" s="46">
        <v>0</v>
      </c>
      <c r="M201" s="46">
        <v>0</v>
      </c>
      <c r="N201" s="46">
        <v>0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0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0</v>
      </c>
      <c r="AF201" s="46">
        <v>0</v>
      </c>
      <c r="AG201" s="46">
        <v>0</v>
      </c>
      <c r="AH201" s="46">
        <v>0</v>
      </c>
      <c r="AI201" s="46">
        <v>0</v>
      </c>
      <c r="AJ201" s="46">
        <v>0</v>
      </c>
      <c r="AK201" s="46">
        <v>0</v>
      </c>
      <c r="AL201" s="46">
        <v>0</v>
      </c>
      <c r="AM201" s="46">
        <v>0</v>
      </c>
      <c r="AN201" s="46">
        <v>0</v>
      </c>
      <c r="AO201" s="46">
        <f t="shared" si="6"/>
        <v>0</v>
      </c>
      <c r="AP201" s="7">
        <f t="shared" si="7"/>
        <v>0</v>
      </c>
    </row>
    <row r="202" spans="1:42" x14ac:dyDescent="0.3">
      <c r="A202" s="5">
        <v>201</v>
      </c>
      <c r="B202" s="107" t="s">
        <v>65</v>
      </c>
      <c r="C202" s="5"/>
      <c r="D202" s="6" t="s">
        <v>74</v>
      </c>
      <c r="E202" s="110" t="s">
        <v>30</v>
      </c>
      <c r="F202" s="6" t="s">
        <v>19</v>
      </c>
      <c r="G202" s="6" t="s">
        <v>976</v>
      </c>
      <c r="H202" s="6" t="s">
        <v>14</v>
      </c>
      <c r="I202" s="5">
        <v>2</v>
      </c>
      <c r="J202" s="67" t="s">
        <v>160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0</v>
      </c>
      <c r="AK202" s="46">
        <v>0</v>
      </c>
      <c r="AL202" s="46">
        <v>0</v>
      </c>
      <c r="AM202" s="46">
        <v>0</v>
      </c>
      <c r="AN202" s="46">
        <v>0</v>
      </c>
      <c r="AO202" s="46">
        <f t="shared" si="6"/>
        <v>0</v>
      </c>
      <c r="AP202" s="7">
        <f t="shared" si="7"/>
        <v>0</v>
      </c>
    </row>
    <row r="203" spans="1:42" x14ac:dyDescent="0.3">
      <c r="A203" s="5">
        <v>202</v>
      </c>
      <c r="B203" s="107" t="s">
        <v>65</v>
      </c>
      <c r="C203" s="5"/>
      <c r="D203" s="39" t="s">
        <v>122</v>
      </c>
      <c r="E203" s="110" t="s">
        <v>30</v>
      </c>
      <c r="F203" s="6" t="s">
        <v>19</v>
      </c>
      <c r="G203" s="6" t="s">
        <v>976</v>
      </c>
      <c r="H203" s="6" t="s">
        <v>14</v>
      </c>
      <c r="I203" s="5">
        <v>3</v>
      </c>
      <c r="J203" s="67" t="s">
        <v>160</v>
      </c>
      <c r="K203" s="46">
        <v>0</v>
      </c>
      <c r="L203" s="46">
        <v>0</v>
      </c>
      <c r="M203" s="46">
        <v>0</v>
      </c>
      <c r="N203" s="46">
        <v>0</v>
      </c>
      <c r="O203" s="46">
        <v>0</v>
      </c>
      <c r="P203" s="46">
        <v>0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0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0</v>
      </c>
      <c r="AF203" s="46">
        <v>0</v>
      </c>
      <c r="AG203" s="46">
        <v>0</v>
      </c>
      <c r="AH203" s="46">
        <v>0</v>
      </c>
      <c r="AI203" s="46">
        <v>0</v>
      </c>
      <c r="AJ203" s="46">
        <v>0</v>
      </c>
      <c r="AK203" s="46">
        <v>0</v>
      </c>
      <c r="AL203" s="46">
        <v>0</v>
      </c>
      <c r="AM203" s="46">
        <v>0</v>
      </c>
      <c r="AN203" s="46">
        <v>0</v>
      </c>
      <c r="AO203" s="46">
        <f t="shared" si="6"/>
        <v>0</v>
      </c>
      <c r="AP203" s="7">
        <f t="shared" si="7"/>
        <v>0</v>
      </c>
    </row>
    <row r="204" spans="1:42" ht="15.6" x14ac:dyDescent="0.3">
      <c r="A204" s="5">
        <v>203</v>
      </c>
      <c r="B204" s="107" t="s">
        <v>572</v>
      </c>
      <c r="C204" s="5"/>
      <c r="D204" s="114" t="s">
        <v>950</v>
      </c>
      <c r="E204" s="110" t="s">
        <v>61</v>
      </c>
      <c r="F204" s="6" t="s">
        <v>12</v>
      </c>
      <c r="G204" s="6" t="s">
        <v>976</v>
      </c>
      <c r="H204" s="6" t="s">
        <v>35</v>
      </c>
      <c r="I204" s="5">
        <v>7</v>
      </c>
      <c r="J204" s="12" t="s">
        <v>160</v>
      </c>
      <c r="K204" s="46">
        <v>0</v>
      </c>
      <c r="L204" s="46">
        <v>0</v>
      </c>
      <c r="M204" s="46">
        <v>0</v>
      </c>
      <c r="N204" s="46">
        <v>0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0</v>
      </c>
      <c r="AK204" s="46">
        <v>0</v>
      </c>
      <c r="AL204" s="46">
        <v>0</v>
      </c>
      <c r="AM204" s="46">
        <v>0</v>
      </c>
      <c r="AN204" s="46">
        <v>0</v>
      </c>
      <c r="AO204" s="46">
        <f t="shared" si="6"/>
        <v>0</v>
      </c>
      <c r="AP204" s="7">
        <f t="shared" si="7"/>
        <v>0</v>
      </c>
    </row>
    <row r="205" spans="1:42" ht="15.6" x14ac:dyDescent="0.3">
      <c r="A205" s="5">
        <v>204</v>
      </c>
      <c r="B205" s="107" t="s">
        <v>572</v>
      </c>
      <c r="C205" s="112" t="s">
        <v>697</v>
      </c>
      <c r="D205" s="114" t="s">
        <v>810</v>
      </c>
      <c r="E205" s="110" t="s">
        <v>61</v>
      </c>
      <c r="F205" s="6" t="s">
        <v>12</v>
      </c>
      <c r="G205" s="6" t="s">
        <v>976</v>
      </c>
      <c r="H205" s="6" t="s">
        <v>35</v>
      </c>
      <c r="I205" s="5">
        <v>12</v>
      </c>
      <c r="J205" s="12" t="s">
        <v>160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f t="shared" si="6"/>
        <v>0</v>
      </c>
      <c r="AP205" s="7">
        <f t="shared" si="7"/>
        <v>0</v>
      </c>
    </row>
    <row r="206" spans="1:42" x14ac:dyDescent="0.3">
      <c r="C206" s="112" t="s">
        <v>949</v>
      </c>
      <c r="H206" s="89" t="s">
        <v>79</v>
      </c>
      <c r="I206" s="90">
        <f>SUM(I2:I205)</f>
        <v>967</v>
      </c>
      <c r="J206" s="90"/>
      <c r="K206" s="91">
        <f t="shared" ref="K206:AH206" si="8">SUM(K2:K203)</f>
        <v>6092.2780000000012</v>
      </c>
      <c r="L206" s="91">
        <f t="shared" si="8"/>
        <v>6812.8789999999981</v>
      </c>
      <c r="M206" s="91">
        <f t="shared" si="8"/>
        <v>6750.1519999999973</v>
      </c>
      <c r="N206" s="91">
        <f t="shared" si="8"/>
        <v>6934.7009999999982</v>
      </c>
      <c r="O206" s="91">
        <f t="shared" si="8"/>
        <v>6335.9430000000002</v>
      </c>
      <c r="P206" s="91">
        <f t="shared" si="8"/>
        <v>5776.8700000000017</v>
      </c>
      <c r="Q206" s="91">
        <f t="shared" si="8"/>
        <v>6752.220000000003</v>
      </c>
      <c r="R206" s="91">
        <f t="shared" si="8"/>
        <v>6779.6139999999978</v>
      </c>
      <c r="S206" s="91">
        <f t="shared" si="8"/>
        <v>7548.8269999999993</v>
      </c>
      <c r="T206" s="91">
        <f t="shared" si="8"/>
        <v>7567.7949999999983</v>
      </c>
      <c r="U206" s="91">
        <f t="shared" si="8"/>
        <v>8103.1780000000035</v>
      </c>
      <c r="V206" s="91">
        <f t="shared" si="8"/>
        <v>6877.2759999999989</v>
      </c>
      <c r="W206" s="91">
        <f t="shared" si="8"/>
        <v>6448.1389999999983</v>
      </c>
      <c r="X206" s="91">
        <f t="shared" si="8"/>
        <v>7062.6340000000037</v>
      </c>
      <c r="Y206" s="91">
        <f t="shared" si="8"/>
        <v>7369.3190000000013</v>
      </c>
      <c r="Z206" s="91">
        <f t="shared" si="8"/>
        <v>7098.8730000000032</v>
      </c>
      <c r="AA206" s="91">
        <f t="shared" si="8"/>
        <v>7769.0299999999979</v>
      </c>
      <c r="AB206" s="91">
        <f t="shared" si="8"/>
        <v>6325.1810000000005</v>
      </c>
      <c r="AC206" s="91">
        <f t="shared" si="8"/>
        <v>6896.3209999999999</v>
      </c>
      <c r="AD206" s="91">
        <f t="shared" si="8"/>
        <v>7172.7499999999991</v>
      </c>
      <c r="AE206" s="91">
        <f t="shared" si="8"/>
        <v>8244.4079999999994</v>
      </c>
      <c r="AF206" s="91">
        <f t="shared" si="8"/>
        <v>8090.4820000000018</v>
      </c>
      <c r="AG206" s="91">
        <f t="shared" si="8"/>
        <v>8342.904999999997</v>
      </c>
      <c r="AH206" s="91">
        <f t="shared" si="8"/>
        <v>8252.8709999999974</v>
      </c>
      <c r="AI206" s="91">
        <f t="shared" ref="AI206:AN206" si="9">SUM(AI2:AI204)</f>
        <v>8081.1230000000014</v>
      </c>
      <c r="AJ206" s="91">
        <f t="shared" si="9"/>
        <v>7831.7329999999993</v>
      </c>
      <c r="AK206" s="91">
        <f t="shared" si="9"/>
        <v>7174.3189999999995</v>
      </c>
      <c r="AL206" s="91">
        <f t="shared" si="9"/>
        <v>7873.8390000000009</v>
      </c>
      <c r="AM206" s="91">
        <f t="shared" si="9"/>
        <v>8815.6740000000027</v>
      </c>
      <c r="AN206" s="91">
        <f t="shared" si="9"/>
        <v>8233.9000000000033</v>
      </c>
      <c r="AO206" s="46">
        <f t="shared" si="6"/>
        <v>7313.8411333333315</v>
      </c>
      <c r="AP206" s="7">
        <f t="shared" si="7"/>
        <v>7.5634344708721111</v>
      </c>
    </row>
    <row r="207" spans="1:42" x14ac:dyDescent="0.3">
      <c r="AK207" s="81"/>
      <c r="AO207" s="50"/>
    </row>
    <row r="210" spans="23:32" x14ac:dyDescent="0.3">
      <c r="AC210" s="88"/>
    </row>
    <row r="211" spans="23:32" x14ac:dyDescent="0.3">
      <c r="W211" s="88"/>
    </row>
    <row r="212" spans="23:32" x14ac:dyDescent="0.3">
      <c r="AB212" s="88"/>
      <c r="AE212" s="88"/>
      <c r="AF212" s="88"/>
    </row>
  </sheetData>
  <autoFilter ref="A1:AP206" xr:uid="{00000000-0009-0000-0000-00003F000000}">
    <sortState xmlns:xlrd2="http://schemas.microsoft.com/office/spreadsheetml/2017/richdata2" ref="A2:AP202">
      <sortCondition ref="A1:A202"/>
    </sortState>
  </autoFilter>
  <pageMargins left="0.7" right="0.7" top="0.75" bottom="0.75" header="0.3" footer="0.3"/>
  <pageSetup scale="1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M50"/>
  <sheetViews>
    <sheetView workbookViewId="0">
      <selection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7.6640625" bestFit="1" customWidth="1"/>
    <col min="4" max="4" width="22.33203125" bestFit="1" customWidth="1"/>
    <col min="5" max="5" width="11.109375" bestFit="1" customWidth="1"/>
    <col min="6" max="6" width="8.44140625" bestFit="1" customWidth="1"/>
    <col min="7" max="7" width="10.33203125" bestFit="1" customWidth="1"/>
    <col min="8" max="8" width="8.6640625" bestFit="1" customWidth="1"/>
    <col min="9" max="38" width="9.44140625" bestFit="1" customWidth="1"/>
    <col min="39" max="39" width="8.33203125" bestFit="1" customWidth="1"/>
  </cols>
  <sheetData>
    <row r="1" spans="1:39" s="4" customFormat="1" ht="28.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3">
        <v>45078</v>
      </c>
      <c r="J1" s="3">
        <v>45079</v>
      </c>
      <c r="K1" s="3">
        <v>45080</v>
      </c>
      <c r="L1" s="3">
        <v>45081</v>
      </c>
      <c r="M1" s="3">
        <v>45082</v>
      </c>
      <c r="N1" s="3">
        <v>45083</v>
      </c>
      <c r="O1" s="3">
        <v>45084</v>
      </c>
      <c r="P1" s="3">
        <v>45085</v>
      </c>
      <c r="Q1" s="3">
        <v>45086</v>
      </c>
      <c r="R1" s="3">
        <v>45087</v>
      </c>
      <c r="S1" s="3">
        <v>45088</v>
      </c>
      <c r="T1" s="3">
        <v>45089</v>
      </c>
      <c r="U1" s="3">
        <v>45090</v>
      </c>
      <c r="V1" s="3">
        <v>45091</v>
      </c>
      <c r="W1" s="3">
        <v>45092</v>
      </c>
      <c r="X1" s="3">
        <v>45093</v>
      </c>
      <c r="Y1" s="3">
        <v>45094</v>
      </c>
      <c r="Z1" s="3">
        <v>45095</v>
      </c>
      <c r="AA1" s="3">
        <v>45096</v>
      </c>
      <c r="AB1" s="3">
        <v>45097</v>
      </c>
      <c r="AC1" s="3">
        <v>45098</v>
      </c>
      <c r="AD1" s="3">
        <v>45099</v>
      </c>
      <c r="AE1" s="3">
        <v>45100</v>
      </c>
      <c r="AF1" s="3">
        <v>45101</v>
      </c>
      <c r="AG1" s="3">
        <v>45102</v>
      </c>
      <c r="AH1" s="3">
        <v>45103</v>
      </c>
      <c r="AI1" s="3">
        <v>45104</v>
      </c>
      <c r="AJ1" s="3">
        <v>45105</v>
      </c>
      <c r="AK1" s="3">
        <v>45106</v>
      </c>
      <c r="AL1" s="3">
        <v>45107</v>
      </c>
      <c r="AM1" s="1" t="s">
        <v>8</v>
      </c>
    </row>
    <row r="2" spans="1:39" x14ac:dyDescent="0.3">
      <c r="A2" s="5">
        <v>1</v>
      </c>
      <c r="B2" s="6" t="s">
        <v>9</v>
      </c>
      <c r="C2" s="6" t="s">
        <v>10</v>
      </c>
      <c r="D2" s="6" t="s">
        <v>11</v>
      </c>
      <c r="E2" s="6" t="s">
        <v>12</v>
      </c>
      <c r="F2" s="6" t="s">
        <v>13</v>
      </c>
      <c r="G2" s="6" t="s">
        <v>14</v>
      </c>
      <c r="H2" s="5">
        <v>6</v>
      </c>
      <c r="I2" s="5">
        <v>0.84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0.01</v>
      </c>
      <c r="T2" s="5">
        <v>0</v>
      </c>
      <c r="U2" s="5">
        <v>0.14000000000000001</v>
      </c>
      <c r="V2" s="5">
        <v>0</v>
      </c>
      <c r="W2" s="5">
        <v>4.6399999999999997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7">
        <f>AVERAGE(I2:AL2)</f>
        <v>0.18766666666666668</v>
      </c>
    </row>
    <row r="3" spans="1:39" x14ac:dyDescent="0.3">
      <c r="A3" s="5">
        <v>2</v>
      </c>
      <c r="B3" s="6" t="s">
        <v>9</v>
      </c>
      <c r="C3" s="6" t="s">
        <v>15</v>
      </c>
      <c r="D3" s="6" t="s">
        <v>11</v>
      </c>
      <c r="E3" s="6" t="s">
        <v>12</v>
      </c>
      <c r="F3" s="6" t="s">
        <v>13</v>
      </c>
      <c r="G3" s="6" t="s">
        <v>14</v>
      </c>
      <c r="H3" s="5">
        <v>9</v>
      </c>
      <c r="I3" s="5">
        <v>8.5500000000000007</v>
      </c>
      <c r="J3" s="5">
        <v>19.27</v>
      </c>
      <c r="K3" s="5">
        <v>25.45</v>
      </c>
      <c r="L3" s="5">
        <v>22.95</v>
      </c>
      <c r="M3" s="5">
        <v>20.46</v>
      </c>
      <c r="N3" s="5">
        <v>29.74</v>
      </c>
      <c r="O3" s="5">
        <v>21.8</v>
      </c>
      <c r="P3" s="5">
        <v>70.680000000000007</v>
      </c>
      <c r="Q3" s="5">
        <v>33.770000000000003</v>
      </c>
      <c r="R3" s="5">
        <v>41.59</v>
      </c>
      <c r="S3" s="5">
        <v>32.22</v>
      </c>
      <c r="T3" s="5">
        <v>60.89</v>
      </c>
      <c r="U3" s="5">
        <v>31.91</v>
      </c>
      <c r="V3" s="5">
        <v>42.14</v>
      </c>
      <c r="W3" s="5">
        <v>41.86</v>
      </c>
      <c r="X3" s="5">
        <v>32.130000000000003</v>
      </c>
      <c r="Y3" s="5">
        <v>64.16</v>
      </c>
      <c r="Z3" s="5">
        <v>52.68</v>
      </c>
      <c r="AA3" s="5">
        <v>50.67</v>
      </c>
      <c r="AB3" s="5">
        <v>48.466999999999999</v>
      </c>
      <c r="AC3" s="5">
        <v>25.07</v>
      </c>
      <c r="AD3" s="5">
        <v>116.28</v>
      </c>
      <c r="AE3" s="5">
        <v>55.54</v>
      </c>
      <c r="AF3" s="5">
        <v>23.92</v>
      </c>
      <c r="AG3" s="5">
        <v>57.66</v>
      </c>
      <c r="AH3" s="5">
        <v>42.07</v>
      </c>
      <c r="AI3" s="5">
        <v>25.59</v>
      </c>
      <c r="AJ3" s="5">
        <v>29.78</v>
      </c>
      <c r="AK3" s="5">
        <v>26.13</v>
      </c>
      <c r="AL3" s="5">
        <v>31.71</v>
      </c>
      <c r="AM3" s="7">
        <f t="shared" ref="AM3:AM50" si="0">AVERAGE(I3:AL3)</f>
        <v>39.504566666666662</v>
      </c>
    </row>
    <row r="4" spans="1:39" x14ac:dyDescent="0.3">
      <c r="A4" s="5">
        <v>3</v>
      </c>
      <c r="B4" s="6" t="s">
        <v>9</v>
      </c>
      <c r="C4" s="6" t="s">
        <v>16</v>
      </c>
      <c r="D4" s="6" t="s">
        <v>11</v>
      </c>
      <c r="E4" s="6" t="s">
        <v>12</v>
      </c>
      <c r="F4" s="6" t="s">
        <v>13</v>
      </c>
      <c r="G4" s="6" t="s">
        <v>14</v>
      </c>
      <c r="H4" s="5">
        <v>3</v>
      </c>
      <c r="I4" s="5">
        <v>0.18</v>
      </c>
      <c r="J4" s="5">
        <v>0.08</v>
      </c>
      <c r="K4" s="5">
        <v>0</v>
      </c>
      <c r="L4" s="5">
        <v>0.01</v>
      </c>
      <c r="M4" s="5">
        <v>0.2</v>
      </c>
      <c r="N4" s="5">
        <v>0</v>
      </c>
      <c r="O4" s="5">
        <v>0.56000000000000005</v>
      </c>
      <c r="P4" s="5">
        <v>0</v>
      </c>
      <c r="Q4" s="5">
        <v>0.01</v>
      </c>
      <c r="R4" s="5">
        <v>1.34</v>
      </c>
      <c r="S4" s="5">
        <v>6.7</v>
      </c>
      <c r="T4" s="5">
        <v>0.32</v>
      </c>
      <c r="U4" s="5">
        <v>10.24</v>
      </c>
      <c r="V4" s="5">
        <v>0.3</v>
      </c>
      <c r="W4" s="5">
        <v>0.3</v>
      </c>
      <c r="X4" s="5">
        <v>0.04</v>
      </c>
      <c r="Y4" s="5">
        <v>6.21</v>
      </c>
      <c r="Z4" s="5">
        <v>7.6</v>
      </c>
      <c r="AA4" s="5">
        <v>7.62</v>
      </c>
      <c r="AB4" s="5">
        <v>1.0229999999999999</v>
      </c>
      <c r="AC4" s="5">
        <v>2.29</v>
      </c>
      <c r="AD4" s="5">
        <v>16.96</v>
      </c>
      <c r="AE4" s="5">
        <v>0.62</v>
      </c>
      <c r="AF4" s="5">
        <v>6.03</v>
      </c>
      <c r="AG4" s="5">
        <v>7.69</v>
      </c>
      <c r="AH4" s="5">
        <v>11.89</v>
      </c>
      <c r="AI4" s="5">
        <v>10.57</v>
      </c>
      <c r="AJ4" s="5">
        <v>3.24</v>
      </c>
      <c r="AK4" s="5">
        <v>5.77</v>
      </c>
      <c r="AL4" s="5">
        <v>11.31</v>
      </c>
      <c r="AM4" s="7">
        <f t="shared" si="0"/>
        <v>3.9700999999999995</v>
      </c>
    </row>
    <row r="5" spans="1:39" x14ac:dyDescent="0.3">
      <c r="A5" s="5">
        <v>4</v>
      </c>
      <c r="B5" s="6" t="s">
        <v>9</v>
      </c>
      <c r="C5" s="8" t="s">
        <v>17</v>
      </c>
      <c r="D5" s="8" t="s">
        <v>18</v>
      </c>
      <c r="E5" s="6" t="s">
        <v>19</v>
      </c>
      <c r="F5" s="6" t="s">
        <v>13</v>
      </c>
      <c r="G5" s="6" t="s">
        <v>14</v>
      </c>
      <c r="H5" s="5">
        <v>6</v>
      </c>
      <c r="I5" s="5">
        <v>2.5099999999999998</v>
      </c>
      <c r="J5" s="5">
        <v>2.4900000000000002</v>
      </c>
      <c r="K5" s="5">
        <v>19.829999999999998</v>
      </c>
      <c r="L5" s="5">
        <v>0</v>
      </c>
      <c r="M5" s="5">
        <v>0.33</v>
      </c>
      <c r="N5" s="5">
        <v>1.64</v>
      </c>
      <c r="O5" s="5">
        <v>7.07</v>
      </c>
      <c r="P5" s="5">
        <v>5.86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0.56000000000000005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0.24929999999999999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7">
        <f t="shared" si="0"/>
        <v>1.35131</v>
      </c>
    </row>
    <row r="6" spans="1:39" x14ac:dyDescent="0.3">
      <c r="A6" s="5">
        <v>5</v>
      </c>
      <c r="B6" s="6" t="s">
        <v>9</v>
      </c>
      <c r="C6" s="8" t="s">
        <v>20</v>
      </c>
      <c r="D6" s="8" t="s">
        <v>18</v>
      </c>
      <c r="E6" s="6" t="s">
        <v>19</v>
      </c>
      <c r="F6" s="6" t="s">
        <v>13</v>
      </c>
      <c r="G6" s="6" t="s">
        <v>14</v>
      </c>
      <c r="H6" s="5">
        <v>3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7">
        <f t="shared" si="0"/>
        <v>0</v>
      </c>
    </row>
    <row r="7" spans="1:39" x14ac:dyDescent="0.3">
      <c r="A7" s="5">
        <v>6</v>
      </c>
      <c r="B7" s="6" t="s">
        <v>9</v>
      </c>
      <c r="C7" s="8" t="s">
        <v>21</v>
      </c>
      <c r="D7" s="8" t="s">
        <v>18</v>
      </c>
      <c r="E7" s="6" t="s">
        <v>19</v>
      </c>
      <c r="F7" s="6" t="s">
        <v>13</v>
      </c>
      <c r="G7" s="6" t="s">
        <v>14</v>
      </c>
      <c r="H7" s="5">
        <v>5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0.02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9.93</v>
      </c>
      <c r="AB7" s="5">
        <v>40.594000000000001</v>
      </c>
      <c r="AC7" s="5">
        <v>25.33</v>
      </c>
      <c r="AD7" s="5">
        <v>33.75</v>
      </c>
      <c r="AE7" s="5">
        <v>19.68</v>
      </c>
      <c r="AF7" s="5">
        <v>15.38</v>
      </c>
      <c r="AG7" s="5">
        <v>11.31</v>
      </c>
      <c r="AH7" s="5">
        <v>49.36</v>
      </c>
      <c r="AI7" s="5">
        <v>45.2</v>
      </c>
      <c r="AJ7" s="5">
        <v>39.159999999999997</v>
      </c>
      <c r="AK7" s="9">
        <v>31.08</v>
      </c>
      <c r="AL7" s="5">
        <v>37.369999999999997</v>
      </c>
      <c r="AM7" s="7">
        <f t="shared" si="0"/>
        <v>11.938799999999997</v>
      </c>
    </row>
    <row r="8" spans="1:39" x14ac:dyDescent="0.3">
      <c r="A8" s="5">
        <v>7</v>
      </c>
      <c r="B8" s="6" t="s">
        <v>9</v>
      </c>
      <c r="C8" s="6" t="s">
        <v>22</v>
      </c>
      <c r="D8" s="6" t="s">
        <v>18</v>
      </c>
      <c r="E8" s="6" t="s">
        <v>19</v>
      </c>
      <c r="F8" s="6" t="s">
        <v>13</v>
      </c>
      <c r="G8" s="6" t="s">
        <v>14</v>
      </c>
      <c r="H8" s="5">
        <v>5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0.02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7">
        <f t="shared" si="0"/>
        <v>6.6666666666666664E-4</v>
      </c>
    </row>
    <row r="9" spans="1:39" x14ac:dyDescent="0.3">
      <c r="A9" s="5">
        <v>8</v>
      </c>
      <c r="B9" s="6" t="s">
        <v>9</v>
      </c>
      <c r="C9" s="8" t="s">
        <v>23</v>
      </c>
      <c r="D9" s="8" t="s">
        <v>18</v>
      </c>
      <c r="E9" s="6" t="s">
        <v>19</v>
      </c>
      <c r="F9" s="6" t="s">
        <v>13</v>
      </c>
      <c r="G9" s="6" t="s">
        <v>14</v>
      </c>
      <c r="H9" s="5">
        <v>8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0.02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7">
        <f t="shared" si="0"/>
        <v>6.6666666666666664E-4</v>
      </c>
    </row>
    <row r="10" spans="1:39" x14ac:dyDescent="0.3">
      <c r="A10" s="5">
        <v>9</v>
      </c>
      <c r="B10" s="6" t="s">
        <v>9</v>
      </c>
      <c r="C10" s="6" t="s">
        <v>24</v>
      </c>
      <c r="D10" s="6" t="s">
        <v>18</v>
      </c>
      <c r="E10" s="6" t="s">
        <v>19</v>
      </c>
      <c r="F10" s="6" t="s">
        <v>13</v>
      </c>
      <c r="G10" s="6" t="s">
        <v>14</v>
      </c>
      <c r="H10" s="5">
        <v>3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24.29</v>
      </c>
      <c r="P10" s="5">
        <v>14.38</v>
      </c>
      <c r="Q10" s="5">
        <v>33.35</v>
      </c>
      <c r="R10" s="5">
        <v>34.840000000000003</v>
      </c>
      <c r="S10" s="5">
        <v>30.17</v>
      </c>
      <c r="T10" s="5">
        <v>4.6100000000000003</v>
      </c>
      <c r="U10" s="5">
        <v>17.23</v>
      </c>
      <c r="V10" s="5">
        <v>19.95</v>
      </c>
      <c r="W10" s="5">
        <v>25.95</v>
      </c>
      <c r="X10" s="5">
        <v>23.5</v>
      </c>
      <c r="Y10" s="5">
        <v>17.32</v>
      </c>
      <c r="Z10" s="5">
        <v>31.98</v>
      </c>
      <c r="AA10" s="5">
        <v>31.86</v>
      </c>
      <c r="AB10" s="5">
        <v>31.928000000000001</v>
      </c>
      <c r="AC10" s="5">
        <v>35.020000000000003</v>
      </c>
      <c r="AD10" s="5">
        <v>28.31</v>
      </c>
      <c r="AE10" s="5">
        <v>35.57</v>
      </c>
      <c r="AF10" s="5">
        <v>33.81</v>
      </c>
      <c r="AG10" s="5">
        <v>41.75</v>
      </c>
      <c r="AH10" s="5">
        <v>23.59</v>
      </c>
      <c r="AI10" s="5">
        <v>27.15</v>
      </c>
      <c r="AJ10" s="5">
        <v>14.69</v>
      </c>
      <c r="AK10" s="5">
        <v>0.34</v>
      </c>
      <c r="AL10" s="5">
        <v>4.2300000000000004</v>
      </c>
      <c r="AM10" s="7">
        <f t="shared" si="0"/>
        <v>19.527266666666669</v>
      </c>
    </row>
    <row r="11" spans="1:39" x14ac:dyDescent="0.3">
      <c r="A11" s="5">
        <v>10</v>
      </c>
      <c r="B11" s="6" t="s">
        <v>9</v>
      </c>
      <c r="C11" s="6" t="s">
        <v>25</v>
      </c>
      <c r="D11" s="6" t="s">
        <v>26</v>
      </c>
      <c r="E11" s="6" t="s">
        <v>19</v>
      </c>
      <c r="F11" s="6" t="s">
        <v>13</v>
      </c>
      <c r="G11" s="6" t="s">
        <v>14</v>
      </c>
      <c r="H11" s="5">
        <v>5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7">
        <f t="shared" si="0"/>
        <v>0</v>
      </c>
    </row>
    <row r="12" spans="1:39" x14ac:dyDescent="0.3">
      <c r="A12" s="5">
        <v>11</v>
      </c>
      <c r="B12" s="6" t="s">
        <v>9</v>
      </c>
      <c r="C12" s="6" t="s">
        <v>27</v>
      </c>
      <c r="D12" s="6" t="s">
        <v>28</v>
      </c>
      <c r="E12" s="6" t="s">
        <v>19</v>
      </c>
      <c r="F12" s="6" t="s">
        <v>13</v>
      </c>
      <c r="G12" s="6" t="s">
        <v>14</v>
      </c>
      <c r="H12" s="5">
        <v>5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7">
        <f t="shared" si="0"/>
        <v>0</v>
      </c>
    </row>
    <row r="13" spans="1:39" x14ac:dyDescent="0.3">
      <c r="A13" s="5">
        <v>12</v>
      </c>
      <c r="B13" s="6" t="s">
        <v>9</v>
      </c>
      <c r="C13" s="6" t="s">
        <v>29</v>
      </c>
      <c r="D13" s="6" t="s">
        <v>30</v>
      </c>
      <c r="E13" s="6" t="s">
        <v>19</v>
      </c>
      <c r="F13" s="6" t="s">
        <v>13</v>
      </c>
      <c r="G13" s="6" t="s">
        <v>14</v>
      </c>
      <c r="H13" s="5">
        <v>8</v>
      </c>
      <c r="I13" s="5">
        <v>15.31</v>
      </c>
      <c r="J13" s="5">
        <v>53.92</v>
      </c>
      <c r="K13" s="5">
        <v>48.4</v>
      </c>
      <c r="L13" s="5">
        <v>26.68</v>
      </c>
      <c r="M13" s="5">
        <v>51.12</v>
      </c>
      <c r="N13" s="5">
        <v>73.36</v>
      </c>
      <c r="O13" s="5">
        <v>67.64</v>
      </c>
      <c r="P13" s="5">
        <v>55.62</v>
      </c>
      <c r="Q13" s="5">
        <v>68.430000000000007</v>
      </c>
      <c r="R13" s="5">
        <v>43.83</v>
      </c>
      <c r="S13" s="5">
        <v>32.46</v>
      </c>
      <c r="T13" s="5">
        <v>19.649999999999999</v>
      </c>
      <c r="U13" s="5">
        <v>27.88</v>
      </c>
      <c r="V13" s="5">
        <v>35.64</v>
      </c>
      <c r="W13" s="5">
        <v>14.14</v>
      </c>
      <c r="X13" s="5">
        <v>25.12</v>
      </c>
      <c r="Y13" s="5">
        <v>13.27</v>
      </c>
      <c r="Z13" s="5">
        <v>13.02</v>
      </c>
      <c r="AA13" s="5">
        <v>13.33</v>
      </c>
      <c r="AB13" s="5">
        <v>27.341000000000001</v>
      </c>
      <c r="AC13" s="5">
        <v>40.6</v>
      </c>
      <c r="AD13" s="5">
        <v>14.51</v>
      </c>
      <c r="AE13" s="5">
        <v>20.63</v>
      </c>
      <c r="AF13" s="5">
        <v>14.85</v>
      </c>
      <c r="AG13" s="5">
        <v>19.510000000000002</v>
      </c>
      <c r="AH13" s="5">
        <v>29.31</v>
      </c>
      <c r="AI13" s="5">
        <v>23.79</v>
      </c>
      <c r="AJ13" s="5">
        <v>12.58</v>
      </c>
      <c r="AK13" s="5">
        <v>22.86</v>
      </c>
      <c r="AL13" s="5">
        <v>8.98</v>
      </c>
      <c r="AM13" s="7">
        <f t="shared" si="0"/>
        <v>31.126033333333332</v>
      </c>
    </row>
    <row r="14" spans="1:39" x14ac:dyDescent="0.3">
      <c r="A14" s="5">
        <v>13</v>
      </c>
      <c r="B14" s="6" t="s">
        <v>9</v>
      </c>
      <c r="C14" s="6" t="s">
        <v>31</v>
      </c>
      <c r="D14" s="6" t="s">
        <v>32</v>
      </c>
      <c r="E14" s="6" t="s">
        <v>19</v>
      </c>
      <c r="F14" s="6" t="s">
        <v>13</v>
      </c>
      <c r="G14" s="6" t="s">
        <v>14</v>
      </c>
      <c r="H14" s="5">
        <v>2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7">
        <f t="shared" si="0"/>
        <v>0</v>
      </c>
    </row>
    <row r="15" spans="1:39" x14ac:dyDescent="0.3">
      <c r="A15" s="5">
        <v>14</v>
      </c>
      <c r="B15" s="6" t="s">
        <v>9</v>
      </c>
      <c r="C15" s="6" t="s">
        <v>33</v>
      </c>
      <c r="D15" s="6" t="s">
        <v>30</v>
      </c>
      <c r="E15" s="6" t="s">
        <v>19</v>
      </c>
      <c r="F15" s="6" t="s">
        <v>13</v>
      </c>
      <c r="G15" s="6" t="s">
        <v>14</v>
      </c>
      <c r="H15" s="5">
        <v>4</v>
      </c>
      <c r="I15" s="5">
        <v>5.0199999999999996</v>
      </c>
      <c r="J15" s="5">
        <v>5.52</v>
      </c>
      <c r="K15" s="5">
        <v>10.48</v>
      </c>
      <c r="L15" s="5">
        <v>9.73</v>
      </c>
      <c r="M15" s="5">
        <v>9.17</v>
      </c>
      <c r="N15" s="5">
        <v>6.59</v>
      </c>
      <c r="O15" s="5">
        <v>7.81</v>
      </c>
      <c r="P15" s="5">
        <v>0</v>
      </c>
      <c r="Q15" s="5">
        <v>0</v>
      </c>
      <c r="R15" s="5">
        <v>0.6</v>
      </c>
      <c r="S15" s="5">
        <v>0.22</v>
      </c>
      <c r="T15" s="5">
        <v>0.22</v>
      </c>
      <c r="U15" s="5">
        <v>4.6500000000000004</v>
      </c>
      <c r="V15" s="5">
        <v>6.71</v>
      </c>
      <c r="W15" s="5">
        <v>0.44</v>
      </c>
      <c r="X15" s="5">
        <v>0</v>
      </c>
      <c r="Y15" s="5">
        <v>0.28999999999999998</v>
      </c>
      <c r="Z15" s="5">
        <v>5.6</v>
      </c>
      <c r="AA15" s="5">
        <v>0.51</v>
      </c>
      <c r="AB15" s="5">
        <v>3.077</v>
      </c>
      <c r="AC15" s="5">
        <v>1.84</v>
      </c>
      <c r="AD15" s="5">
        <v>3.65</v>
      </c>
      <c r="AE15" s="5">
        <v>0</v>
      </c>
      <c r="AF15" s="5">
        <v>0</v>
      </c>
      <c r="AG15" s="5">
        <v>1.1599999999999999</v>
      </c>
      <c r="AH15" s="5">
        <v>0</v>
      </c>
      <c r="AI15" s="5">
        <v>0.02</v>
      </c>
      <c r="AJ15" s="5">
        <v>0</v>
      </c>
      <c r="AK15" s="5">
        <v>0</v>
      </c>
      <c r="AL15" s="5">
        <v>0.09</v>
      </c>
      <c r="AM15" s="7">
        <f t="shared" si="0"/>
        <v>2.7799</v>
      </c>
    </row>
    <row r="16" spans="1:39" x14ac:dyDescent="0.3">
      <c r="A16" s="5">
        <v>15</v>
      </c>
      <c r="B16" s="6" t="s">
        <v>9</v>
      </c>
      <c r="C16" s="6" t="s">
        <v>34</v>
      </c>
      <c r="D16" s="6" t="s">
        <v>30</v>
      </c>
      <c r="E16" s="6" t="s">
        <v>19</v>
      </c>
      <c r="F16" s="6" t="s">
        <v>13</v>
      </c>
      <c r="G16" s="6" t="s">
        <v>14</v>
      </c>
      <c r="H16" s="5">
        <v>16</v>
      </c>
      <c r="I16" s="5">
        <v>68.08</v>
      </c>
      <c r="J16" s="5">
        <v>50.73</v>
      </c>
      <c r="K16" s="5">
        <v>39.54</v>
      </c>
      <c r="L16" s="5">
        <v>36.520000000000003</v>
      </c>
      <c r="M16" s="5">
        <v>40.01</v>
      </c>
      <c r="N16" s="5">
        <v>43.96</v>
      </c>
      <c r="O16" s="5">
        <v>32.74</v>
      </c>
      <c r="P16" s="5">
        <v>16.89</v>
      </c>
      <c r="Q16" s="5">
        <v>25.36</v>
      </c>
      <c r="R16" s="5">
        <v>42.07</v>
      </c>
      <c r="S16" s="5">
        <v>29.41</v>
      </c>
      <c r="T16" s="5">
        <v>70.5</v>
      </c>
      <c r="U16" s="5">
        <v>77.89</v>
      </c>
      <c r="V16" s="5">
        <v>62.6</v>
      </c>
      <c r="W16" s="5">
        <v>104.63</v>
      </c>
      <c r="X16" s="5">
        <v>102.56</v>
      </c>
      <c r="Y16" s="5">
        <v>99.54</v>
      </c>
      <c r="Z16" s="5">
        <v>57.32</v>
      </c>
      <c r="AA16" s="5">
        <v>94.13</v>
      </c>
      <c r="AB16" s="5">
        <v>50.206000000000003</v>
      </c>
      <c r="AC16" s="5">
        <v>91.88</v>
      </c>
      <c r="AD16" s="5">
        <v>91.77</v>
      </c>
      <c r="AE16" s="5">
        <v>152.22999999999999</v>
      </c>
      <c r="AF16" s="5">
        <v>178.66</v>
      </c>
      <c r="AG16" s="5">
        <v>150.69999999999999</v>
      </c>
      <c r="AH16" s="5">
        <v>155.34</v>
      </c>
      <c r="AI16" s="5">
        <v>162.15</v>
      </c>
      <c r="AJ16" s="5">
        <v>110.64</v>
      </c>
      <c r="AK16" s="5">
        <v>110.11</v>
      </c>
      <c r="AL16" s="5">
        <v>170.88</v>
      </c>
      <c r="AM16" s="7">
        <f t="shared" si="0"/>
        <v>83.968199999999996</v>
      </c>
    </row>
    <row r="17" spans="1:39" x14ac:dyDescent="0.3">
      <c r="A17" s="5">
        <v>16</v>
      </c>
      <c r="B17" s="6" t="s">
        <v>9</v>
      </c>
      <c r="C17" s="6" t="s">
        <v>34</v>
      </c>
      <c r="D17" s="6" t="s">
        <v>30</v>
      </c>
      <c r="E17" s="6" t="s">
        <v>19</v>
      </c>
      <c r="F17" s="6" t="s">
        <v>13</v>
      </c>
      <c r="G17" s="6" t="s">
        <v>35</v>
      </c>
      <c r="H17" s="5">
        <v>5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>
        <v>84.4</v>
      </c>
      <c r="AJ17" s="5">
        <v>68.040000000000006</v>
      </c>
      <c r="AK17" s="5">
        <v>42.62</v>
      </c>
      <c r="AL17" s="5">
        <v>45.03</v>
      </c>
      <c r="AM17" s="7">
        <f t="shared" si="0"/>
        <v>60.022500000000001</v>
      </c>
    </row>
    <row r="18" spans="1:39" x14ac:dyDescent="0.3">
      <c r="A18" s="5">
        <v>17</v>
      </c>
      <c r="B18" s="6" t="s">
        <v>9</v>
      </c>
      <c r="C18" s="6" t="s">
        <v>36</v>
      </c>
      <c r="D18" s="6" t="s">
        <v>30</v>
      </c>
      <c r="E18" s="6" t="s">
        <v>19</v>
      </c>
      <c r="F18" s="6" t="s">
        <v>13</v>
      </c>
      <c r="G18" s="6" t="s">
        <v>14</v>
      </c>
      <c r="H18" s="5">
        <v>6</v>
      </c>
      <c r="I18" s="10">
        <v>59.11</v>
      </c>
      <c r="J18" s="10">
        <v>19.579999999999998</v>
      </c>
      <c r="K18" s="10">
        <v>39.4</v>
      </c>
      <c r="L18" s="10">
        <v>36.880000000000003</v>
      </c>
      <c r="M18" s="10">
        <v>45.55</v>
      </c>
      <c r="N18" s="10">
        <v>29.3</v>
      </c>
      <c r="O18" s="10">
        <v>23.31</v>
      </c>
      <c r="P18" s="10">
        <v>16.07</v>
      </c>
      <c r="Q18" s="10">
        <v>37.96</v>
      </c>
      <c r="R18" s="10">
        <v>16.760000000000002</v>
      </c>
      <c r="S18" s="10">
        <v>34.58</v>
      </c>
      <c r="T18" s="10">
        <v>26.47</v>
      </c>
      <c r="U18" s="10">
        <v>37.14</v>
      </c>
      <c r="V18" s="10">
        <v>31.79</v>
      </c>
      <c r="W18" s="10">
        <v>41.43</v>
      </c>
      <c r="X18" s="10">
        <v>23.49</v>
      </c>
      <c r="Y18" s="10">
        <v>47.83</v>
      </c>
      <c r="Z18" s="10">
        <v>48.4</v>
      </c>
      <c r="AA18" s="10">
        <v>26.83</v>
      </c>
      <c r="AB18" s="10">
        <v>22.861999999999998</v>
      </c>
      <c r="AC18" s="5">
        <v>44.74</v>
      </c>
      <c r="AD18" s="5">
        <v>43.41</v>
      </c>
      <c r="AE18" s="5">
        <v>37.29</v>
      </c>
      <c r="AF18" s="5">
        <v>45.67</v>
      </c>
      <c r="AG18" s="5">
        <v>46.7</v>
      </c>
      <c r="AH18" s="5">
        <v>53.79</v>
      </c>
      <c r="AI18" s="5">
        <v>41.9</v>
      </c>
      <c r="AJ18" s="5">
        <v>21.48</v>
      </c>
      <c r="AK18" s="5">
        <v>22.44</v>
      </c>
      <c r="AL18" s="5">
        <v>5.04</v>
      </c>
      <c r="AM18" s="7">
        <f t="shared" si="0"/>
        <v>34.240066666666664</v>
      </c>
    </row>
    <row r="19" spans="1:39" x14ac:dyDescent="0.3">
      <c r="A19" s="5">
        <v>18</v>
      </c>
      <c r="B19" s="6" t="s">
        <v>9</v>
      </c>
      <c r="C19" s="6" t="s">
        <v>37</v>
      </c>
      <c r="D19" s="6" t="s">
        <v>30</v>
      </c>
      <c r="E19" s="6" t="s">
        <v>19</v>
      </c>
      <c r="F19" s="6" t="s">
        <v>13</v>
      </c>
      <c r="G19" s="6" t="s">
        <v>14</v>
      </c>
      <c r="H19" s="5">
        <v>6</v>
      </c>
      <c r="I19" s="5">
        <v>51.43</v>
      </c>
      <c r="J19" s="5">
        <v>43.04</v>
      </c>
      <c r="K19" s="5">
        <v>14.99</v>
      </c>
      <c r="L19" s="5">
        <v>20.83</v>
      </c>
      <c r="M19" s="5">
        <v>32.380000000000003</v>
      </c>
      <c r="N19" s="5">
        <v>9.9600000000000009</v>
      </c>
      <c r="O19" s="5">
        <v>9.49</v>
      </c>
      <c r="P19" s="5">
        <v>33.299999999999997</v>
      </c>
      <c r="Q19" s="5">
        <v>22.48</v>
      </c>
      <c r="R19" s="5">
        <v>17.14</v>
      </c>
      <c r="S19" s="5">
        <v>14.59</v>
      </c>
      <c r="T19" s="5">
        <v>39.729999999999997</v>
      </c>
      <c r="U19" s="5">
        <v>24.84</v>
      </c>
      <c r="V19" s="5">
        <v>29.06</v>
      </c>
      <c r="W19" s="5">
        <v>10.210000000000001</v>
      </c>
      <c r="X19" s="5">
        <v>26.26</v>
      </c>
      <c r="Y19" s="5">
        <v>14.39</v>
      </c>
      <c r="Z19" s="5">
        <v>29.03</v>
      </c>
      <c r="AA19" s="5">
        <v>23.2</v>
      </c>
      <c r="AB19" s="5">
        <v>31.437999999999999</v>
      </c>
      <c r="AC19" s="5">
        <v>14.68</v>
      </c>
      <c r="AD19" s="5">
        <v>31.31</v>
      </c>
      <c r="AE19" s="5">
        <v>10.25</v>
      </c>
      <c r="AF19" s="5">
        <v>18.2</v>
      </c>
      <c r="AG19" s="5">
        <v>32.090000000000003</v>
      </c>
      <c r="AH19" s="5">
        <v>0.52</v>
      </c>
      <c r="AI19" s="5">
        <v>8.0500000000000007</v>
      </c>
      <c r="AJ19" s="5">
        <v>0.31</v>
      </c>
      <c r="AK19" s="5">
        <v>9.58</v>
      </c>
      <c r="AL19" s="5">
        <v>19.170000000000002</v>
      </c>
      <c r="AM19" s="7">
        <f t="shared" si="0"/>
        <v>21.398266666666661</v>
      </c>
    </row>
    <row r="20" spans="1:39" x14ac:dyDescent="0.3">
      <c r="A20" s="5">
        <v>19</v>
      </c>
      <c r="B20" s="6" t="s">
        <v>9</v>
      </c>
      <c r="C20" s="6" t="s">
        <v>38</v>
      </c>
      <c r="D20" s="6" t="s">
        <v>30</v>
      </c>
      <c r="E20" s="6" t="s">
        <v>19</v>
      </c>
      <c r="F20" s="6" t="s">
        <v>13</v>
      </c>
      <c r="G20" s="6" t="s">
        <v>14</v>
      </c>
      <c r="H20" s="5">
        <v>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10.87</v>
      </c>
      <c r="Q20" s="5">
        <v>18.100000000000001</v>
      </c>
      <c r="R20" s="5">
        <v>19.13</v>
      </c>
      <c r="S20" s="5">
        <v>27.06</v>
      </c>
      <c r="T20" s="5">
        <v>24.55</v>
      </c>
      <c r="U20" s="5">
        <v>19.54</v>
      </c>
      <c r="V20" s="5">
        <v>38.82</v>
      </c>
      <c r="W20" s="5">
        <v>40.36</v>
      </c>
      <c r="X20" s="5">
        <v>21.79</v>
      </c>
      <c r="Y20" s="5">
        <v>17.059999999999999</v>
      </c>
      <c r="Z20" s="5">
        <v>17.190000000000001</v>
      </c>
      <c r="AA20" s="5">
        <v>18.920000000000002</v>
      </c>
      <c r="AB20" s="5">
        <v>17.93</v>
      </c>
      <c r="AC20" s="5">
        <v>13.39</v>
      </c>
      <c r="AD20" s="5">
        <v>33.42</v>
      </c>
      <c r="AE20" s="5">
        <v>22.85</v>
      </c>
      <c r="AF20" s="5">
        <v>10.27</v>
      </c>
      <c r="AG20" s="5">
        <v>24.88</v>
      </c>
      <c r="AH20" s="5">
        <v>35.159999999999997</v>
      </c>
      <c r="AI20" s="5">
        <v>13.45</v>
      </c>
      <c r="AJ20" s="5">
        <v>28.18</v>
      </c>
      <c r="AK20" s="5">
        <v>2.34</v>
      </c>
      <c r="AL20" s="5">
        <v>15.57</v>
      </c>
      <c r="AM20" s="7">
        <f t="shared" si="0"/>
        <v>16.360999999999997</v>
      </c>
    </row>
    <row r="21" spans="1:39" x14ac:dyDescent="0.3">
      <c r="A21" s="5">
        <v>20</v>
      </c>
      <c r="B21" s="6" t="s">
        <v>9</v>
      </c>
      <c r="C21" s="6" t="s">
        <v>39</v>
      </c>
      <c r="D21" s="6" t="s">
        <v>30</v>
      </c>
      <c r="E21" s="6" t="s">
        <v>19</v>
      </c>
      <c r="F21" s="6" t="s">
        <v>13</v>
      </c>
      <c r="G21" s="6" t="s">
        <v>14</v>
      </c>
      <c r="H21" s="5">
        <v>3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0.877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7">
        <f t="shared" si="0"/>
        <v>2.9233333333333333E-2</v>
      </c>
    </row>
    <row r="22" spans="1:39" x14ac:dyDescent="0.3">
      <c r="A22" s="5">
        <v>21</v>
      </c>
      <c r="B22" s="6" t="s">
        <v>9</v>
      </c>
      <c r="C22" s="6" t="s">
        <v>39</v>
      </c>
      <c r="D22" s="6" t="s">
        <v>30</v>
      </c>
      <c r="E22" s="6" t="s">
        <v>19</v>
      </c>
      <c r="F22" s="6" t="s">
        <v>40</v>
      </c>
      <c r="G22" s="6" t="s">
        <v>35</v>
      </c>
      <c r="H22" s="5">
        <v>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0.17</v>
      </c>
      <c r="AI22" s="5">
        <v>7.22</v>
      </c>
      <c r="AJ22" s="5">
        <v>14.47</v>
      </c>
      <c r="AK22" s="5">
        <v>0</v>
      </c>
      <c r="AL22" s="5">
        <v>0</v>
      </c>
      <c r="AM22" s="7">
        <f t="shared" si="0"/>
        <v>4.3719999999999999</v>
      </c>
    </row>
    <row r="23" spans="1:39" x14ac:dyDescent="0.3">
      <c r="A23" s="5">
        <v>22</v>
      </c>
      <c r="B23" s="6" t="s">
        <v>9</v>
      </c>
      <c r="C23" s="6" t="s">
        <v>39</v>
      </c>
      <c r="D23" s="6" t="s">
        <v>30</v>
      </c>
      <c r="E23" s="6" t="s">
        <v>19</v>
      </c>
      <c r="F23" s="6" t="s">
        <v>41</v>
      </c>
      <c r="G23" s="6" t="s">
        <v>35</v>
      </c>
      <c r="H23" s="5">
        <v>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1"/>
      <c r="AC23" s="5">
        <v>0.09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7">
        <f t="shared" si="0"/>
        <v>8.9999999999999993E-3</v>
      </c>
    </row>
    <row r="24" spans="1:39" x14ac:dyDescent="0.3">
      <c r="A24" s="5">
        <v>23</v>
      </c>
      <c r="B24" s="6" t="s">
        <v>9</v>
      </c>
      <c r="C24" s="6" t="s">
        <v>42</v>
      </c>
      <c r="D24" s="6" t="s">
        <v>43</v>
      </c>
      <c r="E24" s="6" t="s">
        <v>19</v>
      </c>
      <c r="F24" s="6" t="s">
        <v>13</v>
      </c>
      <c r="G24" s="6" t="s">
        <v>14</v>
      </c>
      <c r="H24" s="5">
        <v>2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7">
        <f t="shared" si="0"/>
        <v>0</v>
      </c>
    </row>
    <row r="25" spans="1:39" x14ac:dyDescent="0.3">
      <c r="A25" s="5">
        <v>24</v>
      </c>
      <c r="B25" s="6" t="s">
        <v>9</v>
      </c>
      <c r="C25" s="6" t="s">
        <v>44</v>
      </c>
      <c r="D25" s="6" t="s">
        <v>43</v>
      </c>
      <c r="E25" s="6" t="s">
        <v>19</v>
      </c>
      <c r="F25" s="6" t="s">
        <v>13</v>
      </c>
      <c r="G25" s="6" t="s">
        <v>14</v>
      </c>
      <c r="H25" s="5">
        <v>2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7">
        <f t="shared" si="0"/>
        <v>0</v>
      </c>
    </row>
    <row r="26" spans="1:39" x14ac:dyDescent="0.3">
      <c r="A26" s="5">
        <v>25</v>
      </c>
      <c r="B26" s="6" t="s">
        <v>9</v>
      </c>
      <c r="C26" s="6" t="s">
        <v>45</v>
      </c>
      <c r="D26" s="6" t="s">
        <v>43</v>
      </c>
      <c r="E26" s="6" t="s">
        <v>19</v>
      </c>
      <c r="F26" s="6" t="s">
        <v>13</v>
      </c>
      <c r="G26" s="6" t="s">
        <v>14</v>
      </c>
      <c r="H26" s="5">
        <v>1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7">
        <f t="shared" si="0"/>
        <v>0</v>
      </c>
    </row>
    <row r="27" spans="1:39" x14ac:dyDescent="0.3">
      <c r="A27" s="5">
        <v>26</v>
      </c>
      <c r="B27" s="6" t="s">
        <v>9</v>
      </c>
      <c r="C27" s="6" t="s">
        <v>46</v>
      </c>
      <c r="D27" s="6" t="s">
        <v>18</v>
      </c>
      <c r="E27" s="6" t="s">
        <v>19</v>
      </c>
      <c r="F27" s="6" t="s">
        <v>13</v>
      </c>
      <c r="G27" s="6" t="s">
        <v>14</v>
      </c>
      <c r="H27" s="5">
        <v>4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7">
        <f t="shared" si="0"/>
        <v>0</v>
      </c>
    </row>
    <row r="28" spans="1:39" x14ac:dyDescent="0.3">
      <c r="A28" s="5">
        <v>27</v>
      </c>
      <c r="B28" s="6" t="s">
        <v>9</v>
      </c>
      <c r="C28" s="6" t="s">
        <v>47</v>
      </c>
      <c r="D28" s="6" t="s">
        <v>48</v>
      </c>
      <c r="E28" s="6" t="s">
        <v>19</v>
      </c>
      <c r="F28" s="6" t="s">
        <v>13</v>
      </c>
      <c r="G28" s="6" t="s">
        <v>14</v>
      </c>
      <c r="H28" s="5">
        <v>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7">
        <f t="shared" si="0"/>
        <v>0</v>
      </c>
    </row>
    <row r="29" spans="1:39" x14ac:dyDescent="0.3">
      <c r="A29" s="5">
        <v>28</v>
      </c>
      <c r="B29" s="6" t="s">
        <v>49</v>
      </c>
      <c r="C29" s="6" t="s">
        <v>50</v>
      </c>
      <c r="D29" s="6" t="s">
        <v>30</v>
      </c>
      <c r="E29" s="6" t="s">
        <v>19</v>
      </c>
      <c r="F29" s="6" t="s">
        <v>13</v>
      </c>
      <c r="G29" s="6" t="s">
        <v>14</v>
      </c>
      <c r="H29" s="5">
        <v>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14.91</v>
      </c>
      <c r="V29" s="5">
        <v>34.25</v>
      </c>
      <c r="W29" s="5">
        <v>24.73</v>
      </c>
      <c r="X29" s="5">
        <v>14.34</v>
      </c>
      <c r="Y29" s="5">
        <v>40.54</v>
      </c>
      <c r="Z29" s="5">
        <v>13.96</v>
      </c>
      <c r="AA29" s="5">
        <v>18.71</v>
      </c>
      <c r="AB29" s="5">
        <v>12.11</v>
      </c>
      <c r="AC29" s="5">
        <v>39.26</v>
      </c>
      <c r="AD29" s="5">
        <v>29.94</v>
      </c>
      <c r="AE29" s="5">
        <v>23.12</v>
      </c>
      <c r="AF29" s="5">
        <v>11.99</v>
      </c>
      <c r="AG29" s="5">
        <v>19.38</v>
      </c>
      <c r="AH29" s="5">
        <v>46.89</v>
      </c>
      <c r="AI29" s="5">
        <v>20.76</v>
      </c>
      <c r="AJ29" s="5">
        <v>20.16</v>
      </c>
      <c r="AK29" s="5">
        <v>39.950000000000003</v>
      </c>
      <c r="AL29" s="5">
        <v>25.66</v>
      </c>
      <c r="AM29" s="7">
        <f t="shared" si="0"/>
        <v>15.022</v>
      </c>
    </row>
    <row r="30" spans="1:39" x14ac:dyDescent="0.3">
      <c r="A30" s="5">
        <v>29</v>
      </c>
      <c r="B30" s="6" t="s">
        <v>49</v>
      </c>
      <c r="C30" s="6" t="s">
        <v>51</v>
      </c>
      <c r="D30" s="6" t="s">
        <v>18</v>
      </c>
      <c r="E30" s="6" t="s">
        <v>19</v>
      </c>
      <c r="F30" s="6" t="s">
        <v>13</v>
      </c>
      <c r="G30" s="6" t="s">
        <v>14</v>
      </c>
      <c r="H30" s="5">
        <v>5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14.59</v>
      </c>
      <c r="W30" s="5">
        <v>20.89</v>
      </c>
      <c r="X30" s="5">
        <v>9.27</v>
      </c>
      <c r="Y30" s="5">
        <v>20.79</v>
      </c>
      <c r="Z30" s="5">
        <v>21.16</v>
      </c>
      <c r="AA30" s="5">
        <v>20.95</v>
      </c>
      <c r="AB30" s="5">
        <v>16.59</v>
      </c>
      <c r="AC30" s="5">
        <v>26.39</v>
      </c>
      <c r="AD30" s="5">
        <v>14.5</v>
      </c>
      <c r="AE30" s="5">
        <v>15.15</v>
      </c>
      <c r="AF30" s="5">
        <v>16.98</v>
      </c>
      <c r="AG30" s="5">
        <v>16.27</v>
      </c>
      <c r="AH30" s="5">
        <v>13.97</v>
      </c>
      <c r="AI30" s="5">
        <v>10.1</v>
      </c>
      <c r="AJ30" s="5">
        <v>16.079999999999998</v>
      </c>
      <c r="AK30" s="5">
        <v>6.57</v>
      </c>
      <c r="AL30" s="5">
        <v>12.97</v>
      </c>
      <c r="AM30" s="7">
        <f t="shared" si="0"/>
        <v>9.1073333333333348</v>
      </c>
    </row>
    <row r="31" spans="1:39" x14ac:dyDescent="0.3">
      <c r="A31" s="5">
        <v>30</v>
      </c>
      <c r="B31" s="6" t="s">
        <v>52</v>
      </c>
      <c r="C31" s="6" t="s">
        <v>53</v>
      </c>
      <c r="D31" s="6" t="s">
        <v>54</v>
      </c>
      <c r="E31" s="6" t="s">
        <v>19</v>
      </c>
      <c r="F31" s="6" t="s">
        <v>13</v>
      </c>
      <c r="G31" s="6" t="s">
        <v>14</v>
      </c>
      <c r="H31" s="5">
        <v>5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14.54</v>
      </c>
      <c r="AB31" s="5">
        <v>31.92</v>
      </c>
      <c r="AC31" s="5">
        <v>10.99</v>
      </c>
      <c r="AD31" s="5">
        <v>37.11</v>
      </c>
      <c r="AE31" s="5">
        <v>9.59</v>
      </c>
      <c r="AF31" s="5">
        <v>19.78</v>
      </c>
      <c r="AG31" s="5">
        <v>5.91</v>
      </c>
      <c r="AH31" s="5">
        <v>38.82</v>
      </c>
      <c r="AI31" s="5">
        <v>32.61</v>
      </c>
      <c r="AJ31" s="5">
        <v>19.920000000000002</v>
      </c>
      <c r="AK31" s="5">
        <v>25.41</v>
      </c>
      <c r="AL31" s="5">
        <v>23.67</v>
      </c>
      <c r="AM31" s="7">
        <f t="shared" si="0"/>
        <v>9.0089999999999986</v>
      </c>
    </row>
    <row r="32" spans="1:39" x14ac:dyDescent="0.3">
      <c r="A32" s="5">
        <v>31</v>
      </c>
      <c r="B32" s="6" t="s">
        <v>55</v>
      </c>
      <c r="C32" s="6" t="s">
        <v>56</v>
      </c>
      <c r="D32" s="6" t="s">
        <v>57</v>
      </c>
      <c r="E32" s="6" t="s">
        <v>19</v>
      </c>
      <c r="F32" s="6" t="s">
        <v>13</v>
      </c>
      <c r="G32" s="6" t="s">
        <v>14</v>
      </c>
      <c r="H32" s="5">
        <v>40</v>
      </c>
      <c r="I32" s="5">
        <v>157.1</v>
      </c>
      <c r="J32" s="5">
        <v>218.76</v>
      </c>
      <c r="K32" s="5">
        <v>220.6</v>
      </c>
      <c r="L32" s="5">
        <v>150.27000000000001</v>
      </c>
      <c r="M32" s="5">
        <v>25.63</v>
      </c>
      <c r="N32" s="5">
        <v>181.46</v>
      </c>
      <c r="O32" s="5">
        <v>141.53</v>
      </c>
      <c r="P32" s="5">
        <v>84.5</v>
      </c>
      <c r="Q32" s="5">
        <v>57.3</v>
      </c>
      <c r="R32" s="5">
        <v>249.1</v>
      </c>
      <c r="S32" s="5">
        <v>178.31</v>
      </c>
      <c r="T32" s="5">
        <v>54.02</v>
      </c>
      <c r="U32" s="5">
        <v>114.33</v>
      </c>
      <c r="V32" s="5">
        <v>123.05</v>
      </c>
      <c r="W32" s="5">
        <v>72.84</v>
      </c>
      <c r="X32" s="5">
        <v>75.89</v>
      </c>
      <c r="Y32" s="5">
        <v>194.97</v>
      </c>
      <c r="Z32" s="5">
        <v>71.44</v>
      </c>
      <c r="AA32" s="5">
        <v>54.1</v>
      </c>
      <c r="AB32" s="5">
        <v>52.36</v>
      </c>
      <c r="AC32" s="5">
        <v>75.930000000000007</v>
      </c>
      <c r="AD32" s="5">
        <v>91.29</v>
      </c>
      <c r="AE32" s="5">
        <v>72.94</v>
      </c>
      <c r="AF32" s="5">
        <v>153.04</v>
      </c>
      <c r="AG32" s="5">
        <v>45.21</v>
      </c>
      <c r="AH32" s="5">
        <v>100.08</v>
      </c>
      <c r="AI32" s="5">
        <v>106.84</v>
      </c>
      <c r="AJ32" s="5">
        <v>69.72</v>
      </c>
      <c r="AK32" s="5">
        <v>59.88</v>
      </c>
      <c r="AL32" s="5">
        <v>78.56</v>
      </c>
      <c r="AM32" s="7">
        <f t="shared" si="0"/>
        <v>111.03499999999998</v>
      </c>
    </row>
    <row r="33" spans="1:39" x14ac:dyDescent="0.3">
      <c r="A33" s="5">
        <v>32</v>
      </c>
      <c r="B33" s="6" t="s">
        <v>55</v>
      </c>
      <c r="C33" s="6" t="s">
        <v>56</v>
      </c>
      <c r="D33" s="6" t="s">
        <v>57</v>
      </c>
      <c r="E33" s="6" t="s">
        <v>19</v>
      </c>
      <c r="F33" s="6" t="s">
        <v>13</v>
      </c>
      <c r="G33" s="6" t="s">
        <v>35</v>
      </c>
      <c r="H33" s="5">
        <v>2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7"/>
    </row>
    <row r="34" spans="1:39" x14ac:dyDescent="0.3">
      <c r="A34" s="5">
        <v>33</v>
      </c>
      <c r="B34" s="6" t="s">
        <v>58</v>
      </c>
      <c r="C34" s="6" t="s">
        <v>59</v>
      </c>
      <c r="D34" s="6" t="s">
        <v>30</v>
      </c>
      <c r="E34" s="6" t="s">
        <v>19</v>
      </c>
      <c r="F34" s="6" t="s">
        <v>13</v>
      </c>
      <c r="G34" s="6" t="s">
        <v>14</v>
      </c>
      <c r="H34" s="5">
        <v>6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7">
        <f t="shared" si="0"/>
        <v>0</v>
      </c>
    </row>
    <row r="35" spans="1:39" x14ac:dyDescent="0.3">
      <c r="A35" s="5">
        <v>34</v>
      </c>
      <c r="B35" s="6" t="s">
        <v>58</v>
      </c>
      <c r="C35" s="6" t="s">
        <v>60</v>
      </c>
      <c r="D35" s="6" t="s">
        <v>61</v>
      </c>
      <c r="E35" s="6" t="s">
        <v>19</v>
      </c>
      <c r="F35" s="6" t="s">
        <v>13</v>
      </c>
      <c r="G35" s="6" t="s">
        <v>14</v>
      </c>
      <c r="H35" s="5">
        <v>3</v>
      </c>
      <c r="I35" s="5">
        <v>0</v>
      </c>
      <c r="J35" s="5">
        <v>0</v>
      </c>
      <c r="K35" s="5">
        <v>37.08</v>
      </c>
      <c r="L35" s="5">
        <v>11.28</v>
      </c>
      <c r="M35" s="5">
        <v>0</v>
      </c>
      <c r="N35" s="5">
        <v>0</v>
      </c>
      <c r="O35" s="5">
        <v>0</v>
      </c>
      <c r="P35" s="5">
        <v>65.349999999999994</v>
      </c>
      <c r="Q35" s="5">
        <v>70.88</v>
      </c>
      <c r="R35" s="5">
        <v>62.96</v>
      </c>
      <c r="S35" s="5">
        <v>66.64</v>
      </c>
      <c r="T35" s="5">
        <v>72.06</v>
      </c>
      <c r="U35" s="5">
        <v>70.25</v>
      </c>
      <c r="V35" s="5">
        <v>76.290000000000006</v>
      </c>
      <c r="W35" s="5">
        <v>64.2</v>
      </c>
      <c r="X35" s="5">
        <v>57.71</v>
      </c>
      <c r="Y35" s="5">
        <v>73.89</v>
      </c>
      <c r="Z35" s="5">
        <v>56.99</v>
      </c>
      <c r="AA35" s="5">
        <v>47.96</v>
      </c>
      <c r="AB35" s="5">
        <v>59.2</v>
      </c>
      <c r="AC35" s="5">
        <v>76.680000000000007</v>
      </c>
      <c r="AD35" s="5">
        <v>76.66</v>
      </c>
      <c r="AE35" s="5">
        <v>65.28</v>
      </c>
      <c r="AF35" s="5">
        <v>60.48</v>
      </c>
      <c r="AG35" s="5">
        <v>66.67</v>
      </c>
      <c r="AH35" s="5">
        <v>65.569999999999993</v>
      </c>
      <c r="AI35" s="5">
        <v>72.569999999999993</v>
      </c>
      <c r="AJ35" s="5">
        <v>58.88</v>
      </c>
      <c r="AK35" s="5">
        <v>77.52</v>
      </c>
      <c r="AL35" s="5">
        <v>77.11</v>
      </c>
      <c r="AM35" s="7">
        <f t="shared" si="0"/>
        <v>53.005333333333333</v>
      </c>
    </row>
    <row r="36" spans="1:39" x14ac:dyDescent="0.3">
      <c r="A36" s="5">
        <v>35</v>
      </c>
      <c r="B36" s="6" t="s">
        <v>58</v>
      </c>
      <c r="C36" s="6" t="s">
        <v>62</v>
      </c>
      <c r="D36" s="6" t="s">
        <v>61</v>
      </c>
      <c r="E36" s="6" t="s">
        <v>19</v>
      </c>
      <c r="F36" s="6" t="s">
        <v>13</v>
      </c>
      <c r="G36" s="6" t="s">
        <v>14</v>
      </c>
      <c r="H36" s="5">
        <v>4</v>
      </c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7"/>
    </row>
    <row r="37" spans="1:39" x14ac:dyDescent="0.3">
      <c r="A37" s="5">
        <v>36</v>
      </c>
      <c r="B37" s="6" t="s">
        <v>58</v>
      </c>
      <c r="C37" s="6" t="s">
        <v>62</v>
      </c>
      <c r="D37" s="6" t="s">
        <v>63</v>
      </c>
      <c r="E37" s="6" t="s">
        <v>19</v>
      </c>
      <c r="F37" s="6" t="s">
        <v>64</v>
      </c>
      <c r="G37" s="12" t="s">
        <v>35</v>
      </c>
      <c r="H37" s="5">
        <v>1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7"/>
    </row>
    <row r="38" spans="1:39" x14ac:dyDescent="0.3">
      <c r="A38" s="5">
        <v>37</v>
      </c>
      <c r="B38" s="6" t="s">
        <v>65</v>
      </c>
      <c r="C38" s="6" t="s">
        <v>66</v>
      </c>
      <c r="D38" s="6" t="s">
        <v>67</v>
      </c>
      <c r="E38" s="6" t="s">
        <v>12</v>
      </c>
      <c r="F38" s="6" t="s">
        <v>13</v>
      </c>
      <c r="G38" s="6" t="s">
        <v>14</v>
      </c>
      <c r="H38" s="5">
        <v>111</v>
      </c>
      <c r="I38" s="5">
        <v>0.16</v>
      </c>
      <c r="J38" s="5">
        <v>0.13</v>
      </c>
      <c r="K38" s="5">
        <v>0.53</v>
      </c>
      <c r="L38" s="5">
        <v>0.34</v>
      </c>
      <c r="M38" s="5">
        <v>0.25</v>
      </c>
      <c r="N38" s="5">
        <v>0.32</v>
      </c>
      <c r="O38" s="5">
        <v>0.05</v>
      </c>
      <c r="P38" s="5">
        <v>0.23</v>
      </c>
      <c r="Q38" s="5">
        <v>0.24</v>
      </c>
      <c r="R38" s="5">
        <v>0.85</v>
      </c>
      <c r="S38" s="5">
        <v>0.35</v>
      </c>
      <c r="T38" s="5">
        <v>0</v>
      </c>
      <c r="U38" s="5">
        <v>0</v>
      </c>
      <c r="V38" s="5">
        <v>0</v>
      </c>
      <c r="W38" s="5">
        <v>0</v>
      </c>
      <c r="X38" s="5">
        <v>7.0000000000000007E-2</v>
      </c>
      <c r="Y38" s="5">
        <v>0.39</v>
      </c>
      <c r="Z38" s="5">
        <v>2.38</v>
      </c>
      <c r="AA38" s="5">
        <v>2.89</v>
      </c>
      <c r="AB38" s="5">
        <v>2.83</v>
      </c>
      <c r="AC38" s="5">
        <v>4.4000000000000004</v>
      </c>
      <c r="AD38" s="5">
        <v>3.41</v>
      </c>
      <c r="AE38" s="5">
        <v>1.66</v>
      </c>
      <c r="AF38" s="5">
        <v>3.65</v>
      </c>
      <c r="AG38" s="5">
        <v>2.34</v>
      </c>
      <c r="AH38" s="5">
        <v>4.3899999999999997</v>
      </c>
      <c r="AI38" s="5">
        <v>5.56</v>
      </c>
      <c r="AJ38" s="5">
        <v>4.16</v>
      </c>
      <c r="AK38" s="5">
        <v>3.71</v>
      </c>
      <c r="AL38" s="5">
        <v>4.49</v>
      </c>
      <c r="AM38" s="7">
        <f t="shared" si="0"/>
        <v>1.6593333333333333</v>
      </c>
    </row>
    <row r="39" spans="1:39" x14ac:dyDescent="0.3">
      <c r="A39" s="5">
        <v>38</v>
      </c>
      <c r="B39" s="6" t="s">
        <v>65</v>
      </c>
      <c r="C39" s="6" t="s">
        <v>68</v>
      </c>
      <c r="D39" s="6" t="s">
        <v>69</v>
      </c>
      <c r="E39" s="6" t="s">
        <v>12</v>
      </c>
      <c r="F39" s="6" t="s">
        <v>40</v>
      </c>
      <c r="G39" s="6" t="s">
        <v>35</v>
      </c>
      <c r="H39" s="5">
        <v>2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1.58</v>
      </c>
      <c r="O39" s="5">
        <v>0</v>
      </c>
      <c r="P39" s="5">
        <v>0</v>
      </c>
      <c r="Q39" s="5">
        <v>0</v>
      </c>
      <c r="R39" s="5">
        <v>6.86</v>
      </c>
      <c r="S39" s="5">
        <v>24.36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14.05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7">
        <f t="shared" si="0"/>
        <v>1.5616666666666665</v>
      </c>
    </row>
    <row r="40" spans="1:39" x14ac:dyDescent="0.3">
      <c r="A40" s="5">
        <v>39</v>
      </c>
      <c r="B40" s="6" t="s">
        <v>65</v>
      </c>
      <c r="C40" s="6" t="s">
        <v>70</v>
      </c>
      <c r="D40" s="6"/>
      <c r="E40" s="6" t="s">
        <v>12</v>
      </c>
      <c r="F40" s="6" t="s">
        <v>13</v>
      </c>
      <c r="G40" s="6" t="s">
        <v>14</v>
      </c>
      <c r="H40" s="5">
        <v>82</v>
      </c>
      <c r="I40" s="5">
        <v>0.3</v>
      </c>
      <c r="J40" s="5">
        <v>26.52</v>
      </c>
      <c r="K40" s="5">
        <v>2.68</v>
      </c>
      <c r="L40" s="5">
        <v>23.22</v>
      </c>
      <c r="M40" s="5">
        <v>0.31</v>
      </c>
      <c r="N40" s="5">
        <v>22.04</v>
      </c>
      <c r="O40" s="5">
        <v>0.08</v>
      </c>
      <c r="P40" s="5">
        <v>28.05</v>
      </c>
      <c r="Q40" s="5">
        <v>12.8</v>
      </c>
      <c r="R40" s="5">
        <v>0</v>
      </c>
      <c r="S40" s="5">
        <v>25.89</v>
      </c>
      <c r="T40" s="5">
        <v>17.899999999999999</v>
      </c>
      <c r="U40" s="5">
        <v>0.6</v>
      </c>
      <c r="V40" s="5">
        <v>6.84</v>
      </c>
      <c r="W40" s="5">
        <v>0</v>
      </c>
      <c r="X40" s="5">
        <v>0.02</v>
      </c>
      <c r="Y40" s="5">
        <v>25.19</v>
      </c>
      <c r="Z40" s="5">
        <v>5.56</v>
      </c>
      <c r="AA40" s="5">
        <v>0.03</v>
      </c>
      <c r="AB40" s="5">
        <v>0</v>
      </c>
      <c r="AC40" s="5">
        <v>7.77</v>
      </c>
      <c r="AD40" s="5">
        <v>2.87</v>
      </c>
      <c r="AE40" s="5">
        <v>8.23</v>
      </c>
      <c r="AF40" s="5">
        <v>3.89</v>
      </c>
      <c r="AG40" s="5">
        <v>0.78</v>
      </c>
      <c r="AH40" s="5">
        <v>23.7</v>
      </c>
      <c r="AI40" s="5">
        <v>0.41</v>
      </c>
      <c r="AJ40" s="5">
        <v>9.9600000000000009</v>
      </c>
      <c r="AK40" s="5">
        <v>6.58</v>
      </c>
      <c r="AL40" s="5">
        <v>7.16</v>
      </c>
      <c r="AM40" s="7">
        <f t="shared" si="0"/>
        <v>8.9793333333333329</v>
      </c>
    </row>
    <row r="41" spans="1:39" x14ac:dyDescent="0.3">
      <c r="A41" s="5">
        <v>40</v>
      </c>
      <c r="B41" s="6" t="s">
        <v>65</v>
      </c>
      <c r="C41" s="6" t="s">
        <v>71</v>
      </c>
      <c r="D41" s="6" t="s">
        <v>30</v>
      </c>
      <c r="E41" s="6" t="s">
        <v>19</v>
      </c>
      <c r="F41" s="6" t="s">
        <v>13</v>
      </c>
      <c r="G41" s="6" t="s">
        <v>14</v>
      </c>
      <c r="H41" s="5">
        <v>3</v>
      </c>
      <c r="I41" s="5">
        <v>33.43</v>
      </c>
      <c r="J41" s="5">
        <v>30.5</v>
      </c>
      <c r="K41" s="5">
        <v>36.81</v>
      </c>
      <c r="L41" s="5">
        <v>42.26</v>
      </c>
      <c r="M41" s="5">
        <v>29.54</v>
      </c>
      <c r="N41" s="5">
        <v>31.49</v>
      </c>
      <c r="O41" s="5">
        <v>26.45</v>
      </c>
      <c r="P41" s="5">
        <v>26.02</v>
      </c>
      <c r="Q41" s="5">
        <v>16.11</v>
      </c>
      <c r="R41" s="5">
        <v>16.239999999999998</v>
      </c>
      <c r="S41" s="5">
        <v>20.100000000000001</v>
      </c>
      <c r="T41" s="5">
        <v>20.23</v>
      </c>
      <c r="U41" s="5">
        <v>21.78</v>
      </c>
      <c r="V41" s="5">
        <v>205.3</v>
      </c>
      <c r="W41" s="5">
        <v>19.64</v>
      </c>
      <c r="X41" s="5">
        <v>19.25</v>
      </c>
      <c r="Y41" s="5">
        <v>24.57</v>
      </c>
      <c r="Z41" s="5">
        <v>20.440000000000001</v>
      </c>
      <c r="AA41" s="5">
        <v>48.41</v>
      </c>
      <c r="AB41" s="5">
        <v>23.13</v>
      </c>
      <c r="AC41" s="5">
        <v>25.54</v>
      </c>
      <c r="AD41" s="5">
        <v>39.49</v>
      </c>
      <c r="AE41" s="5">
        <v>42.69</v>
      </c>
      <c r="AF41" s="5">
        <v>38.549999999999997</v>
      </c>
      <c r="AG41" s="5">
        <v>32.76</v>
      </c>
      <c r="AH41" s="5">
        <v>47.65</v>
      </c>
      <c r="AI41" s="5">
        <v>46.11</v>
      </c>
      <c r="AJ41" s="5">
        <v>47.4</v>
      </c>
      <c r="AK41" s="5">
        <v>39.26</v>
      </c>
      <c r="AL41" s="5">
        <v>38.090000000000003</v>
      </c>
      <c r="AM41" s="7">
        <f t="shared" si="0"/>
        <v>36.974666666666664</v>
      </c>
    </row>
    <row r="42" spans="1:39" x14ac:dyDescent="0.3">
      <c r="A42" s="5">
        <v>41</v>
      </c>
      <c r="B42" s="6" t="s">
        <v>65</v>
      </c>
      <c r="C42" s="6" t="s">
        <v>72</v>
      </c>
      <c r="D42" s="6" t="s">
        <v>30</v>
      </c>
      <c r="E42" s="6" t="s">
        <v>19</v>
      </c>
      <c r="F42" s="6" t="s">
        <v>13</v>
      </c>
      <c r="G42" s="6" t="s">
        <v>14</v>
      </c>
      <c r="H42" s="5">
        <v>5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7">
        <f t="shared" si="0"/>
        <v>0</v>
      </c>
    </row>
    <row r="43" spans="1:39" x14ac:dyDescent="0.3">
      <c r="A43" s="5">
        <v>42</v>
      </c>
      <c r="B43" s="6" t="s">
        <v>65</v>
      </c>
      <c r="C43" s="6" t="s">
        <v>73</v>
      </c>
      <c r="D43" s="6" t="s">
        <v>30</v>
      </c>
      <c r="E43" s="6" t="s">
        <v>19</v>
      </c>
      <c r="F43" s="6" t="s">
        <v>13</v>
      </c>
      <c r="G43" s="6" t="s">
        <v>14</v>
      </c>
      <c r="H43" s="5">
        <v>3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7">
        <f t="shared" si="0"/>
        <v>0</v>
      </c>
    </row>
    <row r="44" spans="1:39" x14ac:dyDescent="0.3">
      <c r="A44" s="5">
        <v>43</v>
      </c>
      <c r="B44" s="6" t="s">
        <v>65</v>
      </c>
      <c r="C44" s="6" t="s">
        <v>74</v>
      </c>
      <c r="D44" s="6" t="s">
        <v>30</v>
      </c>
      <c r="E44" s="6" t="s">
        <v>19</v>
      </c>
      <c r="F44" s="6" t="s">
        <v>13</v>
      </c>
      <c r="G44" s="6" t="s">
        <v>14</v>
      </c>
      <c r="H44" s="5">
        <v>2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7">
        <f t="shared" si="0"/>
        <v>0</v>
      </c>
    </row>
    <row r="45" spans="1:39" x14ac:dyDescent="0.3">
      <c r="A45" s="5">
        <v>44</v>
      </c>
      <c r="B45" s="6" t="s">
        <v>65</v>
      </c>
      <c r="C45" s="6" t="s">
        <v>75</v>
      </c>
      <c r="D45" s="6" t="s">
        <v>30</v>
      </c>
      <c r="E45" s="6" t="s">
        <v>19</v>
      </c>
      <c r="F45" s="6" t="s">
        <v>13</v>
      </c>
      <c r="G45" s="6" t="s">
        <v>14</v>
      </c>
      <c r="H45" s="5">
        <v>20</v>
      </c>
      <c r="I45" s="5">
        <v>47.51</v>
      </c>
      <c r="J45" s="5">
        <v>34.46</v>
      </c>
      <c r="K45" s="5">
        <v>39.729999999999997</v>
      </c>
      <c r="L45" s="5">
        <v>11.56</v>
      </c>
      <c r="M45" s="5">
        <v>34.869999999999997</v>
      </c>
      <c r="N45" s="5">
        <v>27.02</v>
      </c>
      <c r="O45" s="5">
        <v>38.619999999999997</v>
      </c>
      <c r="P45" s="5">
        <v>14.38</v>
      </c>
      <c r="Q45" s="5">
        <v>14.95</v>
      </c>
      <c r="R45" s="5">
        <v>22.24</v>
      </c>
      <c r="S45" s="5">
        <v>0.3</v>
      </c>
      <c r="T45" s="5">
        <v>35.619999999999997</v>
      </c>
      <c r="U45" s="5">
        <v>10.82</v>
      </c>
      <c r="V45" s="5">
        <v>31.58</v>
      </c>
      <c r="W45" s="5">
        <v>27.28</v>
      </c>
      <c r="X45" s="5">
        <v>30.56</v>
      </c>
      <c r="Y45" s="5">
        <v>19.46</v>
      </c>
      <c r="Z45" s="5">
        <v>0</v>
      </c>
      <c r="AA45" s="5">
        <v>20.89</v>
      </c>
      <c r="AB45" s="5">
        <v>32.22</v>
      </c>
      <c r="AC45" s="5">
        <v>28.99</v>
      </c>
      <c r="AD45" s="5">
        <v>32.76</v>
      </c>
      <c r="AE45" s="5">
        <v>29.83</v>
      </c>
      <c r="AF45" s="5">
        <v>29.97</v>
      </c>
      <c r="AG45" s="5">
        <v>0.39</v>
      </c>
      <c r="AH45" s="5">
        <v>21.5</v>
      </c>
      <c r="AI45" s="5">
        <v>30.69</v>
      </c>
      <c r="AJ45" s="5">
        <v>27.58</v>
      </c>
      <c r="AK45" s="5">
        <v>36.32</v>
      </c>
      <c r="AL45" s="5">
        <v>22.5</v>
      </c>
      <c r="AM45" s="7">
        <f t="shared" si="0"/>
        <v>25.153333333333343</v>
      </c>
    </row>
    <row r="46" spans="1:39" x14ac:dyDescent="0.3">
      <c r="A46" s="5">
        <v>45</v>
      </c>
      <c r="B46" s="6" t="s">
        <v>65</v>
      </c>
      <c r="C46" s="6" t="s">
        <v>76</v>
      </c>
      <c r="D46" s="6" t="s">
        <v>30</v>
      </c>
      <c r="E46" s="6" t="s">
        <v>19</v>
      </c>
      <c r="F46" s="6" t="s">
        <v>13</v>
      </c>
      <c r="G46" s="6" t="s">
        <v>14</v>
      </c>
      <c r="H46" s="5">
        <v>7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6.0000000000000001E-3</v>
      </c>
      <c r="AF46" s="5">
        <v>20.420000000000002</v>
      </c>
      <c r="AG46" s="5">
        <v>0.92</v>
      </c>
      <c r="AH46" s="5">
        <v>25.87</v>
      </c>
      <c r="AI46" s="5">
        <v>21</v>
      </c>
      <c r="AJ46" s="5">
        <v>9.7200000000000006</v>
      </c>
      <c r="AK46" s="5">
        <v>8.4700000000000006</v>
      </c>
      <c r="AL46" s="5">
        <v>15.65</v>
      </c>
      <c r="AM46" s="7">
        <f t="shared" si="0"/>
        <v>3.4018666666666673</v>
      </c>
    </row>
    <row r="47" spans="1:39" x14ac:dyDescent="0.3">
      <c r="A47" s="5">
        <v>46</v>
      </c>
      <c r="B47" s="6" t="s">
        <v>65</v>
      </c>
      <c r="C47" s="6" t="s">
        <v>77</v>
      </c>
      <c r="D47" s="6" t="s">
        <v>30</v>
      </c>
      <c r="E47" s="6" t="s">
        <v>19</v>
      </c>
      <c r="F47" s="6" t="s">
        <v>13</v>
      </c>
      <c r="G47" s="6" t="s">
        <v>14</v>
      </c>
      <c r="H47" s="5">
        <v>12</v>
      </c>
      <c r="I47" s="5">
        <v>56.41</v>
      </c>
      <c r="J47" s="5">
        <v>60.16</v>
      </c>
      <c r="K47" s="5">
        <v>32.840000000000003</v>
      </c>
      <c r="L47" s="5">
        <v>29.16</v>
      </c>
      <c r="M47" s="5">
        <v>46.42</v>
      </c>
      <c r="N47" s="5">
        <v>50.23</v>
      </c>
      <c r="O47" s="5">
        <v>39.26</v>
      </c>
      <c r="P47" s="5">
        <v>39.74</v>
      </c>
      <c r="Q47" s="5">
        <v>37.9</v>
      </c>
      <c r="R47" s="5">
        <v>48.89</v>
      </c>
      <c r="S47" s="5">
        <v>39.72</v>
      </c>
      <c r="T47" s="5">
        <v>47.89</v>
      </c>
      <c r="U47" s="5">
        <v>48.51</v>
      </c>
      <c r="V47" s="5">
        <v>33.75</v>
      </c>
      <c r="W47" s="5">
        <v>56.07</v>
      </c>
      <c r="X47" s="5">
        <v>46.88</v>
      </c>
      <c r="Y47" s="5">
        <v>44.26</v>
      </c>
      <c r="Z47" s="5">
        <v>26.85</v>
      </c>
      <c r="AA47" s="5">
        <v>45.92</v>
      </c>
      <c r="AB47" s="5">
        <v>37.380000000000003</v>
      </c>
      <c r="AC47" s="5">
        <v>55.28</v>
      </c>
      <c r="AD47" s="5">
        <v>30.47</v>
      </c>
      <c r="AE47" s="5">
        <v>53.14</v>
      </c>
      <c r="AF47" s="5">
        <v>36.369999999999997</v>
      </c>
      <c r="AG47" s="5">
        <v>15.18</v>
      </c>
      <c r="AH47" s="5">
        <v>35.46</v>
      </c>
      <c r="AI47" s="5">
        <v>27.32</v>
      </c>
      <c r="AJ47" s="5">
        <v>38.03</v>
      </c>
      <c r="AK47" s="5">
        <v>38.130000000000003</v>
      </c>
      <c r="AL47" s="5">
        <v>19.84</v>
      </c>
      <c r="AM47" s="7">
        <f t="shared" si="0"/>
        <v>40.582000000000001</v>
      </c>
    </row>
    <row r="48" spans="1:39" x14ac:dyDescent="0.3">
      <c r="A48" s="5">
        <v>47</v>
      </c>
      <c r="B48" s="6" t="s">
        <v>65</v>
      </c>
      <c r="C48" s="6" t="s">
        <v>78</v>
      </c>
      <c r="D48" s="6" t="s">
        <v>30</v>
      </c>
      <c r="E48" s="6" t="s">
        <v>19</v>
      </c>
      <c r="F48" s="6" t="s">
        <v>13</v>
      </c>
      <c r="G48" s="6" t="s">
        <v>14</v>
      </c>
      <c r="H48" s="5">
        <v>25</v>
      </c>
      <c r="I48" s="5">
        <v>109.16</v>
      </c>
      <c r="J48" s="5">
        <v>102.31</v>
      </c>
      <c r="K48" s="5">
        <v>96.76</v>
      </c>
      <c r="L48" s="5">
        <v>68.260000000000005</v>
      </c>
      <c r="M48" s="5">
        <v>121.22</v>
      </c>
      <c r="N48" s="5">
        <v>127.53</v>
      </c>
      <c r="O48" s="5">
        <v>123.01</v>
      </c>
      <c r="P48" s="5">
        <v>162.47999999999999</v>
      </c>
      <c r="Q48" s="5">
        <v>134.41</v>
      </c>
      <c r="R48" s="5">
        <v>117.78</v>
      </c>
      <c r="S48" s="5">
        <v>106.49</v>
      </c>
      <c r="T48" s="5">
        <v>139.85</v>
      </c>
      <c r="U48" s="5">
        <v>174.57</v>
      </c>
      <c r="V48" s="5">
        <v>115.72</v>
      </c>
      <c r="W48" s="5">
        <v>126.63</v>
      </c>
      <c r="X48" s="5">
        <v>152.76</v>
      </c>
      <c r="Y48" s="5">
        <v>105.54</v>
      </c>
      <c r="Z48" s="5">
        <v>112.52</v>
      </c>
      <c r="AA48" s="5">
        <v>102.52</v>
      </c>
      <c r="AB48" s="5">
        <v>123.24</v>
      </c>
      <c r="AC48" s="5">
        <v>112.21</v>
      </c>
      <c r="AD48" s="5">
        <v>105.48</v>
      </c>
      <c r="AE48" s="5">
        <v>87.2</v>
      </c>
      <c r="AF48" s="5">
        <v>97.98</v>
      </c>
      <c r="AG48" s="5">
        <v>77.84</v>
      </c>
      <c r="AH48" s="5">
        <v>103.28</v>
      </c>
      <c r="AI48" s="5">
        <v>96.45</v>
      </c>
      <c r="AJ48" s="5">
        <v>105.74</v>
      </c>
      <c r="AK48" s="5">
        <v>64.78</v>
      </c>
      <c r="AL48" s="5">
        <v>85.73</v>
      </c>
      <c r="AM48" s="7">
        <f t="shared" si="0"/>
        <v>111.98166666666665</v>
      </c>
    </row>
    <row r="49" spans="1:39" x14ac:dyDescent="0.3">
      <c r="A49" s="5"/>
      <c r="B49" s="6"/>
      <c r="C49" s="6"/>
      <c r="D49" s="6"/>
      <c r="E49" s="6"/>
      <c r="F49" s="6"/>
      <c r="G49" s="6"/>
      <c r="H49" s="5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7"/>
    </row>
    <row r="50" spans="1:39" x14ac:dyDescent="0.3">
      <c r="A50" s="13"/>
      <c r="B50" s="14"/>
      <c r="C50" s="14"/>
      <c r="D50" s="14"/>
      <c r="E50" s="13"/>
      <c r="F50" s="13"/>
      <c r="G50" s="13" t="s">
        <v>79</v>
      </c>
      <c r="H50" s="13">
        <f>SUM(H2:H48)</f>
        <v>466</v>
      </c>
      <c r="I50" s="13">
        <f t="shared" ref="I50:AL50" si="1">SUM(I2:I48)</f>
        <v>615.1</v>
      </c>
      <c r="J50" s="13">
        <f t="shared" si="1"/>
        <v>667.47</v>
      </c>
      <c r="K50" s="13">
        <f t="shared" si="1"/>
        <v>665.12</v>
      </c>
      <c r="L50" s="13">
        <f t="shared" si="1"/>
        <v>489.94999999999993</v>
      </c>
      <c r="M50" s="13">
        <f t="shared" si="1"/>
        <v>457.45999999999992</v>
      </c>
      <c r="N50" s="13">
        <f t="shared" si="1"/>
        <v>636.28000000000009</v>
      </c>
      <c r="O50" s="13">
        <f t="shared" si="1"/>
        <v>563.71</v>
      </c>
      <c r="P50" s="13">
        <f t="shared" si="1"/>
        <v>644.41999999999996</v>
      </c>
      <c r="Q50" s="13">
        <f t="shared" si="1"/>
        <v>584.04999999999995</v>
      </c>
      <c r="R50" s="13">
        <f t="shared" si="1"/>
        <v>742.22</v>
      </c>
      <c r="S50" s="13">
        <f t="shared" si="1"/>
        <v>669.58</v>
      </c>
      <c r="T50" s="13">
        <f t="shared" si="1"/>
        <v>634.51</v>
      </c>
      <c r="U50" s="13">
        <f t="shared" si="1"/>
        <v>707.23</v>
      </c>
      <c r="V50" s="13">
        <f t="shared" si="1"/>
        <v>908.94000000000017</v>
      </c>
      <c r="W50" s="13">
        <f t="shared" si="1"/>
        <v>696.24</v>
      </c>
      <c r="X50" s="13">
        <f t="shared" si="1"/>
        <v>661.63999999999987</v>
      </c>
      <c r="Y50" s="13">
        <f t="shared" si="1"/>
        <v>829.67000000000007</v>
      </c>
      <c r="Z50" s="13">
        <f t="shared" si="1"/>
        <v>594.12</v>
      </c>
      <c r="AA50" s="13">
        <f t="shared" si="1"/>
        <v>667.96999999999991</v>
      </c>
      <c r="AB50" s="13">
        <f t="shared" si="1"/>
        <v>666.97230000000002</v>
      </c>
      <c r="AC50" s="13">
        <f t="shared" si="1"/>
        <v>758.36999999999989</v>
      </c>
      <c r="AD50" s="13">
        <f t="shared" si="1"/>
        <v>877.35</v>
      </c>
      <c r="AE50" s="13">
        <f t="shared" si="1"/>
        <v>763.49599999999998</v>
      </c>
      <c r="AF50" s="13">
        <f t="shared" si="1"/>
        <v>839.88999999999987</v>
      </c>
      <c r="AG50" s="13">
        <f t="shared" si="1"/>
        <v>677.0999999999998</v>
      </c>
      <c r="AH50" s="13">
        <f t="shared" si="1"/>
        <v>928.38</v>
      </c>
      <c r="AI50" s="13">
        <f t="shared" si="1"/>
        <v>919.9100000000002</v>
      </c>
      <c r="AJ50" s="13">
        <f t="shared" si="1"/>
        <v>769.92000000000007</v>
      </c>
      <c r="AK50" s="13">
        <f t="shared" si="1"/>
        <v>679.85</v>
      </c>
      <c r="AL50" s="13">
        <f t="shared" si="1"/>
        <v>760.81000000000017</v>
      </c>
      <c r="AM50" s="15">
        <f t="shared" si="0"/>
        <v>702.59094333333326</v>
      </c>
    </row>
  </sheetData>
  <autoFilter ref="A1:H48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42"/>
  <sheetViews>
    <sheetView workbookViewId="0">
      <selection activeCell="F29" sqref="F29"/>
    </sheetView>
  </sheetViews>
  <sheetFormatPr defaultRowHeight="14.4" x14ac:dyDescent="0.3"/>
  <cols>
    <col min="1" max="1" width="25.88671875" bestFit="1" customWidth="1"/>
    <col min="2" max="2" width="20.6640625" bestFit="1" customWidth="1"/>
    <col min="3" max="3" width="14.44140625" bestFit="1" customWidth="1"/>
    <col min="4" max="33" width="15.109375" bestFit="1" customWidth="1"/>
    <col min="34" max="34" width="15" bestFit="1" customWidth="1"/>
  </cols>
  <sheetData>
    <row r="1" spans="1:3" x14ac:dyDescent="0.3">
      <c r="A1" s="30" t="s">
        <v>1</v>
      </c>
      <c r="B1" s="12" t="s">
        <v>82</v>
      </c>
    </row>
    <row r="3" spans="1:3" x14ac:dyDescent="0.3">
      <c r="A3" s="30" t="s">
        <v>2</v>
      </c>
      <c r="B3" s="12" t="s">
        <v>84</v>
      </c>
      <c r="C3" s="12" t="s">
        <v>85</v>
      </c>
    </row>
    <row r="4" spans="1:3" x14ac:dyDescent="0.3">
      <c r="A4" s="12" t="s">
        <v>10</v>
      </c>
      <c r="B4" s="137">
        <v>6</v>
      </c>
      <c r="C4" s="31">
        <v>0.47870967741935483</v>
      </c>
    </row>
    <row r="5" spans="1:3" x14ac:dyDescent="0.3">
      <c r="A5" s="12" t="s">
        <v>17</v>
      </c>
      <c r="B5" s="137">
        <v>6</v>
      </c>
      <c r="C5" s="31">
        <v>0</v>
      </c>
    </row>
    <row r="6" spans="1:3" x14ac:dyDescent="0.3">
      <c r="A6" s="12" t="s">
        <v>70</v>
      </c>
      <c r="B6" s="137">
        <v>82</v>
      </c>
      <c r="C6" s="31">
        <v>7.6580645161290315</v>
      </c>
    </row>
    <row r="7" spans="1:3" x14ac:dyDescent="0.3">
      <c r="A7" s="12" t="s">
        <v>68</v>
      </c>
      <c r="B7" s="137">
        <v>2</v>
      </c>
      <c r="C7" s="31">
        <v>5.7067741935483864</v>
      </c>
    </row>
    <row r="8" spans="1:3" x14ac:dyDescent="0.3">
      <c r="A8" s="12" t="s">
        <v>36</v>
      </c>
      <c r="B8" s="137">
        <v>6</v>
      </c>
      <c r="C8" s="31">
        <v>25.109677419354842</v>
      </c>
    </row>
    <row r="9" spans="1:3" x14ac:dyDescent="0.3">
      <c r="A9" s="12" t="s">
        <v>50</v>
      </c>
      <c r="B9" s="137">
        <v>7</v>
      </c>
      <c r="C9" s="31">
        <v>18.733129032258063</v>
      </c>
    </row>
    <row r="10" spans="1:3" x14ac:dyDescent="0.3">
      <c r="A10" s="12" t="s">
        <v>77</v>
      </c>
      <c r="B10" s="137">
        <v>17</v>
      </c>
      <c r="C10" s="31">
        <v>31.345806451612901</v>
      </c>
    </row>
    <row r="11" spans="1:3" x14ac:dyDescent="0.3">
      <c r="A11" s="12" t="s">
        <v>37</v>
      </c>
      <c r="B11" s="137">
        <v>6</v>
      </c>
      <c r="C11" s="31">
        <v>18.302451612903226</v>
      </c>
    </row>
    <row r="12" spans="1:3" x14ac:dyDescent="0.3">
      <c r="A12" s="12" t="s">
        <v>66</v>
      </c>
      <c r="B12" s="137">
        <v>105</v>
      </c>
      <c r="C12" s="31">
        <v>3.3597741935483874</v>
      </c>
    </row>
    <row r="13" spans="1:3" x14ac:dyDescent="0.3">
      <c r="A13" s="12" t="s">
        <v>74</v>
      </c>
      <c r="B13" s="137">
        <v>2</v>
      </c>
      <c r="C13" s="31">
        <v>0</v>
      </c>
    </row>
    <row r="14" spans="1:3" x14ac:dyDescent="0.3">
      <c r="A14" s="12" t="s">
        <v>75</v>
      </c>
      <c r="B14" s="137">
        <v>20</v>
      </c>
      <c r="C14" s="31">
        <v>24.700645161290325</v>
      </c>
    </row>
    <row r="15" spans="1:3" x14ac:dyDescent="0.3">
      <c r="A15" s="12" t="s">
        <v>81</v>
      </c>
      <c r="B15" s="137">
        <v>24</v>
      </c>
      <c r="C15" s="31">
        <v>0</v>
      </c>
    </row>
    <row r="16" spans="1:3" x14ac:dyDescent="0.3">
      <c r="A16" s="12" t="s">
        <v>29</v>
      </c>
      <c r="B16" s="137">
        <v>8</v>
      </c>
      <c r="C16" s="31">
        <v>38.481935483870977</v>
      </c>
    </row>
    <row r="17" spans="1:3" x14ac:dyDescent="0.3">
      <c r="A17" s="12" t="s">
        <v>33</v>
      </c>
      <c r="B17" s="137">
        <v>4</v>
      </c>
      <c r="C17" s="31">
        <v>1.8103225806451615</v>
      </c>
    </row>
    <row r="18" spans="1:3" x14ac:dyDescent="0.3">
      <c r="A18" s="12" t="s">
        <v>34</v>
      </c>
      <c r="B18" s="137">
        <v>21</v>
      </c>
      <c r="C18" s="31">
        <v>124.44677419354838</v>
      </c>
    </row>
    <row r="19" spans="1:3" x14ac:dyDescent="0.3">
      <c r="A19" s="12" t="s">
        <v>38</v>
      </c>
      <c r="B19" s="137">
        <v>3</v>
      </c>
      <c r="C19" s="31">
        <v>26.896193548387096</v>
      </c>
    </row>
    <row r="20" spans="1:3" x14ac:dyDescent="0.3">
      <c r="A20" s="12" t="s">
        <v>78</v>
      </c>
      <c r="B20" s="137">
        <v>25</v>
      </c>
      <c r="C20" s="31">
        <v>38.64</v>
      </c>
    </row>
    <row r="21" spans="1:3" x14ac:dyDescent="0.3">
      <c r="A21" s="12" t="s">
        <v>39</v>
      </c>
      <c r="B21" s="137">
        <v>5</v>
      </c>
      <c r="C21" s="31">
        <v>0.26870967741935486</v>
      </c>
    </row>
    <row r="22" spans="1:3" x14ac:dyDescent="0.3">
      <c r="A22" s="12" t="s">
        <v>71</v>
      </c>
      <c r="B22" s="137">
        <v>3</v>
      </c>
      <c r="C22" s="31">
        <v>9.259032258064515</v>
      </c>
    </row>
    <row r="23" spans="1:3" x14ac:dyDescent="0.3">
      <c r="A23" s="12" t="s">
        <v>59</v>
      </c>
      <c r="B23" s="137">
        <v>6</v>
      </c>
      <c r="C23" s="31">
        <v>3.6500000000000004</v>
      </c>
    </row>
    <row r="24" spans="1:3" x14ac:dyDescent="0.3">
      <c r="A24" s="12" t="s">
        <v>76</v>
      </c>
      <c r="B24" s="137">
        <v>7</v>
      </c>
      <c r="C24" s="31">
        <v>32.84870967741935</v>
      </c>
    </row>
    <row r="25" spans="1:3" x14ac:dyDescent="0.3">
      <c r="A25" s="12" t="s">
        <v>27</v>
      </c>
      <c r="B25" s="137">
        <v>5</v>
      </c>
      <c r="C25" s="31">
        <v>0</v>
      </c>
    </row>
    <row r="26" spans="1:3" x14ac:dyDescent="0.3">
      <c r="A26" s="12" t="s">
        <v>61</v>
      </c>
      <c r="B26" s="137">
        <v>10</v>
      </c>
      <c r="C26" s="31">
        <v>17.785483870967742</v>
      </c>
    </row>
    <row r="27" spans="1:3" x14ac:dyDescent="0.3">
      <c r="A27" s="12" t="s">
        <v>15</v>
      </c>
      <c r="B27" s="137">
        <v>9</v>
      </c>
      <c r="C27" s="31">
        <v>91.483548387096761</v>
      </c>
    </row>
    <row r="28" spans="1:3" x14ac:dyDescent="0.3">
      <c r="A28" s="12" t="s">
        <v>51</v>
      </c>
      <c r="B28" s="137">
        <v>5</v>
      </c>
      <c r="C28" s="31">
        <v>17.091290322580644</v>
      </c>
    </row>
    <row r="29" spans="1:3" x14ac:dyDescent="0.3">
      <c r="A29" s="12" t="s">
        <v>31</v>
      </c>
      <c r="B29" s="137">
        <v>2</v>
      </c>
      <c r="C29" s="31">
        <v>0</v>
      </c>
    </row>
    <row r="30" spans="1:3" x14ac:dyDescent="0.3">
      <c r="A30" s="12" t="s">
        <v>60</v>
      </c>
      <c r="B30" s="137">
        <v>3</v>
      </c>
      <c r="C30" s="31">
        <v>27.870322580645158</v>
      </c>
    </row>
    <row r="31" spans="1:3" x14ac:dyDescent="0.3">
      <c r="A31" s="12" t="s">
        <v>20</v>
      </c>
      <c r="B31" s="137">
        <v>3</v>
      </c>
      <c r="C31" s="31">
        <v>0</v>
      </c>
    </row>
    <row r="32" spans="1:3" x14ac:dyDescent="0.3">
      <c r="A32" s="12" t="s">
        <v>21</v>
      </c>
      <c r="B32" s="137">
        <v>5</v>
      </c>
      <c r="C32" s="31">
        <v>23.537741935483869</v>
      </c>
    </row>
    <row r="33" spans="1:3" x14ac:dyDescent="0.3">
      <c r="A33" s="12" t="s">
        <v>47</v>
      </c>
      <c r="B33" s="137">
        <v>1</v>
      </c>
      <c r="C33" s="31">
        <v>0</v>
      </c>
    </row>
    <row r="34" spans="1:3" x14ac:dyDescent="0.3">
      <c r="A34" s="12" t="s">
        <v>22</v>
      </c>
      <c r="B34" s="137">
        <v>5</v>
      </c>
      <c r="C34" s="31">
        <v>0</v>
      </c>
    </row>
    <row r="35" spans="1:3" x14ac:dyDescent="0.3">
      <c r="A35" s="12" t="s">
        <v>53</v>
      </c>
      <c r="B35" s="137">
        <v>5</v>
      </c>
      <c r="C35" s="31">
        <v>23.818064516129041</v>
      </c>
    </row>
    <row r="36" spans="1:3" x14ac:dyDescent="0.3">
      <c r="A36" s="12" t="s">
        <v>16</v>
      </c>
      <c r="B36" s="137">
        <v>3</v>
      </c>
      <c r="C36" s="31">
        <v>31.70032258064516</v>
      </c>
    </row>
    <row r="37" spans="1:3" x14ac:dyDescent="0.3">
      <c r="A37" s="12" t="s">
        <v>25</v>
      </c>
      <c r="B37" s="137">
        <v>5</v>
      </c>
      <c r="C37" s="31">
        <v>0</v>
      </c>
    </row>
    <row r="38" spans="1:3" x14ac:dyDescent="0.3">
      <c r="A38" s="12" t="s">
        <v>45</v>
      </c>
      <c r="B38" s="137">
        <v>1</v>
      </c>
      <c r="C38" s="31">
        <v>0</v>
      </c>
    </row>
    <row r="39" spans="1:3" x14ac:dyDescent="0.3">
      <c r="A39" s="12" t="s">
        <v>24</v>
      </c>
      <c r="B39" s="137">
        <v>3</v>
      </c>
      <c r="C39" s="31">
        <v>29.254516129032261</v>
      </c>
    </row>
    <row r="40" spans="1:3" x14ac:dyDescent="0.3">
      <c r="A40" s="12" t="s">
        <v>56</v>
      </c>
      <c r="B40" s="137">
        <v>40</v>
      </c>
      <c r="C40" s="31">
        <v>239.29903225806453</v>
      </c>
    </row>
    <row r="41" spans="1:3" x14ac:dyDescent="0.3">
      <c r="A41" s="12" t="s">
        <v>62</v>
      </c>
      <c r="B41" s="137">
        <v>10</v>
      </c>
      <c r="C41" s="31">
        <v>138.10387096774193</v>
      </c>
    </row>
    <row r="42" spans="1:3" x14ac:dyDescent="0.3">
      <c r="A42" s="12" t="s">
        <v>83</v>
      </c>
      <c r="B42" s="137">
        <v>480</v>
      </c>
      <c r="C42" s="31">
        <v>1051.6409032258064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N47"/>
  <sheetViews>
    <sheetView workbookViewId="0">
      <selection activeCell="F29" sqref="F29"/>
    </sheetView>
  </sheetViews>
  <sheetFormatPr defaultColWidth="9.33203125" defaultRowHeight="14.4" x14ac:dyDescent="0.3"/>
  <cols>
    <col min="1" max="1" width="6.6640625" bestFit="1" customWidth="1"/>
    <col min="2" max="2" width="14.6640625" style="26" bestFit="1" customWidth="1"/>
    <col min="3" max="3" width="27.6640625" style="26" bestFit="1" customWidth="1"/>
    <col min="4" max="4" width="22.33203125" style="26" bestFit="1" customWidth="1"/>
    <col min="5" max="5" width="11.109375" bestFit="1" customWidth="1"/>
    <col min="6" max="6" width="8.44140625" bestFit="1" customWidth="1"/>
    <col min="7" max="7" width="15" bestFit="1" customWidth="1"/>
    <col min="8" max="8" width="8.6640625" bestFit="1" customWidth="1"/>
    <col min="9" max="11" width="8.44140625" style="27" bestFit="1" customWidth="1"/>
    <col min="12" max="18" width="8.44140625" bestFit="1" customWidth="1"/>
    <col min="19" max="19" width="8.44140625" style="28" bestFit="1" customWidth="1"/>
    <col min="20" max="21" width="8.44140625" bestFit="1" customWidth="1"/>
    <col min="22" max="26" width="8.44140625" style="28" bestFit="1" customWidth="1"/>
    <col min="27" max="39" width="8.44140625" bestFit="1" customWidth="1"/>
    <col min="40" max="40" width="8.33203125" bestFit="1" customWidth="1"/>
  </cols>
  <sheetData>
    <row r="1" spans="1:40" s="17" customFormat="1" ht="28.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6">
        <v>45108</v>
      </c>
      <c r="J1" s="16">
        <v>45109</v>
      </c>
      <c r="K1" s="16">
        <v>45110</v>
      </c>
      <c r="L1" s="16">
        <v>45111</v>
      </c>
      <c r="M1" s="16">
        <v>45112</v>
      </c>
      <c r="N1" s="16">
        <v>45113</v>
      </c>
      <c r="O1" s="16">
        <v>45114</v>
      </c>
      <c r="P1" s="16">
        <v>45115</v>
      </c>
      <c r="Q1" s="16">
        <v>45116</v>
      </c>
      <c r="R1" s="16">
        <v>45117</v>
      </c>
      <c r="S1" s="16">
        <v>45118</v>
      </c>
      <c r="T1" s="16">
        <v>45119</v>
      </c>
      <c r="U1" s="16">
        <v>45120</v>
      </c>
      <c r="V1" s="16">
        <v>45121</v>
      </c>
      <c r="W1" s="16">
        <v>45122</v>
      </c>
      <c r="X1" s="16">
        <v>45123</v>
      </c>
      <c r="Y1" s="16">
        <v>45124</v>
      </c>
      <c r="Z1" s="16">
        <v>45125</v>
      </c>
      <c r="AA1" s="16">
        <v>45126</v>
      </c>
      <c r="AB1" s="16">
        <v>45127</v>
      </c>
      <c r="AC1" s="16">
        <v>45128</v>
      </c>
      <c r="AD1" s="16">
        <v>45129</v>
      </c>
      <c r="AE1" s="16">
        <v>45130</v>
      </c>
      <c r="AF1" s="16">
        <v>45131</v>
      </c>
      <c r="AG1" s="16">
        <v>45132</v>
      </c>
      <c r="AH1" s="16">
        <v>45133</v>
      </c>
      <c r="AI1" s="16">
        <v>45134</v>
      </c>
      <c r="AJ1" s="16">
        <v>45135</v>
      </c>
      <c r="AK1" s="16">
        <v>45136</v>
      </c>
      <c r="AL1" s="16">
        <v>45137</v>
      </c>
      <c r="AM1" s="16">
        <v>45138</v>
      </c>
      <c r="AN1" s="1" t="s">
        <v>8</v>
      </c>
    </row>
    <row r="2" spans="1:40" x14ac:dyDescent="0.3">
      <c r="A2" s="5">
        <v>1</v>
      </c>
      <c r="B2" s="6" t="s">
        <v>9</v>
      </c>
      <c r="C2" s="6" t="s">
        <v>10</v>
      </c>
      <c r="D2" s="6" t="s">
        <v>11</v>
      </c>
      <c r="E2" s="6" t="s">
        <v>12</v>
      </c>
      <c r="F2" s="6" t="s">
        <v>13</v>
      </c>
      <c r="G2" s="6" t="s">
        <v>14</v>
      </c>
      <c r="H2" s="5">
        <v>6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14.84</v>
      </c>
      <c r="AN2" s="19">
        <f>AVERAGE(I2:AM2)</f>
        <v>0.47870967741935483</v>
      </c>
    </row>
    <row r="3" spans="1:40" x14ac:dyDescent="0.3">
      <c r="A3" s="5">
        <v>2</v>
      </c>
      <c r="B3" s="6" t="s">
        <v>9</v>
      </c>
      <c r="C3" s="6" t="s">
        <v>15</v>
      </c>
      <c r="D3" s="6" t="s">
        <v>11</v>
      </c>
      <c r="E3" s="6" t="s">
        <v>12</v>
      </c>
      <c r="F3" s="6" t="s">
        <v>13</v>
      </c>
      <c r="G3" s="6" t="s">
        <v>14</v>
      </c>
      <c r="H3" s="5">
        <v>9</v>
      </c>
      <c r="I3" s="18">
        <v>51.59</v>
      </c>
      <c r="J3" s="18">
        <v>90.27</v>
      </c>
      <c r="K3" s="18">
        <v>68.95</v>
      </c>
      <c r="L3" s="18">
        <v>48.26</v>
      </c>
      <c r="M3" s="18">
        <v>65.87</v>
      </c>
      <c r="N3" s="18">
        <v>70.349999999999994</v>
      </c>
      <c r="O3" s="18">
        <v>82.85</v>
      </c>
      <c r="P3" s="18">
        <v>73.59</v>
      </c>
      <c r="Q3" s="18">
        <v>79.680000000000007</v>
      </c>
      <c r="R3" s="18">
        <v>62.67</v>
      </c>
      <c r="S3" s="18">
        <v>49.3</v>
      </c>
      <c r="T3" s="18">
        <v>44.42</v>
      </c>
      <c r="U3" s="18">
        <v>84</v>
      </c>
      <c r="V3" s="18">
        <v>65.52</v>
      </c>
      <c r="W3" s="18">
        <v>92.93</v>
      </c>
      <c r="X3" s="18">
        <v>97.77</v>
      </c>
      <c r="Y3" s="18">
        <v>101.48</v>
      </c>
      <c r="Z3" s="5">
        <v>88.47</v>
      </c>
      <c r="AA3" s="5">
        <v>134.84</v>
      </c>
      <c r="AB3" s="5">
        <v>83.79</v>
      </c>
      <c r="AC3" s="18">
        <v>86.42</v>
      </c>
      <c r="AD3" s="18">
        <v>130.84</v>
      </c>
      <c r="AE3" s="18">
        <v>150</v>
      </c>
      <c r="AF3" s="18">
        <v>91.87</v>
      </c>
      <c r="AG3" s="18">
        <v>107.73</v>
      </c>
      <c r="AH3" s="18">
        <v>121.66</v>
      </c>
      <c r="AI3" s="18">
        <v>132.07</v>
      </c>
      <c r="AJ3" s="18">
        <v>110.64</v>
      </c>
      <c r="AK3" s="18">
        <v>147.94999999999999</v>
      </c>
      <c r="AL3" s="18">
        <v>86.98</v>
      </c>
      <c r="AM3" s="18">
        <v>133.22999999999999</v>
      </c>
      <c r="AN3" s="19">
        <f t="shared" ref="AN3:AN47" si="0">AVERAGE(I3:AM3)</f>
        <v>91.483548387096761</v>
      </c>
    </row>
    <row r="4" spans="1:40" x14ac:dyDescent="0.3">
      <c r="A4" s="5">
        <v>3</v>
      </c>
      <c r="B4" s="6" t="s">
        <v>9</v>
      </c>
      <c r="C4" s="6" t="s">
        <v>16</v>
      </c>
      <c r="D4" s="6" t="s">
        <v>11</v>
      </c>
      <c r="E4" s="6" t="s">
        <v>12</v>
      </c>
      <c r="F4" s="6" t="s">
        <v>13</v>
      </c>
      <c r="G4" s="6" t="s">
        <v>14</v>
      </c>
      <c r="H4" s="5">
        <v>3</v>
      </c>
      <c r="I4" s="18">
        <v>0.22</v>
      </c>
      <c r="J4" s="18">
        <v>1.43</v>
      </c>
      <c r="K4" s="18">
        <v>17.809999999999999</v>
      </c>
      <c r="L4" s="18">
        <v>15.49</v>
      </c>
      <c r="M4" s="18">
        <v>32.799999999999997</v>
      </c>
      <c r="N4" s="18">
        <v>5.75</v>
      </c>
      <c r="O4" s="18">
        <v>49.38</v>
      </c>
      <c r="P4" s="18">
        <v>30.96</v>
      </c>
      <c r="Q4" s="18">
        <v>34</v>
      </c>
      <c r="R4" s="18">
        <v>36.01</v>
      </c>
      <c r="S4" s="18">
        <v>37.700000000000003</v>
      </c>
      <c r="T4" s="18">
        <v>70.09</v>
      </c>
      <c r="U4" s="18">
        <v>52.84</v>
      </c>
      <c r="V4" s="18">
        <v>44.48</v>
      </c>
      <c r="W4" s="18">
        <v>48.78</v>
      </c>
      <c r="X4" s="18">
        <v>36.75</v>
      </c>
      <c r="Y4" s="18">
        <v>28.31</v>
      </c>
      <c r="Z4" s="5">
        <v>16.61</v>
      </c>
      <c r="AA4" s="5">
        <v>21.02</v>
      </c>
      <c r="AB4" s="5">
        <v>31.76</v>
      </c>
      <c r="AC4" s="18">
        <v>16.36</v>
      </c>
      <c r="AD4" s="18">
        <v>30.16</v>
      </c>
      <c r="AE4" s="18">
        <v>30.44</v>
      </c>
      <c r="AF4" s="18">
        <v>29.39</v>
      </c>
      <c r="AG4" s="18">
        <v>44.97</v>
      </c>
      <c r="AH4" s="18">
        <v>29.21</v>
      </c>
      <c r="AI4" s="18">
        <v>28.16</v>
      </c>
      <c r="AJ4" s="18">
        <v>26.15</v>
      </c>
      <c r="AK4" s="18">
        <v>26.39</v>
      </c>
      <c r="AL4" s="18">
        <v>53.42</v>
      </c>
      <c r="AM4" s="18">
        <v>55.87</v>
      </c>
      <c r="AN4" s="19">
        <f t="shared" si="0"/>
        <v>31.70032258064516</v>
      </c>
    </row>
    <row r="5" spans="1:40" x14ac:dyDescent="0.3">
      <c r="A5" s="5">
        <v>4</v>
      </c>
      <c r="B5" s="6" t="s">
        <v>9</v>
      </c>
      <c r="C5" s="8" t="s">
        <v>17</v>
      </c>
      <c r="D5" s="8" t="s">
        <v>18</v>
      </c>
      <c r="E5" s="6" t="s">
        <v>19</v>
      </c>
      <c r="F5" s="6" t="s">
        <v>13</v>
      </c>
      <c r="G5" s="6" t="s">
        <v>14</v>
      </c>
      <c r="H5" s="5">
        <v>6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9">
        <f t="shared" si="0"/>
        <v>0</v>
      </c>
    </row>
    <row r="6" spans="1:40" x14ac:dyDescent="0.3">
      <c r="A6" s="5">
        <v>5</v>
      </c>
      <c r="B6" s="6" t="s">
        <v>9</v>
      </c>
      <c r="C6" s="8" t="s">
        <v>20</v>
      </c>
      <c r="D6" s="8" t="s">
        <v>18</v>
      </c>
      <c r="E6" s="6" t="s">
        <v>19</v>
      </c>
      <c r="F6" s="6" t="s">
        <v>13</v>
      </c>
      <c r="G6" s="6" t="s">
        <v>14</v>
      </c>
      <c r="H6" s="5">
        <v>3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9">
        <f t="shared" si="0"/>
        <v>0</v>
      </c>
    </row>
    <row r="7" spans="1:40" x14ac:dyDescent="0.3">
      <c r="A7" s="5">
        <v>6</v>
      </c>
      <c r="B7" s="6" t="s">
        <v>9</v>
      </c>
      <c r="C7" s="8" t="s">
        <v>21</v>
      </c>
      <c r="D7" s="8" t="s">
        <v>18</v>
      </c>
      <c r="E7" s="6" t="s">
        <v>19</v>
      </c>
      <c r="F7" s="6" t="s">
        <v>13</v>
      </c>
      <c r="G7" s="6" t="s">
        <v>14</v>
      </c>
      <c r="H7" s="5">
        <v>5</v>
      </c>
      <c r="I7" s="18">
        <v>54.52</v>
      </c>
      <c r="J7" s="18">
        <v>41.25</v>
      </c>
      <c r="K7" s="18">
        <v>31.16</v>
      </c>
      <c r="L7" s="18">
        <v>33.57</v>
      </c>
      <c r="M7" s="18">
        <v>37.85</v>
      </c>
      <c r="N7" s="18">
        <v>23.35</v>
      </c>
      <c r="O7" s="18">
        <v>15.22</v>
      </c>
      <c r="P7" s="18">
        <v>5.54</v>
      </c>
      <c r="Q7" s="18">
        <v>12.02</v>
      </c>
      <c r="R7" s="18">
        <v>24.33</v>
      </c>
      <c r="S7" s="18">
        <v>24.39</v>
      </c>
      <c r="T7" s="18">
        <v>29.83</v>
      </c>
      <c r="U7" s="18">
        <v>14.61</v>
      </c>
      <c r="V7" s="18">
        <v>17.09</v>
      </c>
      <c r="W7" s="18">
        <v>5.73</v>
      </c>
      <c r="X7" s="18">
        <v>12.09</v>
      </c>
      <c r="Y7" s="18">
        <v>11.55</v>
      </c>
      <c r="Z7" s="5">
        <v>19.98</v>
      </c>
      <c r="AA7" s="5">
        <v>16.34</v>
      </c>
      <c r="AB7" s="5">
        <v>19.43</v>
      </c>
      <c r="AC7" s="18">
        <v>21.52</v>
      </c>
      <c r="AD7" s="18">
        <v>19.61</v>
      </c>
      <c r="AE7" s="18">
        <v>29.33</v>
      </c>
      <c r="AF7" s="18">
        <v>35.76</v>
      </c>
      <c r="AG7" s="18">
        <v>21.71</v>
      </c>
      <c r="AH7" s="18">
        <v>36.72</v>
      </c>
      <c r="AI7" s="18">
        <v>6.37</v>
      </c>
      <c r="AJ7" s="18">
        <v>28.21</v>
      </c>
      <c r="AK7" s="18">
        <v>39.4</v>
      </c>
      <c r="AL7" s="18">
        <v>26.66</v>
      </c>
      <c r="AM7" s="18">
        <v>14.53</v>
      </c>
      <c r="AN7" s="19">
        <f t="shared" si="0"/>
        <v>23.537741935483869</v>
      </c>
    </row>
    <row r="8" spans="1:40" x14ac:dyDescent="0.3">
      <c r="A8" s="5">
        <v>7</v>
      </c>
      <c r="B8" s="6" t="s">
        <v>9</v>
      </c>
      <c r="C8" s="6" t="s">
        <v>22</v>
      </c>
      <c r="D8" s="6" t="s">
        <v>18</v>
      </c>
      <c r="E8" s="6" t="s">
        <v>19</v>
      </c>
      <c r="F8" s="6" t="s">
        <v>13</v>
      </c>
      <c r="G8" s="6" t="s">
        <v>14</v>
      </c>
      <c r="H8" s="5">
        <v>5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9">
        <f t="shared" si="0"/>
        <v>0</v>
      </c>
    </row>
    <row r="9" spans="1:40" x14ac:dyDescent="0.3">
      <c r="A9" s="5">
        <v>8</v>
      </c>
      <c r="B9" s="6" t="s">
        <v>9</v>
      </c>
      <c r="C9" s="6" t="s">
        <v>24</v>
      </c>
      <c r="D9" s="6" t="s">
        <v>18</v>
      </c>
      <c r="E9" s="6" t="s">
        <v>19</v>
      </c>
      <c r="F9" s="6" t="s">
        <v>13</v>
      </c>
      <c r="G9" s="6" t="s">
        <v>14</v>
      </c>
      <c r="H9" s="5">
        <v>3</v>
      </c>
      <c r="I9" s="18">
        <v>13.76</v>
      </c>
      <c r="J9" s="18">
        <v>39.770000000000003</v>
      </c>
      <c r="K9" s="18">
        <v>34.799999999999997</v>
      </c>
      <c r="L9" s="18">
        <v>33.25</v>
      </c>
      <c r="M9" s="18">
        <v>41.29</v>
      </c>
      <c r="N9" s="18">
        <v>23.72</v>
      </c>
      <c r="O9" s="18">
        <v>35.56</v>
      </c>
      <c r="P9" s="18">
        <v>40.22</v>
      </c>
      <c r="Q9" s="18">
        <v>30.88</v>
      </c>
      <c r="R9" s="18">
        <v>28.8</v>
      </c>
      <c r="S9" s="18">
        <v>27.94</v>
      </c>
      <c r="T9" s="18">
        <v>16.36</v>
      </c>
      <c r="U9" s="18">
        <v>21.55</v>
      </c>
      <c r="V9" s="18">
        <v>31.76</v>
      </c>
      <c r="W9" s="18">
        <v>22.12</v>
      </c>
      <c r="X9" s="18">
        <v>17.63</v>
      </c>
      <c r="Y9" s="18">
        <v>38.33</v>
      </c>
      <c r="Z9" s="5">
        <v>22.46</v>
      </c>
      <c r="AA9" s="5">
        <v>29.11</v>
      </c>
      <c r="AB9" s="5">
        <v>42.52</v>
      </c>
      <c r="AC9" s="18">
        <v>26.39</v>
      </c>
      <c r="AD9" s="18">
        <v>28.23</v>
      </c>
      <c r="AE9" s="18">
        <v>13.1</v>
      </c>
      <c r="AF9" s="18">
        <v>28.55</v>
      </c>
      <c r="AG9" s="18">
        <v>17.100000000000001</v>
      </c>
      <c r="AH9" s="18">
        <v>24.02</v>
      </c>
      <c r="AI9" s="18">
        <v>27.7</v>
      </c>
      <c r="AJ9" s="18">
        <v>38.020000000000003</v>
      </c>
      <c r="AK9" s="18">
        <v>21.05</v>
      </c>
      <c r="AL9" s="18">
        <v>37.83</v>
      </c>
      <c r="AM9" s="18">
        <v>53.07</v>
      </c>
      <c r="AN9" s="19">
        <f t="shared" si="0"/>
        <v>29.254516129032261</v>
      </c>
    </row>
    <row r="10" spans="1:40" x14ac:dyDescent="0.3">
      <c r="A10" s="5">
        <v>9</v>
      </c>
      <c r="B10" s="6" t="s">
        <v>9</v>
      </c>
      <c r="C10" s="6" t="s">
        <v>25</v>
      </c>
      <c r="D10" s="6" t="s">
        <v>26</v>
      </c>
      <c r="E10" s="6" t="s">
        <v>19</v>
      </c>
      <c r="F10" s="6" t="s">
        <v>13</v>
      </c>
      <c r="G10" s="6" t="s">
        <v>14</v>
      </c>
      <c r="H10" s="5">
        <v>5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9">
        <f t="shared" si="0"/>
        <v>0</v>
      </c>
    </row>
    <row r="11" spans="1:40" x14ac:dyDescent="0.3">
      <c r="A11" s="5">
        <v>10</v>
      </c>
      <c r="B11" s="6" t="s">
        <v>9</v>
      </c>
      <c r="C11" s="6" t="s">
        <v>27</v>
      </c>
      <c r="D11" s="6" t="s">
        <v>28</v>
      </c>
      <c r="E11" s="6" t="s">
        <v>19</v>
      </c>
      <c r="F11" s="6" t="s">
        <v>13</v>
      </c>
      <c r="G11" s="6" t="s">
        <v>14</v>
      </c>
      <c r="H11" s="5">
        <v>5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9">
        <f t="shared" si="0"/>
        <v>0</v>
      </c>
    </row>
    <row r="12" spans="1:40" x14ac:dyDescent="0.3">
      <c r="A12" s="5">
        <v>11</v>
      </c>
      <c r="B12" s="6" t="s">
        <v>9</v>
      </c>
      <c r="C12" s="6" t="s">
        <v>29</v>
      </c>
      <c r="D12" s="6" t="s">
        <v>30</v>
      </c>
      <c r="E12" s="6" t="s">
        <v>19</v>
      </c>
      <c r="F12" s="6" t="s">
        <v>13</v>
      </c>
      <c r="G12" s="6" t="s">
        <v>14</v>
      </c>
      <c r="H12" s="5">
        <v>8</v>
      </c>
      <c r="I12" s="18">
        <v>10.87</v>
      </c>
      <c r="J12" s="18">
        <v>31.21</v>
      </c>
      <c r="K12" s="18">
        <v>39.049999999999997</v>
      </c>
      <c r="L12" s="18">
        <v>41.68</v>
      </c>
      <c r="M12" s="18">
        <v>26.66</v>
      </c>
      <c r="N12" s="18">
        <v>27.25</v>
      </c>
      <c r="O12" s="18">
        <v>59.47</v>
      </c>
      <c r="P12" s="18">
        <v>41.91</v>
      </c>
      <c r="Q12" s="18">
        <v>41.92</v>
      </c>
      <c r="R12" s="18">
        <v>36.950000000000003</v>
      </c>
      <c r="S12" s="18">
        <v>49.98</v>
      </c>
      <c r="T12" s="18">
        <v>63.81</v>
      </c>
      <c r="U12" s="18">
        <v>35.54</v>
      </c>
      <c r="V12" s="18">
        <v>55.5</v>
      </c>
      <c r="W12" s="18">
        <v>39.700000000000003</v>
      </c>
      <c r="X12" s="18">
        <v>45.47</v>
      </c>
      <c r="Y12" s="18">
        <v>45.17</v>
      </c>
      <c r="Z12" s="5">
        <v>36.69</v>
      </c>
      <c r="AA12" s="5">
        <v>37.96</v>
      </c>
      <c r="AB12" s="5">
        <v>40.07</v>
      </c>
      <c r="AC12" s="18">
        <v>24.77</v>
      </c>
      <c r="AD12" s="18">
        <v>28.46</v>
      </c>
      <c r="AE12" s="18">
        <v>16.72</v>
      </c>
      <c r="AF12" s="18">
        <v>20.53</v>
      </c>
      <c r="AG12" s="18">
        <v>57.84</v>
      </c>
      <c r="AH12" s="18">
        <v>40.92</v>
      </c>
      <c r="AI12" s="18">
        <v>42.29</v>
      </c>
      <c r="AJ12" s="18">
        <v>54.77</v>
      </c>
      <c r="AK12" s="18">
        <v>33.89</v>
      </c>
      <c r="AL12" s="18">
        <v>23.83</v>
      </c>
      <c r="AM12" s="18">
        <v>42.06</v>
      </c>
      <c r="AN12" s="19">
        <f t="shared" si="0"/>
        <v>38.481935483870977</v>
      </c>
    </row>
    <row r="13" spans="1:40" x14ac:dyDescent="0.3">
      <c r="A13" s="5">
        <v>12</v>
      </c>
      <c r="B13" s="6" t="s">
        <v>9</v>
      </c>
      <c r="C13" s="6" t="s">
        <v>31</v>
      </c>
      <c r="D13" s="6" t="s">
        <v>32</v>
      </c>
      <c r="E13" s="6" t="s">
        <v>19</v>
      </c>
      <c r="F13" s="6" t="s">
        <v>13</v>
      </c>
      <c r="G13" s="6" t="s">
        <v>14</v>
      </c>
      <c r="H13" s="5">
        <v>2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20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9">
        <f t="shared" si="0"/>
        <v>0</v>
      </c>
    </row>
    <row r="14" spans="1:40" x14ac:dyDescent="0.3">
      <c r="A14" s="5">
        <v>13</v>
      </c>
      <c r="B14" s="6" t="s">
        <v>9</v>
      </c>
      <c r="C14" s="6" t="s">
        <v>33</v>
      </c>
      <c r="D14" s="6" t="s">
        <v>30</v>
      </c>
      <c r="E14" s="6" t="s">
        <v>19</v>
      </c>
      <c r="F14" s="6" t="s">
        <v>13</v>
      </c>
      <c r="G14" s="6" t="s">
        <v>14</v>
      </c>
      <c r="H14" s="5">
        <v>4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6.65</v>
      </c>
      <c r="P14" s="18">
        <v>0</v>
      </c>
      <c r="Q14" s="18">
        <v>0</v>
      </c>
      <c r="R14" s="18">
        <v>10.96</v>
      </c>
      <c r="S14" s="18">
        <v>5.2</v>
      </c>
      <c r="T14" s="18">
        <v>10.56</v>
      </c>
      <c r="U14" s="18">
        <v>0</v>
      </c>
      <c r="V14" s="18">
        <v>0.74</v>
      </c>
      <c r="W14" s="18">
        <v>0</v>
      </c>
      <c r="X14" s="18">
        <v>0</v>
      </c>
      <c r="Y14" s="18">
        <v>0</v>
      </c>
      <c r="Z14" s="18">
        <v>0</v>
      </c>
      <c r="AA14" s="21">
        <v>0</v>
      </c>
      <c r="AB14" s="18">
        <v>7.57</v>
      </c>
      <c r="AC14" s="18">
        <v>6.22</v>
      </c>
      <c r="AD14" s="18">
        <v>4.5999999999999996</v>
      </c>
      <c r="AE14" s="18">
        <v>0.71</v>
      </c>
      <c r="AF14" s="18">
        <v>2.91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9">
        <f t="shared" si="0"/>
        <v>1.8103225806451615</v>
      </c>
    </row>
    <row r="15" spans="1:40" x14ac:dyDescent="0.3">
      <c r="A15" s="5">
        <v>14</v>
      </c>
      <c r="B15" s="6" t="s">
        <v>9</v>
      </c>
      <c r="C15" s="6" t="s">
        <v>34</v>
      </c>
      <c r="D15" s="6" t="s">
        <v>30</v>
      </c>
      <c r="E15" s="6" t="s">
        <v>19</v>
      </c>
      <c r="F15" s="6" t="s">
        <v>13</v>
      </c>
      <c r="G15" s="6" t="s">
        <v>14</v>
      </c>
      <c r="H15" s="5">
        <v>20</v>
      </c>
      <c r="I15" s="18">
        <v>133.13999999999999</v>
      </c>
      <c r="J15" s="18">
        <v>119.25</v>
      </c>
      <c r="K15" s="18">
        <v>119.1</v>
      </c>
      <c r="L15" s="18">
        <v>129.22</v>
      </c>
      <c r="M15" s="18">
        <v>166.53</v>
      </c>
      <c r="N15" s="18">
        <v>157.36000000000001</v>
      </c>
      <c r="O15" s="18">
        <v>180.73</v>
      </c>
      <c r="P15" s="18">
        <v>180.12</v>
      </c>
      <c r="Q15" s="18">
        <v>153.32</v>
      </c>
      <c r="R15" s="18">
        <v>180.12</v>
      </c>
      <c r="S15" s="18">
        <v>114.41</v>
      </c>
      <c r="T15" s="18">
        <v>172</v>
      </c>
      <c r="U15" s="18">
        <v>75.55</v>
      </c>
      <c r="V15" s="18">
        <v>143.44</v>
      </c>
      <c r="W15" s="18">
        <v>117.78</v>
      </c>
      <c r="X15" s="18">
        <v>76.42</v>
      </c>
      <c r="Y15" s="18">
        <v>77.36</v>
      </c>
      <c r="Z15" s="5">
        <v>75.77</v>
      </c>
      <c r="AA15" s="5">
        <v>72.72</v>
      </c>
      <c r="AB15" s="5">
        <v>44.82</v>
      </c>
      <c r="AC15" s="18">
        <v>81.96</v>
      </c>
      <c r="AD15" s="18">
        <v>60.71</v>
      </c>
      <c r="AE15" s="18">
        <v>65.87</v>
      </c>
      <c r="AF15" s="18">
        <v>137.06</v>
      </c>
      <c r="AG15" s="18">
        <v>116.1</v>
      </c>
      <c r="AH15" s="18">
        <v>172.26</v>
      </c>
      <c r="AI15" s="18">
        <v>91</v>
      </c>
      <c r="AJ15" s="18">
        <v>187.01</v>
      </c>
      <c r="AK15" s="18">
        <v>121.54</v>
      </c>
      <c r="AL15" s="18">
        <v>171.18</v>
      </c>
      <c r="AM15" s="18">
        <v>131.62</v>
      </c>
      <c r="AN15" s="19">
        <f t="shared" si="0"/>
        <v>123.40225806451612</v>
      </c>
    </row>
    <row r="16" spans="1:40" x14ac:dyDescent="0.3">
      <c r="A16" s="5">
        <v>15</v>
      </c>
      <c r="B16" s="6" t="s">
        <v>9</v>
      </c>
      <c r="C16" s="6" t="s">
        <v>34</v>
      </c>
      <c r="D16" s="6" t="s">
        <v>30</v>
      </c>
      <c r="E16" s="6" t="s">
        <v>19</v>
      </c>
      <c r="F16" s="6" t="s">
        <v>13</v>
      </c>
      <c r="G16" s="6" t="s">
        <v>80</v>
      </c>
      <c r="H16" s="5">
        <v>1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3.3</v>
      </c>
      <c r="AI16" s="18">
        <v>7.87</v>
      </c>
      <c r="AJ16" s="18">
        <v>13.51</v>
      </c>
      <c r="AK16" s="18">
        <v>7.7</v>
      </c>
      <c r="AL16" s="18">
        <v>0</v>
      </c>
      <c r="AM16" s="18">
        <v>0</v>
      </c>
      <c r="AN16" s="19">
        <f t="shared" si="0"/>
        <v>1.0445161290322582</v>
      </c>
    </row>
    <row r="17" spans="1:40" x14ac:dyDescent="0.3">
      <c r="A17" s="5">
        <v>16</v>
      </c>
      <c r="B17" s="6" t="s">
        <v>9</v>
      </c>
      <c r="C17" s="6" t="s">
        <v>36</v>
      </c>
      <c r="D17" s="6" t="s">
        <v>30</v>
      </c>
      <c r="E17" s="6" t="s">
        <v>19</v>
      </c>
      <c r="F17" s="6" t="s">
        <v>13</v>
      </c>
      <c r="G17" s="6" t="s">
        <v>14</v>
      </c>
      <c r="H17" s="5">
        <v>6</v>
      </c>
      <c r="I17" s="18">
        <v>42.45</v>
      </c>
      <c r="J17" s="18">
        <v>32.409999999999997</v>
      </c>
      <c r="K17" s="18">
        <v>36.15</v>
      </c>
      <c r="L17" s="18">
        <v>56.63</v>
      </c>
      <c r="M17" s="18">
        <v>44.32</v>
      </c>
      <c r="N17" s="18">
        <v>29.16</v>
      </c>
      <c r="O17" s="18">
        <v>47.36</v>
      </c>
      <c r="P17" s="18">
        <v>39.44</v>
      </c>
      <c r="Q17" s="18">
        <v>17.13</v>
      </c>
      <c r="R17" s="18">
        <v>24.26</v>
      </c>
      <c r="S17" s="22">
        <v>23.81</v>
      </c>
      <c r="T17" s="22">
        <v>24.37</v>
      </c>
      <c r="U17" s="22">
        <v>23.81</v>
      </c>
      <c r="V17" s="22">
        <v>17.899999999999999</v>
      </c>
      <c r="W17" s="22">
        <v>41.09</v>
      </c>
      <c r="X17" s="22">
        <v>26.89</v>
      </c>
      <c r="Y17" s="22">
        <v>12.53</v>
      </c>
      <c r="Z17" s="10">
        <v>14.29</v>
      </c>
      <c r="AA17" s="5">
        <v>8.9499999999999993</v>
      </c>
      <c r="AB17" s="5">
        <v>12.28</v>
      </c>
      <c r="AC17" s="18">
        <v>30</v>
      </c>
      <c r="AD17" s="18">
        <v>30.74</v>
      </c>
      <c r="AE17" s="18">
        <v>7.04</v>
      </c>
      <c r="AF17" s="18">
        <v>36.71</v>
      </c>
      <c r="AG17" s="18">
        <v>19.46</v>
      </c>
      <c r="AH17" s="18">
        <v>21.99</v>
      </c>
      <c r="AI17" s="18">
        <v>14.58</v>
      </c>
      <c r="AJ17" s="18">
        <v>2.82</v>
      </c>
      <c r="AK17" s="18">
        <v>18.829999999999998</v>
      </c>
      <c r="AL17" s="18">
        <v>13.43</v>
      </c>
      <c r="AM17" s="18">
        <v>7.57</v>
      </c>
      <c r="AN17" s="19">
        <f t="shared" si="0"/>
        <v>25.109677419354842</v>
      </c>
    </row>
    <row r="18" spans="1:40" ht="15.75" customHeight="1" x14ac:dyDescent="0.3">
      <c r="A18" s="5">
        <v>17</v>
      </c>
      <c r="B18" s="6" t="s">
        <v>9</v>
      </c>
      <c r="C18" s="6" t="s">
        <v>37</v>
      </c>
      <c r="D18" s="6" t="s">
        <v>30</v>
      </c>
      <c r="E18" s="6" t="s">
        <v>19</v>
      </c>
      <c r="F18" s="6" t="s">
        <v>13</v>
      </c>
      <c r="G18" s="6" t="s">
        <v>14</v>
      </c>
      <c r="H18" s="5">
        <v>6</v>
      </c>
      <c r="I18" s="18">
        <v>9.24</v>
      </c>
      <c r="J18" s="18">
        <v>29.25</v>
      </c>
      <c r="K18" s="18">
        <v>16.809999999999999</v>
      </c>
      <c r="L18" s="18">
        <v>3.75</v>
      </c>
      <c r="M18" s="18">
        <v>10.199999999999999</v>
      </c>
      <c r="N18" s="18">
        <v>8.9</v>
      </c>
      <c r="O18" s="18">
        <v>15.3</v>
      </c>
      <c r="P18" s="18">
        <v>14.91</v>
      </c>
      <c r="Q18" s="18">
        <v>9.42</v>
      </c>
      <c r="R18" s="18">
        <v>10.94</v>
      </c>
      <c r="S18" s="18">
        <v>14.84</v>
      </c>
      <c r="T18" s="18">
        <v>18.27</v>
      </c>
      <c r="U18" s="18">
        <v>6.81</v>
      </c>
      <c r="V18" s="18">
        <v>3.3</v>
      </c>
      <c r="W18" s="18">
        <v>13.17</v>
      </c>
      <c r="X18" s="18">
        <v>8.7899999999999991</v>
      </c>
      <c r="Y18" s="18">
        <v>16.489999999999998</v>
      </c>
      <c r="Z18" s="5">
        <v>15.08</v>
      </c>
      <c r="AA18" s="5">
        <v>25.71</v>
      </c>
      <c r="AB18" s="5">
        <v>18.72</v>
      </c>
      <c r="AC18" s="18">
        <v>18.36</v>
      </c>
      <c r="AD18" s="18">
        <v>27.99</v>
      </c>
      <c r="AE18" s="18">
        <v>8.2360000000000007</v>
      </c>
      <c r="AF18" s="18">
        <v>28.44</v>
      </c>
      <c r="AG18" s="18">
        <v>33.409999999999997</v>
      </c>
      <c r="AH18" s="18">
        <v>24.73</v>
      </c>
      <c r="AI18" s="18">
        <v>13.35</v>
      </c>
      <c r="AJ18" s="18">
        <v>36.32</v>
      </c>
      <c r="AK18" s="18">
        <v>31.9</v>
      </c>
      <c r="AL18" s="18">
        <v>38.979999999999997</v>
      </c>
      <c r="AM18" s="18">
        <v>35.76</v>
      </c>
      <c r="AN18" s="19">
        <f t="shared" si="0"/>
        <v>18.302451612903226</v>
      </c>
    </row>
    <row r="19" spans="1:40" x14ac:dyDescent="0.3">
      <c r="A19" s="5">
        <v>18</v>
      </c>
      <c r="B19" s="6" t="s">
        <v>9</v>
      </c>
      <c r="C19" s="6" t="s">
        <v>38</v>
      </c>
      <c r="D19" s="6" t="s">
        <v>30</v>
      </c>
      <c r="E19" s="6" t="s">
        <v>19</v>
      </c>
      <c r="F19" s="6" t="s">
        <v>13</v>
      </c>
      <c r="G19" s="6" t="s">
        <v>14</v>
      </c>
      <c r="H19" s="5">
        <v>3</v>
      </c>
      <c r="I19" s="18">
        <v>19.75</v>
      </c>
      <c r="J19" s="18">
        <v>10.48</v>
      </c>
      <c r="K19" s="18">
        <v>31.17</v>
      </c>
      <c r="L19" s="18">
        <v>15.93</v>
      </c>
      <c r="M19" s="18">
        <v>34.07</v>
      </c>
      <c r="N19" s="18">
        <v>14.97</v>
      </c>
      <c r="O19" s="18">
        <v>13.59</v>
      </c>
      <c r="P19" s="18">
        <v>23.68</v>
      </c>
      <c r="Q19" s="18">
        <v>12.18</v>
      </c>
      <c r="R19" s="18">
        <v>41.05</v>
      </c>
      <c r="S19" s="18">
        <v>14</v>
      </c>
      <c r="T19" s="18">
        <v>36.880000000000003</v>
      </c>
      <c r="U19" s="18">
        <v>22.27</v>
      </c>
      <c r="V19" s="18">
        <v>24.09</v>
      </c>
      <c r="W19" s="18">
        <v>21.06</v>
      </c>
      <c r="X19" s="18">
        <v>16.36</v>
      </c>
      <c r="Y19" s="18">
        <v>31.95</v>
      </c>
      <c r="Z19" s="18">
        <v>29.67</v>
      </c>
      <c r="AA19" s="18">
        <v>42.43</v>
      </c>
      <c r="AB19" s="18">
        <v>30.212</v>
      </c>
      <c r="AC19" s="22">
        <v>34.68</v>
      </c>
      <c r="AD19" s="22">
        <v>18.760000000000002</v>
      </c>
      <c r="AE19" s="18">
        <v>54.06</v>
      </c>
      <c r="AF19" s="18">
        <v>24.93</v>
      </c>
      <c r="AG19" s="18">
        <v>41.13</v>
      </c>
      <c r="AH19" s="18">
        <v>9.01</v>
      </c>
      <c r="AI19" s="18">
        <v>39.700000000000003</v>
      </c>
      <c r="AJ19" s="18">
        <v>41.4</v>
      </c>
      <c r="AK19" s="18">
        <v>21.91</v>
      </c>
      <c r="AL19" s="18">
        <v>27.1</v>
      </c>
      <c r="AM19" s="18">
        <v>35.31</v>
      </c>
      <c r="AN19" s="19">
        <f t="shared" si="0"/>
        <v>26.896193548387096</v>
      </c>
    </row>
    <row r="20" spans="1:40" x14ac:dyDescent="0.3">
      <c r="A20" s="5">
        <v>19</v>
      </c>
      <c r="B20" s="6" t="s">
        <v>9</v>
      </c>
      <c r="C20" s="6" t="s">
        <v>39</v>
      </c>
      <c r="D20" s="6" t="s">
        <v>30</v>
      </c>
      <c r="E20" s="6" t="s">
        <v>19</v>
      </c>
      <c r="F20" s="6" t="s">
        <v>13</v>
      </c>
      <c r="G20" s="6" t="s">
        <v>14</v>
      </c>
      <c r="H20" s="5">
        <v>3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3.14</v>
      </c>
      <c r="AE20" s="18">
        <v>0</v>
      </c>
      <c r="AF20" s="18">
        <v>0</v>
      </c>
      <c r="AG20" s="18">
        <v>2.9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9">
        <f t="shared" si="0"/>
        <v>0.19483870967741937</v>
      </c>
    </row>
    <row r="21" spans="1:40" x14ac:dyDescent="0.3">
      <c r="A21" s="5">
        <v>20</v>
      </c>
      <c r="B21" s="6" t="s">
        <v>9</v>
      </c>
      <c r="C21" s="6" t="s">
        <v>39</v>
      </c>
      <c r="D21" s="6" t="s">
        <v>30</v>
      </c>
      <c r="E21" s="6" t="s">
        <v>19</v>
      </c>
      <c r="F21" s="6" t="s">
        <v>40</v>
      </c>
      <c r="G21" s="6" t="s">
        <v>35</v>
      </c>
      <c r="H21" s="5">
        <v>1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2.29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9">
        <f t="shared" si="0"/>
        <v>7.3870967741935481E-2</v>
      </c>
    </row>
    <row r="22" spans="1:40" x14ac:dyDescent="0.3">
      <c r="A22" s="5">
        <v>21</v>
      </c>
      <c r="B22" s="6" t="s">
        <v>9</v>
      </c>
      <c r="C22" s="6" t="s">
        <v>39</v>
      </c>
      <c r="D22" s="6" t="s">
        <v>30</v>
      </c>
      <c r="E22" s="6" t="s">
        <v>19</v>
      </c>
      <c r="F22" s="6" t="s">
        <v>41</v>
      </c>
      <c r="G22" s="6" t="s">
        <v>35</v>
      </c>
      <c r="H22" s="5">
        <v>1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22">
        <v>0</v>
      </c>
      <c r="U22" s="22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9">
        <f t="shared" si="0"/>
        <v>0</v>
      </c>
    </row>
    <row r="23" spans="1:40" x14ac:dyDescent="0.3">
      <c r="A23" s="5">
        <v>22</v>
      </c>
      <c r="B23" s="6" t="s">
        <v>9</v>
      </c>
      <c r="C23" s="6" t="s">
        <v>45</v>
      </c>
      <c r="D23" s="6" t="s">
        <v>43</v>
      </c>
      <c r="E23" s="6" t="s">
        <v>19</v>
      </c>
      <c r="F23" s="6" t="s">
        <v>13</v>
      </c>
      <c r="G23" s="6" t="s">
        <v>14</v>
      </c>
      <c r="H23" s="5">
        <v>1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9">
        <f t="shared" si="0"/>
        <v>0</v>
      </c>
    </row>
    <row r="24" spans="1:40" x14ac:dyDescent="0.3">
      <c r="A24" s="5">
        <v>23</v>
      </c>
      <c r="B24" s="6" t="s">
        <v>9</v>
      </c>
      <c r="C24" s="6" t="s">
        <v>47</v>
      </c>
      <c r="D24" s="6" t="s">
        <v>48</v>
      </c>
      <c r="E24" s="6" t="s">
        <v>19</v>
      </c>
      <c r="F24" s="6" t="s">
        <v>13</v>
      </c>
      <c r="G24" s="6" t="s">
        <v>14</v>
      </c>
      <c r="H24" s="5">
        <v>1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9">
        <f t="shared" si="0"/>
        <v>0</v>
      </c>
    </row>
    <row r="25" spans="1:40" x14ac:dyDescent="0.3">
      <c r="A25" s="5">
        <v>24</v>
      </c>
      <c r="B25" s="6" t="s">
        <v>49</v>
      </c>
      <c r="C25" s="6" t="s">
        <v>50</v>
      </c>
      <c r="D25" s="6" t="s">
        <v>30</v>
      </c>
      <c r="E25" s="6" t="s">
        <v>19</v>
      </c>
      <c r="F25" s="6" t="s">
        <v>13</v>
      </c>
      <c r="G25" s="6" t="s">
        <v>14</v>
      </c>
      <c r="H25" s="5">
        <v>7</v>
      </c>
      <c r="I25" s="18">
        <v>38.17</v>
      </c>
      <c r="J25" s="18">
        <v>0.01</v>
      </c>
      <c r="K25" s="18">
        <v>15.52</v>
      </c>
      <c r="L25" s="18">
        <v>29.63</v>
      </c>
      <c r="M25" s="18">
        <v>28.63</v>
      </c>
      <c r="N25" s="18">
        <v>27.77</v>
      </c>
      <c r="O25" s="18">
        <v>21.8</v>
      </c>
      <c r="P25" s="18">
        <v>13.13</v>
      </c>
      <c r="Q25" s="18">
        <v>13.26</v>
      </c>
      <c r="R25" s="18">
        <v>34.86</v>
      </c>
      <c r="S25" s="18">
        <v>32.380000000000003</v>
      </c>
      <c r="T25" s="18">
        <v>16.760000000000002</v>
      </c>
      <c r="U25" s="18">
        <v>11.59</v>
      </c>
      <c r="V25" s="18">
        <v>3.65</v>
      </c>
      <c r="W25" s="18">
        <v>11.79</v>
      </c>
      <c r="X25" s="18">
        <v>17.22</v>
      </c>
      <c r="Y25" s="18">
        <v>16.649999999999999</v>
      </c>
      <c r="Z25" s="18">
        <v>18.010000000000002</v>
      </c>
      <c r="AA25" s="18">
        <v>27.04</v>
      </c>
      <c r="AB25" s="18">
        <v>23.35</v>
      </c>
      <c r="AC25" s="18">
        <v>36.01</v>
      </c>
      <c r="AD25" s="18">
        <v>15.51</v>
      </c>
      <c r="AE25" s="18">
        <v>6.4</v>
      </c>
      <c r="AF25" s="18">
        <v>26.53</v>
      </c>
      <c r="AG25" s="18">
        <v>38.25</v>
      </c>
      <c r="AH25" s="18">
        <v>5.8769999999999998</v>
      </c>
      <c r="AI25" s="18">
        <v>11.07</v>
      </c>
      <c r="AJ25" s="18">
        <v>6.62</v>
      </c>
      <c r="AK25" s="18">
        <v>24.09</v>
      </c>
      <c r="AL25" s="18">
        <v>3.97</v>
      </c>
      <c r="AM25" s="18">
        <v>5.18</v>
      </c>
      <c r="AN25" s="19">
        <f t="shared" si="0"/>
        <v>18.733129032258063</v>
      </c>
    </row>
    <row r="26" spans="1:40" x14ac:dyDescent="0.3">
      <c r="A26" s="5">
        <v>25</v>
      </c>
      <c r="B26" s="6" t="s">
        <v>49</v>
      </c>
      <c r="C26" s="6" t="s">
        <v>51</v>
      </c>
      <c r="D26" s="6" t="s">
        <v>18</v>
      </c>
      <c r="E26" s="6" t="s">
        <v>19</v>
      </c>
      <c r="F26" s="6" t="s">
        <v>13</v>
      </c>
      <c r="G26" s="6" t="s">
        <v>14</v>
      </c>
      <c r="H26" s="5">
        <v>5</v>
      </c>
      <c r="I26" s="18">
        <v>6.48</v>
      </c>
      <c r="J26" s="18">
        <v>16.559999999999999</v>
      </c>
      <c r="K26" s="18">
        <v>18.91</v>
      </c>
      <c r="L26" s="18">
        <v>27.26</v>
      </c>
      <c r="M26" s="18">
        <v>18.72</v>
      </c>
      <c r="N26" s="18">
        <v>16.899999999999999</v>
      </c>
      <c r="O26" s="18">
        <v>22.06</v>
      </c>
      <c r="P26" s="18">
        <v>21.87</v>
      </c>
      <c r="Q26" s="18">
        <v>28.15</v>
      </c>
      <c r="R26" s="18">
        <v>13</v>
      </c>
      <c r="S26" s="18">
        <v>18.350000000000001</v>
      </c>
      <c r="T26" s="18">
        <v>9.1</v>
      </c>
      <c r="U26" s="18">
        <v>7.84</v>
      </c>
      <c r="V26" s="18">
        <v>5.64</v>
      </c>
      <c r="W26" s="18">
        <v>7.98</v>
      </c>
      <c r="X26" s="18">
        <v>11.42</v>
      </c>
      <c r="Y26" s="18">
        <v>9.43</v>
      </c>
      <c r="Z26" s="18">
        <v>23.43</v>
      </c>
      <c r="AA26" s="18">
        <v>22.74</v>
      </c>
      <c r="AB26" s="18">
        <v>21.4</v>
      </c>
      <c r="AC26" s="18">
        <v>17.850000000000001</v>
      </c>
      <c r="AD26" s="18">
        <v>10.39</v>
      </c>
      <c r="AE26" s="18">
        <v>31.71</v>
      </c>
      <c r="AF26" s="18">
        <v>15.41</v>
      </c>
      <c r="AG26" s="18">
        <v>11.59</v>
      </c>
      <c r="AH26" s="18">
        <v>18.100000000000001</v>
      </c>
      <c r="AI26" s="18">
        <v>15.59</v>
      </c>
      <c r="AJ26" s="18">
        <v>17.5</v>
      </c>
      <c r="AK26" s="18">
        <v>9.65</v>
      </c>
      <c r="AL26" s="18">
        <v>32.97</v>
      </c>
      <c r="AM26" s="18">
        <v>21.83</v>
      </c>
      <c r="AN26" s="19">
        <f t="shared" si="0"/>
        <v>17.091290322580644</v>
      </c>
    </row>
    <row r="27" spans="1:40" x14ac:dyDescent="0.3">
      <c r="A27" s="5">
        <v>26</v>
      </c>
      <c r="B27" s="6" t="s">
        <v>49</v>
      </c>
      <c r="C27" s="6" t="s">
        <v>61</v>
      </c>
      <c r="D27" s="6" t="s">
        <v>61</v>
      </c>
      <c r="E27" s="6" t="s">
        <v>19</v>
      </c>
      <c r="F27" s="6" t="s">
        <v>13</v>
      </c>
      <c r="G27" s="6" t="s">
        <v>14</v>
      </c>
      <c r="H27" s="5">
        <v>10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15.09</v>
      </c>
      <c r="AB27" s="18">
        <v>48.07</v>
      </c>
      <c r="AC27" s="18">
        <v>44.39</v>
      </c>
      <c r="AD27" s="18">
        <v>48.38</v>
      </c>
      <c r="AE27" s="18">
        <v>40.08</v>
      </c>
      <c r="AF27" s="18">
        <v>28.68</v>
      </c>
      <c r="AG27" s="18">
        <v>55.43</v>
      </c>
      <c r="AH27" s="18">
        <v>34.69</v>
      </c>
      <c r="AI27" s="18">
        <v>44.5</v>
      </c>
      <c r="AJ27" s="18">
        <v>49.41</v>
      </c>
      <c r="AK27" s="18">
        <v>49.71</v>
      </c>
      <c r="AL27" s="18">
        <v>52.61</v>
      </c>
      <c r="AM27" s="18">
        <v>40.31</v>
      </c>
      <c r="AN27" s="19">
        <f t="shared" si="0"/>
        <v>17.785483870967742</v>
      </c>
    </row>
    <row r="28" spans="1:40" x14ac:dyDescent="0.3">
      <c r="A28" s="5">
        <v>27</v>
      </c>
      <c r="B28" s="6" t="s">
        <v>52</v>
      </c>
      <c r="C28" s="6" t="s">
        <v>53</v>
      </c>
      <c r="D28" s="6" t="s">
        <v>54</v>
      </c>
      <c r="E28" s="6" t="s">
        <v>19</v>
      </c>
      <c r="F28" s="6" t="s">
        <v>13</v>
      </c>
      <c r="G28" s="6" t="s">
        <v>14</v>
      </c>
      <c r="H28" s="5">
        <v>5</v>
      </c>
      <c r="I28" s="18">
        <v>21.88</v>
      </c>
      <c r="J28" s="18">
        <v>15.72</v>
      </c>
      <c r="K28" s="18">
        <v>24.88</v>
      </c>
      <c r="L28" s="18">
        <v>34.450000000000003</v>
      </c>
      <c r="M28" s="18">
        <v>52.82</v>
      </c>
      <c r="N28" s="18">
        <v>2.71</v>
      </c>
      <c r="O28" s="18">
        <v>35.03</v>
      </c>
      <c r="P28" s="18">
        <v>11.97</v>
      </c>
      <c r="Q28" s="18">
        <v>0</v>
      </c>
      <c r="R28" s="18">
        <v>30.77</v>
      </c>
      <c r="S28" s="18">
        <v>16.16</v>
      </c>
      <c r="T28" s="18">
        <v>31.15</v>
      </c>
      <c r="U28" s="18">
        <v>35.67</v>
      </c>
      <c r="V28" s="18">
        <v>22.26</v>
      </c>
      <c r="W28" s="18">
        <v>10.199999999999999</v>
      </c>
      <c r="X28" s="18">
        <v>13.69</v>
      </c>
      <c r="Y28" s="18">
        <v>29.18</v>
      </c>
      <c r="Z28" s="18">
        <v>23.56</v>
      </c>
      <c r="AA28" s="18">
        <v>11.29</v>
      </c>
      <c r="AB28" s="18">
        <v>48.36</v>
      </c>
      <c r="AC28" s="18">
        <v>20.66</v>
      </c>
      <c r="AD28" s="18">
        <v>36.6</v>
      </c>
      <c r="AE28" s="18">
        <v>26.87</v>
      </c>
      <c r="AF28" s="18">
        <v>39.47</v>
      </c>
      <c r="AG28" s="18">
        <v>10.14</v>
      </c>
      <c r="AH28" s="18">
        <v>20.58</v>
      </c>
      <c r="AI28" s="18">
        <v>33.76</v>
      </c>
      <c r="AJ28" s="18">
        <v>22.78</v>
      </c>
      <c r="AK28" s="18">
        <v>9.86</v>
      </c>
      <c r="AL28" s="18">
        <v>23.57</v>
      </c>
      <c r="AM28" s="18">
        <v>22.32</v>
      </c>
      <c r="AN28" s="19">
        <f t="shared" si="0"/>
        <v>23.818064516129041</v>
      </c>
    </row>
    <row r="29" spans="1:40" x14ac:dyDescent="0.3">
      <c r="A29" s="5">
        <v>28</v>
      </c>
      <c r="B29" s="6" t="s">
        <v>55</v>
      </c>
      <c r="C29" s="6" t="s">
        <v>56</v>
      </c>
      <c r="D29" s="6" t="s">
        <v>57</v>
      </c>
      <c r="E29" s="6" t="s">
        <v>19</v>
      </c>
      <c r="F29" s="6" t="s">
        <v>13</v>
      </c>
      <c r="G29" s="6" t="s">
        <v>14</v>
      </c>
      <c r="H29" s="5">
        <v>38</v>
      </c>
      <c r="I29" s="18">
        <v>77.59</v>
      </c>
      <c r="J29" s="18">
        <v>58.59</v>
      </c>
      <c r="K29" s="18">
        <v>29.23</v>
      </c>
      <c r="L29" s="18">
        <v>155.91999999999999</v>
      </c>
      <c r="M29" s="18">
        <v>154.99</v>
      </c>
      <c r="N29" s="18">
        <v>225.47</v>
      </c>
      <c r="O29" s="18">
        <v>255.31</v>
      </c>
      <c r="P29" s="18">
        <v>410.78</v>
      </c>
      <c r="Q29" s="18">
        <v>299.55</v>
      </c>
      <c r="R29" s="18">
        <v>286.2</v>
      </c>
      <c r="S29" s="18">
        <v>164.04</v>
      </c>
      <c r="T29" s="18">
        <v>319.97000000000003</v>
      </c>
      <c r="U29" s="18">
        <v>218.7</v>
      </c>
      <c r="V29" s="18">
        <v>261.76</v>
      </c>
      <c r="W29" s="18">
        <v>325.47000000000003</v>
      </c>
      <c r="X29" s="18">
        <v>402.41</v>
      </c>
      <c r="Y29" s="18">
        <v>164.4</v>
      </c>
      <c r="Z29" s="18">
        <v>196.08</v>
      </c>
      <c r="AA29" s="18">
        <v>300.08999999999997</v>
      </c>
      <c r="AB29" s="18">
        <v>150.36000000000001</v>
      </c>
      <c r="AC29" s="18">
        <v>216.22</v>
      </c>
      <c r="AD29" s="18">
        <v>356.16</v>
      </c>
      <c r="AE29" s="18">
        <v>68.23</v>
      </c>
      <c r="AF29" s="18">
        <v>8.25</v>
      </c>
      <c r="AG29" s="18">
        <v>204.29</v>
      </c>
      <c r="AH29" s="18">
        <v>135.07</v>
      </c>
      <c r="AI29" s="18">
        <v>180.22</v>
      </c>
      <c r="AJ29" s="18">
        <v>222.41</v>
      </c>
      <c r="AK29" s="18">
        <v>247.18</v>
      </c>
      <c r="AL29" s="18">
        <v>412.26</v>
      </c>
      <c r="AM29" s="18">
        <v>172.1</v>
      </c>
      <c r="AN29" s="19">
        <f t="shared" si="0"/>
        <v>215.46129032258065</v>
      </c>
    </row>
    <row r="30" spans="1:40" x14ac:dyDescent="0.3">
      <c r="A30" s="5">
        <v>29</v>
      </c>
      <c r="B30" s="6" t="s">
        <v>55</v>
      </c>
      <c r="C30" s="6" t="s">
        <v>56</v>
      </c>
      <c r="D30" s="6" t="s">
        <v>57</v>
      </c>
      <c r="E30" s="6" t="s">
        <v>19</v>
      </c>
      <c r="F30" s="6" t="s">
        <v>13</v>
      </c>
      <c r="G30" s="6" t="s">
        <v>35</v>
      </c>
      <c r="H30" s="5">
        <v>2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7.75</v>
      </c>
      <c r="O30" s="18">
        <v>21.53</v>
      </c>
      <c r="P30" s="18">
        <v>7.47</v>
      </c>
      <c r="Q30" s="18">
        <v>0</v>
      </c>
      <c r="R30" s="18">
        <v>0</v>
      </c>
      <c r="S30" s="18">
        <v>11.07</v>
      </c>
      <c r="T30" s="18">
        <v>38.630000000000003</v>
      </c>
      <c r="U30" s="18">
        <v>38.799999999999997</v>
      </c>
      <c r="V30" s="18">
        <v>20.45</v>
      </c>
      <c r="W30" s="18">
        <v>55.84</v>
      </c>
      <c r="X30" s="18">
        <v>63.25</v>
      </c>
      <c r="Y30" s="18">
        <v>65.33</v>
      </c>
      <c r="Z30" s="18">
        <v>34.99</v>
      </c>
      <c r="AA30" s="18">
        <v>34</v>
      </c>
      <c r="AB30" s="18">
        <v>30.8</v>
      </c>
      <c r="AC30" s="18">
        <v>5.92</v>
      </c>
      <c r="AD30" s="18">
        <v>54.72</v>
      </c>
      <c r="AE30" s="18">
        <v>36.11</v>
      </c>
      <c r="AF30" s="18">
        <v>0</v>
      </c>
      <c r="AG30" s="18">
        <v>10.34</v>
      </c>
      <c r="AH30" s="18">
        <v>18.670000000000002</v>
      </c>
      <c r="AI30" s="18">
        <v>11.46</v>
      </c>
      <c r="AJ30" s="18">
        <v>21.11</v>
      </c>
      <c r="AK30" s="18">
        <v>44.83</v>
      </c>
      <c r="AL30" s="18">
        <v>75.33</v>
      </c>
      <c r="AM30" s="18">
        <v>30.57</v>
      </c>
      <c r="AN30" s="19">
        <f t="shared" si="0"/>
        <v>23.837741935483876</v>
      </c>
    </row>
    <row r="31" spans="1:40" ht="15" customHeight="1" x14ac:dyDescent="0.3">
      <c r="A31" s="5">
        <v>30</v>
      </c>
      <c r="B31" s="6" t="s">
        <v>58</v>
      </c>
      <c r="C31" s="6" t="s">
        <v>59</v>
      </c>
      <c r="D31" s="6" t="s">
        <v>30</v>
      </c>
      <c r="E31" s="6" t="s">
        <v>19</v>
      </c>
      <c r="F31" s="6" t="s">
        <v>13</v>
      </c>
      <c r="G31" s="6" t="s">
        <v>14</v>
      </c>
      <c r="H31" s="5">
        <v>6</v>
      </c>
      <c r="I31" s="18">
        <v>0</v>
      </c>
      <c r="J31" s="18">
        <v>0</v>
      </c>
      <c r="K31" s="18">
        <v>21.9</v>
      </c>
      <c r="L31" s="18">
        <v>25.05</v>
      </c>
      <c r="M31" s="18">
        <v>32.76</v>
      </c>
      <c r="N31" s="18">
        <v>18.03</v>
      </c>
      <c r="O31" s="18">
        <v>1.88</v>
      </c>
      <c r="P31" s="18">
        <v>1.9</v>
      </c>
      <c r="Q31" s="18">
        <v>3.45</v>
      </c>
      <c r="R31" s="18">
        <v>0.63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3.62</v>
      </c>
      <c r="AG31" s="18">
        <v>0.47</v>
      </c>
      <c r="AH31" s="18">
        <v>0</v>
      </c>
      <c r="AI31" s="18">
        <v>0</v>
      </c>
      <c r="AJ31" s="18">
        <v>0</v>
      </c>
      <c r="AK31" s="18">
        <v>3.46</v>
      </c>
      <c r="AL31" s="18">
        <v>0</v>
      </c>
      <c r="AM31" s="18">
        <v>0</v>
      </c>
      <c r="AN31" s="19">
        <f t="shared" si="0"/>
        <v>3.6500000000000004</v>
      </c>
    </row>
    <row r="32" spans="1:40" x14ac:dyDescent="0.3">
      <c r="A32" s="5">
        <v>31</v>
      </c>
      <c r="B32" s="6" t="s">
        <v>58</v>
      </c>
      <c r="C32" s="6" t="s">
        <v>60</v>
      </c>
      <c r="D32" s="6" t="s">
        <v>61</v>
      </c>
      <c r="E32" s="6" t="s">
        <v>19</v>
      </c>
      <c r="F32" s="6" t="s">
        <v>13</v>
      </c>
      <c r="G32" s="6" t="s">
        <v>14</v>
      </c>
      <c r="H32" s="5">
        <v>3</v>
      </c>
      <c r="I32" s="18">
        <v>59.21</v>
      </c>
      <c r="J32" s="18">
        <v>46.35</v>
      </c>
      <c r="K32" s="18">
        <v>22.66</v>
      </c>
      <c r="L32" s="18">
        <v>23.76</v>
      </c>
      <c r="M32" s="18">
        <v>38.99</v>
      </c>
      <c r="N32" s="18">
        <v>11.8</v>
      </c>
      <c r="O32" s="18">
        <v>17.21</v>
      </c>
      <c r="P32" s="18">
        <v>11.46</v>
      </c>
      <c r="Q32" s="18">
        <v>15.31</v>
      </c>
      <c r="R32" s="18">
        <v>12.34</v>
      </c>
      <c r="S32" s="18">
        <v>10.59</v>
      </c>
      <c r="T32" s="18">
        <v>7.37</v>
      </c>
      <c r="U32" s="18">
        <v>8.8800000000000008</v>
      </c>
      <c r="V32" s="18">
        <v>31.93</v>
      </c>
      <c r="W32" s="18">
        <v>33.18</v>
      </c>
      <c r="X32" s="18">
        <v>13.94</v>
      </c>
      <c r="Y32" s="18">
        <v>11.21</v>
      </c>
      <c r="Z32" s="18">
        <v>25.18</v>
      </c>
      <c r="AA32" s="18">
        <v>34.36</v>
      </c>
      <c r="AB32" s="18">
        <v>13.36</v>
      </c>
      <c r="AC32" s="18">
        <v>12.91</v>
      </c>
      <c r="AD32" s="18">
        <v>9.56</v>
      </c>
      <c r="AE32" s="18">
        <v>12.53</v>
      </c>
      <c r="AF32" s="18">
        <v>18.309999999999999</v>
      </c>
      <c r="AG32" s="18">
        <v>34.700000000000003</v>
      </c>
      <c r="AH32" s="18">
        <v>18.03</v>
      </c>
      <c r="AI32" s="18">
        <v>12.67</v>
      </c>
      <c r="AJ32" s="18">
        <v>73.42</v>
      </c>
      <c r="AK32" s="18">
        <v>79.239999999999995</v>
      </c>
      <c r="AL32" s="18">
        <v>65.36</v>
      </c>
      <c r="AM32" s="18">
        <v>78.16</v>
      </c>
      <c r="AN32" s="19">
        <f t="shared" si="0"/>
        <v>27.870322580645158</v>
      </c>
    </row>
    <row r="33" spans="1:40" ht="15.75" customHeight="1" x14ac:dyDescent="0.3">
      <c r="A33" s="5">
        <v>32</v>
      </c>
      <c r="B33" s="6" t="s">
        <v>58</v>
      </c>
      <c r="C33" s="6" t="s">
        <v>62</v>
      </c>
      <c r="D33" s="6" t="s">
        <v>61</v>
      </c>
      <c r="E33" s="6" t="s">
        <v>19</v>
      </c>
      <c r="F33" s="6" t="s">
        <v>13</v>
      </c>
      <c r="G33" s="6" t="s">
        <v>14</v>
      </c>
      <c r="H33" s="5">
        <v>9</v>
      </c>
      <c r="I33" s="18">
        <v>0</v>
      </c>
      <c r="J33" s="18">
        <v>0</v>
      </c>
      <c r="K33" s="18">
        <v>0</v>
      </c>
      <c r="L33" s="18">
        <v>0</v>
      </c>
      <c r="M33" s="18">
        <v>13.17</v>
      </c>
      <c r="N33" s="18">
        <v>98.07</v>
      </c>
      <c r="O33" s="18">
        <v>45.39</v>
      </c>
      <c r="P33" s="18">
        <v>118.19</v>
      </c>
      <c r="Q33" s="18">
        <v>72.8</v>
      </c>
      <c r="R33" s="18">
        <v>54.99</v>
      </c>
      <c r="S33" s="18">
        <v>64.95</v>
      </c>
      <c r="T33" s="18">
        <v>64.59</v>
      </c>
      <c r="U33" s="18">
        <v>105.78</v>
      </c>
      <c r="V33" s="18">
        <v>82.82</v>
      </c>
      <c r="W33" s="18">
        <v>128.12</v>
      </c>
      <c r="X33" s="18">
        <v>185.44</v>
      </c>
      <c r="Y33" s="18">
        <v>194.35</v>
      </c>
      <c r="Z33" s="18">
        <v>218.16</v>
      </c>
      <c r="AA33" s="18">
        <v>216.84</v>
      </c>
      <c r="AB33" s="18">
        <v>227.52</v>
      </c>
      <c r="AC33" s="18">
        <v>233.35</v>
      </c>
      <c r="AD33" s="18">
        <v>225.1</v>
      </c>
      <c r="AE33" s="18">
        <v>183.19</v>
      </c>
      <c r="AF33" s="18">
        <v>251.1</v>
      </c>
      <c r="AG33" s="18">
        <v>199.81</v>
      </c>
      <c r="AH33" s="18">
        <v>211.1</v>
      </c>
      <c r="AI33" s="18">
        <v>210.23</v>
      </c>
      <c r="AJ33" s="18">
        <v>157.58000000000001</v>
      </c>
      <c r="AK33" s="18">
        <v>190.82</v>
      </c>
      <c r="AL33" s="18">
        <v>144.58000000000001</v>
      </c>
      <c r="AM33" s="18">
        <v>184.48</v>
      </c>
      <c r="AN33" s="19">
        <f t="shared" si="0"/>
        <v>131.69419354838709</v>
      </c>
    </row>
    <row r="34" spans="1:40" x14ac:dyDescent="0.3">
      <c r="A34" s="5">
        <v>33</v>
      </c>
      <c r="B34" s="6" t="s">
        <v>58</v>
      </c>
      <c r="C34" s="6" t="s">
        <v>62</v>
      </c>
      <c r="D34" s="6" t="s">
        <v>63</v>
      </c>
      <c r="E34" s="6" t="s">
        <v>19</v>
      </c>
      <c r="F34" s="6" t="s">
        <v>64</v>
      </c>
      <c r="G34" s="12" t="s">
        <v>35</v>
      </c>
      <c r="H34" s="5">
        <v>1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11.64</v>
      </c>
      <c r="Q34" s="18">
        <v>3.17</v>
      </c>
      <c r="R34" s="18">
        <v>4.0999999999999996</v>
      </c>
      <c r="S34" s="18">
        <v>2.0699999999999998</v>
      </c>
      <c r="T34" s="18">
        <v>7.4</v>
      </c>
      <c r="U34" s="18">
        <v>0</v>
      </c>
      <c r="V34" s="18">
        <v>13.36</v>
      </c>
      <c r="W34" s="18">
        <v>16.98</v>
      </c>
      <c r="X34" s="18">
        <v>23.22</v>
      </c>
      <c r="Y34" s="18">
        <v>27.15</v>
      </c>
      <c r="Z34" s="18">
        <v>23.45</v>
      </c>
      <c r="AA34" s="18">
        <v>11.91</v>
      </c>
      <c r="AB34" s="18">
        <v>13.39</v>
      </c>
      <c r="AC34" s="18">
        <v>17.23</v>
      </c>
      <c r="AD34" s="18">
        <v>4.45</v>
      </c>
      <c r="AE34" s="18">
        <v>4.6100000000000003</v>
      </c>
      <c r="AF34" s="18">
        <v>5.0199999999999996</v>
      </c>
      <c r="AG34" s="18">
        <v>0.5</v>
      </c>
      <c r="AH34" s="18">
        <v>0.06</v>
      </c>
      <c r="AI34" s="18">
        <v>0</v>
      </c>
      <c r="AJ34" s="18">
        <v>0.24</v>
      </c>
      <c r="AK34" s="18">
        <v>5.87</v>
      </c>
      <c r="AL34" s="18">
        <v>2.88</v>
      </c>
      <c r="AM34" s="18">
        <v>0</v>
      </c>
      <c r="AN34" s="19">
        <f t="shared" si="0"/>
        <v>6.4096774193548383</v>
      </c>
    </row>
    <row r="35" spans="1:40" x14ac:dyDescent="0.3">
      <c r="A35" s="5">
        <v>34</v>
      </c>
      <c r="B35" s="6" t="s">
        <v>65</v>
      </c>
      <c r="C35" s="6" t="s">
        <v>66</v>
      </c>
      <c r="D35" s="6" t="s">
        <v>67</v>
      </c>
      <c r="E35" s="6" t="s">
        <v>12</v>
      </c>
      <c r="F35" s="6" t="s">
        <v>13</v>
      </c>
      <c r="G35" s="6" t="s">
        <v>14</v>
      </c>
      <c r="H35" s="5">
        <f>111-6</f>
        <v>105</v>
      </c>
      <c r="I35" s="18">
        <v>5.2</v>
      </c>
      <c r="J35" s="18">
        <v>4.59</v>
      </c>
      <c r="K35" s="18">
        <v>4.95</v>
      </c>
      <c r="L35" s="18">
        <v>5.48</v>
      </c>
      <c r="M35" s="18">
        <v>3.58</v>
      </c>
      <c r="N35" s="18">
        <v>4.96</v>
      </c>
      <c r="O35" s="18">
        <v>11.31</v>
      </c>
      <c r="P35" s="18">
        <v>3.25</v>
      </c>
      <c r="Q35" s="18">
        <v>2.86</v>
      </c>
      <c r="R35" s="18">
        <v>3.57</v>
      </c>
      <c r="S35" s="18">
        <v>3.15</v>
      </c>
      <c r="T35" s="18">
        <v>4.32</v>
      </c>
      <c r="U35" s="18">
        <v>3.98</v>
      </c>
      <c r="V35" s="18">
        <v>3.39</v>
      </c>
      <c r="W35" s="18">
        <v>4.83</v>
      </c>
      <c r="X35" s="18">
        <v>4.4800000000000004</v>
      </c>
      <c r="Y35" s="18">
        <v>4.3899999999999997</v>
      </c>
      <c r="Z35" s="18">
        <v>3.32</v>
      </c>
      <c r="AA35" s="18">
        <v>2.5</v>
      </c>
      <c r="AB35" s="18">
        <v>3.81</v>
      </c>
      <c r="AC35" s="18">
        <v>0.26</v>
      </c>
      <c r="AD35" s="18">
        <v>2.4129999999999998</v>
      </c>
      <c r="AE35" s="18">
        <v>2.54</v>
      </c>
      <c r="AF35" s="18">
        <v>1.83</v>
      </c>
      <c r="AG35" s="18">
        <v>0.53</v>
      </c>
      <c r="AH35" s="18">
        <v>0.69</v>
      </c>
      <c r="AI35" s="18">
        <v>1.25</v>
      </c>
      <c r="AJ35" s="18">
        <v>1.92</v>
      </c>
      <c r="AK35" s="18">
        <v>1.59</v>
      </c>
      <c r="AL35" s="18">
        <v>2.4500000000000002</v>
      </c>
      <c r="AM35" s="18">
        <v>0.76</v>
      </c>
      <c r="AN35" s="19">
        <f t="shared" si="0"/>
        <v>3.3597741935483874</v>
      </c>
    </row>
    <row r="36" spans="1:40" x14ac:dyDescent="0.3">
      <c r="A36" s="5">
        <v>35</v>
      </c>
      <c r="B36" s="6" t="s">
        <v>65</v>
      </c>
      <c r="C36" s="6" t="s">
        <v>68</v>
      </c>
      <c r="D36" s="6" t="s">
        <v>69</v>
      </c>
      <c r="E36" s="6" t="s">
        <v>12</v>
      </c>
      <c r="F36" s="6" t="s">
        <v>40</v>
      </c>
      <c r="G36" s="6" t="s">
        <v>35</v>
      </c>
      <c r="H36" s="5">
        <v>2</v>
      </c>
      <c r="I36" s="18">
        <v>12.47</v>
      </c>
      <c r="J36" s="18">
        <v>22.44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29.56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1.86</v>
      </c>
      <c r="X36" s="18">
        <v>26.3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34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25.14</v>
      </c>
      <c r="AL36" s="18">
        <v>25.14</v>
      </c>
      <c r="AM36" s="18">
        <v>0</v>
      </c>
      <c r="AN36" s="19">
        <f t="shared" si="0"/>
        <v>5.7067741935483864</v>
      </c>
    </row>
    <row r="37" spans="1:40" x14ac:dyDescent="0.3">
      <c r="A37" s="5">
        <v>36</v>
      </c>
      <c r="B37" s="6" t="s">
        <v>65</v>
      </c>
      <c r="C37" s="6" t="s">
        <v>70</v>
      </c>
      <c r="D37" s="6"/>
      <c r="E37" s="6" t="s">
        <v>12</v>
      </c>
      <c r="F37" s="6" t="s">
        <v>13</v>
      </c>
      <c r="G37" s="6" t="s">
        <v>14</v>
      </c>
      <c r="H37" s="5">
        <v>82</v>
      </c>
      <c r="I37" s="18">
        <v>4.59</v>
      </c>
      <c r="J37" s="18">
        <v>2.2000000000000002</v>
      </c>
      <c r="K37" s="18">
        <v>10.32</v>
      </c>
      <c r="L37" s="18">
        <v>13.43</v>
      </c>
      <c r="M37" s="18">
        <v>9.92</v>
      </c>
      <c r="N37" s="18">
        <v>13.62</v>
      </c>
      <c r="O37" s="18">
        <v>2.54</v>
      </c>
      <c r="P37" s="18">
        <v>0.25</v>
      </c>
      <c r="Q37" s="18">
        <v>2.6</v>
      </c>
      <c r="R37" s="18">
        <v>6.84</v>
      </c>
      <c r="S37" s="18">
        <v>19.079999999999998</v>
      </c>
      <c r="T37" s="18">
        <v>9.51</v>
      </c>
      <c r="U37" s="18">
        <v>19.72</v>
      </c>
      <c r="V37" s="18">
        <v>8.52</v>
      </c>
      <c r="W37" s="18">
        <v>0.06</v>
      </c>
      <c r="X37" s="18">
        <v>0.82</v>
      </c>
      <c r="Y37" s="18">
        <v>5.49</v>
      </c>
      <c r="Z37" s="18">
        <v>7.83</v>
      </c>
      <c r="AA37" s="18">
        <v>12.36</v>
      </c>
      <c r="AB37" s="18">
        <v>7.4</v>
      </c>
      <c r="AC37" s="18">
        <v>12.49</v>
      </c>
      <c r="AD37" s="18">
        <v>4.07</v>
      </c>
      <c r="AE37" s="18">
        <v>0.37</v>
      </c>
      <c r="AF37" s="18">
        <v>10.79</v>
      </c>
      <c r="AG37" s="18">
        <v>9.75</v>
      </c>
      <c r="AH37" s="18">
        <v>21.6</v>
      </c>
      <c r="AI37" s="18">
        <v>0.26</v>
      </c>
      <c r="AJ37" s="18">
        <v>0.66</v>
      </c>
      <c r="AK37" s="18">
        <v>0</v>
      </c>
      <c r="AL37" s="18">
        <v>8.2899999999999991</v>
      </c>
      <c r="AM37" s="18">
        <v>12.02</v>
      </c>
      <c r="AN37" s="19">
        <f t="shared" si="0"/>
        <v>7.6580645161290315</v>
      </c>
    </row>
    <row r="38" spans="1:40" x14ac:dyDescent="0.3">
      <c r="A38" s="5">
        <v>37</v>
      </c>
      <c r="B38" s="6" t="s">
        <v>65</v>
      </c>
      <c r="C38" s="6" t="s">
        <v>71</v>
      </c>
      <c r="D38" s="6" t="s">
        <v>30</v>
      </c>
      <c r="E38" s="6" t="s">
        <v>19</v>
      </c>
      <c r="F38" s="6" t="s">
        <v>13</v>
      </c>
      <c r="G38" s="6" t="s">
        <v>14</v>
      </c>
      <c r="H38" s="5">
        <v>3</v>
      </c>
      <c r="I38" s="18">
        <v>21.8</v>
      </c>
      <c r="J38" s="18">
        <v>21.12</v>
      </c>
      <c r="K38" s="18">
        <v>16.96</v>
      </c>
      <c r="L38" s="18">
        <v>15.91</v>
      </c>
      <c r="M38" s="18">
        <v>6.41</v>
      </c>
      <c r="N38" s="18">
        <v>9.69</v>
      </c>
      <c r="O38" s="18">
        <v>2.2000000000000002</v>
      </c>
      <c r="P38" s="18">
        <v>3.13</v>
      </c>
      <c r="Q38" s="18">
        <v>3.15</v>
      </c>
      <c r="R38" s="18">
        <v>2.14</v>
      </c>
      <c r="S38" s="18">
        <v>0.44</v>
      </c>
      <c r="T38" s="18">
        <v>2.0299999999999998</v>
      </c>
      <c r="U38" s="18">
        <v>5.99</v>
      </c>
      <c r="V38" s="18">
        <v>0.99</v>
      </c>
      <c r="W38" s="18">
        <v>0.28000000000000003</v>
      </c>
      <c r="X38" s="18">
        <v>0</v>
      </c>
      <c r="Y38" s="18">
        <v>2.5499999999999998</v>
      </c>
      <c r="Z38" s="18">
        <v>11.24</v>
      </c>
      <c r="AA38" s="18">
        <v>11.12</v>
      </c>
      <c r="AB38" s="18">
        <v>5.05</v>
      </c>
      <c r="AC38" s="18">
        <v>21.41</v>
      </c>
      <c r="AD38" s="18">
        <v>8.36</v>
      </c>
      <c r="AE38" s="18">
        <v>12.79</v>
      </c>
      <c r="AF38" s="18">
        <v>22.39</v>
      </c>
      <c r="AG38" s="18">
        <v>13</v>
      </c>
      <c r="AH38" s="18">
        <v>17.47</v>
      </c>
      <c r="AI38" s="18">
        <v>11.78</v>
      </c>
      <c r="AJ38" s="18">
        <v>12.18</v>
      </c>
      <c r="AK38" s="18">
        <v>9.34</v>
      </c>
      <c r="AL38" s="18">
        <v>8.9499999999999993</v>
      </c>
      <c r="AM38" s="18">
        <v>7.16</v>
      </c>
      <c r="AN38" s="19">
        <f t="shared" si="0"/>
        <v>9.259032258064515</v>
      </c>
    </row>
    <row r="39" spans="1:40" x14ac:dyDescent="0.3">
      <c r="A39" s="5">
        <v>38</v>
      </c>
      <c r="B39" s="6" t="s">
        <v>65</v>
      </c>
      <c r="C39" s="6" t="s">
        <v>74</v>
      </c>
      <c r="D39" s="6" t="s">
        <v>30</v>
      </c>
      <c r="E39" s="6" t="s">
        <v>19</v>
      </c>
      <c r="F39" s="6" t="s">
        <v>13</v>
      </c>
      <c r="G39" s="6" t="s">
        <v>14</v>
      </c>
      <c r="H39" s="5">
        <v>2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9">
        <f t="shared" si="0"/>
        <v>0</v>
      </c>
    </row>
    <row r="40" spans="1:40" x14ac:dyDescent="0.3">
      <c r="A40" s="5">
        <v>39</v>
      </c>
      <c r="B40" s="6" t="s">
        <v>65</v>
      </c>
      <c r="C40" s="6" t="s">
        <v>75</v>
      </c>
      <c r="D40" s="6" t="s">
        <v>30</v>
      </c>
      <c r="E40" s="6" t="s">
        <v>19</v>
      </c>
      <c r="F40" s="6" t="s">
        <v>13</v>
      </c>
      <c r="G40" s="6" t="s">
        <v>14</v>
      </c>
      <c r="H40" s="5">
        <v>20</v>
      </c>
      <c r="I40" s="18">
        <v>52.43</v>
      </c>
      <c r="J40" s="18">
        <v>0.78</v>
      </c>
      <c r="K40" s="18">
        <v>55.92</v>
      </c>
      <c r="L40" s="18">
        <v>15.01</v>
      </c>
      <c r="M40" s="18">
        <v>40.69</v>
      </c>
      <c r="N40" s="18">
        <v>45.92</v>
      </c>
      <c r="O40" s="18">
        <v>24.49</v>
      </c>
      <c r="P40" s="18">
        <v>10.8</v>
      </c>
      <c r="Q40" s="18">
        <v>0</v>
      </c>
      <c r="R40" s="18">
        <v>23.35</v>
      </c>
      <c r="S40" s="18">
        <v>13.03</v>
      </c>
      <c r="T40" s="18">
        <v>20.329999999999998</v>
      </c>
      <c r="U40" s="18">
        <v>42.87</v>
      </c>
      <c r="V40" s="18">
        <v>27.08</v>
      </c>
      <c r="W40" s="18">
        <v>28.79</v>
      </c>
      <c r="X40" s="18">
        <v>6.45</v>
      </c>
      <c r="Y40" s="18">
        <v>15.04</v>
      </c>
      <c r="Z40" s="18">
        <v>19.600000000000001</v>
      </c>
      <c r="AA40" s="18">
        <v>38.090000000000003</v>
      </c>
      <c r="AB40" s="18">
        <v>44.06</v>
      </c>
      <c r="AC40" s="18">
        <v>19.14</v>
      </c>
      <c r="AD40" s="18">
        <v>10.85</v>
      </c>
      <c r="AE40" s="18">
        <v>8.5399999999999991</v>
      </c>
      <c r="AF40" s="18">
        <v>1.6</v>
      </c>
      <c r="AG40" s="18">
        <v>16.940000000000001</v>
      </c>
      <c r="AH40" s="18">
        <v>17.850000000000001</v>
      </c>
      <c r="AI40" s="18">
        <v>50.61</v>
      </c>
      <c r="AJ40" s="18">
        <v>38.659999999999997</v>
      </c>
      <c r="AK40" s="18">
        <v>37.64</v>
      </c>
      <c r="AL40" s="18">
        <v>11.06</v>
      </c>
      <c r="AM40" s="18">
        <v>28.1</v>
      </c>
      <c r="AN40" s="19">
        <f t="shared" si="0"/>
        <v>24.700645161290325</v>
      </c>
    </row>
    <row r="41" spans="1:40" x14ac:dyDescent="0.3">
      <c r="A41" s="5">
        <v>40</v>
      </c>
      <c r="B41" s="6" t="s">
        <v>65</v>
      </c>
      <c r="C41" s="6" t="s">
        <v>76</v>
      </c>
      <c r="D41" s="6" t="s">
        <v>30</v>
      </c>
      <c r="E41" s="6" t="s">
        <v>19</v>
      </c>
      <c r="F41" s="6" t="s">
        <v>13</v>
      </c>
      <c r="G41" s="6" t="s">
        <v>14</v>
      </c>
      <c r="H41" s="5">
        <v>7</v>
      </c>
      <c r="I41" s="18">
        <v>39.549999999999997</v>
      </c>
      <c r="J41" s="18">
        <v>8.7899999999999991</v>
      </c>
      <c r="K41" s="18">
        <v>30.84</v>
      </c>
      <c r="L41" s="18">
        <v>62.79</v>
      </c>
      <c r="M41" s="18">
        <v>40.17</v>
      </c>
      <c r="N41" s="18">
        <v>25.42</v>
      </c>
      <c r="O41" s="18">
        <v>20.16</v>
      </c>
      <c r="P41" s="18">
        <v>8.3800000000000008</v>
      </c>
      <c r="Q41" s="18">
        <v>27.16</v>
      </c>
      <c r="R41" s="18">
        <v>58.02</v>
      </c>
      <c r="S41" s="18">
        <v>29.54</v>
      </c>
      <c r="T41" s="18">
        <v>47.57</v>
      </c>
      <c r="U41" s="18">
        <v>30.46</v>
      </c>
      <c r="V41" s="18">
        <v>32.46</v>
      </c>
      <c r="W41" s="18">
        <v>0</v>
      </c>
      <c r="X41" s="18">
        <v>32.06</v>
      </c>
      <c r="Y41" s="18">
        <v>46.27</v>
      </c>
      <c r="Z41" s="18">
        <v>29.87</v>
      </c>
      <c r="AA41" s="18">
        <v>25.19</v>
      </c>
      <c r="AB41" s="18">
        <v>41.98</v>
      </c>
      <c r="AC41" s="18">
        <v>44.55</v>
      </c>
      <c r="AD41" s="18">
        <v>12.09</v>
      </c>
      <c r="AE41" s="18">
        <v>32.5</v>
      </c>
      <c r="AF41" s="18">
        <v>14.54</v>
      </c>
      <c r="AG41" s="18">
        <v>47.96</v>
      </c>
      <c r="AH41" s="18">
        <v>45.86</v>
      </c>
      <c r="AI41" s="18">
        <v>58.42</v>
      </c>
      <c r="AJ41" s="18">
        <v>43.03</v>
      </c>
      <c r="AK41" s="18">
        <v>28.89</v>
      </c>
      <c r="AL41" s="18">
        <v>15.81</v>
      </c>
      <c r="AM41" s="18">
        <v>37.979999999999997</v>
      </c>
      <c r="AN41" s="19">
        <f t="shared" si="0"/>
        <v>32.84870967741935</v>
      </c>
    </row>
    <row r="42" spans="1:40" x14ac:dyDescent="0.3">
      <c r="A42" s="5">
        <v>41</v>
      </c>
      <c r="B42" s="6" t="s">
        <v>65</v>
      </c>
      <c r="C42" s="6" t="s">
        <v>77</v>
      </c>
      <c r="D42" s="6" t="s">
        <v>30</v>
      </c>
      <c r="E42" s="6" t="s">
        <v>19</v>
      </c>
      <c r="F42" s="6" t="s">
        <v>13</v>
      </c>
      <c r="G42" s="6" t="s">
        <v>14</v>
      </c>
      <c r="H42" s="5">
        <v>12</v>
      </c>
      <c r="I42" s="18">
        <v>5.5</v>
      </c>
      <c r="J42" s="18">
        <v>10.68</v>
      </c>
      <c r="K42" s="18">
        <v>42.4</v>
      </c>
      <c r="L42" s="18">
        <v>54.17</v>
      </c>
      <c r="M42" s="18">
        <v>33.24</v>
      </c>
      <c r="N42" s="18">
        <v>29.82</v>
      </c>
      <c r="O42" s="18">
        <v>45.78</v>
      </c>
      <c r="P42" s="18">
        <v>12.19</v>
      </c>
      <c r="Q42" s="18">
        <v>11.47</v>
      </c>
      <c r="R42" s="18">
        <v>33.26</v>
      </c>
      <c r="S42" s="18">
        <v>29.88</v>
      </c>
      <c r="T42" s="18">
        <v>50.48</v>
      </c>
      <c r="U42" s="18">
        <v>24.24</v>
      </c>
      <c r="V42" s="18">
        <v>7.32</v>
      </c>
      <c r="W42" s="18">
        <v>20.9</v>
      </c>
      <c r="X42" s="18">
        <v>19.260000000000002</v>
      </c>
      <c r="Y42" s="18">
        <v>25.48</v>
      </c>
      <c r="Z42" s="18">
        <v>29.69</v>
      </c>
      <c r="AA42" s="18">
        <v>18.52</v>
      </c>
      <c r="AB42" s="18">
        <v>41.25</v>
      </c>
      <c r="AC42" s="18">
        <v>52.59</v>
      </c>
      <c r="AD42" s="18">
        <v>48.03</v>
      </c>
      <c r="AE42" s="18">
        <v>30.01</v>
      </c>
      <c r="AF42" s="18">
        <v>68.91</v>
      </c>
      <c r="AG42" s="18">
        <v>39.4</v>
      </c>
      <c r="AH42" s="18">
        <v>43.01</v>
      </c>
      <c r="AI42" s="18">
        <v>31.95</v>
      </c>
      <c r="AJ42" s="18">
        <v>40.380000000000003</v>
      </c>
      <c r="AK42" s="18">
        <v>21.34</v>
      </c>
      <c r="AL42" s="18">
        <v>30.8</v>
      </c>
      <c r="AM42" s="18">
        <v>12.34</v>
      </c>
      <c r="AN42" s="19">
        <f t="shared" si="0"/>
        <v>31.106129032258064</v>
      </c>
    </row>
    <row r="43" spans="1:40" x14ac:dyDescent="0.3">
      <c r="A43" s="5">
        <v>42</v>
      </c>
      <c r="B43" s="6" t="s">
        <v>65</v>
      </c>
      <c r="C43" s="6" t="s">
        <v>77</v>
      </c>
      <c r="D43" s="6" t="s">
        <v>30</v>
      </c>
      <c r="E43" s="6" t="s">
        <v>19</v>
      </c>
      <c r="F43" s="6" t="s">
        <v>13</v>
      </c>
      <c r="G43" s="6" t="s">
        <v>35</v>
      </c>
      <c r="H43" s="5">
        <v>5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7.43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9">
        <f t="shared" si="0"/>
        <v>0.23967741935483869</v>
      </c>
    </row>
    <row r="44" spans="1:40" x14ac:dyDescent="0.3">
      <c r="A44" s="5">
        <v>43</v>
      </c>
      <c r="B44" s="6" t="s">
        <v>65</v>
      </c>
      <c r="C44" s="6" t="s">
        <v>78</v>
      </c>
      <c r="D44" s="6" t="s">
        <v>30</v>
      </c>
      <c r="E44" s="6" t="s">
        <v>19</v>
      </c>
      <c r="F44" s="6" t="s">
        <v>13</v>
      </c>
      <c r="G44" s="6" t="s">
        <v>14</v>
      </c>
      <c r="H44" s="5">
        <v>25</v>
      </c>
      <c r="I44" s="18">
        <v>69.83</v>
      </c>
      <c r="J44" s="18">
        <v>60.44</v>
      </c>
      <c r="K44" s="18">
        <v>97.33</v>
      </c>
      <c r="L44" s="18">
        <v>86.17</v>
      </c>
      <c r="M44" s="18">
        <v>78.31</v>
      </c>
      <c r="N44" s="18">
        <v>62.66</v>
      </c>
      <c r="O44" s="18">
        <v>55.12</v>
      </c>
      <c r="P44" s="18">
        <v>59.68</v>
      </c>
      <c r="Q44" s="18">
        <v>43.63</v>
      </c>
      <c r="R44" s="18">
        <v>28.14</v>
      </c>
      <c r="S44" s="18">
        <v>55.86</v>
      </c>
      <c r="T44" s="18">
        <v>36.15</v>
      </c>
      <c r="U44" s="18">
        <v>34.200000000000003</v>
      </c>
      <c r="V44" s="18">
        <v>29.09</v>
      </c>
      <c r="W44" s="18">
        <v>16.239999999999998</v>
      </c>
      <c r="X44" s="18">
        <v>23.3</v>
      </c>
      <c r="Y44" s="18">
        <v>27.71</v>
      </c>
      <c r="Z44" s="18">
        <v>40.67</v>
      </c>
      <c r="AA44" s="18">
        <v>35.549999999999997</v>
      </c>
      <c r="AB44" s="18">
        <v>43.55</v>
      </c>
      <c r="AC44" s="18">
        <v>41.69</v>
      </c>
      <c r="AD44" s="18">
        <v>24.97</v>
      </c>
      <c r="AE44" s="18">
        <v>19.03</v>
      </c>
      <c r="AF44" s="18">
        <v>11.02</v>
      </c>
      <c r="AG44" s="18">
        <v>20.64</v>
      </c>
      <c r="AH44" s="18">
        <v>2.74</v>
      </c>
      <c r="AI44" s="18">
        <v>29.46</v>
      </c>
      <c r="AJ44" s="18">
        <v>5.03</v>
      </c>
      <c r="AK44" s="18">
        <v>15.54</v>
      </c>
      <c r="AL44" s="18">
        <v>19.29</v>
      </c>
      <c r="AM44" s="18">
        <v>24.8</v>
      </c>
      <c r="AN44" s="19">
        <f t="shared" si="0"/>
        <v>38.64</v>
      </c>
    </row>
    <row r="45" spans="1:40" x14ac:dyDescent="0.3">
      <c r="A45" s="5">
        <v>44</v>
      </c>
      <c r="B45" s="6" t="s">
        <v>65</v>
      </c>
      <c r="C45" s="6" t="s">
        <v>81</v>
      </c>
      <c r="D45" s="6" t="s">
        <v>30</v>
      </c>
      <c r="E45" s="6" t="s">
        <v>19</v>
      </c>
      <c r="F45" s="6" t="s">
        <v>13</v>
      </c>
      <c r="G45" s="6" t="s">
        <v>14</v>
      </c>
      <c r="H45" s="5">
        <v>24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9">
        <f t="shared" si="0"/>
        <v>0</v>
      </c>
    </row>
    <row r="46" spans="1:40" x14ac:dyDescent="0.3">
      <c r="A46" s="5"/>
      <c r="B46" s="6"/>
      <c r="C46" s="6"/>
      <c r="D46" s="6"/>
      <c r="E46" s="6"/>
      <c r="F46" s="6"/>
      <c r="G46" s="6"/>
      <c r="H46" s="5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9"/>
    </row>
    <row r="47" spans="1:40" s="25" customFormat="1" x14ac:dyDescent="0.3">
      <c r="A47" s="13"/>
      <c r="B47" s="14"/>
      <c r="C47" s="14"/>
      <c r="D47" s="14"/>
      <c r="E47" s="13"/>
      <c r="F47" s="13"/>
      <c r="G47" s="13" t="s">
        <v>79</v>
      </c>
      <c r="H47" s="13">
        <f>SUM(H2:H45)</f>
        <v>480</v>
      </c>
      <c r="I47" s="23">
        <f t="shared" ref="I47:AB47" si="1">SUM(I2:I44)</f>
        <v>750.24000000000012</v>
      </c>
      <c r="J47" s="23">
        <f t="shared" si="1"/>
        <v>663.59000000000015</v>
      </c>
      <c r="K47" s="23">
        <f t="shared" si="1"/>
        <v>786.82000000000016</v>
      </c>
      <c r="L47" s="23">
        <f t="shared" si="1"/>
        <v>926.80999999999972</v>
      </c>
      <c r="M47" s="23">
        <f t="shared" si="1"/>
        <v>1011.99</v>
      </c>
      <c r="N47" s="23">
        <f t="shared" si="1"/>
        <v>961.4</v>
      </c>
      <c r="O47" s="23">
        <f t="shared" si="1"/>
        <v>1087.9199999999998</v>
      </c>
      <c r="P47" s="23">
        <f t="shared" si="1"/>
        <v>1156.4600000000005</v>
      </c>
      <c r="Q47" s="23">
        <f t="shared" si="1"/>
        <v>946.66999999999985</v>
      </c>
      <c r="R47" s="23">
        <f t="shared" si="1"/>
        <v>1048.3000000000002</v>
      </c>
      <c r="S47" s="23">
        <f t="shared" si="1"/>
        <v>832.1600000000002</v>
      </c>
      <c r="T47" s="23">
        <f t="shared" si="1"/>
        <v>1151.95</v>
      </c>
      <c r="U47" s="23">
        <f t="shared" si="1"/>
        <v>933.13</v>
      </c>
      <c r="V47" s="23">
        <f t="shared" si="1"/>
        <v>954.54000000000008</v>
      </c>
      <c r="W47" s="23">
        <f t="shared" si="1"/>
        <v>1064.8800000000001</v>
      </c>
      <c r="X47" s="23">
        <f t="shared" si="1"/>
        <v>1181.43</v>
      </c>
      <c r="Y47" s="23">
        <f t="shared" si="1"/>
        <v>1007.8000000000001</v>
      </c>
      <c r="Z47" s="23">
        <f t="shared" si="1"/>
        <v>1024.1000000000001</v>
      </c>
      <c r="AA47" s="23">
        <f t="shared" si="1"/>
        <v>1205.7699999999998</v>
      </c>
      <c r="AB47" s="23">
        <f t="shared" si="1"/>
        <v>1094.8819999999998</v>
      </c>
      <c r="AC47" s="23">
        <f t="shared" ref="AC47:AM47" si="2">SUM(AC2:AC45)</f>
        <v>1143.3499999999999</v>
      </c>
      <c r="AD47" s="23">
        <f t="shared" si="2"/>
        <v>1254.8929999999996</v>
      </c>
      <c r="AE47" s="23">
        <f t="shared" si="2"/>
        <v>925.01599999999985</v>
      </c>
      <c r="AF47" s="23">
        <f t="shared" si="2"/>
        <v>965.91</v>
      </c>
      <c r="AG47" s="23">
        <f t="shared" si="2"/>
        <v>1176.0900000000001</v>
      </c>
      <c r="AH47" s="23">
        <f t="shared" si="2"/>
        <v>1095.2170000000001</v>
      </c>
      <c r="AI47" s="23">
        <f t="shared" si="2"/>
        <v>1106.32</v>
      </c>
      <c r="AJ47" s="23">
        <f t="shared" si="2"/>
        <v>1251.7800000000002</v>
      </c>
      <c r="AK47" s="23">
        <f t="shared" si="2"/>
        <v>1274.75</v>
      </c>
      <c r="AL47" s="23">
        <f t="shared" si="2"/>
        <v>1414.73</v>
      </c>
      <c r="AM47" s="23">
        <f t="shared" si="2"/>
        <v>1201.97</v>
      </c>
      <c r="AN47" s="24">
        <f t="shared" si="0"/>
        <v>1051.6409032258064</v>
      </c>
    </row>
  </sheetData>
  <autoFilter ref="A1:H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52"/>
  <sheetViews>
    <sheetView workbookViewId="0">
      <selection activeCell="F29" sqref="F29"/>
    </sheetView>
  </sheetViews>
  <sheetFormatPr defaultRowHeight="14.4" x14ac:dyDescent="0.3"/>
  <cols>
    <col min="1" max="1" width="41.6640625" bestFit="1" customWidth="1"/>
    <col min="2" max="2" width="20.6640625" bestFit="1" customWidth="1"/>
    <col min="3" max="3" width="14.44140625" bestFit="1" customWidth="1"/>
    <col min="4" max="33" width="15.109375" bestFit="1" customWidth="1"/>
    <col min="34" max="34" width="15" bestFit="1" customWidth="1"/>
  </cols>
  <sheetData>
    <row r="1" spans="1:3" x14ac:dyDescent="0.3">
      <c r="A1" s="30" t="s">
        <v>1</v>
      </c>
      <c r="B1" s="12" t="s">
        <v>82</v>
      </c>
    </row>
    <row r="3" spans="1:3" x14ac:dyDescent="0.3">
      <c r="A3" s="30" t="s">
        <v>2</v>
      </c>
      <c r="B3" s="12" t="s">
        <v>84</v>
      </c>
      <c r="C3" s="12" t="s">
        <v>85</v>
      </c>
    </row>
    <row r="4" spans="1:3" x14ac:dyDescent="0.3">
      <c r="A4" s="12" t="s">
        <v>120</v>
      </c>
      <c r="B4" s="137">
        <v>20</v>
      </c>
      <c r="C4" s="7">
        <v>177.29500000000002</v>
      </c>
    </row>
    <row r="5" spans="1:3" x14ac:dyDescent="0.3">
      <c r="A5" s="12" t="s">
        <v>86</v>
      </c>
      <c r="B5" s="137">
        <v>6</v>
      </c>
      <c r="C5" s="7">
        <v>4.5016129032258068</v>
      </c>
    </row>
    <row r="6" spans="1:3" x14ac:dyDescent="0.3">
      <c r="A6" s="12" t="s">
        <v>87</v>
      </c>
      <c r="B6" s="137">
        <v>9</v>
      </c>
      <c r="C6" s="7">
        <v>76.478709677419346</v>
      </c>
    </row>
    <row r="7" spans="1:3" x14ac:dyDescent="0.3">
      <c r="A7" s="12" t="s">
        <v>88</v>
      </c>
      <c r="B7" s="137">
        <v>3</v>
      </c>
      <c r="C7" s="7">
        <v>43.040645161290314</v>
      </c>
    </row>
    <row r="8" spans="1:3" x14ac:dyDescent="0.3">
      <c r="A8" s="12" t="s">
        <v>89</v>
      </c>
      <c r="B8" s="137">
        <v>5</v>
      </c>
      <c r="C8" s="7">
        <v>0</v>
      </c>
    </row>
    <row r="9" spans="1:3" x14ac:dyDescent="0.3">
      <c r="A9" s="12" t="s">
        <v>98</v>
      </c>
      <c r="B9" s="137">
        <v>5</v>
      </c>
      <c r="C9" s="7">
        <v>19.76483870967742</v>
      </c>
    </row>
    <row r="10" spans="1:3" x14ac:dyDescent="0.3">
      <c r="A10" s="12" t="s">
        <v>90</v>
      </c>
      <c r="B10" s="137">
        <v>3</v>
      </c>
      <c r="C10" s="7">
        <v>0</v>
      </c>
    </row>
    <row r="11" spans="1:3" x14ac:dyDescent="0.3">
      <c r="A11" s="12" t="s">
        <v>91</v>
      </c>
      <c r="B11" s="137">
        <v>5</v>
      </c>
      <c r="C11" s="7">
        <v>11.999032258064515</v>
      </c>
    </row>
    <row r="12" spans="1:3" x14ac:dyDescent="0.3">
      <c r="A12" s="12" t="s">
        <v>92</v>
      </c>
      <c r="B12" s="137">
        <v>3</v>
      </c>
      <c r="C12" s="7">
        <v>60.840645161290325</v>
      </c>
    </row>
    <row r="13" spans="1:3" x14ac:dyDescent="0.3">
      <c r="A13" s="12" t="s">
        <v>96</v>
      </c>
      <c r="B13" s="137">
        <v>1</v>
      </c>
      <c r="C13" s="7">
        <v>0</v>
      </c>
    </row>
    <row r="14" spans="1:3" x14ac:dyDescent="0.3">
      <c r="A14" s="12" t="s">
        <v>70</v>
      </c>
      <c r="B14" s="137">
        <v>82</v>
      </c>
      <c r="C14" s="7">
        <v>14.939354838709678</v>
      </c>
    </row>
    <row r="15" spans="1:3" x14ac:dyDescent="0.3">
      <c r="A15" s="12" t="s">
        <v>68</v>
      </c>
      <c r="B15" s="137">
        <v>2</v>
      </c>
      <c r="C15" s="7">
        <v>0.15870967741935485</v>
      </c>
    </row>
    <row r="16" spans="1:3" x14ac:dyDescent="0.3">
      <c r="A16" s="12" t="s">
        <v>93</v>
      </c>
      <c r="B16" s="137">
        <v>5</v>
      </c>
      <c r="C16" s="7">
        <v>0</v>
      </c>
    </row>
    <row r="17" spans="1:3" x14ac:dyDescent="0.3">
      <c r="A17" s="12" t="s">
        <v>97</v>
      </c>
      <c r="B17" s="137">
        <v>1</v>
      </c>
      <c r="C17" s="7">
        <v>0.18806451612903227</v>
      </c>
    </row>
    <row r="18" spans="1:3" x14ac:dyDescent="0.3">
      <c r="A18" s="12" t="s">
        <v>103</v>
      </c>
      <c r="B18" s="137">
        <v>1</v>
      </c>
      <c r="C18" s="7">
        <v>6.9932258064516137</v>
      </c>
    </row>
    <row r="19" spans="1:3" x14ac:dyDescent="0.3">
      <c r="A19" s="12" t="s">
        <v>36</v>
      </c>
      <c r="B19" s="137">
        <v>6</v>
      </c>
      <c r="C19" s="7">
        <v>54.054000000000002</v>
      </c>
    </row>
    <row r="20" spans="1:3" x14ac:dyDescent="0.3">
      <c r="A20" s="12" t="s">
        <v>50</v>
      </c>
      <c r="B20" s="137">
        <v>7</v>
      </c>
      <c r="C20" s="7">
        <v>19.170322580645156</v>
      </c>
    </row>
    <row r="21" spans="1:3" x14ac:dyDescent="0.3">
      <c r="A21" s="12" t="s">
        <v>105</v>
      </c>
      <c r="B21" s="137">
        <v>13</v>
      </c>
      <c r="C21" s="7">
        <v>45.109354838709677</v>
      </c>
    </row>
    <row r="22" spans="1:3" x14ac:dyDescent="0.3">
      <c r="A22" s="12" t="s">
        <v>37</v>
      </c>
      <c r="B22" s="137">
        <v>6</v>
      </c>
      <c r="C22" s="7">
        <v>37.575000000000003</v>
      </c>
    </row>
    <row r="23" spans="1:3" x14ac:dyDescent="0.3">
      <c r="A23" s="12" t="s">
        <v>66</v>
      </c>
      <c r="B23" s="137">
        <v>105</v>
      </c>
      <c r="C23" s="7">
        <v>0.90548387096774197</v>
      </c>
    </row>
    <row r="24" spans="1:3" x14ac:dyDescent="0.3">
      <c r="A24" s="12" t="s">
        <v>74</v>
      </c>
      <c r="B24" s="137">
        <v>2</v>
      </c>
      <c r="C24" s="7">
        <v>0</v>
      </c>
    </row>
    <row r="25" spans="1:3" x14ac:dyDescent="0.3">
      <c r="A25" s="12" t="s">
        <v>75</v>
      </c>
      <c r="B25" s="137">
        <v>16</v>
      </c>
      <c r="C25" s="7">
        <v>47.636129032258069</v>
      </c>
    </row>
    <row r="26" spans="1:3" x14ac:dyDescent="0.3">
      <c r="A26" s="12" t="s">
        <v>106</v>
      </c>
      <c r="B26" s="137">
        <v>25</v>
      </c>
      <c r="C26" s="7">
        <v>92.450129032258076</v>
      </c>
    </row>
    <row r="27" spans="1:3" x14ac:dyDescent="0.3">
      <c r="A27" s="12" t="s">
        <v>107</v>
      </c>
      <c r="B27" s="137">
        <v>24</v>
      </c>
      <c r="C27" s="7">
        <v>0</v>
      </c>
    </row>
    <row r="28" spans="1:3" x14ac:dyDescent="0.3">
      <c r="A28" s="12" t="s">
        <v>29</v>
      </c>
      <c r="B28" s="137">
        <v>8</v>
      </c>
      <c r="C28" s="7">
        <v>46.853870967741933</v>
      </c>
    </row>
    <row r="29" spans="1:3" x14ac:dyDescent="0.3">
      <c r="A29" s="12" t="s">
        <v>108</v>
      </c>
      <c r="B29" s="137">
        <v>3</v>
      </c>
      <c r="C29" s="7">
        <v>1.1264516129032258</v>
      </c>
    </row>
    <row r="30" spans="1:3" x14ac:dyDescent="0.3">
      <c r="A30" s="12" t="s">
        <v>33</v>
      </c>
      <c r="B30" s="137">
        <v>4</v>
      </c>
      <c r="C30" s="7">
        <v>5.4077419354838705</v>
      </c>
    </row>
    <row r="31" spans="1:3" x14ac:dyDescent="0.3">
      <c r="A31" s="12" t="s">
        <v>34</v>
      </c>
      <c r="B31" s="137">
        <v>19</v>
      </c>
      <c r="C31" s="7">
        <v>254.365073313783</v>
      </c>
    </row>
    <row r="32" spans="1:3" x14ac:dyDescent="0.3">
      <c r="A32" s="12" t="s">
        <v>38</v>
      </c>
      <c r="B32" s="137">
        <v>3</v>
      </c>
      <c r="C32" s="7">
        <v>22.654</v>
      </c>
    </row>
    <row r="33" spans="1:3" x14ac:dyDescent="0.3">
      <c r="A33" s="12" t="s">
        <v>39</v>
      </c>
      <c r="B33" s="137">
        <v>5</v>
      </c>
      <c r="C33" s="7">
        <v>4.3870967741935489E-2</v>
      </c>
    </row>
    <row r="34" spans="1:3" x14ac:dyDescent="0.3">
      <c r="A34" s="12" t="s">
        <v>71</v>
      </c>
      <c r="B34" s="137">
        <v>5</v>
      </c>
      <c r="C34" s="7">
        <v>33.513225806451608</v>
      </c>
    </row>
    <row r="35" spans="1:3" x14ac:dyDescent="0.3">
      <c r="A35" s="12" t="s">
        <v>59</v>
      </c>
      <c r="B35" s="137">
        <v>6</v>
      </c>
      <c r="C35" s="7">
        <v>12.662258064516131</v>
      </c>
    </row>
    <row r="36" spans="1:3" x14ac:dyDescent="0.3">
      <c r="A36" s="12" t="s">
        <v>76</v>
      </c>
      <c r="B36" s="137">
        <v>10</v>
      </c>
      <c r="C36" s="7">
        <v>24.170645161290324</v>
      </c>
    </row>
    <row r="37" spans="1:3" x14ac:dyDescent="0.3">
      <c r="A37" s="12" t="s">
        <v>27</v>
      </c>
      <c r="B37" s="137">
        <v>5</v>
      </c>
      <c r="C37" s="7">
        <v>0</v>
      </c>
    </row>
    <row r="38" spans="1:3" x14ac:dyDescent="0.3">
      <c r="A38" s="12" t="s">
        <v>101</v>
      </c>
      <c r="B38" s="137">
        <v>3</v>
      </c>
      <c r="C38" s="7">
        <v>62.497857142857136</v>
      </c>
    </row>
    <row r="39" spans="1:3" x14ac:dyDescent="0.3">
      <c r="A39" s="12" t="s">
        <v>99</v>
      </c>
      <c r="B39" s="137">
        <v>10</v>
      </c>
      <c r="C39" s="7">
        <v>47.936774193548388</v>
      </c>
    </row>
    <row r="40" spans="1:3" x14ac:dyDescent="0.3">
      <c r="A40" s="12" t="s">
        <v>102</v>
      </c>
      <c r="B40" s="137">
        <v>9</v>
      </c>
      <c r="C40" s="7">
        <v>177.78874999999999</v>
      </c>
    </row>
    <row r="41" spans="1:3" x14ac:dyDescent="0.3">
      <c r="A41" s="12" t="s">
        <v>100</v>
      </c>
      <c r="B41" s="137">
        <v>5</v>
      </c>
      <c r="C41" s="7">
        <v>9.9161290322580662</v>
      </c>
    </row>
    <row r="42" spans="1:3" x14ac:dyDescent="0.3">
      <c r="A42" s="12" t="s">
        <v>109</v>
      </c>
      <c r="B42" s="137">
        <v>2</v>
      </c>
      <c r="C42" s="7">
        <v>0</v>
      </c>
    </row>
    <row r="43" spans="1:3" x14ac:dyDescent="0.3">
      <c r="A43" s="12" t="s">
        <v>94</v>
      </c>
      <c r="B43" s="137">
        <v>2</v>
      </c>
      <c r="C43" s="7">
        <v>0</v>
      </c>
    </row>
    <row r="44" spans="1:3" x14ac:dyDescent="0.3">
      <c r="A44" s="12" t="s">
        <v>117</v>
      </c>
      <c r="B44" s="137">
        <v>1</v>
      </c>
      <c r="C44" s="7">
        <v>0.71199999999999997</v>
      </c>
    </row>
    <row r="45" spans="1:3" x14ac:dyDescent="0.3">
      <c r="A45" s="12" t="s">
        <v>115</v>
      </c>
      <c r="B45" s="137">
        <v>1</v>
      </c>
      <c r="C45" s="7">
        <v>60.784838709677437</v>
      </c>
    </row>
    <row r="46" spans="1:3" x14ac:dyDescent="0.3">
      <c r="A46" s="12" t="s">
        <v>112</v>
      </c>
      <c r="B46" s="137">
        <v>1</v>
      </c>
      <c r="C46" s="7">
        <v>0</v>
      </c>
    </row>
    <row r="47" spans="1:3" x14ac:dyDescent="0.3">
      <c r="A47" s="12" t="s">
        <v>122</v>
      </c>
      <c r="B47" s="137">
        <v>3</v>
      </c>
      <c r="C47" s="7">
        <v>1.068709677419355</v>
      </c>
    </row>
    <row r="48" spans="1:3" x14ac:dyDescent="0.3">
      <c r="A48" s="12" t="s">
        <v>104</v>
      </c>
      <c r="B48" s="137">
        <v>7</v>
      </c>
      <c r="C48" s="7">
        <v>115.14032258064513</v>
      </c>
    </row>
    <row r="49" spans="1:3" x14ac:dyDescent="0.3">
      <c r="A49" s="12" t="s">
        <v>56</v>
      </c>
      <c r="B49" s="137">
        <v>40</v>
      </c>
      <c r="C49" s="7">
        <v>271.98709677419362</v>
      </c>
    </row>
    <row r="50" spans="1:3" x14ac:dyDescent="0.3">
      <c r="A50" s="12" t="s">
        <v>111</v>
      </c>
      <c r="B50" s="137">
        <v>10</v>
      </c>
      <c r="C50" s="7">
        <v>44.360322580645153</v>
      </c>
    </row>
    <row r="51" spans="1:3" x14ac:dyDescent="0.3">
      <c r="A51" s="12" t="s">
        <v>110</v>
      </c>
      <c r="B51" s="137">
        <v>2</v>
      </c>
      <c r="C51" s="7">
        <v>0</v>
      </c>
    </row>
    <row r="52" spans="1:3" x14ac:dyDescent="0.3">
      <c r="A52" s="12" t="s">
        <v>83</v>
      </c>
      <c r="B52" s="137">
        <v>519</v>
      </c>
      <c r="C52" s="7">
        <v>1906.0901965856722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67"/>
  <sheetViews>
    <sheetView workbookViewId="0">
      <selection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45.44140625" bestFit="1" customWidth="1"/>
    <col min="4" max="4" width="22.33203125" bestFit="1" customWidth="1"/>
    <col min="5" max="5" width="11.109375" bestFit="1" customWidth="1"/>
    <col min="6" max="6" width="8.44140625" bestFit="1" customWidth="1"/>
    <col min="7" max="7" width="10.6640625" bestFit="1" customWidth="1"/>
    <col min="8" max="8" width="8.6640625" bestFit="1" customWidth="1"/>
    <col min="9" max="9" width="8.44140625" style="28" bestFit="1" customWidth="1"/>
    <col min="10" max="10" width="8.44140625" style="27" bestFit="1" customWidth="1"/>
    <col min="11" max="15" width="8.44140625" bestFit="1" customWidth="1"/>
    <col min="16" max="16" width="9.109375" bestFit="1" customWidth="1"/>
    <col min="17" max="39" width="8.44140625" bestFit="1" customWidth="1"/>
    <col min="40" max="40" width="8.33203125" bestFit="1" customWidth="1"/>
  </cols>
  <sheetData>
    <row r="1" spans="1:40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6">
        <v>45139</v>
      </c>
      <c r="J1" s="16">
        <v>45140</v>
      </c>
      <c r="K1" s="16">
        <v>45141</v>
      </c>
      <c r="L1" s="16">
        <v>45142</v>
      </c>
      <c r="M1" s="16">
        <v>45143</v>
      </c>
      <c r="N1" s="16">
        <v>45144</v>
      </c>
      <c r="O1" s="16">
        <v>45145</v>
      </c>
      <c r="P1" s="16">
        <v>45146</v>
      </c>
      <c r="Q1" s="16">
        <v>45147</v>
      </c>
      <c r="R1" s="16">
        <v>45148</v>
      </c>
      <c r="S1" s="16">
        <v>45149</v>
      </c>
      <c r="T1" s="16">
        <v>45150</v>
      </c>
      <c r="U1" s="16">
        <v>45151</v>
      </c>
      <c r="V1" s="16">
        <v>45152</v>
      </c>
      <c r="W1" s="16">
        <v>45153</v>
      </c>
      <c r="X1" s="16">
        <v>45154</v>
      </c>
      <c r="Y1" s="16">
        <v>45155</v>
      </c>
      <c r="Z1" s="16">
        <v>45156</v>
      </c>
      <c r="AA1" s="16">
        <v>45157</v>
      </c>
      <c r="AB1" s="16">
        <v>45158</v>
      </c>
      <c r="AC1" s="16">
        <v>45159</v>
      </c>
      <c r="AD1" s="16">
        <v>45160</v>
      </c>
      <c r="AE1" s="16">
        <v>45161</v>
      </c>
      <c r="AF1" s="16">
        <v>45162</v>
      </c>
      <c r="AG1" s="16">
        <v>45163</v>
      </c>
      <c r="AH1" s="16">
        <v>45164</v>
      </c>
      <c r="AI1" s="16">
        <v>45165</v>
      </c>
      <c r="AJ1" s="16">
        <v>45166</v>
      </c>
      <c r="AK1" s="16">
        <v>45167</v>
      </c>
      <c r="AL1" s="16">
        <v>45168</v>
      </c>
      <c r="AM1" s="16">
        <v>45169</v>
      </c>
      <c r="AN1" s="13" t="s">
        <v>8</v>
      </c>
    </row>
    <row r="2" spans="1:40" x14ac:dyDescent="0.3">
      <c r="A2" s="5">
        <v>1</v>
      </c>
      <c r="B2" s="6" t="s">
        <v>9</v>
      </c>
      <c r="C2" s="6" t="s">
        <v>86</v>
      </c>
      <c r="D2" s="6" t="s">
        <v>11</v>
      </c>
      <c r="E2" s="6" t="s">
        <v>12</v>
      </c>
      <c r="F2" s="6" t="s">
        <v>13</v>
      </c>
      <c r="G2" s="6" t="s">
        <v>14</v>
      </c>
      <c r="H2" s="5">
        <v>6</v>
      </c>
      <c r="I2" s="32">
        <v>1.86</v>
      </c>
      <c r="J2" s="32">
        <v>0</v>
      </c>
      <c r="K2" s="33">
        <v>0</v>
      </c>
      <c r="L2" s="33">
        <v>0</v>
      </c>
      <c r="M2" s="33">
        <v>0</v>
      </c>
      <c r="N2" s="33">
        <v>0</v>
      </c>
      <c r="O2" s="33">
        <v>0</v>
      </c>
      <c r="P2" s="33">
        <v>0</v>
      </c>
      <c r="Q2" s="33">
        <v>0</v>
      </c>
      <c r="R2" s="33">
        <v>0</v>
      </c>
      <c r="S2" s="33">
        <v>0</v>
      </c>
      <c r="T2" s="33">
        <v>0</v>
      </c>
      <c r="U2" s="33">
        <v>5.5</v>
      </c>
      <c r="V2" s="33">
        <v>2.96</v>
      </c>
      <c r="W2" s="33">
        <v>0</v>
      </c>
      <c r="X2" s="33">
        <v>29.57</v>
      </c>
      <c r="Y2" s="33">
        <v>0</v>
      </c>
      <c r="Z2" s="33">
        <v>8.02</v>
      </c>
      <c r="AA2" s="33">
        <v>0</v>
      </c>
      <c r="AB2" s="33">
        <v>5.79</v>
      </c>
      <c r="AC2" s="33">
        <v>0.03</v>
      </c>
      <c r="AD2" s="33">
        <v>7.38</v>
      </c>
      <c r="AE2" s="33">
        <v>17.02</v>
      </c>
      <c r="AF2" s="33">
        <v>9.7899999999999991</v>
      </c>
      <c r="AG2" s="33">
        <v>17.86</v>
      </c>
      <c r="AH2" s="33">
        <v>0.17</v>
      </c>
      <c r="AI2" s="33">
        <v>11.55</v>
      </c>
      <c r="AJ2" s="33">
        <v>10.039999999999999</v>
      </c>
      <c r="AK2" s="33">
        <v>0.02</v>
      </c>
      <c r="AL2" s="33">
        <v>5.94</v>
      </c>
      <c r="AM2" s="33">
        <v>6.05</v>
      </c>
      <c r="AN2" s="33">
        <f>AVERAGE(I2:AM2)</f>
        <v>4.5016129032258068</v>
      </c>
    </row>
    <row r="3" spans="1:40" x14ac:dyDescent="0.3">
      <c r="A3" s="5">
        <v>2</v>
      </c>
      <c r="B3" s="6" t="s">
        <v>9</v>
      </c>
      <c r="C3" s="6" t="s">
        <v>87</v>
      </c>
      <c r="D3" s="6" t="s">
        <v>11</v>
      </c>
      <c r="E3" s="6" t="s">
        <v>12</v>
      </c>
      <c r="F3" s="6" t="s">
        <v>13</v>
      </c>
      <c r="G3" s="6" t="s">
        <v>14</v>
      </c>
      <c r="H3" s="5">
        <v>9</v>
      </c>
      <c r="I3" s="32">
        <v>76.98</v>
      </c>
      <c r="J3" s="32">
        <v>94.08</v>
      </c>
      <c r="K3" s="33">
        <v>82.19</v>
      </c>
      <c r="L3" s="33">
        <v>81.650000000000006</v>
      </c>
      <c r="M3" s="33">
        <v>100.66</v>
      </c>
      <c r="N3" s="33">
        <v>80.13</v>
      </c>
      <c r="O3" s="33">
        <v>85.8</v>
      </c>
      <c r="P3" s="33">
        <v>70.36</v>
      </c>
      <c r="Q3" s="33">
        <v>49</v>
      </c>
      <c r="R3" s="33">
        <v>55.18</v>
      </c>
      <c r="S3" s="33">
        <v>72.290000000000006</v>
      </c>
      <c r="T3" s="33">
        <v>55.23</v>
      </c>
      <c r="U3" s="33">
        <v>75.03</v>
      </c>
      <c r="V3" s="33">
        <v>74.63</v>
      </c>
      <c r="W3" s="33">
        <v>101</v>
      </c>
      <c r="X3" s="33">
        <v>56.15</v>
      </c>
      <c r="Y3" s="33">
        <v>97.31</v>
      </c>
      <c r="Z3" s="33">
        <v>78.3</v>
      </c>
      <c r="AA3" s="33">
        <v>81.400000000000006</v>
      </c>
      <c r="AB3" s="33">
        <v>95.41</v>
      </c>
      <c r="AC3" s="33">
        <v>98.35</v>
      </c>
      <c r="AD3" s="33">
        <v>68.31</v>
      </c>
      <c r="AE3" s="33">
        <v>79.959999999999994</v>
      </c>
      <c r="AF3" s="33">
        <v>91.39</v>
      </c>
      <c r="AG3" s="33">
        <v>89.08</v>
      </c>
      <c r="AH3" s="33">
        <v>79.19</v>
      </c>
      <c r="AI3" s="33">
        <v>71.22</v>
      </c>
      <c r="AJ3" s="33">
        <v>55.56</v>
      </c>
      <c r="AK3" s="33">
        <v>55.88</v>
      </c>
      <c r="AL3" s="33">
        <v>79.75</v>
      </c>
      <c r="AM3" s="33">
        <v>39.369999999999997</v>
      </c>
      <c r="AN3" s="33">
        <f t="shared" ref="AN3:AN60" si="0">AVERAGE(I3:AM3)</f>
        <v>76.478709677419346</v>
      </c>
    </row>
    <row r="4" spans="1:40" x14ac:dyDescent="0.3">
      <c r="A4" s="5">
        <v>3</v>
      </c>
      <c r="B4" s="6" t="s">
        <v>9</v>
      </c>
      <c r="C4" s="6" t="s">
        <v>88</v>
      </c>
      <c r="D4" s="6" t="s">
        <v>11</v>
      </c>
      <c r="E4" s="6" t="s">
        <v>12</v>
      </c>
      <c r="F4" s="6" t="s">
        <v>13</v>
      </c>
      <c r="G4" s="6" t="s">
        <v>14</v>
      </c>
      <c r="H4" s="5">
        <v>3</v>
      </c>
      <c r="I4" s="33">
        <v>36.15</v>
      </c>
      <c r="J4" s="32">
        <v>41.79</v>
      </c>
      <c r="K4" s="33">
        <v>53.11</v>
      </c>
      <c r="L4" s="33">
        <v>54.39</v>
      </c>
      <c r="M4" s="33">
        <v>49.29</v>
      </c>
      <c r="N4" s="33">
        <v>65.599999999999994</v>
      </c>
      <c r="O4" s="33">
        <v>55.83</v>
      </c>
      <c r="P4" s="33">
        <v>57.69</v>
      </c>
      <c r="Q4" s="33">
        <v>51.3</v>
      </c>
      <c r="R4" s="33">
        <v>45</v>
      </c>
      <c r="S4" s="33">
        <v>39.24</v>
      </c>
      <c r="T4" s="33">
        <v>44.36</v>
      </c>
      <c r="U4" s="33">
        <v>55.5</v>
      </c>
      <c r="V4" s="33">
        <v>71.53</v>
      </c>
      <c r="W4" s="33">
        <v>41.09</v>
      </c>
      <c r="X4" s="33">
        <v>43.07</v>
      </c>
      <c r="Y4" s="33">
        <v>35.44</v>
      </c>
      <c r="Z4" s="33">
        <v>33.44</v>
      </c>
      <c r="AA4" s="33">
        <v>28.67</v>
      </c>
      <c r="AB4" s="33">
        <v>33.4</v>
      </c>
      <c r="AC4" s="33">
        <v>21.13</v>
      </c>
      <c r="AD4" s="33">
        <v>52.26</v>
      </c>
      <c r="AE4" s="33">
        <v>43.91</v>
      </c>
      <c r="AF4" s="33">
        <v>32.520000000000003</v>
      </c>
      <c r="AG4" s="33">
        <v>31.07</v>
      </c>
      <c r="AH4" s="33">
        <v>24.99</v>
      </c>
      <c r="AI4" s="33">
        <v>45.16</v>
      </c>
      <c r="AJ4" s="33">
        <v>33.869999999999997</v>
      </c>
      <c r="AK4" s="33">
        <v>33.86</v>
      </c>
      <c r="AL4" s="33">
        <v>39.07</v>
      </c>
      <c r="AM4" s="33">
        <v>40.53</v>
      </c>
      <c r="AN4" s="33">
        <f t="shared" si="0"/>
        <v>43.040645161290314</v>
      </c>
    </row>
    <row r="5" spans="1:40" x14ac:dyDescent="0.3">
      <c r="A5" s="5">
        <v>4</v>
      </c>
      <c r="B5" s="6" t="s">
        <v>9</v>
      </c>
      <c r="C5" s="8" t="s">
        <v>89</v>
      </c>
      <c r="D5" s="8" t="s">
        <v>18</v>
      </c>
      <c r="E5" s="6" t="s">
        <v>19</v>
      </c>
      <c r="F5" s="6" t="s">
        <v>13</v>
      </c>
      <c r="G5" s="6" t="s">
        <v>14</v>
      </c>
      <c r="H5" s="13">
        <v>5</v>
      </c>
      <c r="I5" s="32">
        <v>0</v>
      </c>
      <c r="J5" s="32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f t="shared" si="0"/>
        <v>0</v>
      </c>
    </row>
    <row r="6" spans="1:40" x14ac:dyDescent="0.3">
      <c r="A6" s="5">
        <v>5</v>
      </c>
      <c r="B6" s="6" t="s">
        <v>9</v>
      </c>
      <c r="C6" s="8" t="s">
        <v>90</v>
      </c>
      <c r="D6" s="8" t="s">
        <v>18</v>
      </c>
      <c r="E6" s="6" t="s">
        <v>19</v>
      </c>
      <c r="F6" s="6" t="s">
        <v>13</v>
      </c>
      <c r="G6" s="6" t="s">
        <v>14</v>
      </c>
      <c r="H6" s="13">
        <v>3</v>
      </c>
      <c r="I6" s="32">
        <v>0</v>
      </c>
      <c r="J6" s="32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f t="shared" si="0"/>
        <v>0</v>
      </c>
    </row>
    <row r="7" spans="1:40" x14ac:dyDescent="0.3">
      <c r="A7" s="5">
        <v>6</v>
      </c>
      <c r="B7" s="6" t="s">
        <v>9</v>
      </c>
      <c r="C7" s="8" t="s">
        <v>91</v>
      </c>
      <c r="D7" s="8" t="s">
        <v>18</v>
      </c>
      <c r="E7" s="6" t="s">
        <v>19</v>
      </c>
      <c r="F7" s="6" t="s">
        <v>13</v>
      </c>
      <c r="G7" s="6" t="s">
        <v>14</v>
      </c>
      <c r="H7" s="13">
        <v>5</v>
      </c>
      <c r="I7" s="33">
        <v>26.72</v>
      </c>
      <c r="J7" s="32">
        <v>18.91</v>
      </c>
      <c r="K7" s="33">
        <v>30.16</v>
      </c>
      <c r="L7" s="33">
        <v>21.64</v>
      </c>
      <c r="M7" s="33">
        <v>15.58</v>
      </c>
      <c r="N7" s="33">
        <v>10.45</v>
      </c>
      <c r="O7" s="33">
        <v>13.88</v>
      </c>
      <c r="P7" s="33">
        <v>40.01</v>
      </c>
      <c r="Q7" s="33">
        <v>30.59</v>
      </c>
      <c r="R7" s="33">
        <v>18.97</v>
      </c>
      <c r="S7" s="33">
        <v>12.54</v>
      </c>
      <c r="T7" s="33">
        <v>16.41</v>
      </c>
      <c r="U7" s="33">
        <v>9.8800000000000008</v>
      </c>
      <c r="V7" s="33">
        <v>10.97</v>
      </c>
      <c r="W7" s="33">
        <v>0.65</v>
      </c>
      <c r="X7" s="33">
        <v>0.14000000000000001</v>
      </c>
      <c r="Y7" s="33">
        <v>6.88</v>
      </c>
      <c r="Z7" s="33">
        <v>9.26</v>
      </c>
      <c r="AA7" s="33">
        <v>7.82</v>
      </c>
      <c r="AB7" s="33">
        <v>7.0000000000000007E-2</v>
      </c>
      <c r="AC7" s="33">
        <v>0</v>
      </c>
      <c r="AD7" s="33">
        <v>9.7100000000000009</v>
      </c>
      <c r="AE7" s="33">
        <v>0.06</v>
      </c>
      <c r="AF7" s="33">
        <v>10.53</v>
      </c>
      <c r="AG7" s="33">
        <v>8.23</v>
      </c>
      <c r="AH7" s="33">
        <v>5.91</v>
      </c>
      <c r="AI7" s="33">
        <v>6.11</v>
      </c>
      <c r="AJ7" s="33">
        <v>7.01</v>
      </c>
      <c r="AK7" s="33">
        <v>7.9</v>
      </c>
      <c r="AL7" s="33">
        <v>9.25</v>
      </c>
      <c r="AM7" s="33">
        <v>5.73</v>
      </c>
      <c r="AN7" s="33">
        <f t="shared" si="0"/>
        <v>11.999032258064515</v>
      </c>
    </row>
    <row r="8" spans="1:40" x14ac:dyDescent="0.3">
      <c r="A8" s="5">
        <v>7</v>
      </c>
      <c r="B8" s="6" t="s">
        <v>9</v>
      </c>
      <c r="C8" s="14" t="s">
        <v>92</v>
      </c>
      <c r="D8" s="6" t="s">
        <v>18</v>
      </c>
      <c r="E8" s="6" t="s">
        <v>19</v>
      </c>
      <c r="F8" s="6" t="s">
        <v>13</v>
      </c>
      <c r="G8" s="6" t="s">
        <v>14</v>
      </c>
      <c r="H8" s="5">
        <v>3</v>
      </c>
      <c r="I8" s="33">
        <v>53.07</v>
      </c>
      <c r="J8" s="32">
        <v>59.58</v>
      </c>
      <c r="K8" s="33">
        <v>50.77</v>
      </c>
      <c r="L8" s="33">
        <v>67.819999999999993</v>
      </c>
      <c r="M8" s="33">
        <v>59.05</v>
      </c>
      <c r="N8" s="33">
        <v>73.760000000000005</v>
      </c>
      <c r="O8" s="33">
        <v>67.67</v>
      </c>
      <c r="P8" s="33">
        <v>78.36</v>
      </c>
      <c r="Q8" s="33">
        <v>67.42</v>
      </c>
      <c r="R8" s="33">
        <v>73.36</v>
      </c>
      <c r="S8" s="33">
        <v>66.64</v>
      </c>
      <c r="T8" s="33">
        <v>46.46</v>
      </c>
      <c r="U8" s="33">
        <v>53.94</v>
      </c>
      <c r="V8" s="33">
        <v>68.75</v>
      </c>
      <c r="W8" s="33">
        <v>64.09</v>
      </c>
      <c r="X8" s="33">
        <v>62.08</v>
      </c>
      <c r="Y8" s="33">
        <v>68.25</v>
      </c>
      <c r="Z8" s="33">
        <v>62.48</v>
      </c>
      <c r="AA8" s="33">
        <v>59.68</v>
      </c>
      <c r="AB8" s="33">
        <v>38.840000000000003</v>
      </c>
      <c r="AC8" s="33">
        <v>67.22</v>
      </c>
      <c r="AD8" s="33">
        <v>69.11</v>
      </c>
      <c r="AE8" s="33">
        <v>46.32</v>
      </c>
      <c r="AF8" s="33">
        <v>79.430000000000007</v>
      </c>
      <c r="AG8" s="33">
        <v>62.88</v>
      </c>
      <c r="AH8" s="33">
        <v>74.59</v>
      </c>
      <c r="AI8" s="33">
        <v>43.69</v>
      </c>
      <c r="AJ8" s="33">
        <v>35.28</v>
      </c>
      <c r="AK8" s="33">
        <v>45.39</v>
      </c>
      <c r="AL8" s="33">
        <v>51.86</v>
      </c>
      <c r="AM8" s="33">
        <v>68.22</v>
      </c>
      <c r="AN8" s="33">
        <f t="shared" si="0"/>
        <v>60.840645161290325</v>
      </c>
    </row>
    <row r="9" spans="1:40" x14ac:dyDescent="0.3">
      <c r="A9" s="5">
        <v>8</v>
      </c>
      <c r="B9" s="6" t="s">
        <v>9</v>
      </c>
      <c r="C9" s="6" t="s">
        <v>93</v>
      </c>
      <c r="D9" s="6" t="s">
        <v>26</v>
      </c>
      <c r="E9" s="6" t="s">
        <v>19</v>
      </c>
      <c r="F9" s="6" t="s">
        <v>13</v>
      </c>
      <c r="G9" s="6" t="s">
        <v>14</v>
      </c>
      <c r="H9" s="5">
        <v>5</v>
      </c>
      <c r="I9" s="32">
        <v>0</v>
      </c>
      <c r="J9" s="32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f t="shared" si="0"/>
        <v>0</v>
      </c>
    </row>
    <row r="10" spans="1:40" x14ac:dyDescent="0.3">
      <c r="A10" s="5">
        <v>9</v>
      </c>
      <c r="B10" s="6" t="s">
        <v>9</v>
      </c>
      <c r="C10" s="6" t="s">
        <v>27</v>
      </c>
      <c r="D10" s="6" t="s">
        <v>28</v>
      </c>
      <c r="E10" s="6" t="s">
        <v>19</v>
      </c>
      <c r="F10" s="6" t="s">
        <v>13</v>
      </c>
      <c r="G10" s="6" t="s">
        <v>14</v>
      </c>
      <c r="H10" s="5">
        <v>5</v>
      </c>
      <c r="I10" s="32">
        <v>0</v>
      </c>
      <c r="J10" s="32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f t="shared" si="0"/>
        <v>0</v>
      </c>
    </row>
    <row r="11" spans="1:40" x14ac:dyDescent="0.3">
      <c r="A11" s="5">
        <v>10</v>
      </c>
      <c r="B11" s="6" t="s">
        <v>9</v>
      </c>
      <c r="C11" s="6" t="s">
        <v>29</v>
      </c>
      <c r="D11" s="6" t="s">
        <v>30</v>
      </c>
      <c r="E11" s="6" t="s">
        <v>19</v>
      </c>
      <c r="F11" s="6" t="s">
        <v>13</v>
      </c>
      <c r="G11" s="6" t="s">
        <v>14</v>
      </c>
      <c r="H11" s="13">
        <v>8</v>
      </c>
      <c r="I11" s="33">
        <v>45.42</v>
      </c>
      <c r="J11" s="32">
        <v>61.16</v>
      </c>
      <c r="K11" s="33">
        <v>57.92</v>
      </c>
      <c r="L11" s="33">
        <v>49.05</v>
      </c>
      <c r="M11" s="33">
        <v>64.33</v>
      </c>
      <c r="N11" s="33">
        <v>41.55</v>
      </c>
      <c r="O11" s="33">
        <v>41.89</v>
      </c>
      <c r="P11" s="33">
        <v>41.9</v>
      </c>
      <c r="Q11" s="33">
        <v>53.46</v>
      </c>
      <c r="R11" s="33">
        <v>30.64</v>
      </c>
      <c r="S11" s="33">
        <v>44.22</v>
      </c>
      <c r="T11" s="33">
        <v>68.91</v>
      </c>
      <c r="U11" s="33">
        <v>43.74</v>
      </c>
      <c r="V11" s="33">
        <v>35.880000000000003</v>
      </c>
      <c r="W11" s="33">
        <v>51.04</v>
      </c>
      <c r="X11" s="33">
        <v>28.44</v>
      </c>
      <c r="Y11" s="33">
        <v>51.32</v>
      </c>
      <c r="Z11" s="33">
        <v>53.67</v>
      </c>
      <c r="AA11" s="33">
        <v>70.790000000000006</v>
      </c>
      <c r="AB11" s="33">
        <v>20.05</v>
      </c>
      <c r="AC11" s="33">
        <v>30.44</v>
      </c>
      <c r="AD11" s="33">
        <v>42.65</v>
      </c>
      <c r="AE11" s="33">
        <v>50.52</v>
      </c>
      <c r="AF11" s="33">
        <v>61.77</v>
      </c>
      <c r="AG11" s="33">
        <v>32.479999999999997</v>
      </c>
      <c r="AH11" s="33">
        <v>71.819999999999993</v>
      </c>
      <c r="AI11" s="33">
        <v>38.43</v>
      </c>
      <c r="AJ11" s="33">
        <v>62.47</v>
      </c>
      <c r="AK11" s="33">
        <v>45.41</v>
      </c>
      <c r="AL11" s="33">
        <v>40.56</v>
      </c>
      <c r="AM11" s="33">
        <v>20.54</v>
      </c>
      <c r="AN11" s="33">
        <f t="shared" si="0"/>
        <v>46.853870967741933</v>
      </c>
    </row>
    <row r="12" spans="1:40" x14ac:dyDescent="0.3">
      <c r="A12" s="5">
        <v>11</v>
      </c>
      <c r="B12" s="6" t="s">
        <v>9</v>
      </c>
      <c r="C12" s="6" t="s">
        <v>94</v>
      </c>
      <c r="D12" s="6" t="s">
        <v>32</v>
      </c>
      <c r="E12" s="6" t="s">
        <v>19</v>
      </c>
      <c r="F12" s="6" t="s">
        <v>13</v>
      </c>
      <c r="G12" s="6" t="s">
        <v>14</v>
      </c>
      <c r="H12" s="5">
        <v>2</v>
      </c>
      <c r="I12" s="32">
        <v>0</v>
      </c>
      <c r="J12" s="32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f t="shared" si="0"/>
        <v>0</v>
      </c>
    </row>
    <row r="13" spans="1:40" x14ac:dyDescent="0.3">
      <c r="A13" s="5">
        <v>12</v>
      </c>
      <c r="B13" s="6" t="s">
        <v>9</v>
      </c>
      <c r="C13" s="6" t="s">
        <v>33</v>
      </c>
      <c r="D13" s="6" t="s">
        <v>30</v>
      </c>
      <c r="E13" s="6" t="s">
        <v>19</v>
      </c>
      <c r="F13" s="6" t="s">
        <v>13</v>
      </c>
      <c r="G13" s="6" t="s">
        <v>14</v>
      </c>
      <c r="H13" s="13">
        <v>4</v>
      </c>
      <c r="I13" s="32">
        <v>13.2</v>
      </c>
      <c r="J13" s="32">
        <v>0</v>
      </c>
      <c r="K13" s="33">
        <v>8.64</v>
      </c>
      <c r="L13" s="33">
        <v>10.38</v>
      </c>
      <c r="M13" s="33">
        <v>9.92</v>
      </c>
      <c r="N13" s="33">
        <v>1.33</v>
      </c>
      <c r="O13" s="33">
        <v>11.68</v>
      </c>
      <c r="P13" s="33">
        <v>4.71</v>
      </c>
      <c r="Q13" s="33">
        <v>16.010000000000002</v>
      </c>
      <c r="R13" s="33">
        <v>3.51</v>
      </c>
      <c r="S13" s="33">
        <v>10.75</v>
      </c>
      <c r="T13" s="33">
        <v>7.69</v>
      </c>
      <c r="U13" s="33">
        <v>7.49</v>
      </c>
      <c r="V13" s="33">
        <v>0</v>
      </c>
      <c r="W13" s="33">
        <v>0.11</v>
      </c>
      <c r="X13" s="33">
        <v>0.05</v>
      </c>
      <c r="Y13" s="33">
        <v>3.4</v>
      </c>
      <c r="Z13" s="33">
        <v>0.37</v>
      </c>
      <c r="AA13" s="33">
        <v>10.49</v>
      </c>
      <c r="AB13" s="33">
        <v>2.81</v>
      </c>
      <c r="AC13" s="33">
        <v>0.06</v>
      </c>
      <c r="AD13" s="33">
        <v>2.13</v>
      </c>
      <c r="AE13" s="33">
        <v>7.22</v>
      </c>
      <c r="AF13" s="33">
        <v>8.74</v>
      </c>
      <c r="AG13" s="33">
        <v>6.41</v>
      </c>
      <c r="AH13" s="33">
        <v>17.23</v>
      </c>
      <c r="AI13" s="33">
        <v>0.14000000000000001</v>
      </c>
      <c r="AJ13" s="33">
        <v>3.17</v>
      </c>
      <c r="AK13" s="33">
        <v>0</v>
      </c>
      <c r="AL13" s="33">
        <v>0</v>
      </c>
      <c r="AM13" s="33">
        <v>0</v>
      </c>
      <c r="AN13" s="33">
        <f t="shared" si="0"/>
        <v>5.4077419354838705</v>
      </c>
    </row>
    <row r="14" spans="1:40" x14ac:dyDescent="0.3">
      <c r="A14" s="5">
        <v>13</v>
      </c>
      <c r="B14" s="6" t="s">
        <v>9</v>
      </c>
      <c r="C14" s="6" t="s">
        <v>34</v>
      </c>
      <c r="D14" s="6" t="s">
        <v>30</v>
      </c>
      <c r="E14" s="6" t="s">
        <v>19</v>
      </c>
      <c r="F14" s="6" t="s">
        <v>13</v>
      </c>
      <c r="G14" s="6" t="s">
        <v>14</v>
      </c>
      <c r="H14" s="13">
        <v>8</v>
      </c>
      <c r="I14" s="33">
        <v>138.99</v>
      </c>
      <c r="J14" s="32">
        <v>180.4</v>
      </c>
      <c r="K14" s="33">
        <v>151.78</v>
      </c>
      <c r="L14" s="33">
        <v>208.26</v>
      </c>
      <c r="M14" s="33">
        <v>169.84</v>
      </c>
      <c r="N14" s="33">
        <v>184.13</v>
      </c>
      <c r="O14" s="33">
        <v>143.83000000000001</v>
      </c>
      <c r="P14" s="33">
        <v>127.46</v>
      </c>
      <c r="Q14" s="33">
        <v>160.09</v>
      </c>
      <c r="R14" s="33">
        <v>117.39</v>
      </c>
      <c r="S14" s="33">
        <v>145.77000000000001</v>
      </c>
      <c r="T14" s="33">
        <v>178.02</v>
      </c>
      <c r="U14" s="33">
        <v>146.72999999999999</v>
      </c>
      <c r="V14" s="33">
        <v>201.54</v>
      </c>
      <c r="W14" s="33">
        <v>102.38</v>
      </c>
      <c r="X14" s="33">
        <v>116.99</v>
      </c>
      <c r="Y14" s="33">
        <v>139.53</v>
      </c>
      <c r="Z14" s="33">
        <v>168.63</v>
      </c>
      <c r="AA14" s="33">
        <v>120.74</v>
      </c>
      <c r="AB14" s="33">
        <v>107.14</v>
      </c>
      <c r="AC14" s="33">
        <v>63.91</v>
      </c>
      <c r="AD14" s="33">
        <v>29.28</v>
      </c>
      <c r="AE14" s="33">
        <v>11.4</v>
      </c>
      <c r="AF14" s="33">
        <v>15.3</v>
      </c>
      <c r="AG14" s="33">
        <v>22.63</v>
      </c>
      <c r="AH14" s="33">
        <v>29.31</v>
      </c>
      <c r="AI14" s="33">
        <v>12.65</v>
      </c>
      <c r="AJ14" s="33">
        <v>29.8</v>
      </c>
      <c r="AK14" s="33">
        <v>28.82</v>
      </c>
      <c r="AL14" s="33">
        <v>0.09</v>
      </c>
      <c r="AM14" s="33">
        <v>0.64</v>
      </c>
      <c r="AN14" s="33">
        <f t="shared" si="0"/>
        <v>104.95064516129034</v>
      </c>
    </row>
    <row r="15" spans="1:40" x14ac:dyDescent="0.3">
      <c r="A15" s="5">
        <v>14</v>
      </c>
      <c r="B15" s="6" t="s">
        <v>9</v>
      </c>
      <c r="C15" s="6" t="s">
        <v>34</v>
      </c>
      <c r="D15" s="6" t="s">
        <v>30</v>
      </c>
      <c r="E15" s="6" t="s">
        <v>19</v>
      </c>
      <c r="F15" s="6" t="s">
        <v>13</v>
      </c>
      <c r="G15" s="6" t="s">
        <v>35</v>
      </c>
      <c r="H15" s="5">
        <v>9</v>
      </c>
      <c r="I15" s="33"/>
      <c r="J15" s="32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>
        <f>64.38-6.11</f>
        <v>58.269999999999996</v>
      </c>
      <c r="AD15" s="33">
        <v>171.25</v>
      </c>
      <c r="AE15" s="33">
        <v>149.16</v>
      </c>
      <c r="AF15" s="33">
        <f>290.33-106.62-21.47-1.03</f>
        <v>161.20999999999998</v>
      </c>
      <c r="AG15" s="33">
        <f>522.3-117.59-110.7-38.27-115.31-8.24</f>
        <v>132.18999999999991</v>
      </c>
      <c r="AH15" s="33">
        <f>393.39-115.36-50-0.03</f>
        <v>227.99999999999997</v>
      </c>
      <c r="AI15" s="33">
        <f>233.61-56-62-4.15</f>
        <v>111.46000000000001</v>
      </c>
      <c r="AJ15" s="33">
        <f>285.59-102.59-0.03</f>
        <v>182.96999999999997</v>
      </c>
      <c r="AK15" s="33">
        <v>169.91</v>
      </c>
      <c r="AL15" s="33">
        <f>455.06-328.08</f>
        <v>126.98000000000002</v>
      </c>
      <c r="AM15" s="33">
        <f>572.09-438.28</f>
        <v>133.81000000000006</v>
      </c>
      <c r="AN15" s="33">
        <f t="shared" si="0"/>
        <v>147.74636363636364</v>
      </c>
    </row>
    <row r="16" spans="1:40" x14ac:dyDescent="0.3">
      <c r="A16" s="5">
        <v>15</v>
      </c>
      <c r="B16" s="6" t="s">
        <v>9</v>
      </c>
      <c r="C16" s="6" t="s">
        <v>34</v>
      </c>
      <c r="D16" s="6" t="s">
        <v>30</v>
      </c>
      <c r="E16" s="6" t="s">
        <v>19</v>
      </c>
      <c r="F16" s="6" t="s">
        <v>13</v>
      </c>
      <c r="G16" s="6" t="s">
        <v>80</v>
      </c>
      <c r="H16" s="5">
        <v>1</v>
      </c>
      <c r="I16" s="32">
        <v>0.75</v>
      </c>
      <c r="J16" s="32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0.31</v>
      </c>
      <c r="P16" s="33">
        <v>0.95</v>
      </c>
      <c r="Q16" s="33">
        <v>0</v>
      </c>
      <c r="R16" s="33">
        <v>1.29</v>
      </c>
      <c r="S16" s="33">
        <v>0.49</v>
      </c>
      <c r="T16" s="33">
        <v>1.57</v>
      </c>
      <c r="U16" s="33">
        <v>0</v>
      </c>
      <c r="V16" s="33">
        <v>0</v>
      </c>
      <c r="W16" s="33">
        <v>0</v>
      </c>
      <c r="X16" s="33">
        <v>0.06</v>
      </c>
      <c r="Y16" s="33">
        <v>5.45</v>
      </c>
      <c r="Z16" s="33">
        <v>8.98</v>
      </c>
      <c r="AA16" s="33">
        <v>2.84</v>
      </c>
      <c r="AB16" s="33">
        <v>3.64</v>
      </c>
      <c r="AC16" s="33">
        <v>6.11</v>
      </c>
      <c r="AD16" s="33">
        <v>1.24</v>
      </c>
      <c r="AE16" s="33">
        <v>0.17</v>
      </c>
      <c r="AF16" s="33">
        <v>1.03</v>
      </c>
      <c r="AG16" s="33">
        <v>8.24</v>
      </c>
      <c r="AH16" s="33">
        <v>0.03</v>
      </c>
      <c r="AI16" s="33">
        <v>4.1500000000000004</v>
      </c>
      <c r="AJ16" s="33">
        <v>0.03</v>
      </c>
      <c r="AK16" s="33">
        <v>0</v>
      </c>
      <c r="AL16" s="33">
        <v>4.38</v>
      </c>
      <c r="AM16" s="33">
        <v>0</v>
      </c>
      <c r="AN16" s="33">
        <f t="shared" si="0"/>
        <v>1.6680645161290328</v>
      </c>
    </row>
    <row r="17" spans="1:40" x14ac:dyDescent="0.3">
      <c r="A17" s="5">
        <v>16</v>
      </c>
      <c r="B17" s="6" t="s">
        <v>9</v>
      </c>
      <c r="C17" s="6" t="s">
        <v>34</v>
      </c>
      <c r="D17" s="6" t="s">
        <v>30</v>
      </c>
      <c r="E17" s="6" t="s">
        <v>19</v>
      </c>
      <c r="F17" s="6" t="s">
        <v>95</v>
      </c>
      <c r="G17" s="6" t="s">
        <v>80</v>
      </c>
      <c r="H17" s="5">
        <v>1</v>
      </c>
      <c r="I17" s="32">
        <v>0</v>
      </c>
      <c r="J17" s="32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f t="shared" si="0"/>
        <v>0</v>
      </c>
    </row>
    <row r="18" spans="1:40" x14ac:dyDescent="0.3">
      <c r="A18" s="5"/>
      <c r="B18" s="6" t="s">
        <v>9</v>
      </c>
      <c r="C18" s="6" t="s">
        <v>36</v>
      </c>
      <c r="D18" s="6" t="s">
        <v>30</v>
      </c>
      <c r="E18" s="6" t="s">
        <v>19</v>
      </c>
      <c r="F18" s="6" t="s">
        <v>13</v>
      </c>
      <c r="G18" s="6" t="s">
        <v>35</v>
      </c>
      <c r="H18" s="5"/>
      <c r="I18" s="32">
        <v>22.54</v>
      </c>
      <c r="J18" s="32">
        <v>36.340000000000003</v>
      </c>
      <c r="K18" s="33">
        <v>36.729999999999997</v>
      </c>
      <c r="L18" s="33">
        <v>39.450000000000003</v>
      </c>
      <c r="M18" s="33">
        <v>40.81</v>
      </c>
      <c r="N18" s="33">
        <v>60.8</v>
      </c>
      <c r="O18" s="33">
        <v>44.97</v>
      </c>
      <c r="P18" s="33">
        <v>39.729999999999997</v>
      </c>
      <c r="Q18" s="33">
        <v>44.48</v>
      </c>
      <c r="R18" s="33">
        <v>40.53</v>
      </c>
      <c r="S18" s="33">
        <v>41.53</v>
      </c>
      <c r="T18" s="33">
        <v>40.33</v>
      </c>
      <c r="U18" s="33">
        <v>36.97</v>
      </c>
      <c r="V18" s="33">
        <v>28.31</v>
      </c>
      <c r="W18" s="33">
        <v>36.69</v>
      </c>
      <c r="X18" s="33">
        <v>37.99</v>
      </c>
      <c r="Y18" s="33">
        <v>28.92</v>
      </c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</row>
    <row r="19" spans="1:40" x14ac:dyDescent="0.3">
      <c r="A19" s="5">
        <v>17</v>
      </c>
      <c r="B19" s="6" t="s">
        <v>9</v>
      </c>
      <c r="C19" s="6" t="s">
        <v>36</v>
      </c>
      <c r="D19" s="6" t="s">
        <v>30</v>
      </c>
      <c r="E19" s="6" t="s">
        <v>19</v>
      </c>
      <c r="F19" s="6" t="s">
        <v>13</v>
      </c>
      <c r="G19" s="6" t="s">
        <v>35</v>
      </c>
      <c r="H19" s="5">
        <v>6</v>
      </c>
      <c r="I19" s="33"/>
      <c r="J19" s="32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>
        <v>1.51</v>
      </c>
      <c r="Z19" s="33">
        <v>51.96</v>
      </c>
      <c r="AA19" s="33">
        <v>52.93</v>
      </c>
      <c r="AB19" s="33">
        <v>58.46</v>
      </c>
      <c r="AC19" s="33">
        <v>63.6</v>
      </c>
      <c r="AD19" s="33">
        <v>60.05</v>
      </c>
      <c r="AE19" s="33">
        <v>44.94</v>
      </c>
      <c r="AF19" s="33">
        <v>75.58</v>
      </c>
      <c r="AG19" s="33">
        <v>55.13</v>
      </c>
      <c r="AH19" s="33">
        <v>74.5</v>
      </c>
      <c r="AI19" s="33">
        <v>32.32</v>
      </c>
      <c r="AJ19" s="33">
        <v>58.19</v>
      </c>
      <c r="AK19" s="33">
        <v>54.29</v>
      </c>
      <c r="AL19" s="33">
        <v>62.57</v>
      </c>
      <c r="AM19" s="33">
        <v>64.78</v>
      </c>
      <c r="AN19" s="33">
        <f t="shared" si="0"/>
        <v>54.054000000000002</v>
      </c>
    </row>
    <row r="20" spans="1:40" x14ac:dyDescent="0.3">
      <c r="A20" s="5"/>
      <c r="B20" s="6" t="s">
        <v>9</v>
      </c>
      <c r="C20" s="6" t="s">
        <v>37</v>
      </c>
      <c r="D20" s="6" t="s">
        <v>30</v>
      </c>
      <c r="E20" s="6" t="s">
        <v>19</v>
      </c>
      <c r="F20" s="6" t="s">
        <v>13</v>
      </c>
      <c r="G20" s="6" t="s">
        <v>14</v>
      </c>
      <c r="H20" s="5"/>
      <c r="I20" s="33">
        <v>35.79</v>
      </c>
      <c r="J20" s="32">
        <v>33.17</v>
      </c>
      <c r="K20" s="33">
        <v>40.159999999999997</v>
      </c>
      <c r="L20" s="33">
        <v>34.57</v>
      </c>
      <c r="M20" s="33">
        <v>41.05</v>
      </c>
      <c r="N20" s="33">
        <v>28.51</v>
      </c>
      <c r="O20" s="33">
        <v>31.06</v>
      </c>
      <c r="P20" s="33">
        <v>31.6</v>
      </c>
      <c r="Q20" s="33">
        <v>45.68</v>
      </c>
      <c r="R20" s="33">
        <v>38.94</v>
      </c>
      <c r="S20" s="33">
        <v>31.91</v>
      </c>
      <c r="T20" s="33">
        <v>46.56</v>
      </c>
      <c r="U20" s="33">
        <v>24.08</v>
      </c>
      <c r="V20" s="33">
        <v>17.329999999999998</v>
      </c>
      <c r="W20" s="33">
        <v>44.82</v>
      </c>
      <c r="X20" s="33">
        <v>23.09</v>
      </c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</row>
    <row r="21" spans="1:40" x14ac:dyDescent="0.3">
      <c r="A21" s="5">
        <v>18</v>
      </c>
      <c r="B21" s="6" t="s">
        <v>9</v>
      </c>
      <c r="C21" s="6" t="s">
        <v>37</v>
      </c>
      <c r="D21" s="6" t="s">
        <v>30</v>
      </c>
      <c r="E21" s="6" t="s">
        <v>19</v>
      </c>
      <c r="F21" s="6" t="s">
        <v>13</v>
      </c>
      <c r="G21" s="6" t="s">
        <v>35</v>
      </c>
      <c r="H21" s="5">
        <v>6</v>
      </c>
      <c r="I21" s="10"/>
      <c r="J21" s="5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33">
        <v>2.87</v>
      </c>
      <c r="Y21" s="33">
        <v>39.24</v>
      </c>
      <c r="Z21" s="33">
        <v>41.87</v>
      </c>
      <c r="AA21" s="33">
        <v>42.6</v>
      </c>
      <c r="AB21" s="33">
        <v>40.99</v>
      </c>
      <c r="AC21" s="33">
        <v>49.9</v>
      </c>
      <c r="AD21" s="33">
        <v>32.9</v>
      </c>
      <c r="AE21" s="33">
        <v>53.68</v>
      </c>
      <c r="AF21" s="33">
        <v>36.64</v>
      </c>
      <c r="AG21" s="33">
        <v>31.75</v>
      </c>
      <c r="AH21" s="33">
        <v>46.56</v>
      </c>
      <c r="AI21" s="33">
        <v>37.29</v>
      </c>
      <c r="AJ21" s="33">
        <v>44.63</v>
      </c>
      <c r="AK21" s="33">
        <v>49.8</v>
      </c>
      <c r="AL21" s="33">
        <v>23</v>
      </c>
      <c r="AM21" s="33">
        <v>27.48</v>
      </c>
      <c r="AN21" s="33">
        <f t="shared" si="0"/>
        <v>37.575000000000003</v>
      </c>
    </row>
    <row r="22" spans="1:40" x14ac:dyDescent="0.3">
      <c r="A22" s="5"/>
      <c r="B22" s="6" t="s">
        <v>9</v>
      </c>
      <c r="C22" s="6" t="s">
        <v>38</v>
      </c>
      <c r="D22" s="6" t="s">
        <v>30</v>
      </c>
      <c r="E22" s="6" t="s">
        <v>19</v>
      </c>
      <c r="F22" s="6" t="s">
        <v>13</v>
      </c>
      <c r="G22" s="6" t="s">
        <v>14</v>
      </c>
      <c r="H22" s="5"/>
      <c r="I22" s="10">
        <v>30.43</v>
      </c>
      <c r="J22" s="5">
        <v>15.86</v>
      </c>
      <c r="K22" s="12">
        <v>36.21</v>
      </c>
      <c r="L22" s="12">
        <v>50.44</v>
      </c>
      <c r="M22" s="12">
        <v>29.96</v>
      </c>
      <c r="N22" s="12">
        <v>45.81</v>
      </c>
      <c r="O22" s="12">
        <v>36.76</v>
      </c>
      <c r="P22" s="12">
        <v>51.15</v>
      </c>
      <c r="Q22" s="12">
        <v>18.72</v>
      </c>
      <c r="R22" s="12">
        <v>20.260000000000002</v>
      </c>
      <c r="S22" s="12">
        <v>26.37</v>
      </c>
      <c r="T22" s="12">
        <v>28.25</v>
      </c>
      <c r="U22" s="12">
        <v>23.34</v>
      </c>
      <c r="V22" s="12">
        <v>31.1</v>
      </c>
      <c r="W22" s="12">
        <v>19.940000000000001</v>
      </c>
      <c r="X22" s="33">
        <v>20.85</v>
      </c>
      <c r="Y22" s="33">
        <v>17.89</v>
      </c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</row>
    <row r="23" spans="1:40" x14ac:dyDescent="0.3">
      <c r="A23" s="5">
        <v>19</v>
      </c>
      <c r="B23" s="6" t="s">
        <v>9</v>
      </c>
      <c r="C23" s="6" t="s">
        <v>38</v>
      </c>
      <c r="D23" s="6" t="s">
        <v>30</v>
      </c>
      <c r="E23" s="6" t="s">
        <v>19</v>
      </c>
      <c r="F23" s="6" t="s">
        <v>13</v>
      </c>
      <c r="G23" s="6" t="s">
        <v>35</v>
      </c>
      <c r="H23" s="5">
        <v>3</v>
      </c>
      <c r="I23" s="33"/>
      <c r="J23" s="32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>
        <v>9.33</v>
      </c>
      <c r="Z23" s="33">
        <v>14.53</v>
      </c>
      <c r="AA23" s="33">
        <v>15.67</v>
      </c>
      <c r="AB23" s="33">
        <v>8.99</v>
      </c>
      <c r="AC23" s="33">
        <v>24.56</v>
      </c>
      <c r="AD23" s="33">
        <v>24.58</v>
      </c>
      <c r="AE23" s="33">
        <v>21.13</v>
      </c>
      <c r="AF23" s="33">
        <v>36.19</v>
      </c>
      <c r="AG23" s="33">
        <v>13.36</v>
      </c>
      <c r="AH23" s="33">
        <v>38.92</v>
      </c>
      <c r="AI23" s="33">
        <v>28.15</v>
      </c>
      <c r="AJ23" s="33">
        <v>22.49</v>
      </c>
      <c r="AK23" s="33">
        <v>29.25</v>
      </c>
      <c r="AL23" s="33">
        <v>37</v>
      </c>
      <c r="AM23" s="33">
        <v>15.66</v>
      </c>
      <c r="AN23" s="33">
        <f t="shared" si="0"/>
        <v>22.654</v>
      </c>
    </row>
    <row r="24" spans="1:40" x14ac:dyDescent="0.3">
      <c r="A24" s="5">
        <v>20</v>
      </c>
      <c r="B24" s="6" t="s">
        <v>9</v>
      </c>
      <c r="C24" s="6" t="s">
        <v>39</v>
      </c>
      <c r="D24" s="6" t="s">
        <v>30</v>
      </c>
      <c r="E24" s="6" t="s">
        <v>19</v>
      </c>
      <c r="F24" s="6" t="s">
        <v>13</v>
      </c>
      <c r="G24" s="6" t="s">
        <v>14</v>
      </c>
      <c r="H24" s="5">
        <v>3</v>
      </c>
      <c r="I24" s="32">
        <v>0</v>
      </c>
      <c r="J24" s="32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f t="shared" si="0"/>
        <v>0</v>
      </c>
    </row>
    <row r="25" spans="1:40" x14ac:dyDescent="0.3">
      <c r="A25" s="5">
        <v>21</v>
      </c>
      <c r="B25" s="6" t="s">
        <v>9</v>
      </c>
      <c r="C25" s="6" t="s">
        <v>39</v>
      </c>
      <c r="D25" s="6" t="s">
        <v>30</v>
      </c>
      <c r="E25" s="6" t="s">
        <v>19</v>
      </c>
      <c r="F25" s="6" t="s">
        <v>40</v>
      </c>
      <c r="G25" s="6" t="s">
        <v>35</v>
      </c>
      <c r="H25" s="5">
        <v>1</v>
      </c>
      <c r="I25" s="32">
        <v>0</v>
      </c>
      <c r="J25" s="32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1.36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f t="shared" si="0"/>
        <v>4.3870967741935489E-2</v>
      </c>
    </row>
    <row r="26" spans="1:40" x14ac:dyDescent="0.3">
      <c r="A26" s="5">
        <v>22</v>
      </c>
      <c r="B26" s="6" t="s">
        <v>9</v>
      </c>
      <c r="C26" s="6" t="s">
        <v>39</v>
      </c>
      <c r="D26" s="6" t="s">
        <v>30</v>
      </c>
      <c r="E26" s="6" t="s">
        <v>19</v>
      </c>
      <c r="F26" s="6" t="s">
        <v>41</v>
      </c>
      <c r="G26" s="6" t="s">
        <v>35</v>
      </c>
      <c r="H26" s="5">
        <v>1</v>
      </c>
      <c r="I26" s="32">
        <v>0</v>
      </c>
      <c r="J26" s="32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f t="shared" si="0"/>
        <v>0</v>
      </c>
    </row>
    <row r="27" spans="1:40" x14ac:dyDescent="0.3">
      <c r="A27" s="5">
        <v>23</v>
      </c>
      <c r="B27" s="6" t="s">
        <v>9</v>
      </c>
      <c r="C27" s="6" t="s">
        <v>96</v>
      </c>
      <c r="D27" s="6" t="s">
        <v>43</v>
      </c>
      <c r="E27" s="6" t="s">
        <v>19</v>
      </c>
      <c r="F27" s="6" t="s">
        <v>13</v>
      </c>
      <c r="G27" s="6" t="s">
        <v>14</v>
      </c>
      <c r="H27" s="5">
        <v>1</v>
      </c>
      <c r="I27" s="32">
        <v>0</v>
      </c>
      <c r="J27" s="32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0</v>
      </c>
      <c r="AN27" s="33">
        <f t="shared" si="0"/>
        <v>0</v>
      </c>
    </row>
    <row r="28" spans="1:40" x14ac:dyDescent="0.3">
      <c r="A28" s="5">
        <v>24</v>
      </c>
      <c r="B28" s="6" t="s">
        <v>9</v>
      </c>
      <c r="C28" s="6" t="s">
        <v>97</v>
      </c>
      <c r="D28" s="6" t="s">
        <v>48</v>
      </c>
      <c r="E28" s="6" t="s">
        <v>19</v>
      </c>
      <c r="F28" s="6" t="s">
        <v>13</v>
      </c>
      <c r="G28" s="6" t="s">
        <v>14</v>
      </c>
      <c r="H28" s="5">
        <v>1</v>
      </c>
      <c r="I28" s="32">
        <v>0</v>
      </c>
      <c r="J28" s="32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5.83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f t="shared" si="0"/>
        <v>0.18806451612903227</v>
      </c>
    </row>
    <row r="29" spans="1:40" x14ac:dyDescent="0.3">
      <c r="A29" s="5">
        <v>25</v>
      </c>
      <c r="B29" s="6" t="s">
        <v>49</v>
      </c>
      <c r="C29" s="6" t="s">
        <v>50</v>
      </c>
      <c r="D29" s="6" t="s">
        <v>30</v>
      </c>
      <c r="E29" s="6" t="s">
        <v>19</v>
      </c>
      <c r="F29" s="6" t="s">
        <v>13</v>
      </c>
      <c r="G29" s="6" t="s">
        <v>14</v>
      </c>
      <c r="H29" s="5">
        <v>7</v>
      </c>
      <c r="I29" s="33">
        <v>19.260000000000002</v>
      </c>
      <c r="J29" s="32">
        <v>25.76</v>
      </c>
      <c r="K29" s="33">
        <v>38.64</v>
      </c>
      <c r="L29" s="33">
        <v>39.369999999999997</v>
      </c>
      <c r="M29" s="33">
        <v>13.11</v>
      </c>
      <c r="N29" s="33">
        <v>0</v>
      </c>
      <c r="O29" s="33">
        <v>24.12</v>
      </c>
      <c r="P29" s="33">
        <v>31.38</v>
      </c>
      <c r="Q29" s="33">
        <v>18.57</v>
      </c>
      <c r="R29" s="33">
        <v>22.63</v>
      </c>
      <c r="S29" s="33">
        <v>7.87</v>
      </c>
      <c r="T29" s="33">
        <v>33.270000000000003</v>
      </c>
      <c r="U29" s="33">
        <v>17.149999999999999</v>
      </c>
      <c r="V29" s="33">
        <v>8.2899999999999991</v>
      </c>
      <c r="W29" s="33">
        <v>11.39</v>
      </c>
      <c r="X29" s="33">
        <v>15.21</v>
      </c>
      <c r="Y29" s="33">
        <v>18.77</v>
      </c>
      <c r="Z29" s="33">
        <v>13.32</v>
      </c>
      <c r="AA29" s="33">
        <v>8.1</v>
      </c>
      <c r="AB29" s="33">
        <v>7.8</v>
      </c>
      <c r="AC29" s="33">
        <v>12.92</v>
      </c>
      <c r="AD29" s="33">
        <v>22.89</v>
      </c>
      <c r="AE29" s="33">
        <v>26.45</v>
      </c>
      <c r="AF29" s="33">
        <v>22.22</v>
      </c>
      <c r="AG29" s="33">
        <v>19.86</v>
      </c>
      <c r="AH29" s="33">
        <v>19.760000000000002</v>
      </c>
      <c r="AI29" s="33">
        <v>17.8</v>
      </c>
      <c r="AJ29" s="33">
        <v>26.36</v>
      </c>
      <c r="AK29" s="33">
        <v>17.739999999999998</v>
      </c>
      <c r="AL29" s="33">
        <v>18.54</v>
      </c>
      <c r="AM29" s="33">
        <v>15.73</v>
      </c>
      <c r="AN29" s="33">
        <f t="shared" si="0"/>
        <v>19.170322580645156</v>
      </c>
    </row>
    <row r="30" spans="1:40" x14ac:dyDescent="0.3">
      <c r="A30" s="5">
        <v>26</v>
      </c>
      <c r="B30" s="6" t="s">
        <v>49</v>
      </c>
      <c r="C30" s="6" t="s">
        <v>98</v>
      </c>
      <c r="D30" s="6" t="s">
        <v>18</v>
      </c>
      <c r="E30" s="6" t="s">
        <v>19</v>
      </c>
      <c r="F30" s="6" t="s">
        <v>13</v>
      </c>
      <c r="G30" s="6" t="s">
        <v>14</v>
      </c>
      <c r="H30" s="5">
        <v>5</v>
      </c>
      <c r="I30" s="33">
        <v>13.61</v>
      </c>
      <c r="J30" s="32">
        <v>5.22</v>
      </c>
      <c r="K30" s="33">
        <v>20.32</v>
      </c>
      <c r="L30" s="33">
        <v>15.98</v>
      </c>
      <c r="M30" s="33">
        <v>21.49</v>
      </c>
      <c r="N30" s="33">
        <v>25.31</v>
      </c>
      <c r="O30" s="33">
        <v>18.940000000000001</v>
      </c>
      <c r="P30" s="33">
        <v>23.88</v>
      </c>
      <c r="Q30" s="33">
        <v>24.04</v>
      </c>
      <c r="R30" s="33">
        <v>33.67</v>
      </c>
      <c r="S30" s="33">
        <v>23.39</v>
      </c>
      <c r="T30" s="33">
        <v>28.23</v>
      </c>
      <c r="U30" s="33">
        <v>15.25</v>
      </c>
      <c r="V30" s="33">
        <v>26.45</v>
      </c>
      <c r="W30" s="33">
        <v>20.62</v>
      </c>
      <c r="X30" s="33">
        <v>21.98</v>
      </c>
      <c r="Y30" s="33">
        <v>15.95</v>
      </c>
      <c r="Z30" s="33">
        <v>12.68</v>
      </c>
      <c r="AA30" s="33">
        <v>12.61</v>
      </c>
      <c r="AB30" s="33">
        <v>26.63</v>
      </c>
      <c r="AC30" s="33">
        <v>12.99</v>
      </c>
      <c r="AD30" s="33">
        <v>11.36</v>
      </c>
      <c r="AE30" s="33">
        <v>17.5</v>
      </c>
      <c r="AF30" s="33">
        <v>24.79</v>
      </c>
      <c r="AG30" s="33">
        <v>21.4</v>
      </c>
      <c r="AH30" s="33">
        <v>32.6</v>
      </c>
      <c r="AI30" s="33">
        <v>11.83</v>
      </c>
      <c r="AJ30" s="33">
        <v>21.67</v>
      </c>
      <c r="AK30" s="33">
        <v>13.87</v>
      </c>
      <c r="AL30" s="33">
        <v>22.63</v>
      </c>
      <c r="AM30" s="33">
        <v>15.82</v>
      </c>
      <c r="AN30" s="33">
        <f t="shared" si="0"/>
        <v>19.76483870967742</v>
      </c>
    </row>
    <row r="31" spans="1:40" x14ac:dyDescent="0.3">
      <c r="A31" s="5">
        <v>27</v>
      </c>
      <c r="B31" s="6" t="s">
        <v>49</v>
      </c>
      <c r="C31" s="6" t="s">
        <v>99</v>
      </c>
      <c r="D31" s="6" t="s">
        <v>61</v>
      </c>
      <c r="E31" s="6" t="s">
        <v>19</v>
      </c>
      <c r="F31" s="6" t="s">
        <v>13</v>
      </c>
      <c r="G31" s="6" t="s">
        <v>14</v>
      </c>
      <c r="H31" s="5">
        <v>10</v>
      </c>
      <c r="I31" s="33">
        <v>53.68</v>
      </c>
      <c r="J31" s="32">
        <v>47.01</v>
      </c>
      <c r="K31" s="33">
        <v>43.87</v>
      </c>
      <c r="L31" s="33">
        <v>49.04</v>
      </c>
      <c r="M31" s="33">
        <v>55.33</v>
      </c>
      <c r="N31" s="33">
        <v>50.33</v>
      </c>
      <c r="O31" s="33">
        <v>50.97</v>
      </c>
      <c r="P31" s="33">
        <v>47.51</v>
      </c>
      <c r="Q31" s="33">
        <v>48.56</v>
      </c>
      <c r="R31" s="33">
        <v>49.61</v>
      </c>
      <c r="S31" s="33">
        <v>40.32</v>
      </c>
      <c r="T31" s="33">
        <v>40.24</v>
      </c>
      <c r="U31" s="33">
        <v>34.119999999999997</v>
      </c>
      <c r="V31" s="33">
        <v>51.55</v>
      </c>
      <c r="W31" s="33">
        <v>67.540000000000006</v>
      </c>
      <c r="X31" s="33">
        <v>44.6</v>
      </c>
      <c r="Y31" s="33">
        <v>62.21</v>
      </c>
      <c r="Z31" s="33">
        <v>49.7</v>
      </c>
      <c r="AA31" s="33">
        <v>48.29</v>
      </c>
      <c r="AB31" s="33">
        <v>46.85</v>
      </c>
      <c r="AC31" s="33">
        <v>41.44</v>
      </c>
      <c r="AD31" s="33">
        <v>41.65</v>
      </c>
      <c r="AE31" s="33">
        <v>47.45</v>
      </c>
      <c r="AF31" s="33">
        <v>45.45</v>
      </c>
      <c r="AG31" s="33">
        <v>50.44</v>
      </c>
      <c r="AH31" s="33">
        <v>41.28</v>
      </c>
      <c r="AI31" s="33">
        <v>41.02</v>
      </c>
      <c r="AJ31" s="33">
        <v>48.11</v>
      </c>
      <c r="AK31" s="33">
        <v>46.08</v>
      </c>
      <c r="AL31" s="33">
        <v>51.57</v>
      </c>
      <c r="AM31" s="33">
        <v>50.22</v>
      </c>
      <c r="AN31" s="33">
        <f t="shared" si="0"/>
        <v>47.936774193548388</v>
      </c>
    </row>
    <row r="32" spans="1:40" x14ac:dyDescent="0.3">
      <c r="A32" s="5">
        <v>28</v>
      </c>
      <c r="B32" s="6" t="s">
        <v>52</v>
      </c>
      <c r="C32" s="6" t="s">
        <v>100</v>
      </c>
      <c r="D32" s="6" t="s">
        <v>54</v>
      </c>
      <c r="E32" s="6" t="s">
        <v>19</v>
      </c>
      <c r="F32" s="6" t="s">
        <v>13</v>
      </c>
      <c r="G32" s="6" t="s">
        <v>14</v>
      </c>
      <c r="H32" s="5">
        <v>5</v>
      </c>
      <c r="I32" s="33">
        <v>11.2</v>
      </c>
      <c r="J32" s="32">
        <v>17.940000000000001</v>
      </c>
      <c r="K32" s="33">
        <v>25.69</v>
      </c>
      <c r="L32" s="33">
        <v>19.62</v>
      </c>
      <c r="M32" s="33">
        <v>8.3800000000000008</v>
      </c>
      <c r="N32" s="33">
        <v>27.44</v>
      </c>
      <c r="O32" s="33">
        <v>6.91</v>
      </c>
      <c r="P32" s="33">
        <v>28.93</v>
      </c>
      <c r="Q32" s="33">
        <v>43.26</v>
      </c>
      <c r="R32" s="33">
        <v>15</v>
      </c>
      <c r="S32" s="33">
        <v>0.76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52.39</v>
      </c>
      <c r="AF32" s="33">
        <v>38.590000000000003</v>
      </c>
      <c r="AG32" s="33">
        <v>0</v>
      </c>
      <c r="AH32" s="33">
        <v>0</v>
      </c>
      <c r="AI32" s="33">
        <v>0</v>
      </c>
      <c r="AJ32" s="33">
        <v>0</v>
      </c>
      <c r="AK32" s="33">
        <v>9.3000000000000007</v>
      </c>
      <c r="AL32" s="33">
        <v>0.82</v>
      </c>
      <c r="AM32" s="33">
        <v>1.17</v>
      </c>
      <c r="AN32" s="33">
        <f t="shared" si="0"/>
        <v>9.9161290322580662</v>
      </c>
    </row>
    <row r="33" spans="1:40" x14ac:dyDescent="0.3">
      <c r="A33" s="5">
        <v>29</v>
      </c>
      <c r="B33" s="6" t="s">
        <v>55</v>
      </c>
      <c r="C33" s="6" t="s">
        <v>56</v>
      </c>
      <c r="D33" s="6" t="s">
        <v>57</v>
      </c>
      <c r="E33" s="6" t="s">
        <v>19</v>
      </c>
      <c r="F33" s="6" t="s">
        <v>13</v>
      </c>
      <c r="G33" s="6" t="s">
        <v>14</v>
      </c>
      <c r="H33" s="5">
        <v>25</v>
      </c>
      <c r="I33" s="33">
        <v>166.8</v>
      </c>
      <c r="J33" s="32">
        <v>195.9</v>
      </c>
      <c r="K33" s="33">
        <v>225.06</v>
      </c>
      <c r="L33" s="33">
        <v>163.93</v>
      </c>
      <c r="M33" s="33">
        <v>300.37</v>
      </c>
      <c r="N33" s="33">
        <v>137.97999999999999</v>
      </c>
      <c r="O33" s="33">
        <v>58.49</v>
      </c>
      <c r="P33" s="33">
        <v>116.38</v>
      </c>
      <c r="Q33" s="33">
        <v>173.31</v>
      </c>
      <c r="R33" s="33">
        <v>110.05</v>
      </c>
      <c r="S33" s="33">
        <v>173.66</v>
      </c>
      <c r="T33" s="33">
        <v>203.5</v>
      </c>
      <c r="U33" s="33">
        <v>189.07</v>
      </c>
      <c r="V33" s="33">
        <v>87.03</v>
      </c>
      <c r="W33" s="33">
        <v>194.38</v>
      </c>
      <c r="X33" s="33">
        <v>160.75</v>
      </c>
      <c r="Y33" s="33">
        <v>180.16</v>
      </c>
      <c r="Z33" s="33">
        <v>117.87</v>
      </c>
      <c r="AA33" s="33">
        <v>140.66999999999999</v>
      </c>
      <c r="AB33" s="33">
        <v>135.06</v>
      </c>
      <c r="AC33" s="33">
        <v>70.709999999999994</v>
      </c>
      <c r="AD33" s="33">
        <v>127.77</v>
      </c>
      <c r="AE33" s="33">
        <v>86.54</v>
      </c>
      <c r="AF33" s="33">
        <v>101.43</v>
      </c>
      <c r="AG33" s="33">
        <v>118.26</v>
      </c>
      <c r="AH33" s="33">
        <v>123.21</v>
      </c>
      <c r="AI33" s="33">
        <v>119.09</v>
      </c>
      <c r="AJ33" s="33">
        <v>52.14</v>
      </c>
      <c r="AK33" s="33">
        <v>99.62</v>
      </c>
      <c r="AL33" s="33">
        <v>127.14</v>
      </c>
      <c r="AM33" s="33">
        <v>147.13</v>
      </c>
      <c r="AN33" s="33">
        <f t="shared" si="0"/>
        <v>142.04709677419359</v>
      </c>
    </row>
    <row r="34" spans="1:40" x14ac:dyDescent="0.3">
      <c r="A34" s="5">
        <v>30</v>
      </c>
      <c r="B34" s="6" t="s">
        <v>55</v>
      </c>
      <c r="C34" s="6" t="s">
        <v>56</v>
      </c>
      <c r="D34" s="6" t="s">
        <v>57</v>
      </c>
      <c r="E34" s="6" t="s">
        <v>19</v>
      </c>
      <c r="F34" s="6" t="s">
        <v>13</v>
      </c>
      <c r="G34" s="6" t="s">
        <v>35</v>
      </c>
      <c r="H34" s="5">
        <v>15</v>
      </c>
      <c r="I34" s="33">
        <v>22.84</v>
      </c>
      <c r="J34" s="32">
        <v>43.52</v>
      </c>
      <c r="K34" s="33">
        <v>28.33</v>
      </c>
      <c r="L34" s="33">
        <v>22.09</v>
      </c>
      <c r="M34" s="33">
        <v>127.23</v>
      </c>
      <c r="N34" s="33">
        <v>116.96</v>
      </c>
      <c r="O34" s="33">
        <v>126.86</v>
      </c>
      <c r="P34" s="33">
        <v>98.69</v>
      </c>
      <c r="Q34" s="33">
        <v>157.49</v>
      </c>
      <c r="R34" s="33">
        <v>145.1</v>
      </c>
      <c r="S34" s="33">
        <v>156.18</v>
      </c>
      <c r="T34" s="33">
        <v>146.54</v>
      </c>
      <c r="U34" s="33">
        <v>331.99</v>
      </c>
      <c r="V34" s="33">
        <v>250.05</v>
      </c>
      <c r="W34" s="33">
        <v>74.64</v>
      </c>
      <c r="X34" s="33">
        <v>225.79</v>
      </c>
      <c r="Y34" s="33">
        <v>212.3</v>
      </c>
      <c r="Z34" s="33">
        <v>141.82</v>
      </c>
      <c r="AA34" s="33">
        <v>149.18</v>
      </c>
      <c r="AB34" s="33">
        <v>103.84</v>
      </c>
      <c r="AC34" s="33">
        <v>130.03</v>
      </c>
      <c r="AD34" s="33">
        <v>39.65</v>
      </c>
      <c r="AE34" s="33">
        <v>104.2</v>
      </c>
      <c r="AF34" s="33">
        <v>108.79</v>
      </c>
      <c r="AG34" s="33">
        <v>148.82</v>
      </c>
      <c r="AH34" s="33">
        <v>169.79</v>
      </c>
      <c r="AI34" s="33">
        <v>155.59</v>
      </c>
      <c r="AJ34" s="33">
        <v>106.81</v>
      </c>
      <c r="AK34" s="33">
        <v>59.23</v>
      </c>
      <c r="AL34" s="33">
        <v>150.62</v>
      </c>
      <c r="AM34" s="33">
        <v>173.17</v>
      </c>
      <c r="AN34" s="33">
        <f t="shared" si="0"/>
        <v>129.94000000000003</v>
      </c>
    </row>
    <row r="35" spans="1:40" x14ac:dyDescent="0.3">
      <c r="A35" s="5">
        <v>31</v>
      </c>
      <c r="B35" s="6" t="s">
        <v>58</v>
      </c>
      <c r="C35" s="6" t="s">
        <v>59</v>
      </c>
      <c r="D35" s="6" t="s">
        <v>30</v>
      </c>
      <c r="E35" s="6" t="s">
        <v>19</v>
      </c>
      <c r="F35" s="6" t="s">
        <v>13</v>
      </c>
      <c r="G35" s="6" t="s">
        <v>14</v>
      </c>
      <c r="H35" s="5">
        <v>6</v>
      </c>
      <c r="I35" s="32">
        <v>0</v>
      </c>
      <c r="J35" s="32">
        <v>22.33</v>
      </c>
      <c r="K35" s="33">
        <v>6.82</v>
      </c>
      <c r="L35" s="33">
        <v>16.32</v>
      </c>
      <c r="M35" s="33">
        <v>10.63</v>
      </c>
      <c r="N35" s="33">
        <v>13.88</v>
      </c>
      <c r="O35" s="33">
        <v>13.64</v>
      </c>
      <c r="P35" s="33">
        <v>0</v>
      </c>
      <c r="Q35" s="33">
        <v>12.36</v>
      </c>
      <c r="R35" s="33">
        <v>19.190000000000001</v>
      </c>
      <c r="S35" s="33">
        <v>14.32</v>
      </c>
      <c r="T35" s="33">
        <v>15.06</v>
      </c>
      <c r="U35" s="33">
        <v>7.52</v>
      </c>
      <c r="V35" s="33">
        <v>11.28</v>
      </c>
      <c r="W35" s="33">
        <v>7.08</v>
      </c>
      <c r="X35" s="33">
        <v>32.58</v>
      </c>
      <c r="Y35" s="33">
        <v>22.9</v>
      </c>
      <c r="Z35" s="33">
        <v>23</v>
      </c>
      <c r="AA35" s="33">
        <v>16.07</v>
      </c>
      <c r="AB35" s="33">
        <v>9.2799999999999994</v>
      </c>
      <c r="AC35" s="33">
        <v>12.7</v>
      </c>
      <c r="AD35" s="33">
        <v>12.09</v>
      </c>
      <c r="AE35" s="33">
        <v>17.489999999999998</v>
      </c>
      <c r="AF35" s="33">
        <v>8.6199999999999992</v>
      </c>
      <c r="AG35" s="33">
        <v>3.9</v>
      </c>
      <c r="AH35" s="33">
        <v>15.43</v>
      </c>
      <c r="AI35" s="33">
        <v>9.7899999999999991</v>
      </c>
      <c r="AJ35" s="33">
        <v>11.35</v>
      </c>
      <c r="AK35" s="33">
        <v>15.09</v>
      </c>
      <c r="AL35" s="33">
        <v>8.61</v>
      </c>
      <c r="AM35" s="33">
        <v>3.2</v>
      </c>
      <c r="AN35" s="33">
        <f t="shared" si="0"/>
        <v>12.662258064516131</v>
      </c>
    </row>
    <row r="36" spans="1:40" x14ac:dyDescent="0.3">
      <c r="A36" s="5">
        <v>32</v>
      </c>
      <c r="B36" s="6" t="s">
        <v>58</v>
      </c>
      <c r="C36" s="6" t="s">
        <v>101</v>
      </c>
      <c r="D36" s="6" t="s">
        <v>61</v>
      </c>
      <c r="E36" s="6" t="s">
        <v>19</v>
      </c>
      <c r="F36" s="6" t="s">
        <v>13</v>
      </c>
      <c r="G36" s="6" t="s">
        <v>35</v>
      </c>
      <c r="H36" s="5">
        <v>3</v>
      </c>
      <c r="I36" s="33"/>
      <c r="J36" s="32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>
        <v>22.71</v>
      </c>
      <c r="AA36" s="33">
        <v>71.17</v>
      </c>
      <c r="AB36" s="33">
        <v>56.81</v>
      </c>
      <c r="AC36" s="33">
        <v>62.18</v>
      </c>
      <c r="AD36" s="33">
        <v>50.91</v>
      </c>
      <c r="AE36" s="33">
        <v>61.45</v>
      </c>
      <c r="AF36" s="33">
        <v>76.56</v>
      </c>
      <c r="AG36" s="33">
        <v>65.180000000000007</v>
      </c>
      <c r="AH36" s="33">
        <v>64.290000000000006</v>
      </c>
      <c r="AI36" s="33">
        <v>70.91</v>
      </c>
      <c r="AJ36" s="33">
        <v>65.62</v>
      </c>
      <c r="AK36" s="33">
        <v>69.14</v>
      </c>
      <c r="AL36" s="33">
        <v>73.13</v>
      </c>
      <c r="AM36" s="33">
        <v>64.91</v>
      </c>
      <c r="AN36" s="33">
        <f t="shared" si="0"/>
        <v>62.497857142857136</v>
      </c>
    </row>
    <row r="37" spans="1:40" x14ac:dyDescent="0.3">
      <c r="A37" s="5">
        <v>33</v>
      </c>
      <c r="B37" s="6" t="s">
        <v>58</v>
      </c>
      <c r="C37" s="6" t="s">
        <v>102</v>
      </c>
      <c r="D37" s="6" t="s">
        <v>61</v>
      </c>
      <c r="E37" s="6" t="s">
        <v>19</v>
      </c>
      <c r="F37" s="6" t="s">
        <v>13</v>
      </c>
      <c r="G37" s="6" t="s">
        <v>35</v>
      </c>
      <c r="H37" s="5">
        <v>9</v>
      </c>
      <c r="I37" s="33"/>
      <c r="J37" s="32"/>
      <c r="K37" s="33"/>
      <c r="L37" s="33"/>
      <c r="M37" s="33"/>
      <c r="N37" s="33"/>
      <c r="O37" s="33"/>
      <c r="P37" s="33"/>
      <c r="Q37" s="34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>
        <f>206.09-20.54</f>
        <v>185.55</v>
      </c>
      <c r="AG37" s="33">
        <v>215.65</v>
      </c>
      <c r="AH37" s="33">
        <v>172.75</v>
      </c>
      <c r="AI37" s="33">
        <v>168.49</v>
      </c>
      <c r="AJ37" s="33">
        <v>140.13</v>
      </c>
      <c r="AK37" s="33">
        <v>188.63</v>
      </c>
      <c r="AL37" s="33">
        <f>427.1-242.01</f>
        <v>185.09000000000003</v>
      </c>
      <c r="AM37" s="33">
        <f>393.63-227.61</f>
        <v>166.01999999999998</v>
      </c>
      <c r="AN37" s="33">
        <f t="shared" si="0"/>
        <v>177.78874999999999</v>
      </c>
    </row>
    <row r="38" spans="1:40" x14ac:dyDescent="0.3">
      <c r="A38" s="5">
        <v>34</v>
      </c>
      <c r="B38" s="6" t="s">
        <v>58</v>
      </c>
      <c r="C38" s="6" t="s">
        <v>103</v>
      </c>
      <c r="D38" s="6" t="s">
        <v>63</v>
      </c>
      <c r="E38" s="6" t="s">
        <v>19</v>
      </c>
      <c r="F38" s="6" t="s">
        <v>64</v>
      </c>
      <c r="G38" s="12" t="s">
        <v>35</v>
      </c>
      <c r="H38" s="5">
        <v>1</v>
      </c>
      <c r="I38" s="32">
        <v>1.02</v>
      </c>
      <c r="J38" s="32">
        <v>22.46</v>
      </c>
      <c r="K38" s="33">
        <v>4.9400000000000004</v>
      </c>
      <c r="L38" s="33">
        <v>7.67</v>
      </c>
      <c r="M38" s="33">
        <v>7.01</v>
      </c>
      <c r="N38" s="33">
        <v>0</v>
      </c>
      <c r="O38" s="33">
        <v>0</v>
      </c>
      <c r="P38" s="33">
        <v>7.64</v>
      </c>
      <c r="Q38" s="33">
        <v>5.89</v>
      </c>
      <c r="R38" s="33">
        <v>11.09</v>
      </c>
      <c r="S38" s="33">
        <v>2.9</v>
      </c>
      <c r="T38" s="33">
        <v>0</v>
      </c>
      <c r="U38" s="33">
        <v>7.11</v>
      </c>
      <c r="V38" s="33">
        <v>9.0399999999999991</v>
      </c>
      <c r="W38" s="33">
        <v>11.71</v>
      </c>
      <c r="X38" s="33">
        <v>5.81</v>
      </c>
      <c r="Y38" s="33">
        <v>21.1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12.22</v>
      </c>
      <c r="AG38" s="33">
        <v>0</v>
      </c>
      <c r="AH38" s="33">
        <v>13.99</v>
      </c>
      <c r="AI38" s="33">
        <v>15.38</v>
      </c>
      <c r="AJ38" s="33">
        <v>14.69</v>
      </c>
      <c r="AK38" s="33">
        <v>5.0199999999999996</v>
      </c>
      <c r="AL38" s="33">
        <v>13.45</v>
      </c>
      <c r="AM38" s="33">
        <v>16.649999999999999</v>
      </c>
      <c r="AN38" s="33">
        <f t="shared" si="0"/>
        <v>6.9932258064516137</v>
      </c>
    </row>
    <row r="39" spans="1:40" x14ac:dyDescent="0.3">
      <c r="A39" s="5">
        <v>35</v>
      </c>
      <c r="B39" s="6" t="s">
        <v>58</v>
      </c>
      <c r="C39" s="6" t="s">
        <v>104</v>
      </c>
      <c r="D39" s="6" t="s">
        <v>30</v>
      </c>
      <c r="E39" s="6" t="s">
        <v>19</v>
      </c>
      <c r="F39" s="6" t="s">
        <v>13</v>
      </c>
      <c r="G39" s="12" t="s">
        <v>35</v>
      </c>
      <c r="H39" s="5">
        <v>7</v>
      </c>
      <c r="I39" s="35">
        <v>0</v>
      </c>
      <c r="J39" s="35">
        <v>0</v>
      </c>
      <c r="K39" s="36">
        <v>0</v>
      </c>
      <c r="L39" s="36">
        <v>0</v>
      </c>
      <c r="M39" s="36">
        <v>0</v>
      </c>
      <c r="N39" s="36">
        <v>0</v>
      </c>
      <c r="O39" s="36">
        <v>0</v>
      </c>
      <c r="P39" s="36">
        <v>0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3">
        <v>49.04</v>
      </c>
      <c r="W39" s="33">
        <v>95.74</v>
      </c>
      <c r="X39" s="33">
        <v>326.18</v>
      </c>
      <c r="Y39" s="33">
        <v>165.49</v>
      </c>
      <c r="Z39" s="33">
        <v>206.47</v>
      </c>
      <c r="AA39" s="33">
        <v>233.08</v>
      </c>
      <c r="AB39" s="33">
        <v>244.87</v>
      </c>
      <c r="AC39" s="33">
        <v>216.94</v>
      </c>
      <c r="AD39" s="33">
        <v>200.54</v>
      </c>
      <c r="AE39" s="33">
        <v>211.72</v>
      </c>
      <c r="AF39" s="33">
        <v>203.25</v>
      </c>
      <c r="AG39" s="33">
        <v>167.39</v>
      </c>
      <c r="AH39" s="33">
        <v>175.95</v>
      </c>
      <c r="AI39" s="33">
        <v>204.19</v>
      </c>
      <c r="AJ39" s="33">
        <v>194.97</v>
      </c>
      <c r="AK39" s="33">
        <v>232.62</v>
      </c>
      <c r="AL39" s="33">
        <v>229.95</v>
      </c>
      <c r="AM39" s="33">
        <v>210.96</v>
      </c>
      <c r="AN39" s="33">
        <f t="shared" si="0"/>
        <v>115.14032258064513</v>
      </c>
    </row>
    <row r="40" spans="1:40" x14ac:dyDescent="0.3">
      <c r="A40" s="5">
        <v>36</v>
      </c>
      <c r="B40" s="6" t="s">
        <v>65</v>
      </c>
      <c r="C40" s="6" t="s">
        <v>66</v>
      </c>
      <c r="D40" s="6" t="s">
        <v>67</v>
      </c>
      <c r="E40" s="6" t="s">
        <v>12</v>
      </c>
      <c r="F40" s="6" t="s">
        <v>13</v>
      </c>
      <c r="G40" s="6" t="s">
        <v>14</v>
      </c>
      <c r="H40" s="5">
        <f>111-6</f>
        <v>105</v>
      </c>
      <c r="I40" s="32">
        <v>3.76</v>
      </c>
      <c r="J40" s="32">
        <v>1.0900000000000001</v>
      </c>
      <c r="K40" s="33">
        <v>2.13</v>
      </c>
      <c r="L40" s="33">
        <v>0.72</v>
      </c>
      <c r="M40" s="33">
        <v>0.02</v>
      </c>
      <c r="N40" s="33">
        <v>0.37</v>
      </c>
      <c r="O40" s="33">
        <v>0.33</v>
      </c>
      <c r="P40" s="33">
        <v>0.66</v>
      </c>
      <c r="Q40" s="33">
        <v>1.64</v>
      </c>
      <c r="R40" s="33">
        <v>0.73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0.05</v>
      </c>
      <c r="AJ40" s="33">
        <v>2.91</v>
      </c>
      <c r="AK40" s="33">
        <v>3.13</v>
      </c>
      <c r="AL40" s="33">
        <v>4.24</v>
      </c>
      <c r="AM40" s="33">
        <v>6.29</v>
      </c>
      <c r="AN40" s="33">
        <f t="shared" si="0"/>
        <v>0.90548387096774197</v>
      </c>
    </row>
    <row r="41" spans="1:40" x14ac:dyDescent="0.3">
      <c r="A41" s="5">
        <v>37</v>
      </c>
      <c r="B41" s="6" t="s">
        <v>65</v>
      </c>
      <c r="C41" s="6" t="s">
        <v>68</v>
      </c>
      <c r="D41" s="6" t="s">
        <v>69</v>
      </c>
      <c r="E41" s="6" t="s">
        <v>12</v>
      </c>
      <c r="F41" s="6" t="s">
        <v>40</v>
      </c>
      <c r="G41" s="6" t="s">
        <v>35</v>
      </c>
      <c r="H41" s="5">
        <v>2</v>
      </c>
      <c r="I41" s="32">
        <v>0</v>
      </c>
      <c r="J41" s="32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3.78</v>
      </c>
      <c r="U41" s="33">
        <v>0</v>
      </c>
      <c r="V41" s="33">
        <v>0</v>
      </c>
      <c r="W41" s="33">
        <v>0</v>
      </c>
      <c r="X41" s="33">
        <v>0</v>
      </c>
      <c r="Y41" s="33">
        <v>0</v>
      </c>
      <c r="Z41" s="33">
        <v>0</v>
      </c>
      <c r="AA41" s="33">
        <v>0.56999999999999995</v>
      </c>
      <c r="AB41" s="33">
        <v>0.56999999999999995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0</v>
      </c>
      <c r="AM41" s="33">
        <v>0</v>
      </c>
      <c r="AN41" s="33">
        <f t="shared" si="0"/>
        <v>0.15870967741935485</v>
      </c>
    </row>
    <row r="42" spans="1:40" x14ac:dyDescent="0.3">
      <c r="A42" s="5">
        <v>38</v>
      </c>
      <c r="B42" s="6" t="s">
        <v>65</v>
      </c>
      <c r="C42" s="6" t="s">
        <v>70</v>
      </c>
      <c r="D42" s="6"/>
      <c r="E42" s="6" t="s">
        <v>12</v>
      </c>
      <c r="F42" s="6" t="s">
        <v>13</v>
      </c>
      <c r="G42" s="6" t="s">
        <v>14</v>
      </c>
      <c r="H42" s="13">
        <v>82</v>
      </c>
      <c r="I42" s="33">
        <v>19.11</v>
      </c>
      <c r="J42" s="32">
        <v>45.61</v>
      </c>
      <c r="K42" s="33">
        <v>7.82</v>
      </c>
      <c r="L42" s="33">
        <v>3.41</v>
      </c>
      <c r="M42" s="33">
        <v>0</v>
      </c>
      <c r="N42" s="33">
        <v>3.36</v>
      </c>
      <c r="O42" s="33">
        <v>50.59</v>
      </c>
      <c r="P42" s="33">
        <v>5.67</v>
      </c>
      <c r="Q42" s="33">
        <v>17.829999999999998</v>
      </c>
      <c r="R42" s="33">
        <v>43.88</v>
      </c>
      <c r="S42" s="33">
        <v>8.14</v>
      </c>
      <c r="T42" s="33">
        <v>12.64</v>
      </c>
      <c r="U42" s="33">
        <v>4.5</v>
      </c>
      <c r="V42" s="33">
        <v>13.95</v>
      </c>
      <c r="W42" s="33">
        <v>28.48</v>
      </c>
      <c r="X42" s="33">
        <v>7.76</v>
      </c>
      <c r="Y42" s="33">
        <v>13.54</v>
      </c>
      <c r="Z42" s="33">
        <v>3.45</v>
      </c>
      <c r="AA42" s="33">
        <v>25.65</v>
      </c>
      <c r="AB42" s="33">
        <v>6.94</v>
      </c>
      <c r="AC42" s="33">
        <v>24.61</v>
      </c>
      <c r="AD42" s="33">
        <v>9.07</v>
      </c>
      <c r="AE42" s="33">
        <v>21.26</v>
      </c>
      <c r="AF42" s="33">
        <v>21.76</v>
      </c>
      <c r="AG42" s="33">
        <v>26.68</v>
      </c>
      <c r="AH42" s="33">
        <v>1.81</v>
      </c>
      <c r="AI42" s="33">
        <v>0.55000000000000004</v>
      </c>
      <c r="AJ42" s="33">
        <v>9.99</v>
      </c>
      <c r="AK42" s="33">
        <v>9.17</v>
      </c>
      <c r="AL42" s="33">
        <v>2.97</v>
      </c>
      <c r="AM42" s="33">
        <v>12.92</v>
      </c>
      <c r="AN42" s="33">
        <f t="shared" si="0"/>
        <v>14.939354838709678</v>
      </c>
    </row>
    <row r="43" spans="1:40" x14ac:dyDescent="0.3">
      <c r="A43" s="5">
        <v>39</v>
      </c>
      <c r="B43" s="6" t="s">
        <v>65</v>
      </c>
      <c r="C43" s="6" t="s">
        <v>71</v>
      </c>
      <c r="D43" s="6" t="s">
        <v>30</v>
      </c>
      <c r="E43" s="6" t="s">
        <v>19</v>
      </c>
      <c r="F43" s="6" t="s">
        <v>13</v>
      </c>
      <c r="G43" s="6" t="s">
        <v>35</v>
      </c>
      <c r="H43" s="5">
        <v>5</v>
      </c>
      <c r="I43" s="36">
        <v>0</v>
      </c>
      <c r="J43" s="35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3">
        <v>37.72</v>
      </c>
      <c r="T43" s="33">
        <v>44.83</v>
      </c>
      <c r="U43" s="33">
        <v>38</v>
      </c>
      <c r="V43" s="33">
        <v>42.9</v>
      </c>
      <c r="W43" s="33">
        <v>0</v>
      </c>
      <c r="X43" s="33">
        <v>14.75</v>
      </c>
      <c r="Y43" s="33">
        <v>61.8</v>
      </c>
      <c r="Z43" s="33">
        <v>87.61</v>
      </c>
      <c r="AA43" s="33">
        <v>68.95</v>
      </c>
      <c r="AB43" s="33">
        <v>77.150000000000006</v>
      </c>
      <c r="AC43" s="33">
        <v>49.43</v>
      </c>
      <c r="AD43" s="33">
        <v>57.3</v>
      </c>
      <c r="AE43" s="33">
        <v>50.16</v>
      </c>
      <c r="AF43" s="33">
        <v>58.59</v>
      </c>
      <c r="AG43" s="33">
        <v>60.91</v>
      </c>
      <c r="AH43" s="33">
        <v>50.17</v>
      </c>
      <c r="AI43" s="33">
        <v>38.909999999999997</v>
      </c>
      <c r="AJ43" s="33">
        <v>57.79</v>
      </c>
      <c r="AK43" s="33">
        <v>87.72</v>
      </c>
      <c r="AL43" s="33">
        <v>24.56</v>
      </c>
      <c r="AM43" s="33">
        <v>29.66</v>
      </c>
      <c r="AN43" s="33">
        <f t="shared" si="0"/>
        <v>33.513225806451608</v>
      </c>
    </row>
    <row r="44" spans="1:40" x14ac:dyDescent="0.3">
      <c r="A44" s="5">
        <v>40</v>
      </c>
      <c r="B44" s="6" t="s">
        <v>65</v>
      </c>
      <c r="C44" s="6" t="s">
        <v>74</v>
      </c>
      <c r="D44" s="6" t="s">
        <v>30</v>
      </c>
      <c r="E44" s="6" t="s">
        <v>19</v>
      </c>
      <c r="F44" s="6" t="s">
        <v>13</v>
      </c>
      <c r="G44" s="6" t="s">
        <v>14</v>
      </c>
      <c r="H44" s="5">
        <v>2</v>
      </c>
      <c r="I44" s="32">
        <v>0</v>
      </c>
      <c r="J44" s="32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0</v>
      </c>
      <c r="U44" s="33">
        <v>0</v>
      </c>
      <c r="V44" s="33">
        <v>0</v>
      </c>
      <c r="W44" s="33">
        <v>0</v>
      </c>
      <c r="X44" s="33">
        <v>0</v>
      </c>
      <c r="Y44" s="33">
        <v>0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0</v>
      </c>
      <c r="AG44" s="33">
        <v>0</v>
      </c>
      <c r="AH44" s="33">
        <v>0</v>
      </c>
      <c r="AI44" s="33">
        <v>0</v>
      </c>
      <c r="AJ44" s="33">
        <v>0</v>
      </c>
      <c r="AK44" s="33">
        <v>0</v>
      </c>
      <c r="AL44" s="33">
        <v>0</v>
      </c>
      <c r="AM44" s="33">
        <v>0</v>
      </c>
      <c r="AN44" s="33">
        <f t="shared" si="0"/>
        <v>0</v>
      </c>
    </row>
    <row r="45" spans="1:40" x14ac:dyDescent="0.3">
      <c r="A45" s="5">
        <v>41</v>
      </c>
      <c r="B45" s="6" t="s">
        <v>65</v>
      </c>
      <c r="C45" s="6" t="s">
        <v>75</v>
      </c>
      <c r="D45" s="6" t="s">
        <v>30</v>
      </c>
      <c r="E45" s="6" t="s">
        <v>19</v>
      </c>
      <c r="F45" s="6" t="s">
        <v>13</v>
      </c>
      <c r="G45" s="6" t="s">
        <v>35</v>
      </c>
      <c r="H45" s="5">
        <v>16</v>
      </c>
      <c r="I45" s="33">
        <v>54.72</v>
      </c>
      <c r="J45" s="32">
        <v>45.69</v>
      </c>
      <c r="K45" s="33">
        <v>50.6</v>
      </c>
      <c r="L45" s="33">
        <v>49.53</v>
      </c>
      <c r="M45" s="33">
        <v>46.38</v>
      </c>
      <c r="N45" s="33">
        <v>39.4</v>
      </c>
      <c r="O45" s="33">
        <v>29.79</v>
      </c>
      <c r="P45" s="33">
        <v>38.020000000000003</v>
      </c>
      <c r="Q45" s="33">
        <v>86.14</v>
      </c>
      <c r="R45" s="33">
        <v>43.42</v>
      </c>
      <c r="S45" s="33">
        <v>41.34</v>
      </c>
      <c r="T45" s="33">
        <v>40.08</v>
      </c>
      <c r="U45" s="33">
        <v>0</v>
      </c>
      <c r="V45" s="33">
        <v>0</v>
      </c>
      <c r="W45" s="33">
        <v>0</v>
      </c>
      <c r="X45" s="33">
        <v>33.4</v>
      </c>
      <c r="Y45" s="33">
        <v>38.090000000000003</v>
      </c>
      <c r="Z45" s="33">
        <v>81.59</v>
      </c>
      <c r="AA45" s="33">
        <v>167.95</v>
      </c>
      <c r="AB45" s="33">
        <v>4.46</v>
      </c>
      <c r="AC45" s="33">
        <v>38.64</v>
      </c>
      <c r="AD45" s="33">
        <v>60.06</v>
      </c>
      <c r="AE45" s="33">
        <v>57.55</v>
      </c>
      <c r="AF45" s="33">
        <v>30.6</v>
      </c>
      <c r="AG45" s="33">
        <v>171.29</v>
      </c>
      <c r="AH45" s="33">
        <v>46.8</v>
      </c>
      <c r="AI45" s="33">
        <v>31.72</v>
      </c>
      <c r="AJ45" s="33">
        <v>35.29</v>
      </c>
      <c r="AK45" s="33">
        <v>32.020000000000003</v>
      </c>
      <c r="AL45" s="33">
        <v>39.380000000000003</v>
      </c>
      <c r="AM45" s="33">
        <v>42.77</v>
      </c>
      <c r="AN45" s="33">
        <f t="shared" si="0"/>
        <v>47.636129032258069</v>
      </c>
    </row>
    <row r="46" spans="1:40" x14ac:dyDescent="0.3">
      <c r="A46" s="5">
        <v>42</v>
      </c>
      <c r="B46" s="6" t="s">
        <v>65</v>
      </c>
      <c r="C46" s="6" t="s">
        <v>76</v>
      </c>
      <c r="D46" s="6" t="s">
        <v>30</v>
      </c>
      <c r="E46" s="6" t="s">
        <v>19</v>
      </c>
      <c r="F46" s="6" t="s">
        <v>13</v>
      </c>
      <c r="G46" s="6" t="s">
        <v>35</v>
      </c>
      <c r="H46" s="5">
        <v>10</v>
      </c>
      <c r="I46" s="36">
        <v>0</v>
      </c>
      <c r="J46" s="35">
        <v>0</v>
      </c>
      <c r="K46" s="36">
        <v>0</v>
      </c>
      <c r="L46" s="36">
        <v>0</v>
      </c>
      <c r="M46" s="36">
        <v>0</v>
      </c>
      <c r="N46" s="36">
        <v>0</v>
      </c>
      <c r="O46" s="36">
        <v>0</v>
      </c>
      <c r="P46" s="36">
        <v>0</v>
      </c>
      <c r="Q46" s="33">
        <v>8.92</v>
      </c>
      <c r="R46" s="33">
        <v>41.43</v>
      </c>
      <c r="S46" s="33">
        <v>52.71</v>
      </c>
      <c r="T46" s="33">
        <v>37.729999999999997</v>
      </c>
      <c r="U46" s="33">
        <v>12.27</v>
      </c>
      <c r="V46" s="33">
        <v>49.62</v>
      </c>
      <c r="W46" s="33">
        <v>15.57</v>
      </c>
      <c r="X46" s="33">
        <v>9.4600000000000009</v>
      </c>
      <c r="Y46" s="33">
        <v>22.13</v>
      </c>
      <c r="Z46" s="33">
        <v>66.040000000000006</v>
      </c>
      <c r="AA46" s="33">
        <v>63.91</v>
      </c>
      <c r="AB46" s="33">
        <v>27.75</v>
      </c>
      <c r="AC46" s="33">
        <v>32.93</v>
      </c>
      <c r="AD46" s="33">
        <v>42.53</v>
      </c>
      <c r="AE46" s="33">
        <v>18.62</v>
      </c>
      <c r="AF46" s="33">
        <v>42.31</v>
      </c>
      <c r="AG46" s="33">
        <v>42.17</v>
      </c>
      <c r="AH46" s="33">
        <v>44.77</v>
      </c>
      <c r="AI46" s="33">
        <v>19.510000000000002</v>
      </c>
      <c r="AJ46" s="33">
        <v>38.99</v>
      </c>
      <c r="AK46" s="33">
        <v>26.44</v>
      </c>
      <c r="AL46" s="33">
        <v>18.28</v>
      </c>
      <c r="AM46" s="33">
        <v>15.2</v>
      </c>
      <c r="AN46" s="33">
        <f t="shared" si="0"/>
        <v>24.170645161290324</v>
      </c>
    </row>
    <row r="47" spans="1:40" x14ac:dyDescent="0.3">
      <c r="A47" s="5">
        <v>43</v>
      </c>
      <c r="B47" s="6" t="s">
        <v>65</v>
      </c>
      <c r="C47" s="6" t="s">
        <v>105</v>
      </c>
      <c r="D47" s="6" t="s">
        <v>30</v>
      </c>
      <c r="E47" s="6" t="s">
        <v>19</v>
      </c>
      <c r="F47" s="6" t="s">
        <v>13</v>
      </c>
      <c r="G47" s="6" t="s">
        <v>35</v>
      </c>
      <c r="H47" s="5">
        <v>13</v>
      </c>
      <c r="I47" s="32">
        <v>6.49</v>
      </c>
      <c r="J47" s="32">
        <v>36.770000000000003</v>
      </c>
      <c r="K47" s="33">
        <v>47.63</v>
      </c>
      <c r="L47" s="33">
        <v>33.1</v>
      </c>
      <c r="M47" s="33">
        <v>36.17</v>
      </c>
      <c r="N47" s="33">
        <v>30.2</v>
      </c>
      <c r="O47" s="33">
        <v>6.87</v>
      </c>
      <c r="P47" s="33">
        <v>21.05</v>
      </c>
      <c r="Q47" s="33">
        <v>0</v>
      </c>
      <c r="R47" s="33">
        <v>1.82</v>
      </c>
      <c r="S47" s="33">
        <v>74.47</v>
      </c>
      <c r="T47" s="33">
        <v>58.93</v>
      </c>
      <c r="U47" s="33">
        <v>15.8</v>
      </c>
      <c r="V47" s="33">
        <v>55.95</v>
      </c>
      <c r="W47" s="33">
        <v>2.4300000000000002</v>
      </c>
      <c r="X47" s="33">
        <v>48.61</v>
      </c>
      <c r="Y47" s="33">
        <v>59.83</v>
      </c>
      <c r="Z47" s="33">
        <v>73.42</v>
      </c>
      <c r="AA47" s="33">
        <v>71.040000000000006</v>
      </c>
      <c r="AB47" s="33">
        <v>28.6</v>
      </c>
      <c r="AC47" s="33">
        <v>45.26</v>
      </c>
      <c r="AD47" s="33">
        <v>60</v>
      </c>
      <c r="AE47" s="33">
        <v>66.7</v>
      </c>
      <c r="AF47" s="33">
        <v>82.58</v>
      </c>
      <c r="AG47" s="33">
        <v>89.45</v>
      </c>
      <c r="AH47" s="33">
        <v>65.95</v>
      </c>
      <c r="AI47" s="33">
        <v>38.06</v>
      </c>
      <c r="AJ47" s="33">
        <v>63.43</v>
      </c>
      <c r="AK47" s="33">
        <v>88.09</v>
      </c>
      <c r="AL47" s="33">
        <v>64.92</v>
      </c>
      <c r="AM47" s="33">
        <v>24.77</v>
      </c>
      <c r="AN47" s="33">
        <f t="shared" si="0"/>
        <v>45.109354838709677</v>
      </c>
    </row>
    <row r="48" spans="1:40" x14ac:dyDescent="0.3">
      <c r="A48" s="5">
        <v>44</v>
      </c>
      <c r="B48" s="6" t="s">
        <v>65</v>
      </c>
      <c r="C48" s="6" t="s">
        <v>106</v>
      </c>
      <c r="D48" s="6" t="s">
        <v>30</v>
      </c>
      <c r="E48" s="6" t="s">
        <v>19</v>
      </c>
      <c r="F48" s="6" t="s">
        <v>13</v>
      </c>
      <c r="G48" s="6" t="s">
        <v>14</v>
      </c>
      <c r="H48" s="13">
        <v>11</v>
      </c>
      <c r="I48" s="33">
        <v>11.53</v>
      </c>
      <c r="J48" s="32">
        <v>22.8</v>
      </c>
      <c r="K48" s="33">
        <v>17.399999999999999</v>
      </c>
      <c r="L48" s="33">
        <v>16.63</v>
      </c>
      <c r="M48" s="33">
        <v>13.88</v>
      </c>
      <c r="N48" s="33">
        <v>17.46</v>
      </c>
      <c r="O48" s="33">
        <v>15.54</v>
      </c>
      <c r="P48" s="33">
        <v>14.58</v>
      </c>
      <c r="Q48" s="33">
        <v>21.93</v>
      </c>
      <c r="R48" s="33">
        <v>33.590000000000003</v>
      </c>
      <c r="S48" s="33">
        <v>26.82</v>
      </c>
      <c r="T48" s="33">
        <v>25.17</v>
      </c>
      <c r="U48" s="33">
        <v>23</v>
      </c>
      <c r="V48" s="33">
        <v>22.42</v>
      </c>
      <c r="W48" s="33">
        <v>13.99</v>
      </c>
      <c r="X48" s="33">
        <v>25.59</v>
      </c>
      <c r="Y48" s="33">
        <v>17.86</v>
      </c>
      <c r="Z48" s="33">
        <v>16.71</v>
      </c>
      <c r="AA48" s="33">
        <v>16.21</v>
      </c>
      <c r="AB48" s="33">
        <v>7.92</v>
      </c>
      <c r="AC48" s="33">
        <v>18.260000000000002</v>
      </c>
      <c r="AD48" s="33">
        <v>19.64</v>
      </c>
      <c r="AE48" s="33">
        <v>12.66</v>
      </c>
      <c r="AF48" s="33">
        <v>19.09</v>
      </c>
      <c r="AG48" s="33">
        <v>16.91</v>
      </c>
      <c r="AH48" s="33">
        <v>11.55</v>
      </c>
      <c r="AI48" s="33">
        <v>9.06</v>
      </c>
      <c r="AJ48" s="33">
        <v>0.05</v>
      </c>
      <c r="AK48" s="33">
        <v>4.0000000000000001E-3</v>
      </c>
      <c r="AL48" s="33">
        <v>0</v>
      </c>
      <c r="AM48" s="33">
        <v>0</v>
      </c>
      <c r="AN48" s="33">
        <f t="shared" si="0"/>
        <v>15.750129032258066</v>
      </c>
    </row>
    <row r="49" spans="1:40" x14ac:dyDescent="0.3">
      <c r="A49" s="5">
        <v>45</v>
      </c>
      <c r="B49" s="6" t="s">
        <v>65</v>
      </c>
      <c r="C49" s="6" t="s">
        <v>106</v>
      </c>
      <c r="D49" s="6" t="s">
        <v>30</v>
      </c>
      <c r="E49" s="6" t="s">
        <v>19</v>
      </c>
      <c r="F49" s="6" t="s">
        <v>13</v>
      </c>
      <c r="G49" s="6" t="s">
        <v>35</v>
      </c>
      <c r="H49" s="5">
        <v>14</v>
      </c>
      <c r="I49" s="33"/>
      <c r="J49" s="32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>
        <v>64.86</v>
      </c>
      <c r="AK49" s="33">
        <v>96.19</v>
      </c>
      <c r="AL49" s="33">
        <v>71.63</v>
      </c>
      <c r="AM49" s="33">
        <v>74.12</v>
      </c>
      <c r="AN49" s="33">
        <f t="shared" si="0"/>
        <v>76.7</v>
      </c>
    </row>
    <row r="50" spans="1:40" x14ac:dyDescent="0.3">
      <c r="A50" s="5">
        <v>45</v>
      </c>
      <c r="B50" s="6" t="s">
        <v>65</v>
      </c>
      <c r="C50" s="6" t="s">
        <v>107</v>
      </c>
      <c r="D50" s="6" t="s">
        <v>30</v>
      </c>
      <c r="E50" s="6" t="s">
        <v>19</v>
      </c>
      <c r="F50" s="6" t="s">
        <v>13</v>
      </c>
      <c r="G50" s="6" t="s">
        <v>14</v>
      </c>
      <c r="H50" s="13">
        <v>24</v>
      </c>
      <c r="I50" s="32">
        <v>0</v>
      </c>
      <c r="J50" s="32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f t="shared" si="0"/>
        <v>0</v>
      </c>
    </row>
    <row r="51" spans="1:40" x14ac:dyDescent="0.3">
      <c r="A51" s="5">
        <v>46</v>
      </c>
      <c r="B51" s="6" t="s">
        <v>65</v>
      </c>
      <c r="C51" s="6" t="s">
        <v>108</v>
      </c>
      <c r="D51" s="6" t="s">
        <v>30</v>
      </c>
      <c r="E51" s="6" t="s">
        <v>19</v>
      </c>
      <c r="F51" s="6" t="s">
        <v>13</v>
      </c>
      <c r="G51" s="6" t="s">
        <v>35</v>
      </c>
      <c r="H51" s="5">
        <v>3</v>
      </c>
      <c r="I51" s="32">
        <v>0</v>
      </c>
      <c r="J51" s="32">
        <v>1.22</v>
      </c>
      <c r="K51" s="33">
        <v>0</v>
      </c>
      <c r="L51" s="33">
        <v>0</v>
      </c>
      <c r="M51" s="33">
        <v>2.5099999999999998</v>
      </c>
      <c r="N51" s="33">
        <v>6.8</v>
      </c>
      <c r="O51" s="33">
        <v>0</v>
      </c>
      <c r="P51" s="33">
        <v>0</v>
      </c>
      <c r="Q51" s="33">
        <v>24.39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3">
        <v>0</v>
      </c>
      <c r="AN51" s="33">
        <f t="shared" si="0"/>
        <v>1.1264516129032258</v>
      </c>
    </row>
    <row r="52" spans="1:40" x14ac:dyDescent="0.3">
      <c r="A52" s="5">
        <v>47</v>
      </c>
      <c r="B52" s="6" t="s">
        <v>65</v>
      </c>
      <c r="C52" s="6" t="s">
        <v>109</v>
      </c>
      <c r="D52" s="6" t="s">
        <v>30</v>
      </c>
      <c r="E52" s="6" t="s">
        <v>12</v>
      </c>
      <c r="F52" s="6" t="s">
        <v>40</v>
      </c>
      <c r="G52" s="6" t="s">
        <v>35</v>
      </c>
      <c r="H52" s="5">
        <v>1</v>
      </c>
      <c r="I52" s="35">
        <v>0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f t="shared" si="0"/>
        <v>0</v>
      </c>
    </row>
    <row r="53" spans="1:40" x14ac:dyDescent="0.3">
      <c r="A53" s="5">
        <v>48</v>
      </c>
      <c r="B53" s="6" t="s">
        <v>65</v>
      </c>
      <c r="C53" s="6" t="s">
        <v>109</v>
      </c>
      <c r="D53" s="6" t="s">
        <v>30</v>
      </c>
      <c r="E53" s="6" t="s">
        <v>12</v>
      </c>
      <c r="F53" s="6" t="s">
        <v>13</v>
      </c>
      <c r="G53" s="6" t="s">
        <v>35</v>
      </c>
      <c r="H53" s="5">
        <v>1</v>
      </c>
      <c r="I53" s="35"/>
      <c r="J53" s="35"/>
      <c r="K53" s="35"/>
      <c r="L53" s="35"/>
      <c r="M53" s="35"/>
      <c r="N53" s="35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3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f t="shared" si="0"/>
        <v>0</v>
      </c>
    </row>
    <row r="54" spans="1:40" x14ac:dyDescent="0.3">
      <c r="A54" s="5">
        <v>49</v>
      </c>
      <c r="B54" s="6" t="s">
        <v>65</v>
      </c>
      <c r="C54" s="6" t="s">
        <v>110</v>
      </c>
      <c r="D54" s="6" t="s">
        <v>30</v>
      </c>
      <c r="E54" s="6" t="s">
        <v>12</v>
      </c>
      <c r="F54" s="6" t="s">
        <v>40</v>
      </c>
      <c r="G54" s="6" t="s">
        <v>35</v>
      </c>
      <c r="H54" s="5">
        <v>1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f t="shared" si="0"/>
        <v>0</v>
      </c>
    </row>
    <row r="55" spans="1:40" x14ac:dyDescent="0.3">
      <c r="A55" s="5">
        <v>50</v>
      </c>
      <c r="B55" s="6" t="s">
        <v>65</v>
      </c>
      <c r="C55" s="6" t="s">
        <v>110</v>
      </c>
      <c r="D55" s="6" t="s">
        <v>30</v>
      </c>
      <c r="E55" s="6" t="s">
        <v>12</v>
      </c>
      <c r="F55" s="6" t="s">
        <v>13</v>
      </c>
      <c r="G55" s="6" t="s">
        <v>35</v>
      </c>
      <c r="H55" s="5">
        <v>1</v>
      </c>
      <c r="I55" s="35"/>
      <c r="J55" s="35"/>
      <c r="K55" s="35"/>
      <c r="L55" s="35"/>
      <c r="M55" s="35"/>
      <c r="N55" s="35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f t="shared" si="0"/>
        <v>0</v>
      </c>
    </row>
    <row r="56" spans="1:40" x14ac:dyDescent="0.3">
      <c r="A56" s="5">
        <v>51</v>
      </c>
      <c r="B56" s="6" t="s">
        <v>65</v>
      </c>
      <c r="C56" s="6" t="s">
        <v>111</v>
      </c>
      <c r="D56" s="6" t="s">
        <v>30</v>
      </c>
      <c r="E56" s="6" t="s">
        <v>19</v>
      </c>
      <c r="F56" s="6" t="s">
        <v>13</v>
      </c>
      <c r="G56" s="6" t="s">
        <v>14</v>
      </c>
      <c r="H56" s="5">
        <v>10</v>
      </c>
      <c r="I56" s="35">
        <v>63.91</v>
      </c>
      <c r="J56" s="35">
        <v>47.32</v>
      </c>
      <c r="K56" s="35">
        <v>53.07</v>
      </c>
      <c r="L56" s="35">
        <v>54.49</v>
      </c>
      <c r="M56" s="35">
        <v>16.03</v>
      </c>
      <c r="N56" s="35">
        <v>0</v>
      </c>
      <c r="O56" s="35">
        <v>72.83</v>
      </c>
      <c r="P56" s="35">
        <v>74.930000000000007</v>
      </c>
      <c r="Q56" s="33">
        <v>56.15</v>
      </c>
      <c r="R56" s="33">
        <v>52.72</v>
      </c>
      <c r="S56" s="33">
        <v>97.48</v>
      </c>
      <c r="T56" s="33">
        <v>27.18</v>
      </c>
      <c r="U56" s="33">
        <v>23.55</v>
      </c>
      <c r="V56" s="33">
        <v>68.3</v>
      </c>
      <c r="W56" s="33">
        <v>14.88</v>
      </c>
      <c r="X56" s="33">
        <v>55.86</v>
      </c>
      <c r="Y56" s="33">
        <v>68</v>
      </c>
      <c r="Z56" s="33">
        <v>72.739999999999995</v>
      </c>
      <c r="AA56" s="33">
        <v>4.68</v>
      </c>
      <c r="AB56" s="33">
        <v>20.149999999999999</v>
      </c>
      <c r="AC56" s="33">
        <v>51.48</v>
      </c>
      <c r="AD56" s="33">
        <v>47.43</v>
      </c>
      <c r="AE56" s="33">
        <v>33.83</v>
      </c>
      <c r="AF56" s="33">
        <v>32.42</v>
      </c>
      <c r="AG56" s="33">
        <v>29.01</v>
      </c>
      <c r="AH56" s="33">
        <v>0</v>
      </c>
      <c r="AI56" s="33">
        <v>0</v>
      </c>
      <c r="AJ56" s="33">
        <v>76.010000000000005</v>
      </c>
      <c r="AK56" s="33">
        <v>80.430000000000007</v>
      </c>
      <c r="AL56" s="33">
        <v>47.85</v>
      </c>
      <c r="AM56" s="33">
        <v>32.44</v>
      </c>
      <c r="AN56" s="33">
        <f t="shared" si="0"/>
        <v>44.360322580645153</v>
      </c>
    </row>
    <row r="57" spans="1:40" x14ac:dyDescent="0.3">
      <c r="A57" s="5">
        <v>52</v>
      </c>
      <c r="B57" s="6" t="s">
        <v>65</v>
      </c>
      <c r="C57" s="37" t="s">
        <v>112</v>
      </c>
      <c r="D57" s="6" t="s">
        <v>113</v>
      </c>
      <c r="E57" s="6" t="s">
        <v>19</v>
      </c>
      <c r="F57" s="6" t="s">
        <v>114</v>
      </c>
      <c r="G57" s="6" t="s">
        <v>80</v>
      </c>
      <c r="H57" s="5">
        <v>1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33">
        <v>0</v>
      </c>
      <c r="AL57" s="33">
        <v>0</v>
      </c>
      <c r="AM57" s="33">
        <v>0</v>
      </c>
      <c r="AN57" s="33">
        <f t="shared" si="0"/>
        <v>0</v>
      </c>
    </row>
    <row r="58" spans="1:40" x14ac:dyDescent="0.3">
      <c r="A58" s="5">
        <v>53</v>
      </c>
      <c r="B58" s="6" t="s">
        <v>65</v>
      </c>
      <c r="C58" s="39" t="s">
        <v>115</v>
      </c>
      <c r="D58" s="6" t="s">
        <v>113</v>
      </c>
      <c r="E58" s="6" t="s">
        <v>19</v>
      </c>
      <c r="F58" s="6" t="s">
        <v>116</v>
      </c>
      <c r="G58" s="6" t="s">
        <v>80</v>
      </c>
      <c r="H58" s="5">
        <v>1</v>
      </c>
      <c r="I58" s="38">
        <v>44.830000000000005</v>
      </c>
      <c r="J58" s="38">
        <v>41.690000000000005</v>
      </c>
      <c r="K58" s="38">
        <v>83.84</v>
      </c>
      <c r="L58" s="38">
        <v>85.460000000000008</v>
      </c>
      <c r="M58" s="38">
        <v>81.469999999999985</v>
      </c>
      <c r="N58" s="38">
        <v>70.639999999999986</v>
      </c>
      <c r="O58" s="38">
        <v>67.320000000000007</v>
      </c>
      <c r="P58" s="38">
        <v>64.319999999999993</v>
      </c>
      <c r="Q58" s="38">
        <v>55</v>
      </c>
      <c r="R58" s="38">
        <v>61.99</v>
      </c>
      <c r="S58" s="38">
        <v>85.759999999999991</v>
      </c>
      <c r="T58" s="38">
        <v>56.790000000000006</v>
      </c>
      <c r="U58" s="38">
        <v>34.82</v>
      </c>
      <c r="V58" s="38">
        <v>48.58</v>
      </c>
      <c r="W58" s="38">
        <v>28.82</v>
      </c>
      <c r="X58" s="38">
        <v>54.04</v>
      </c>
      <c r="Y58" s="38">
        <v>65.689999999999984</v>
      </c>
      <c r="Z58" s="38">
        <v>62.379999999999995</v>
      </c>
      <c r="AA58" s="38">
        <v>72.910000000000025</v>
      </c>
      <c r="AB58" s="38">
        <v>66.839999999999989</v>
      </c>
      <c r="AC58" s="38">
        <v>69.680000000000021</v>
      </c>
      <c r="AD58" s="38">
        <v>46.969999999999992</v>
      </c>
      <c r="AE58" s="38">
        <v>66.67</v>
      </c>
      <c r="AF58" s="38">
        <v>77.470000000000013</v>
      </c>
      <c r="AG58" s="38">
        <v>60.16</v>
      </c>
      <c r="AH58" s="38">
        <v>61.140000000000008</v>
      </c>
      <c r="AI58" s="38">
        <v>57.450000000000017</v>
      </c>
      <c r="AJ58" s="38">
        <v>62.390000000000008</v>
      </c>
      <c r="AK58" s="38">
        <v>52.949999999999982</v>
      </c>
      <c r="AL58" s="38">
        <v>63.610000000000007</v>
      </c>
      <c r="AM58" s="38">
        <v>32.650000000000006</v>
      </c>
      <c r="AN58" s="33">
        <f t="shared" si="0"/>
        <v>60.784838709677437</v>
      </c>
    </row>
    <row r="59" spans="1:40" x14ac:dyDescent="0.3">
      <c r="A59" s="5">
        <v>54</v>
      </c>
      <c r="B59" s="6" t="s">
        <v>65</v>
      </c>
      <c r="C59" s="39" t="s">
        <v>117</v>
      </c>
      <c r="D59" s="6" t="s">
        <v>113</v>
      </c>
      <c r="E59" s="6" t="s">
        <v>19</v>
      </c>
      <c r="F59" s="6" t="s">
        <v>116</v>
      </c>
      <c r="G59" s="6" t="s">
        <v>80</v>
      </c>
      <c r="H59" s="5">
        <v>1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 t="s">
        <v>118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1.21</v>
      </c>
      <c r="AD59" s="38">
        <v>0</v>
      </c>
      <c r="AE59" s="38">
        <v>0</v>
      </c>
      <c r="AF59" s="38">
        <v>0</v>
      </c>
      <c r="AG59" s="38">
        <v>14.790000000000001</v>
      </c>
      <c r="AH59" s="38">
        <v>0</v>
      </c>
      <c r="AI59" s="38">
        <v>0</v>
      </c>
      <c r="AJ59" s="38">
        <v>5.36</v>
      </c>
      <c r="AK59" s="38">
        <v>0</v>
      </c>
      <c r="AL59" s="38">
        <v>0</v>
      </c>
      <c r="AM59" s="38">
        <v>0</v>
      </c>
      <c r="AN59" s="33">
        <f t="shared" si="0"/>
        <v>0.71199999999999997</v>
      </c>
    </row>
    <row r="60" spans="1:40" ht="14.25" customHeight="1" x14ac:dyDescent="0.3">
      <c r="A60" s="5">
        <v>55</v>
      </c>
      <c r="B60" s="6" t="s">
        <v>119</v>
      </c>
      <c r="C60" s="39" t="s">
        <v>120</v>
      </c>
      <c r="D60" s="6" t="s">
        <v>30</v>
      </c>
      <c r="E60" s="6" t="s">
        <v>19</v>
      </c>
      <c r="F60" s="6" t="s">
        <v>121</v>
      </c>
      <c r="G60" s="6" t="s">
        <v>35</v>
      </c>
      <c r="H60" s="5">
        <v>20</v>
      </c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>
        <f>71.97+1.11</f>
        <v>73.08</v>
      </c>
      <c r="AG60" s="33">
        <f>199.68+2.89</f>
        <v>202.57</v>
      </c>
      <c r="AH60" s="33">
        <f>158.54+2.12</f>
        <v>160.66</v>
      </c>
      <c r="AI60" s="33">
        <f>196.9+1.05</f>
        <v>197.95000000000002</v>
      </c>
      <c r="AJ60" s="33">
        <v>202.3</v>
      </c>
      <c r="AK60" s="33">
        <v>192.88</v>
      </c>
      <c r="AL60" s="33">
        <v>197.24</v>
      </c>
      <c r="AM60" s="33">
        <f>189.92+1.76</f>
        <v>191.67999999999998</v>
      </c>
      <c r="AN60" s="33">
        <f t="shared" si="0"/>
        <v>177.29500000000002</v>
      </c>
    </row>
    <row r="61" spans="1:40" x14ac:dyDescent="0.3">
      <c r="A61" s="5">
        <v>56</v>
      </c>
      <c r="B61" s="6" t="s">
        <v>65</v>
      </c>
      <c r="C61" s="39" t="s">
        <v>122</v>
      </c>
      <c r="D61" s="6" t="s">
        <v>30</v>
      </c>
      <c r="E61" s="6" t="s">
        <v>19</v>
      </c>
      <c r="F61" s="6" t="s">
        <v>13</v>
      </c>
      <c r="G61" s="6" t="s">
        <v>14</v>
      </c>
      <c r="H61" s="5">
        <v>3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8.7200000000000006</v>
      </c>
      <c r="AI61" s="33">
        <v>0</v>
      </c>
      <c r="AJ61" s="33">
        <v>13.33</v>
      </c>
      <c r="AK61" s="33">
        <v>0.8</v>
      </c>
      <c r="AL61" s="33">
        <v>0</v>
      </c>
      <c r="AM61" s="33">
        <v>10.28</v>
      </c>
      <c r="AN61" s="33">
        <f>AVERAGE(I61:AM61)</f>
        <v>1.068709677419355</v>
      </c>
    </row>
    <row r="62" spans="1:40" x14ac:dyDescent="0.3">
      <c r="A62" s="5"/>
      <c r="B62" s="6"/>
      <c r="C62" s="40"/>
      <c r="D62" s="6"/>
      <c r="E62" s="6"/>
      <c r="F62" s="6"/>
      <c r="G62" s="6"/>
      <c r="H62" s="5"/>
      <c r="I62" s="41"/>
      <c r="J62" s="42"/>
      <c r="K62" s="43"/>
      <c r="L62" s="43"/>
      <c r="M62" s="43"/>
      <c r="N62" s="43"/>
      <c r="O62" s="43"/>
      <c r="P62" s="43"/>
      <c r="Q62" s="43"/>
      <c r="R62" s="43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9"/>
    </row>
    <row r="63" spans="1:40" x14ac:dyDescent="0.3">
      <c r="A63" s="13"/>
      <c r="B63" s="14"/>
      <c r="C63" s="14"/>
      <c r="D63" s="14"/>
      <c r="E63" s="13"/>
      <c r="F63" s="13"/>
      <c r="G63" s="13" t="s">
        <v>79</v>
      </c>
      <c r="H63" s="13">
        <f>SUM(H2:H61)</f>
        <v>519</v>
      </c>
      <c r="I63" s="44">
        <f t="shared" ref="I63:AD63" si="1">SUM(I2:I59)</f>
        <v>974.66000000000008</v>
      </c>
      <c r="J63" s="44">
        <f t="shared" si="1"/>
        <v>1163.6200000000001</v>
      </c>
      <c r="K63" s="44">
        <f t="shared" si="1"/>
        <v>1203.8300000000004</v>
      </c>
      <c r="L63" s="44">
        <f t="shared" si="1"/>
        <v>1195.0100000000002</v>
      </c>
      <c r="M63" s="44">
        <f t="shared" si="1"/>
        <v>1320.5000000000005</v>
      </c>
      <c r="N63" s="44">
        <f t="shared" si="1"/>
        <v>1132.1999999999998</v>
      </c>
      <c r="O63" s="44">
        <f t="shared" si="1"/>
        <v>1076.8800000000001</v>
      </c>
      <c r="P63" s="44">
        <f t="shared" si="1"/>
        <v>1118.9199999999998</v>
      </c>
      <c r="Q63" s="44">
        <f t="shared" si="1"/>
        <v>1292.2300000000005</v>
      </c>
      <c r="R63" s="44">
        <f t="shared" si="1"/>
        <v>1130.99</v>
      </c>
      <c r="S63" s="44">
        <f t="shared" si="1"/>
        <v>1335.5900000000001</v>
      </c>
      <c r="T63" s="44">
        <f t="shared" si="1"/>
        <v>1307.76</v>
      </c>
      <c r="U63" s="44">
        <f t="shared" si="1"/>
        <v>1236.3499999999997</v>
      </c>
      <c r="V63" s="44">
        <f t="shared" si="1"/>
        <v>1337.4499999999998</v>
      </c>
      <c r="W63" s="44">
        <f t="shared" si="1"/>
        <v>1049.0800000000002</v>
      </c>
      <c r="X63" s="44">
        <f t="shared" si="1"/>
        <v>1503.7199999999998</v>
      </c>
      <c r="Y63" s="44">
        <f t="shared" si="1"/>
        <v>1556.12</v>
      </c>
      <c r="Z63" s="44">
        <f t="shared" si="1"/>
        <v>1583.02</v>
      </c>
      <c r="AA63" s="44">
        <f t="shared" si="1"/>
        <v>1664.6700000000003</v>
      </c>
      <c r="AB63" s="44">
        <f t="shared" si="1"/>
        <v>1287.1100000000001</v>
      </c>
      <c r="AC63" s="44">
        <f t="shared" si="1"/>
        <v>1374.9900000000002</v>
      </c>
      <c r="AD63" s="44">
        <f t="shared" si="1"/>
        <v>1420.71</v>
      </c>
      <c r="AE63" s="44">
        <f t="shared" ref="AE63:AJ63" si="2">SUM(AE2:AE60)</f>
        <v>1478.13</v>
      </c>
      <c r="AF63" s="44">
        <f t="shared" si="2"/>
        <v>1885.4899999999996</v>
      </c>
      <c r="AG63" s="44">
        <f t="shared" si="2"/>
        <v>2036.1500000000003</v>
      </c>
      <c r="AH63" s="44">
        <f t="shared" si="2"/>
        <v>1963.1200000000001</v>
      </c>
      <c r="AI63" s="44">
        <f t="shared" si="2"/>
        <v>1649.67</v>
      </c>
      <c r="AJ63" s="44">
        <f t="shared" si="2"/>
        <v>1846.7299999999998</v>
      </c>
      <c r="AK63" s="44">
        <f>SUM(AK2:AK61)</f>
        <v>1946.6940000000002</v>
      </c>
      <c r="AL63" s="44">
        <f t="shared" ref="AL63" si="3">SUM(AL2:AL61)</f>
        <v>1896.6800000000003</v>
      </c>
      <c r="AM63" s="44">
        <f>SUM(AM2:AM61)</f>
        <v>1760.5700000000006</v>
      </c>
      <c r="AN63" s="19">
        <f>AVERAGE(J63:AM63)</f>
        <v>1458.4661333333338</v>
      </c>
    </row>
    <row r="67" spans="7:7" x14ac:dyDescent="0.3">
      <c r="G67" t="s">
        <v>123</v>
      </c>
    </row>
  </sheetData>
  <autoFilter ref="A1:AN61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51"/>
  <sheetViews>
    <sheetView workbookViewId="0">
      <selection activeCell="F29" sqref="F29"/>
    </sheetView>
  </sheetViews>
  <sheetFormatPr defaultRowHeight="14.4" x14ac:dyDescent="0.3"/>
  <cols>
    <col min="1" max="1" width="41.6640625" bestFit="1" customWidth="1"/>
    <col min="2" max="2" width="20.6640625" bestFit="1" customWidth="1"/>
    <col min="3" max="3" width="14.44140625" bestFit="1" customWidth="1"/>
    <col min="4" max="32" width="15.109375" bestFit="1" customWidth="1"/>
    <col min="33" max="33" width="15" bestFit="1" customWidth="1"/>
  </cols>
  <sheetData>
    <row r="1" spans="1:3" x14ac:dyDescent="0.3">
      <c r="A1" s="30" t="s">
        <v>1</v>
      </c>
      <c r="B1" s="12" t="s">
        <v>82</v>
      </c>
    </row>
    <row r="3" spans="1:3" x14ac:dyDescent="0.3">
      <c r="A3" s="30" t="s">
        <v>2</v>
      </c>
      <c r="B3" s="12" t="s">
        <v>84</v>
      </c>
      <c r="C3" s="12" t="s">
        <v>85</v>
      </c>
    </row>
    <row r="4" spans="1:3" x14ac:dyDescent="0.3">
      <c r="A4" s="12" t="s">
        <v>126</v>
      </c>
      <c r="B4" s="137">
        <v>20</v>
      </c>
      <c r="C4" s="31">
        <v>155.83833333333325</v>
      </c>
    </row>
    <row r="5" spans="1:3" x14ac:dyDescent="0.3">
      <c r="A5" s="12" t="s">
        <v>86</v>
      </c>
      <c r="B5" s="137">
        <v>6</v>
      </c>
      <c r="C5" s="31">
        <v>17.743666666666666</v>
      </c>
    </row>
    <row r="6" spans="1:3" x14ac:dyDescent="0.3">
      <c r="A6" s="12" t="s">
        <v>87</v>
      </c>
      <c r="B6" s="137">
        <v>9</v>
      </c>
      <c r="C6" s="31">
        <v>176.27381818181817</v>
      </c>
    </row>
    <row r="7" spans="1:3" x14ac:dyDescent="0.3">
      <c r="A7" s="12" t="s">
        <v>88</v>
      </c>
      <c r="B7" s="137">
        <v>3</v>
      </c>
      <c r="C7" s="31">
        <v>89.930166666666665</v>
      </c>
    </row>
    <row r="8" spans="1:3" x14ac:dyDescent="0.3">
      <c r="A8" s="12" t="s">
        <v>98</v>
      </c>
      <c r="B8" s="137">
        <v>5</v>
      </c>
      <c r="C8" s="31">
        <v>0.19333333333333336</v>
      </c>
    </row>
    <row r="9" spans="1:3" x14ac:dyDescent="0.3">
      <c r="A9" s="12" t="s">
        <v>91</v>
      </c>
      <c r="B9" s="137">
        <v>1</v>
      </c>
      <c r="C9" s="31">
        <v>4.6483333333333343</v>
      </c>
    </row>
    <row r="10" spans="1:3" x14ac:dyDescent="0.3">
      <c r="A10" s="12" t="s">
        <v>92</v>
      </c>
      <c r="B10" s="137">
        <v>3</v>
      </c>
      <c r="C10" s="31">
        <v>63.187666666666679</v>
      </c>
    </row>
    <row r="11" spans="1:3" x14ac:dyDescent="0.3">
      <c r="A11" s="12" t="s">
        <v>96</v>
      </c>
      <c r="B11" s="137">
        <v>1</v>
      </c>
      <c r="C11" s="31">
        <v>0</v>
      </c>
    </row>
    <row r="12" spans="1:3" x14ac:dyDescent="0.3">
      <c r="A12" s="12" t="s">
        <v>70</v>
      </c>
      <c r="B12" s="137">
        <v>82</v>
      </c>
      <c r="C12" s="31">
        <v>15.365000000000004</v>
      </c>
    </row>
    <row r="13" spans="1:3" x14ac:dyDescent="0.3">
      <c r="A13" s="12" t="s">
        <v>68</v>
      </c>
      <c r="B13" s="137">
        <v>2</v>
      </c>
      <c r="C13" s="31">
        <v>9.8666666666666666E-2</v>
      </c>
    </row>
    <row r="14" spans="1:3" x14ac:dyDescent="0.3">
      <c r="A14" s="12" t="s">
        <v>93</v>
      </c>
      <c r="B14" s="137">
        <v>1</v>
      </c>
      <c r="C14" s="31">
        <v>0</v>
      </c>
    </row>
    <row r="15" spans="1:3" x14ac:dyDescent="0.3">
      <c r="A15" s="12" t="s">
        <v>125</v>
      </c>
      <c r="B15" s="137">
        <v>1</v>
      </c>
      <c r="C15" s="31">
        <v>0.19333333333333333</v>
      </c>
    </row>
    <row r="16" spans="1:3" x14ac:dyDescent="0.3">
      <c r="A16" s="12" t="s">
        <v>103</v>
      </c>
      <c r="B16" s="137">
        <v>1</v>
      </c>
      <c r="C16" s="31">
        <v>5.956599999999999</v>
      </c>
    </row>
    <row r="17" spans="1:3" x14ac:dyDescent="0.3">
      <c r="A17" s="12" t="s">
        <v>36</v>
      </c>
      <c r="B17" s="137">
        <v>6</v>
      </c>
      <c r="C17" s="31">
        <v>47.309666666666665</v>
      </c>
    </row>
    <row r="18" spans="1:3" x14ac:dyDescent="0.3">
      <c r="A18" s="12" t="s">
        <v>50</v>
      </c>
      <c r="B18" s="137">
        <v>7</v>
      </c>
      <c r="C18" s="31">
        <v>20.648666666666667</v>
      </c>
    </row>
    <row r="19" spans="1:3" x14ac:dyDescent="0.3">
      <c r="A19" s="12" t="s">
        <v>105</v>
      </c>
      <c r="B19" s="137">
        <v>13</v>
      </c>
      <c r="C19" s="31">
        <v>43.177999999999997</v>
      </c>
    </row>
    <row r="20" spans="1:3" x14ac:dyDescent="0.3">
      <c r="A20" s="12" t="s">
        <v>37</v>
      </c>
      <c r="B20" s="137">
        <v>6</v>
      </c>
      <c r="C20" s="31">
        <v>32.213999999999999</v>
      </c>
    </row>
    <row r="21" spans="1:3" x14ac:dyDescent="0.3">
      <c r="A21" s="12" t="s">
        <v>66</v>
      </c>
      <c r="B21" s="137">
        <v>105</v>
      </c>
      <c r="C21" s="31">
        <v>2.8253333333333321</v>
      </c>
    </row>
    <row r="22" spans="1:3" x14ac:dyDescent="0.3">
      <c r="A22" s="12" t="s">
        <v>74</v>
      </c>
      <c r="B22" s="137">
        <v>2</v>
      </c>
      <c r="C22" s="31">
        <v>0</v>
      </c>
    </row>
    <row r="23" spans="1:3" x14ac:dyDescent="0.3">
      <c r="A23" s="12" t="s">
        <v>75</v>
      </c>
      <c r="B23" s="137">
        <v>16</v>
      </c>
      <c r="C23" s="31">
        <v>19.32266666666667</v>
      </c>
    </row>
    <row r="24" spans="1:3" x14ac:dyDescent="0.3">
      <c r="A24" s="12" t="s">
        <v>106</v>
      </c>
      <c r="B24" s="137">
        <v>25</v>
      </c>
      <c r="C24" s="31">
        <v>106.95233333333334</v>
      </c>
    </row>
    <row r="25" spans="1:3" x14ac:dyDescent="0.3">
      <c r="A25" s="12" t="s">
        <v>107</v>
      </c>
      <c r="B25" s="137">
        <v>24</v>
      </c>
      <c r="C25" s="31">
        <v>0</v>
      </c>
    </row>
    <row r="26" spans="1:3" x14ac:dyDescent="0.3">
      <c r="A26" s="12" t="s">
        <v>29</v>
      </c>
      <c r="B26" s="137">
        <v>8</v>
      </c>
      <c r="C26" s="31">
        <v>44.24</v>
      </c>
    </row>
    <row r="27" spans="1:3" x14ac:dyDescent="0.3">
      <c r="A27" s="12" t="s">
        <v>108</v>
      </c>
      <c r="B27" s="137">
        <v>3</v>
      </c>
      <c r="C27" s="31">
        <v>0</v>
      </c>
    </row>
    <row r="28" spans="1:3" x14ac:dyDescent="0.3">
      <c r="A28" s="12" t="s">
        <v>34</v>
      </c>
      <c r="B28" s="137">
        <v>19</v>
      </c>
      <c r="C28" s="31">
        <v>142.24433333333334</v>
      </c>
    </row>
    <row r="29" spans="1:3" x14ac:dyDescent="0.3">
      <c r="A29" s="12" t="s">
        <v>38</v>
      </c>
      <c r="B29" s="137">
        <v>3</v>
      </c>
      <c r="C29" s="31">
        <v>39.146333333333324</v>
      </c>
    </row>
    <row r="30" spans="1:3" x14ac:dyDescent="0.3">
      <c r="A30" s="12" t="s">
        <v>39</v>
      </c>
      <c r="B30" s="137">
        <v>5</v>
      </c>
      <c r="C30" s="31">
        <v>6.4499999999999988E-2</v>
      </c>
    </row>
    <row r="31" spans="1:3" x14ac:dyDescent="0.3">
      <c r="A31" s="12" t="s">
        <v>71</v>
      </c>
      <c r="B31" s="137">
        <v>5</v>
      </c>
      <c r="C31" s="31">
        <v>50.520333333333348</v>
      </c>
    </row>
    <row r="32" spans="1:3" x14ac:dyDescent="0.3">
      <c r="A32" s="12" t="s">
        <v>59</v>
      </c>
      <c r="B32" s="137">
        <v>6</v>
      </c>
      <c r="C32" s="31">
        <v>8.879666666666667</v>
      </c>
    </row>
    <row r="33" spans="1:3" x14ac:dyDescent="0.3">
      <c r="A33" s="12" t="s">
        <v>76</v>
      </c>
      <c r="B33" s="137">
        <v>10</v>
      </c>
      <c r="C33" s="31">
        <v>27.869999999999997</v>
      </c>
    </row>
    <row r="34" spans="1:3" x14ac:dyDescent="0.3">
      <c r="A34" s="12" t="s">
        <v>27</v>
      </c>
      <c r="B34" s="137">
        <v>5</v>
      </c>
      <c r="C34" s="31">
        <v>0</v>
      </c>
    </row>
    <row r="35" spans="1:3" x14ac:dyDescent="0.3">
      <c r="A35" s="12" t="s">
        <v>101</v>
      </c>
      <c r="B35" s="137">
        <v>3</v>
      </c>
      <c r="C35" s="31">
        <v>68.942999999999998</v>
      </c>
    </row>
    <row r="36" spans="1:3" x14ac:dyDescent="0.3">
      <c r="A36" s="12" t="s">
        <v>99</v>
      </c>
      <c r="B36" s="137">
        <v>10</v>
      </c>
      <c r="C36" s="31">
        <v>57.67499999999999</v>
      </c>
    </row>
    <row r="37" spans="1:3" x14ac:dyDescent="0.3">
      <c r="A37" s="12" t="s">
        <v>102</v>
      </c>
      <c r="B37" s="137">
        <v>9</v>
      </c>
      <c r="C37" s="31">
        <v>164.32766666666663</v>
      </c>
    </row>
    <row r="38" spans="1:3" x14ac:dyDescent="0.3">
      <c r="A38" s="12" t="s">
        <v>100</v>
      </c>
      <c r="B38" s="137">
        <v>5</v>
      </c>
      <c r="C38" s="31">
        <v>2.7053333333333334</v>
      </c>
    </row>
    <row r="39" spans="1:3" x14ac:dyDescent="0.3">
      <c r="A39" s="12" t="s">
        <v>109</v>
      </c>
      <c r="B39" s="137">
        <v>2</v>
      </c>
      <c r="C39" s="31">
        <v>0</v>
      </c>
    </row>
    <row r="40" spans="1:3" x14ac:dyDescent="0.3">
      <c r="A40" s="12" t="s">
        <v>94</v>
      </c>
      <c r="B40" s="137">
        <v>2</v>
      </c>
      <c r="C40" s="31">
        <v>0</v>
      </c>
    </row>
    <row r="41" spans="1:3" x14ac:dyDescent="0.3">
      <c r="A41" s="12" t="s">
        <v>117</v>
      </c>
      <c r="B41" s="137">
        <v>1</v>
      </c>
      <c r="C41" s="31">
        <v>14.725333333333337</v>
      </c>
    </row>
    <row r="42" spans="1:3" x14ac:dyDescent="0.3">
      <c r="A42" s="12" t="s">
        <v>115</v>
      </c>
      <c r="B42" s="137">
        <v>1</v>
      </c>
      <c r="C42" s="31">
        <v>68.083333333333314</v>
      </c>
    </row>
    <row r="43" spans="1:3" x14ac:dyDescent="0.3">
      <c r="A43" s="12" t="s">
        <v>112</v>
      </c>
      <c r="B43" s="137">
        <v>1</v>
      </c>
      <c r="C43" s="31">
        <v>10.456333333333333</v>
      </c>
    </row>
    <row r="44" spans="1:3" x14ac:dyDescent="0.3">
      <c r="A44" s="12" t="s">
        <v>122</v>
      </c>
      <c r="B44" s="137">
        <v>3</v>
      </c>
      <c r="C44" s="31">
        <v>2.4497666666666662</v>
      </c>
    </row>
    <row r="45" spans="1:3" x14ac:dyDescent="0.3">
      <c r="A45" s="12" t="s">
        <v>127</v>
      </c>
      <c r="B45" s="137">
        <v>2</v>
      </c>
      <c r="C45" s="31">
        <v>9.4811111111111117</v>
      </c>
    </row>
    <row r="46" spans="1:3" x14ac:dyDescent="0.3">
      <c r="A46" s="12" t="s">
        <v>104</v>
      </c>
      <c r="B46" s="137">
        <v>7</v>
      </c>
      <c r="C46" s="31">
        <v>227.08033333333336</v>
      </c>
    </row>
    <row r="47" spans="1:3" x14ac:dyDescent="0.3">
      <c r="A47" s="12" t="s">
        <v>56</v>
      </c>
      <c r="B47" s="137">
        <v>40</v>
      </c>
      <c r="C47" s="31">
        <v>223.71066666666664</v>
      </c>
    </row>
    <row r="48" spans="1:3" x14ac:dyDescent="0.3">
      <c r="A48" s="12" t="s">
        <v>129</v>
      </c>
      <c r="B48" s="137">
        <v>2</v>
      </c>
      <c r="C48" s="31">
        <v>0</v>
      </c>
    </row>
    <row r="49" spans="1:3" x14ac:dyDescent="0.3">
      <c r="A49" s="12" t="s">
        <v>111</v>
      </c>
      <c r="B49" s="137">
        <v>10</v>
      </c>
      <c r="C49" s="31">
        <v>33.818999999999996</v>
      </c>
    </row>
    <row r="50" spans="1:3" x14ac:dyDescent="0.3">
      <c r="A50" s="12" t="s">
        <v>110</v>
      </c>
      <c r="B50" s="137">
        <v>2</v>
      </c>
      <c r="C50" s="31">
        <v>0</v>
      </c>
    </row>
    <row r="51" spans="1:3" x14ac:dyDescent="0.3">
      <c r="A51" s="12" t="s">
        <v>83</v>
      </c>
      <c r="B51" s="137">
        <v>503</v>
      </c>
      <c r="C51" s="31">
        <v>1998.3016292929287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3:H4"/>
  <sheetViews>
    <sheetView workbookViewId="0">
      <selection activeCell="F29" sqref="F29"/>
    </sheetView>
  </sheetViews>
  <sheetFormatPr defaultRowHeight="14.4" x14ac:dyDescent="0.3"/>
  <cols>
    <col min="1" max="7" width="14.21875" bestFit="1" customWidth="1"/>
    <col min="8" max="8" width="10.77734375" bestFit="1" customWidth="1"/>
    <col min="9" max="9" width="11.33203125" customWidth="1"/>
    <col min="10" max="31" width="15.109375" bestFit="1" customWidth="1"/>
    <col min="32" max="32" width="15" customWidth="1"/>
    <col min="33" max="33" width="15" bestFit="1" customWidth="1"/>
  </cols>
  <sheetData>
    <row r="3" spans="1:8" x14ac:dyDescent="0.3">
      <c r="A3" s="30" t="s">
        <v>1</v>
      </c>
      <c r="B3" s="12"/>
      <c r="C3" s="12"/>
      <c r="D3" s="12"/>
      <c r="E3" s="12"/>
      <c r="F3" s="12"/>
      <c r="G3" s="12"/>
      <c r="H3" s="12"/>
    </row>
    <row r="4" spans="1:8" x14ac:dyDescent="0.3">
      <c r="A4" s="12" t="s">
        <v>58</v>
      </c>
      <c r="B4" s="12" t="s">
        <v>65</v>
      </c>
      <c r="C4" s="12" t="s">
        <v>9</v>
      </c>
      <c r="D4" s="12" t="s">
        <v>55</v>
      </c>
      <c r="E4" s="12" t="s">
        <v>119</v>
      </c>
      <c r="F4" s="12" t="s">
        <v>49</v>
      </c>
      <c r="G4" s="12" t="s">
        <v>52</v>
      </c>
      <c r="H4" s="12" t="s">
        <v>83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M65"/>
  <sheetViews>
    <sheetView topLeftCell="S40" workbookViewId="0">
      <selection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45.44140625" bestFit="1" customWidth="1"/>
    <col min="4" max="4" width="22.33203125" bestFit="1" customWidth="1"/>
    <col min="5" max="5" width="11.88671875" bestFit="1" customWidth="1"/>
    <col min="6" max="6" width="8.44140625" bestFit="1" customWidth="1"/>
    <col min="7" max="7" width="10.6640625" bestFit="1" customWidth="1"/>
    <col min="8" max="8" width="8.6640625" bestFit="1" customWidth="1"/>
    <col min="9" max="9" width="8.44140625" style="28" bestFit="1" customWidth="1"/>
    <col min="10" max="10" width="8.44140625" style="27" bestFit="1" customWidth="1"/>
    <col min="11" max="38" width="8.44140625" style="28" bestFit="1" customWidth="1"/>
    <col min="39" max="39" width="8.33203125" bestFit="1" customWidth="1"/>
  </cols>
  <sheetData>
    <row r="1" spans="1:39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6">
        <v>45170</v>
      </c>
      <c r="J1" s="16">
        <v>45171</v>
      </c>
      <c r="K1" s="16">
        <v>45172</v>
      </c>
      <c r="L1" s="16">
        <v>45173</v>
      </c>
      <c r="M1" s="16">
        <v>45174</v>
      </c>
      <c r="N1" s="16">
        <v>45175</v>
      </c>
      <c r="O1" s="16">
        <v>45176</v>
      </c>
      <c r="P1" s="16">
        <v>45177</v>
      </c>
      <c r="Q1" s="16">
        <v>45178</v>
      </c>
      <c r="R1" s="16">
        <v>45179</v>
      </c>
      <c r="S1" s="16">
        <v>45180</v>
      </c>
      <c r="T1" s="16">
        <v>45181</v>
      </c>
      <c r="U1" s="16">
        <v>45182</v>
      </c>
      <c r="V1" s="16">
        <v>45183</v>
      </c>
      <c r="W1" s="16">
        <v>45184</v>
      </c>
      <c r="X1" s="16">
        <v>45185</v>
      </c>
      <c r="Y1" s="16">
        <v>45186</v>
      </c>
      <c r="Z1" s="16">
        <v>45187</v>
      </c>
      <c r="AA1" s="16">
        <v>45188</v>
      </c>
      <c r="AB1" s="16">
        <v>45189</v>
      </c>
      <c r="AC1" s="16">
        <v>45190</v>
      </c>
      <c r="AD1" s="16">
        <v>45191</v>
      </c>
      <c r="AE1" s="16">
        <v>45192</v>
      </c>
      <c r="AF1" s="16">
        <v>45193</v>
      </c>
      <c r="AG1" s="16">
        <v>45194</v>
      </c>
      <c r="AH1" s="16">
        <v>45195</v>
      </c>
      <c r="AI1" s="16">
        <v>45196</v>
      </c>
      <c r="AJ1" s="16">
        <v>45197</v>
      </c>
      <c r="AK1" s="16">
        <v>45198</v>
      </c>
      <c r="AL1" s="16">
        <v>45199</v>
      </c>
      <c r="AM1" s="13" t="s">
        <v>8</v>
      </c>
    </row>
    <row r="2" spans="1:39" x14ac:dyDescent="0.3">
      <c r="A2" s="5">
        <v>1</v>
      </c>
      <c r="B2" s="6" t="s">
        <v>9</v>
      </c>
      <c r="C2" s="6" t="s">
        <v>86</v>
      </c>
      <c r="D2" s="6" t="s">
        <v>11</v>
      </c>
      <c r="E2" s="6" t="s">
        <v>12</v>
      </c>
      <c r="F2" s="6" t="s">
        <v>13</v>
      </c>
      <c r="G2" s="6" t="s">
        <v>14</v>
      </c>
      <c r="H2" s="5">
        <v>0</v>
      </c>
      <c r="I2" s="45">
        <v>6.65</v>
      </c>
      <c r="J2" s="45">
        <v>0</v>
      </c>
      <c r="K2" s="46">
        <v>0</v>
      </c>
      <c r="L2" s="46">
        <v>2.94</v>
      </c>
      <c r="M2" s="46">
        <v>0.66</v>
      </c>
      <c r="N2" s="46">
        <v>3.02</v>
      </c>
      <c r="O2" s="46">
        <v>6.29</v>
      </c>
      <c r="P2" s="46">
        <v>6.86</v>
      </c>
      <c r="Q2" s="46">
        <v>5</v>
      </c>
      <c r="R2" s="46">
        <v>6.96</v>
      </c>
      <c r="S2" s="46">
        <v>6.78</v>
      </c>
      <c r="T2" s="46">
        <v>5.7</v>
      </c>
      <c r="U2" s="46">
        <v>2.2000000000000002</v>
      </c>
      <c r="V2" s="46">
        <v>0</v>
      </c>
      <c r="W2" s="46">
        <v>4.84</v>
      </c>
      <c r="X2" s="46">
        <v>4.95</v>
      </c>
      <c r="Y2" s="46">
        <v>5.25</v>
      </c>
      <c r="Z2" s="46">
        <v>8.58</v>
      </c>
      <c r="AA2" s="46">
        <v>9.7899999999999991</v>
      </c>
      <c r="AB2" s="46">
        <v>5.21</v>
      </c>
      <c r="AC2" s="46">
        <v>1.64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7">
        <f>AVERAGE(I2:AL2)</f>
        <v>3.1106666666666665</v>
      </c>
    </row>
    <row r="3" spans="1:39" x14ac:dyDescent="0.3">
      <c r="A3" s="5">
        <v>2</v>
      </c>
      <c r="B3" s="6" t="s">
        <v>9</v>
      </c>
      <c r="C3" s="6" t="s">
        <v>86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6</v>
      </c>
      <c r="I3" s="46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>
        <v>0</v>
      </c>
      <c r="AD3" s="46">
        <v>30.24</v>
      </c>
      <c r="AE3" s="46">
        <v>21.11</v>
      </c>
      <c r="AF3" s="46">
        <f>30.62-9.22</f>
        <v>21.4</v>
      </c>
      <c r="AG3" s="46">
        <v>16.37</v>
      </c>
      <c r="AH3" s="46">
        <v>6.52</v>
      </c>
      <c r="AI3" s="46">
        <v>0</v>
      </c>
      <c r="AJ3" s="46">
        <v>0</v>
      </c>
      <c r="AK3" s="46">
        <v>0</v>
      </c>
      <c r="AL3" s="46">
        <v>50.69</v>
      </c>
      <c r="AM3" s="7">
        <f t="shared" ref="AM3:AM61" si="0">AVERAGE(I3:AL3)</f>
        <v>14.632999999999999</v>
      </c>
    </row>
    <row r="4" spans="1:39" x14ac:dyDescent="0.3">
      <c r="A4" s="5">
        <v>3</v>
      </c>
      <c r="B4" s="6" t="s">
        <v>9</v>
      </c>
      <c r="C4" s="6" t="s">
        <v>87</v>
      </c>
      <c r="D4" s="6" t="s">
        <v>11</v>
      </c>
      <c r="E4" s="6" t="s">
        <v>12</v>
      </c>
      <c r="F4" s="6" t="s">
        <v>13</v>
      </c>
      <c r="G4" s="6" t="s">
        <v>14</v>
      </c>
      <c r="H4" s="5">
        <v>0</v>
      </c>
      <c r="I4" s="45">
        <v>56.18</v>
      </c>
      <c r="J4" s="45">
        <v>94.21</v>
      </c>
      <c r="K4" s="46">
        <v>109.03</v>
      </c>
      <c r="L4" s="46">
        <v>87.36</v>
      </c>
      <c r="M4" s="46">
        <v>103.7</v>
      </c>
      <c r="N4" s="46">
        <v>122.76</v>
      </c>
      <c r="O4" s="46">
        <v>106.18</v>
      </c>
      <c r="P4" s="46">
        <v>119</v>
      </c>
      <c r="Q4" s="46">
        <v>119.61</v>
      </c>
      <c r="R4" s="46">
        <v>126.14</v>
      </c>
      <c r="S4" s="46">
        <v>104.32</v>
      </c>
      <c r="T4" s="46">
        <v>92.42</v>
      </c>
      <c r="U4" s="46">
        <v>131.16999999999999</v>
      </c>
      <c r="V4" s="46">
        <v>110.46</v>
      </c>
      <c r="W4" s="46">
        <v>144.97999999999999</v>
      </c>
      <c r="X4" s="46">
        <v>112.06</v>
      </c>
      <c r="Y4" s="46">
        <v>117.9</v>
      </c>
      <c r="Z4" s="46">
        <v>123.04</v>
      </c>
      <c r="AA4" s="46">
        <v>101.43</v>
      </c>
      <c r="AB4" s="46">
        <v>27.71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7">
        <f t="shared" si="0"/>
        <v>70.322000000000017</v>
      </c>
    </row>
    <row r="5" spans="1:39" x14ac:dyDescent="0.3">
      <c r="A5" s="5">
        <v>4</v>
      </c>
      <c r="B5" s="6" t="s">
        <v>9</v>
      </c>
      <c r="C5" s="6" t="s">
        <v>87</v>
      </c>
      <c r="D5" s="6" t="s">
        <v>11</v>
      </c>
      <c r="E5" s="6" t="s">
        <v>12</v>
      </c>
      <c r="F5" s="6" t="s">
        <v>13</v>
      </c>
      <c r="G5" s="6" t="s">
        <v>35</v>
      </c>
      <c r="H5" s="5">
        <v>9</v>
      </c>
      <c r="I5" s="45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>
        <v>34.799999999999997</v>
      </c>
      <c r="AC5" s="46">
        <v>65.56</v>
      </c>
      <c r="AD5" s="46">
        <v>124.7</v>
      </c>
      <c r="AE5" s="46">
        <v>105.89</v>
      </c>
      <c r="AF5" s="46">
        <v>138.25</v>
      </c>
      <c r="AG5" s="46">
        <v>121.46</v>
      </c>
      <c r="AH5" s="46">
        <v>139.88</v>
      </c>
      <c r="AI5" s="46">
        <v>102.02</v>
      </c>
      <c r="AJ5" s="46">
        <v>140.08000000000001</v>
      </c>
      <c r="AK5" s="46">
        <v>74.2</v>
      </c>
      <c r="AL5" s="46">
        <v>118.63</v>
      </c>
      <c r="AM5" s="7">
        <f t="shared" si="0"/>
        <v>105.95181818181817</v>
      </c>
    </row>
    <row r="6" spans="1:39" x14ac:dyDescent="0.3">
      <c r="A6" s="5">
        <v>5</v>
      </c>
      <c r="B6" s="6" t="s">
        <v>9</v>
      </c>
      <c r="C6" s="6" t="s">
        <v>88</v>
      </c>
      <c r="D6" s="6" t="s">
        <v>11</v>
      </c>
      <c r="E6" s="6" t="s">
        <v>12</v>
      </c>
      <c r="F6" s="6" t="s">
        <v>13</v>
      </c>
      <c r="G6" s="6" t="s">
        <v>14</v>
      </c>
      <c r="H6" s="5">
        <v>0</v>
      </c>
      <c r="I6" s="46">
        <v>29.65</v>
      </c>
      <c r="J6" s="45">
        <v>40.700000000000003</v>
      </c>
      <c r="K6" s="46">
        <v>42.95</v>
      </c>
      <c r="L6" s="46">
        <v>25.04</v>
      </c>
      <c r="M6" s="46">
        <v>44.54</v>
      </c>
      <c r="N6" s="46">
        <v>28.89</v>
      </c>
      <c r="O6" s="46">
        <v>60.83</v>
      </c>
      <c r="P6" s="46">
        <v>36.26</v>
      </c>
      <c r="Q6" s="46">
        <v>26.91</v>
      </c>
      <c r="R6" s="46">
        <v>57.27</v>
      </c>
      <c r="S6" s="46">
        <v>31.66</v>
      </c>
      <c r="T6" s="46">
        <v>21.4</v>
      </c>
      <c r="U6" s="46">
        <v>42.64</v>
      </c>
      <c r="V6" s="46">
        <v>68.61</v>
      </c>
      <c r="W6" s="46">
        <v>96.48</v>
      </c>
      <c r="X6" s="46">
        <v>75.010000000000005</v>
      </c>
      <c r="Y6" s="46">
        <v>98.18</v>
      </c>
      <c r="Z6" s="46">
        <v>87.66</v>
      </c>
      <c r="AA6" s="46">
        <v>24.35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7">
        <f t="shared" si="0"/>
        <v>31.300999999999998</v>
      </c>
    </row>
    <row r="7" spans="1:39" x14ac:dyDescent="0.3">
      <c r="A7" s="5">
        <v>6</v>
      </c>
      <c r="B7" s="6" t="s">
        <v>9</v>
      </c>
      <c r="C7" s="6" t="s">
        <v>88</v>
      </c>
      <c r="D7" s="6" t="s">
        <v>11</v>
      </c>
      <c r="E7" s="6" t="s">
        <v>12</v>
      </c>
      <c r="F7" s="6" t="s">
        <v>13</v>
      </c>
      <c r="G7" s="6" t="s">
        <v>35</v>
      </c>
      <c r="H7" s="5">
        <v>3</v>
      </c>
      <c r="I7" s="46"/>
      <c r="J7" s="45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>
        <v>16.649999999999999</v>
      </c>
      <c r="AB7" s="46">
        <v>51.94</v>
      </c>
      <c r="AC7" s="46">
        <v>51.04</v>
      </c>
      <c r="AD7" s="46">
        <v>27.83</v>
      </c>
      <c r="AE7" s="46">
        <v>93.16</v>
      </c>
      <c r="AF7" s="46">
        <v>48.67</v>
      </c>
      <c r="AG7" s="46">
        <v>85.95</v>
      </c>
      <c r="AH7" s="46">
        <v>60.07</v>
      </c>
      <c r="AI7" s="46">
        <v>71.14</v>
      </c>
      <c r="AJ7" s="46">
        <v>54.28</v>
      </c>
      <c r="AK7" s="46">
        <v>64.62</v>
      </c>
      <c r="AL7" s="46">
        <v>78.2</v>
      </c>
      <c r="AM7" s="7">
        <f t="shared" si="0"/>
        <v>58.629166666666663</v>
      </c>
    </row>
    <row r="8" spans="1:39" x14ac:dyDescent="0.3">
      <c r="A8" s="5">
        <v>7</v>
      </c>
      <c r="B8" s="6" t="s">
        <v>9</v>
      </c>
      <c r="C8" s="8" t="s">
        <v>91</v>
      </c>
      <c r="D8" s="8" t="s">
        <v>18</v>
      </c>
      <c r="E8" s="6" t="s">
        <v>19</v>
      </c>
      <c r="F8" s="6" t="s">
        <v>13</v>
      </c>
      <c r="G8" s="6" t="s">
        <v>14</v>
      </c>
      <c r="H8" s="5">
        <v>1</v>
      </c>
      <c r="I8" s="45">
        <v>5.44</v>
      </c>
      <c r="J8" s="45">
        <v>25.42</v>
      </c>
      <c r="K8" s="46">
        <v>33.15</v>
      </c>
      <c r="L8" s="46">
        <v>3.26</v>
      </c>
      <c r="M8" s="46">
        <v>8.7200000000000006</v>
      </c>
      <c r="N8" s="46">
        <v>10.029999999999999</v>
      </c>
      <c r="O8" s="46">
        <v>9.3699999999999992</v>
      </c>
      <c r="P8" s="46">
        <v>9.67</v>
      </c>
      <c r="Q8" s="46">
        <v>0.05</v>
      </c>
      <c r="R8" s="46">
        <v>10.02</v>
      </c>
      <c r="S8" s="46">
        <v>9.26</v>
      </c>
      <c r="T8" s="46">
        <v>14.95</v>
      </c>
      <c r="U8" s="46">
        <v>0.11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7">
        <f t="shared" si="0"/>
        <v>4.6483333333333343</v>
      </c>
    </row>
    <row r="9" spans="1:39" x14ac:dyDescent="0.3">
      <c r="A9" s="5">
        <v>8</v>
      </c>
      <c r="B9" s="6" t="s">
        <v>9</v>
      </c>
      <c r="C9" s="6" t="s">
        <v>92</v>
      </c>
      <c r="D9" s="6" t="s">
        <v>18</v>
      </c>
      <c r="E9" s="6" t="s">
        <v>19</v>
      </c>
      <c r="F9" s="6" t="s">
        <v>13</v>
      </c>
      <c r="G9" s="6" t="s">
        <v>14</v>
      </c>
      <c r="H9" s="5">
        <v>0</v>
      </c>
      <c r="I9" s="45">
        <v>36.46</v>
      </c>
      <c r="J9" s="45">
        <v>23.3</v>
      </c>
      <c r="K9" s="46">
        <v>45.21</v>
      </c>
      <c r="L9" s="46">
        <v>48.08</v>
      </c>
      <c r="M9" s="46">
        <v>37.380000000000003</v>
      </c>
      <c r="N9" s="46">
        <v>44.38</v>
      </c>
      <c r="O9" s="46">
        <v>48.14</v>
      </c>
      <c r="P9" s="46">
        <v>66.16</v>
      </c>
      <c r="Q9" s="46">
        <v>52.46</v>
      </c>
      <c r="R9" s="46">
        <v>66.069999999999993</v>
      </c>
      <c r="S9" s="46">
        <v>46.33</v>
      </c>
      <c r="T9" s="46">
        <v>38.869999999999997</v>
      </c>
      <c r="U9" s="46">
        <v>41.81</v>
      </c>
      <c r="V9" s="46">
        <v>42.57</v>
      </c>
      <c r="W9" s="46">
        <v>38.799999999999997</v>
      </c>
      <c r="X9" s="46">
        <v>51.37</v>
      </c>
      <c r="Y9" s="46">
        <v>29.93</v>
      </c>
      <c r="Z9" s="46">
        <v>40.200000000000003</v>
      </c>
      <c r="AA9" s="46">
        <v>47.07</v>
      </c>
      <c r="AB9" s="46">
        <v>16.72</v>
      </c>
      <c r="AC9" s="46">
        <v>9.5</v>
      </c>
      <c r="AD9" s="46">
        <v>30.2</v>
      </c>
      <c r="AE9" s="46">
        <v>18.11</v>
      </c>
      <c r="AF9" s="46">
        <v>11.33</v>
      </c>
      <c r="AG9" s="46">
        <v>8.69</v>
      </c>
      <c r="AH9" s="46">
        <v>8.1999999999999993</v>
      </c>
      <c r="AI9" s="46">
        <v>18.420000000000002</v>
      </c>
      <c r="AJ9" s="46">
        <v>8.1199999999999992</v>
      </c>
      <c r="AK9" s="46">
        <v>0.15</v>
      </c>
      <c r="AL9" s="46">
        <v>0</v>
      </c>
      <c r="AM9" s="7">
        <f t="shared" si="0"/>
        <v>32.46766666666668</v>
      </c>
    </row>
    <row r="10" spans="1:39" x14ac:dyDescent="0.3">
      <c r="A10" s="5">
        <v>9</v>
      </c>
      <c r="B10" s="6" t="s">
        <v>9</v>
      </c>
      <c r="C10" s="6" t="s">
        <v>92</v>
      </c>
      <c r="D10" s="6" t="s">
        <v>18</v>
      </c>
      <c r="E10" s="6" t="s">
        <v>19</v>
      </c>
      <c r="F10" s="6" t="s">
        <v>13</v>
      </c>
      <c r="G10" s="6" t="s">
        <v>35</v>
      </c>
      <c r="H10" s="5">
        <v>3</v>
      </c>
      <c r="I10" s="45"/>
      <c r="J10" s="45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>
        <v>34.61</v>
      </c>
      <c r="AL10" s="46">
        <v>26.83</v>
      </c>
      <c r="AM10" s="7">
        <f t="shared" si="0"/>
        <v>30.72</v>
      </c>
    </row>
    <row r="11" spans="1:39" x14ac:dyDescent="0.3">
      <c r="A11" s="5">
        <v>10</v>
      </c>
      <c r="B11" s="6" t="s">
        <v>9</v>
      </c>
      <c r="C11" s="6" t="s">
        <v>93</v>
      </c>
      <c r="D11" s="6" t="s">
        <v>26</v>
      </c>
      <c r="E11" s="6" t="s">
        <v>19</v>
      </c>
      <c r="F11" s="6" t="s">
        <v>13</v>
      </c>
      <c r="G11" s="6" t="s">
        <v>14</v>
      </c>
      <c r="H11" s="5">
        <v>1</v>
      </c>
      <c r="I11" s="45">
        <v>0</v>
      </c>
      <c r="J11" s="45">
        <v>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7">
        <f t="shared" si="0"/>
        <v>0</v>
      </c>
    </row>
    <row r="12" spans="1:39" x14ac:dyDescent="0.3">
      <c r="A12" s="5">
        <v>11</v>
      </c>
      <c r="B12" s="6" t="s">
        <v>9</v>
      </c>
      <c r="C12" s="6" t="s">
        <v>27</v>
      </c>
      <c r="D12" s="6" t="s">
        <v>28</v>
      </c>
      <c r="E12" s="6" t="s">
        <v>19</v>
      </c>
      <c r="F12" s="6" t="s">
        <v>13</v>
      </c>
      <c r="G12" s="6" t="s">
        <v>14</v>
      </c>
      <c r="H12" s="5">
        <v>5</v>
      </c>
      <c r="I12" s="45">
        <v>0</v>
      </c>
      <c r="J12" s="45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7">
        <f t="shared" si="0"/>
        <v>0</v>
      </c>
    </row>
    <row r="13" spans="1:39" x14ac:dyDescent="0.3">
      <c r="A13" s="5">
        <v>12</v>
      </c>
      <c r="B13" s="6" t="s">
        <v>9</v>
      </c>
      <c r="C13" s="6" t="s">
        <v>29</v>
      </c>
      <c r="D13" s="6" t="s">
        <v>30</v>
      </c>
      <c r="E13" s="6" t="s">
        <v>19</v>
      </c>
      <c r="F13" s="6" t="s">
        <v>13</v>
      </c>
      <c r="G13" s="6" t="s">
        <v>14</v>
      </c>
      <c r="H13" s="13">
        <v>8</v>
      </c>
      <c r="I13" s="45">
        <v>19.77</v>
      </c>
      <c r="J13" s="45">
        <v>36.29</v>
      </c>
      <c r="K13" s="46">
        <v>31.37</v>
      </c>
      <c r="L13" s="46">
        <v>27.52</v>
      </c>
      <c r="M13" s="46">
        <v>33.090000000000003</v>
      </c>
      <c r="N13" s="46">
        <v>36.409999999999997</v>
      </c>
      <c r="O13" s="46">
        <v>57.83</v>
      </c>
      <c r="P13" s="46">
        <v>43.16</v>
      </c>
      <c r="Q13" s="46">
        <v>44.22</v>
      </c>
      <c r="R13" s="46">
        <v>14.01</v>
      </c>
      <c r="S13" s="46">
        <v>51.98</v>
      </c>
      <c r="T13" s="46">
        <v>46.97</v>
      </c>
      <c r="U13" s="46">
        <v>18.75</v>
      </c>
      <c r="V13" s="46">
        <v>33.979999999999997</v>
      </c>
      <c r="W13" s="46">
        <v>26.79</v>
      </c>
      <c r="X13" s="46">
        <v>45.48</v>
      </c>
      <c r="Y13" s="46">
        <v>37.770000000000003</v>
      </c>
      <c r="Z13" s="46">
        <v>47.64</v>
      </c>
      <c r="AA13" s="46">
        <v>45.7</v>
      </c>
      <c r="AB13" s="46">
        <v>48.5</v>
      </c>
      <c r="AC13" s="46">
        <v>67.290000000000006</v>
      </c>
      <c r="AD13" s="46">
        <v>43.44</v>
      </c>
      <c r="AE13" s="46">
        <v>77.989999999999995</v>
      </c>
      <c r="AF13" s="46">
        <v>67.849999999999994</v>
      </c>
      <c r="AG13" s="46">
        <v>63.46</v>
      </c>
      <c r="AH13" s="46">
        <v>73.040000000000006</v>
      </c>
      <c r="AI13" s="46">
        <v>36.229999999999997</v>
      </c>
      <c r="AJ13" s="46">
        <v>53.39</v>
      </c>
      <c r="AK13" s="46">
        <v>55.42</v>
      </c>
      <c r="AL13" s="46">
        <v>41.86</v>
      </c>
      <c r="AM13" s="7">
        <f t="shared" si="0"/>
        <v>44.24</v>
      </c>
    </row>
    <row r="14" spans="1:39" x14ac:dyDescent="0.3">
      <c r="A14" s="5">
        <v>13</v>
      </c>
      <c r="B14" s="6" t="s">
        <v>9</v>
      </c>
      <c r="C14" s="6" t="s">
        <v>94</v>
      </c>
      <c r="D14" s="6" t="s">
        <v>32</v>
      </c>
      <c r="E14" s="6" t="s">
        <v>19</v>
      </c>
      <c r="F14" s="6" t="s">
        <v>13</v>
      </c>
      <c r="G14" s="6" t="s">
        <v>14</v>
      </c>
      <c r="H14" s="5">
        <v>2</v>
      </c>
      <c r="I14" s="45">
        <v>0</v>
      </c>
      <c r="J14" s="45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7">
        <f t="shared" si="0"/>
        <v>0</v>
      </c>
    </row>
    <row r="15" spans="1:39" x14ac:dyDescent="0.3">
      <c r="A15" s="5">
        <v>14</v>
      </c>
      <c r="B15" s="6" t="s">
        <v>9</v>
      </c>
      <c r="C15" s="6" t="s">
        <v>34</v>
      </c>
      <c r="D15" s="6" t="s">
        <v>30</v>
      </c>
      <c r="E15" s="6" t="s">
        <v>12</v>
      </c>
      <c r="F15" s="6" t="s">
        <v>13</v>
      </c>
      <c r="G15" s="6" t="s">
        <v>14</v>
      </c>
      <c r="H15" s="5">
        <v>2</v>
      </c>
      <c r="I15" s="45">
        <v>0.88</v>
      </c>
      <c r="J15" s="45">
        <v>0.06</v>
      </c>
      <c r="K15" s="46">
        <v>0</v>
      </c>
      <c r="L15" s="46">
        <v>0.1</v>
      </c>
      <c r="M15" s="46">
        <v>0</v>
      </c>
      <c r="N15" s="46">
        <v>0</v>
      </c>
      <c r="O15" s="46">
        <v>3.35</v>
      </c>
      <c r="P15" s="46">
        <v>3.81</v>
      </c>
      <c r="Q15" s="46">
        <v>0</v>
      </c>
      <c r="R15" s="46">
        <v>0</v>
      </c>
      <c r="S15" s="46">
        <v>7.06</v>
      </c>
      <c r="T15" s="46">
        <v>0.05</v>
      </c>
      <c r="U15" s="46">
        <v>0</v>
      </c>
      <c r="V15" s="46">
        <v>0</v>
      </c>
      <c r="W15" s="46">
        <v>0</v>
      </c>
      <c r="X15" s="46">
        <v>0</v>
      </c>
      <c r="Y15" s="46">
        <v>0</v>
      </c>
      <c r="Z15" s="46">
        <v>0</v>
      </c>
      <c r="AA15" s="46">
        <v>1.1000000000000001</v>
      </c>
      <c r="AB15" s="46">
        <v>0</v>
      </c>
      <c r="AC15" s="46">
        <v>0</v>
      </c>
      <c r="AD15" s="46">
        <v>0</v>
      </c>
      <c r="AE15" s="46">
        <v>0</v>
      </c>
      <c r="AF15" s="46">
        <v>0</v>
      </c>
      <c r="AG15" s="46">
        <v>8.93</v>
      </c>
      <c r="AH15" s="46">
        <v>0</v>
      </c>
      <c r="AI15" s="46">
        <v>0.55000000000000004</v>
      </c>
      <c r="AJ15" s="46">
        <v>0</v>
      </c>
      <c r="AK15" s="46">
        <v>0</v>
      </c>
      <c r="AL15" s="46">
        <v>0</v>
      </c>
      <c r="AM15" s="7">
        <f t="shared" si="0"/>
        <v>0.8630000000000001</v>
      </c>
    </row>
    <row r="16" spans="1:39" x14ac:dyDescent="0.3">
      <c r="A16" s="5">
        <v>15</v>
      </c>
      <c r="B16" s="6" t="s">
        <v>9</v>
      </c>
      <c r="C16" s="6" t="s">
        <v>34</v>
      </c>
      <c r="D16" s="6" t="s">
        <v>30</v>
      </c>
      <c r="E16" s="6" t="s">
        <v>12</v>
      </c>
      <c r="F16" s="6" t="s">
        <v>13</v>
      </c>
      <c r="G16" s="6" t="s">
        <v>35</v>
      </c>
      <c r="H16" s="5">
        <v>15</v>
      </c>
      <c r="I16" s="45">
        <f>636.78-580.19</f>
        <v>56.589999999999918</v>
      </c>
      <c r="J16" s="45">
        <f>439.78-190.64-12.01</f>
        <v>237.13</v>
      </c>
      <c r="K16" s="46">
        <f>427.51-K17-214.48</f>
        <v>204.35999999999999</v>
      </c>
      <c r="L16" s="46">
        <f>521.21-448.2</f>
        <v>73.010000000000048</v>
      </c>
      <c r="M16" s="46">
        <f>105.69-10.74</f>
        <v>94.95</v>
      </c>
      <c r="N16" s="46">
        <v>137.16</v>
      </c>
      <c r="O16" s="46">
        <f>444.48-310.5</f>
        <v>133.98000000000002</v>
      </c>
      <c r="P16" s="46">
        <f>370.93-205.37</f>
        <v>165.56</v>
      </c>
      <c r="Q16" s="46">
        <v>124.68</v>
      </c>
      <c r="R16" s="46">
        <f>67.28-3.22</f>
        <v>64.06</v>
      </c>
      <c r="S16" s="46">
        <f>306.11-171.39</f>
        <v>134.72000000000003</v>
      </c>
      <c r="T16" s="46">
        <f>208.52-80.46</f>
        <v>128.06</v>
      </c>
      <c r="U16" s="46">
        <f>285.02-168.26</f>
        <v>116.75999999999999</v>
      </c>
      <c r="V16" s="46">
        <f>380.48-272.59</f>
        <v>107.89000000000004</v>
      </c>
      <c r="W16" s="46">
        <f>455.88-346.56</f>
        <v>109.32</v>
      </c>
      <c r="X16" s="46">
        <f>180.47-5.8</f>
        <v>174.67</v>
      </c>
      <c r="Y16" s="46">
        <v>142.22</v>
      </c>
      <c r="Z16" s="46">
        <v>109.56</v>
      </c>
      <c r="AA16" s="46">
        <f>268.17-136.88</f>
        <v>131.29000000000002</v>
      </c>
      <c r="AB16" s="46">
        <v>107.67</v>
      </c>
      <c r="AC16" s="46">
        <f>203.17+7.48</f>
        <v>210.64999999999998</v>
      </c>
      <c r="AD16" s="46">
        <v>155.25</v>
      </c>
      <c r="AE16" s="46">
        <v>128.22</v>
      </c>
      <c r="AF16" s="46">
        <f>203.25-92.41</f>
        <v>110.84</v>
      </c>
      <c r="AG16" s="46">
        <f>639.01-500.63</f>
        <v>138.38</v>
      </c>
      <c r="AH16" s="46">
        <f>374.48-209.18</f>
        <v>165.3</v>
      </c>
      <c r="AI16" s="46">
        <v>170.43</v>
      </c>
      <c r="AJ16" s="46">
        <f>267.74-112.35</f>
        <v>155.39000000000001</v>
      </c>
      <c r="AK16" s="46">
        <f>173.32-0.23</f>
        <v>173.09</v>
      </c>
      <c r="AL16" s="46">
        <v>187.03</v>
      </c>
      <c r="AM16" s="7">
        <f t="shared" si="0"/>
        <v>138.274</v>
      </c>
    </row>
    <row r="17" spans="1:39" x14ac:dyDescent="0.3">
      <c r="A17" s="5">
        <v>16</v>
      </c>
      <c r="B17" s="6" t="s">
        <v>9</v>
      </c>
      <c r="C17" s="6" t="s">
        <v>34</v>
      </c>
      <c r="D17" s="6" t="s">
        <v>30</v>
      </c>
      <c r="E17" s="6" t="s">
        <v>12</v>
      </c>
      <c r="F17" s="6" t="s">
        <v>13</v>
      </c>
      <c r="G17" s="6" t="s">
        <v>80</v>
      </c>
      <c r="H17" s="5">
        <v>1</v>
      </c>
      <c r="I17" s="45">
        <v>0</v>
      </c>
      <c r="J17" s="45">
        <v>12.01</v>
      </c>
      <c r="K17" s="46">
        <v>8.67</v>
      </c>
      <c r="L17" s="46">
        <v>6.2</v>
      </c>
      <c r="M17" s="46">
        <v>10.74</v>
      </c>
      <c r="N17" s="46">
        <v>8.9600000000000009</v>
      </c>
      <c r="O17" s="46">
        <v>0.79</v>
      </c>
      <c r="P17" s="46">
        <v>2.23</v>
      </c>
      <c r="Q17" s="46">
        <v>23.68</v>
      </c>
      <c r="R17" s="46">
        <v>0</v>
      </c>
      <c r="S17" s="46">
        <v>0</v>
      </c>
      <c r="T17" s="46">
        <v>0.12</v>
      </c>
      <c r="U17" s="46">
        <v>2.0499999999999998</v>
      </c>
      <c r="V17" s="46">
        <v>9.11</v>
      </c>
      <c r="W17" s="46">
        <v>5.35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1.85</v>
      </c>
      <c r="AH17" s="46">
        <v>0.37</v>
      </c>
      <c r="AI17" s="46">
        <v>0</v>
      </c>
      <c r="AJ17" s="46">
        <v>0</v>
      </c>
      <c r="AK17" s="46">
        <v>0</v>
      </c>
      <c r="AL17" s="46">
        <v>1.0900000000000001</v>
      </c>
      <c r="AM17" s="7">
        <f t="shared" si="0"/>
        <v>3.1073333333333335</v>
      </c>
    </row>
    <row r="18" spans="1:39" x14ac:dyDescent="0.3">
      <c r="A18" s="5">
        <v>17</v>
      </c>
      <c r="B18" s="6" t="s">
        <v>9</v>
      </c>
      <c r="C18" s="6" t="s">
        <v>34</v>
      </c>
      <c r="D18" s="6" t="s">
        <v>30</v>
      </c>
      <c r="E18" s="6" t="s">
        <v>19</v>
      </c>
      <c r="F18" s="6" t="s">
        <v>124</v>
      </c>
      <c r="G18" s="6" t="s">
        <v>80</v>
      </c>
      <c r="H18" s="5">
        <v>1</v>
      </c>
      <c r="I18" s="45">
        <v>0</v>
      </c>
      <c r="J18" s="45">
        <v>0</v>
      </c>
      <c r="K18" s="46">
        <v>0</v>
      </c>
      <c r="L18" s="46">
        <v>0</v>
      </c>
      <c r="M18" s="46">
        <v>0</v>
      </c>
      <c r="N18" s="46">
        <v>0</v>
      </c>
      <c r="O18" s="46">
        <v>0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0</v>
      </c>
      <c r="AD18" s="46">
        <v>0</v>
      </c>
      <c r="AE18" s="46">
        <v>0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0</v>
      </c>
      <c r="AL18" s="46">
        <v>0</v>
      </c>
      <c r="AM18" s="7">
        <f t="shared" si="0"/>
        <v>0</v>
      </c>
    </row>
    <row r="19" spans="1:39" x14ac:dyDescent="0.3">
      <c r="A19" s="5">
        <v>18</v>
      </c>
      <c r="B19" s="6" t="s">
        <v>9</v>
      </c>
      <c r="C19" s="6" t="s">
        <v>36</v>
      </c>
      <c r="D19" s="6" t="s">
        <v>30</v>
      </c>
      <c r="E19" s="6" t="s">
        <v>19</v>
      </c>
      <c r="F19" s="6" t="s">
        <v>13</v>
      </c>
      <c r="G19" s="6" t="s">
        <v>35</v>
      </c>
      <c r="H19" s="5">
        <v>6</v>
      </c>
      <c r="I19" s="45">
        <v>60.36</v>
      </c>
      <c r="J19" s="45">
        <v>44.4</v>
      </c>
      <c r="K19" s="46">
        <v>52.22</v>
      </c>
      <c r="L19" s="46">
        <v>62.4</v>
      </c>
      <c r="M19" s="46">
        <f>114.44-60.12</f>
        <v>54.32</v>
      </c>
      <c r="N19" s="46">
        <f>305.02-246.95</f>
        <v>58.069999999999993</v>
      </c>
      <c r="O19" s="46">
        <f>201.02-141.84</f>
        <v>59.180000000000007</v>
      </c>
      <c r="P19" s="46">
        <f>73.63-40.46</f>
        <v>33.169999999999995</v>
      </c>
      <c r="Q19" s="46">
        <f>59.11-0.43</f>
        <v>58.68</v>
      </c>
      <c r="R19" s="46">
        <v>60.8</v>
      </c>
      <c r="S19" s="46">
        <v>41.38</v>
      </c>
      <c r="T19" s="46">
        <v>46.4</v>
      </c>
      <c r="U19" s="46">
        <v>46.13</v>
      </c>
      <c r="V19" s="46">
        <v>39.43</v>
      </c>
      <c r="W19" s="46">
        <f>176.14-112.49</f>
        <v>63.649999999999991</v>
      </c>
      <c r="X19" s="46">
        <v>29.68</v>
      </c>
      <c r="Y19" s="46">
        <v>42.58</v>
      </c>
      <c r="Z19" s="46">
        <v>38.18</v>
      </c>
      <c r="AA19" s="46">
        <v>9.9</v>
      </c>
      <c r="AB19" s="46">
        <v>43.25</v>
      </c>
      <c r="AC19" s="46">
        <v>62.13</v>
      </c>
      <c r="AD19" s="46">
        <v>42.94</v>
      </c>
      <c r="AE19" s="46">
        <v>32.69</v>
      </c>
      <c r="AF19" s="46">
        <v>48.47</v>
      </c>
      <c r="AG19" s="46">
        <v>79.069999999999993</v>
      </c>
      <c r="AH19" s="46">
        <v>44.3</v>
      </c>
      <c r="AI19" s="46">
        <v>30.73</v>
      </c>
      <c r="AJ19" s="46">
        <v>27.43</v>
      </c>
      <c r="AK19" s="46">
        <v>22.4</v>
      </c>
      <c r="AL19" s="46">
        <v>84.95</v>
      </c>
      <c r="AM19" s="7">
        <f t="shared" si="0"/>
        <v>47.309666666666665</v>
      </c>
    </row>
    <row r="20" spans="1:39" x14ac:dyDescent="0.3">
      <c r="A20" s="5">
        <v>19</v>
      </c>
      <c r="B20" s="6" t="s">
        <v>9</v>
      </c>
      <c r="C20" s="6" t="s">
        <v>37</v>
      </c>
      <c r="D20" s="6" t="s">
        <v>30</v>
      </c>
      <c r="E20" s="6" t="s">
        <v>12</v>
      </c>
      <c r="F20" s="6" t="s">
        <v>13</v>
      </c>
      <c r="G20" s="6" t="s">
        <v>35</v>
      </c>
      <c r="H20" s="5">
        <v>6</v>
      </c>
      <c r="I20" s="45">
        <v>29.84</v>
      </c>
      <c r="J20" s="45">
        <v>25.69</v>
      </c>
      <c r="K20" s="46">
        <v>34.07</v>
      </c>
      <c r="L20" s="46">
        <v>34.380000000000003</v>
      </c>
      <c r="M20" s="46">
        <v>22.15</v>
      </c>
      <c r="N20" s="46">
        <v>41.7</v>
      </c>
      <c r="O20" s="46">
        <f>125.84-93.86</f>
        <v>31.980000000000004</v>
      </c>
      <c r="P20" s="46">
        <f>117.96-87.3</f>
        <v>30.659999999999997</v>
      </c>
      <c r="Q20" s="46">
        <f>76.4-32.41</f>
        <v>43.990000000000009</v>
      </c>
      <c r="R20" s="46">
        <v>31.33</v>
      </c>
      <c r="S20" s="46">
        <v>39.92</v>
      </c>
      <c r="T20" s="46">
        <v>35.71</v>
      </c>
      <c r="U20" s="46">
        <v>27.9</v>
      </c>
      <c r="V20" s="46">
        <v>36.15</v>
      </c>
      <c r="W20" s="46">
        <v>36.22</v>
      </c>
      <c r="X20" s="46">
        <v>31.54</v>
      </c>
      <c r="Y20" s="46">
        <v>29.08</v>
      </c>
      <c r="Z20" s="46">
        <v>29</v>
      </c>
      <c r="AA20" s="46">
        <v>32.68</v>
      </c>
      <c r="AB20" s="46">
        <v>28.63</v>
      </c>
      <c r="AC20" s="46">
        <v>28.68</v>
      </c>
      <c r="AD20" s="46">
        <v>38.08</v>
      </c>
      <c r="AE20" s="46">
        <f>146.29-109.67</f>
        <v>36.61999999999999</v>
      </c>
      <c r="AF20" s="46">
        <f>65.15-48.21</f>
        <v>16.940000000000005</v>
      </c>
      <c r="AG20" s="46">
        <v>30.11</v>
      </c>
      <c r="AH20" s="46">
        <f>181.24-149.17</f>
        <v>32.070000000000022</v>
      </c>
      <c r="AI20" s="46">
        <f>189.86-151.11</f>
        <v>38.75</v>
      </c>
      <c r="AJ20" s="46">
        <v>29.83</v>
      </c>
      <c r="AK20" s="46">
        <v>22.06</v>
      </c>
      <c r="AL20" s="46">
        <v>40.659999999999997</v>
      </c>
      <c r="AM20" s="7">
        <f t="shared" si="0"/>
        <v>32.213999999999999</v>
      </c>
    </row>
    <row r="21" spans="1:39" x14ac:dyDescent="0.3">
      <c r="A21" s="5">
        <v>20</v>
      </c>
      <c r="B21" s="6" t="s">
        <v>9</v>
      </c>
      <c r="C21" s="6" t="s">
        <v>38</v>
      </c>
      <c r="D21" s="6" t="s">
        <v>30</v>
      </c>
      <c r="E21" s="6" t="s">
        <v>19</v>
      </c>
      <c r="F21" s="6" t="s">
        <v>13</v>
      </c>
      <c r="G21" s="6" t="s">
        <v>35</v>
      </c>
      <c r="H21" s="5">
        <v>3</v>
      </c>
      <c r="I21" s="45">
        <v>38.64</v>
      </c>
      <c r="J21" s="45">
        <v>36.42</v>
      </c>
      <c r="K21" s="46">
        <v>53.07</v>
      </c>
      <c r="L21" s="46">
        <v>28.58</v>
      </c>
      <c r="M21" s="46">
        <v>29.94</v>
      </c>
      <c r="N21" s="46">
        <v>40.950000000000003</v>
      </c>
      <c r="O21" s="46">
        <v>53.56</v>
      </c>
      <c r="P21" s="46">
        <v>40.770000000000003</v>
      </c>
      <c r="Q21" s="46">
        <v>25.51</v>
      </c>
      <c r="R21" s="46">
        <v>36.869999999999997</v>
      </c>
      <c r="S21" s="46">
        <v>34.71</v>
      </c>
      <c r="T21" s="46">
        <v>52.77</v>
      </c>
      <c r="U21" s="46">
        <v>41.97</v>
      </c>
      <c r="V21" s="46">
        <v>47.27</v>
      </c>
      <c r="W21" s="46">
        <v>39.15</v>
      </c>
      <c r="X21" s="46">
        <v>32.630000000000003</v>
      </c>
      <c r="Y21" s="46">
        <v>43.67</v>
      </c>
      <c r="Z21" s="46">
        <v>13.39</v>
      </c>
      <c r="AA21" s="46">
        <v>36.19</v>
      </c>
      <c r="AB21" s="46">
        <v>4.1100000000000003</v>
      </c>
      <c r="AC21" s="46">
        <v>44.52</v>
      </c>
      <c r="AD21" s="46">
        <v>44.62</v>
      </c>
      <c r="AE21" s="46">
        <v>53.72</v>
      </c>
      <c r="AF21" s="46">
        <v>72.55</v>
      </c>
      <c r="AG21" s="46">
        <v>40.14</v>
      </c>
      <c r="AH21" s="46">
        <v>44.42</v>
      </c>
      <c r="AI21" s="46">
        <v>50.68</v>
      </c>
      <c r="AJ21" s="46">
        <v>31.62</v>
      </c>
      <c r="AK21" s="46">
        <v>20.2</v>
      </c>
      <c r="AL21" s="46">
        <v>41.75</v>
      </c>
      <c r="AM21" s="7">
        <f t="shared" si="0"/>
        <v>39.146333333333324</v>
      </c>
    </row>
    <row r="22" spans="1:39" x14ac:dyDescent="0.3">
      <c r="A22" s="5">
        <v>21</v>
      </c>
      <c r="B22" s="6" t="s">
        <v>9</v>
      </c>
      <c r="C22" s="6" t="s">
        <v>39</v>
      </c>
      <c r="D22" s="6" t="s">
        <v>30</v>
      </c>
      <c r="E22" s="6" t="s">
        <v>19</v>
      </c>
      <c r="F22" s="6" t="s">
        <v>13</v>
      </c>
      <c r="G22" s="6" t="s">
        <v>14</v>
      </c>
      <c r="H22" s="5">
        <v>3</v>
      </c>
      <c r="I22" s="45">
        <v>0</v>
      </c>
      <c r="J22" s="45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5.0000000000000001E-3</v>
      </c>
      <c r="Y22" s="46">
        <v>0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7">
        <f t="shared" si="0"/>
        <v>1.6666666666666666E-4</v>
      </c>
    </row>
    <row r="23" spans="1:39" x14ac:dyDescent="0.3">
      <c r="A23" s="5">
        <v>22</v>
      </c>
      <c r="B23" s="6" t="s">
        <v>9</v>
      </c>
      <c r="C23" s="6" t="s">
        <v>39</v>
      </c>
      <c r="D23" s="6" t="s">
        <v>30</v>
      </c>
      <c r="E23" s="6" t="s">
        <v>19</v>
      </c>
      <c r="F23" s="6" t="s">
        <v>40</v>
      </c>
      <c r="G23" s="6" t="s">
        <v>35</v>
      </c>
      <c r="H23" s="5">
        <v>1</v>
      </c>
      <c r="I23" s="45">
        <v>0</v>
      </c>
      <c r="J23" s="45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46">
        <v>0</v>
      </c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1.93</v>
      </c>
      <c r="AM23" s="7">
        <f t="shared" si="0"/>
        <v>6.4333333333333326E-2</v>
      </c>
    </row>
    <row r="24" spans="1:39" x14ac:dyDescent="0.3">
      <c r="A24" s="5">
        <v>23</v>
      </c>
      <c r="B24" s="6" t="s">
        <v>9</v>
      </c>
      <c r="C24" s="6" t="s">
        <v>39</v>
      </c>
      <c r="D24" s="6" t="s">
        <v>30</v>
      </c>
      <c r="E24" s="6" t="s">
        <v>19</v>
      </c>
      <c r="F24" s="6" t="s">
        <v>41</v>
      </c>
      <c r="G24" s="6" t="s">
        <v>35</v>
      </c>
      <c r="H24" s="5">
        <v>1</v>
      </c>
      <c r="I24" s="45">
        <v>0</v>
      </c>
      <c r="J24" s="45">
        <v>0</v>
      </c>
      <c r="K24" s="46">
        <v>0</v>
      </c>
      <c r="L24" s="46">
        <v>0</v>
      </c>
      <c r="M24" s="46">
        <v>0</v>
      </c>
      <c r="N24" s="46">
        <v>0</v>
      </c>
      <c r="O24" s="46">
        <v>0</v>
      </c>
      <c r="P24" s="46">
        <v>0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46">
        <v>0</v>
      </c>
      <c r="AC24" s="46">
        <v>0</v>
      </c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46">
        <v>0</v>
      </c>
      <c r="AL24" s="46">
        <v>0</v>
      </c>
      <c r="AM24" s="7">
        <f t="shared" si="0"/>
        <v>0</v>
      </c>
    </row>
    <row r="25" spans="1:39" x14ac:dyDescent="0.3">
      <c r="A25" s="5">
        <v>24</v>
      </c>
      <c r="B25" s="6" t="s">
        <v>9</v>
      </c>
      <c r="C25" s="6" t="s">
        <v>96</v>
      </c>
      <c r="D25" s="6" t="s">
        <v>43</v>
      </c>
      <c r="E25" s="6" t="s">
        <v>19</v>
      </c>
      <c r="F25" s="6" t="s">
        <v>13</v>
      </c>
      <c r="G25" s="6" t="s">
        <v>14</v>
      </c>
      <c r="H25" s="5">
        <v>1</v>
      </c>
      <c r="I25" s="45">
        <v>0</v>
      </c>
      <c r="J25" s="45">
        <v>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46">
        <v>0</v>
      </c>
      <c r="AB25" s="46">
        <v>0</v>
      </c>
      <c r="AC25" s="46">
        <v>0</v>
      </c>
      <c r="AD25" s="46">
        <v>0</v>
      </c>
      <c r="AE25" s="46">
        <v>0</v>
      </c>
      <c r="AF25" s="46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7">
        <f t="shared" si="0"/>
        <v>0</v>
      </c>
    </row>
    <row r="26" spans="1:39" x14ac:dyDescent="0.3">
      <c r="A26" s="5">
        <v>25</v>
      </c>
      <c r="B26" s="6" t="s">
        <v>9</v>
      </c>
      <c r="C26" s="6" t="s">
        <v>125</v>
      </c>
      <c r="D26" s="6" t="s">
        <v>48</v>
      </c>
      <c r="E26" s="6" t="s">
        <v>19</v>
      </c>
      <c r="F26" s="6" t="s">
        <v>13</v>
      </c>
      <c r="G26" s="6" t="s">
        <v>14</v>
      </c>
      <c r="H26" s="5">
        <v>1</v>
      </c>
      <c r="I26" s="45">
        <v>0</v>
      </c>
      <c r="J26" s="45">
        <v>0</v>
      </c>
      <c r="K26" s="46">
        <v>0</v>
      </c>
      <c r="L26" s="46">
        <v>0</v>
      </c>
      <c r="M26" s="46">
        <v>0</v>
      </c>
      <c r="N26" s="46">
        <v>5.8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0</v>
      </c>
      <c r="AI26" s="46">
        <v>0</v>
      </c>
      <c r="AJ26" s="46">
        <v>0</v>
      </c>
      <c r="AK26" s="46">
        <v>0</v>
      </c>
      <c r="AL26" s="46">
        <v>0</v>
      </c>
      <c r="AM26" s="7">
        <f t="shared" si="0"/>
        <v>0.19333333333333333</v>
      </c>
    </row>
    <row r="27" spans="1:39" x14ac:dyDescent="0.3">
      <c r="A27" s="5">
        <v>26</v>
      </c>
      <c r="B27" s="6" t="s">
        <v>49</v>
      </c>
      <c r="C27" s="6" t="s">
        <v>50</v>
      </c>
      <c r="D27" s="6" t="s">
        <v>30</v>
      </c>
      <c r="E27" s="6" t="s">
        <v>19</v>
      </c>
      <c r="F27" s="6" t="s">
        <v>13</v>
      </c>
      <c r="G27" s="6" t="s">
        <v>14</v>
      </c>
      <c r="H27" s="5">
        <v>7</v>
      </c>
      <c r="I27" s="45">
        <v>22.65</v>
      </c>
      <c r="J27" s="45">
        <v>12.75</v>
      </c>
      <c r="K27" s="46">
        <v>12.72</v>
      </c>
      <c r="L27" s="46">
        <v>30.31</v>
      </c>
      <c r="M27" s="46">
        <v>19.55</v>
      </c>
      <c r="N27" s="46">
        <v>16.88</v>
      </c>
      <c r="O27" s="46">
        <v>26.85</v>
      </c>
      <c r="P27" s="46">
        <v>26.45</v>
      </c>
      <c r="Q27" s="46">
        <v>6.55</v>
      </c>
      <c r="R27" s="46">
        <v>16.850000000000001</v>
      </c>
      <c r="S27" s="46">
        <v>15.22</v>
      </c>
      <c r="T27" s="46">
        <v>14.62</v>
      </c>
      <c r="U27" s="46">
        <v>21.72</v>
      </c>
      <c r="V27" s="46">
        <v>18.649999999999999</v>
      </c>
      <c r="W27" s="46">
        <v>23.16</v>
      </c>
      <c r="X27" s="46">
        <v>16.73</v>
      </c>
      <c r="Y27" s="46">
        <v>20.76</v>
      </c>
      <c r="Z27" s="46">
        <v>9.1300000000000008</v>
      </c>
      <c r="AA27" s="46">
        <v>31.54</v>
      </c>
      <c r="AB27" s="46">
        <v>26.98</v>
      </c>
      <c r="AC27" s="46">
        <v>32.61</v>
      </c>
      <c r="AD27" s="46">
        <v>29.91</v>
      </c>
      <c r="AE27" s="46">
        <v>23.33</v>
      </c>
      <c r="AF27" s="46">
        <v>24.15</v>
      </c>
      <c r="AG27" s="46">
        <v>17.010000000000002</v>
      </c>
      <c r="AH27" s="46">
        <v>34.869999999999997</v>
      </c>
      <c r="AI27" s="46">
        <v>13.92</v>
      </c>
      <c r="AJ27" s="46">
        <v>23.67</v>
      </c>
      <c r="AK27" s="46">
        <v>16.98</v>
      </c>
      <c r="AL27" s="46">
        <v>12.94</v>
      </c>
      <c r="AM27" s="7">
        <f t="shared" si="0"/>
        <v>20.648666666666667</v>
      </c>
    </row>
    <row r="28" spans="1:39" x14ac:dyDescent="0.3">
      <c r="A28" s="5">
        <v>27</v>
      </c>
      <c r="B28" s="6" t="s">
        <v>49</v>
      </c>
      <c r="C28" s="6" t="s">
        <v>98</v>
      </c>
      <c r="D28" s="6" t="s">
        <v>18</v>
      </c>
      <c r="E28" s="6" t="s">
        <v>19</v>
      </c>
      <c r="F28" s="6" t="s">
        <v>13</v>
      </c>
      <c r="G28" s="6" t="s">
        <v>14</v>
      </c>
      <c r="H28" s="5">
        <v>5</v>
      </c>
      <c r="I28" s="46">
        <v>5.65</v>
      </c>
      <c r="J28" s="45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0.15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7">
        <f t="shared" si="0"/>
        <v>0.19333333333333336</v>
      </c>
    </row>
    <row r="29" spans="1:39" x14ac:dyDescent="0.3">
      <c r="A29" s="5">
        <v>28</v>
      </c>
      <c r="B29" s="6" t="s">
        <v>49</v>
      </c>
      <c r="C29" s="6" t="s">
        <v>99</v>
      </c>
      <c r="D29" s="6" t="s">
        <v>61</v>
      </c>
      <c r="E29" s="6" t="s">
        <v>19</v>
      </c>
      <c r="F29" s="6" t="s">
        <v>13</v>
      </c>
      <c r="G29" s="6" t="s">
        <v>14</v>
      </c>
      <c r="H29" s="5">
        <v>10</v>
      </c>
      <c r="I29" s="45">
        <v>49</v>
      </c>
      <c r="J29" s="45">
        <v>54.73</v>
      </c>
      <c r="K29" s="46">
        <v>55.75</v>
      </c>
      <c r="L29" s="46">
        <v>60.43</v>
      </c>
      <c r="M29" s="46">
        <v>62.7</v>
      </c>
      <c r="N29" s="46">
        <v>59.78</v>
      </c>
      <c r="O29" s="46">
        <v>59.84</v>
      </c>
      <c r="P29" s="46">
        <v>60.71</v>
      </c>
      <c r="Q29" s="46">
        <v>57.62</v>
      </c>
      <c r="R29" s="46">
        <v>55.16</v>
      </c>
      <c r="S29" s="46">
        <v>54.7</v>
      </c>
      <c r="T29" s="46">
        <v>63.41</v>
      </c>
      <c r="U29" s="46">
        <v>46.65</v>
      </c>
      <c r="V29" s="46">
        <v>61.6</v>
      </c>
      <c r="W29" s="46">
        <v>46.61</v>
      </c>
      <c r="X29" s="46">
        <v>50.19</v>
      </c>
      <c r="Y29" s="46">
        <v>51.03</v>
      </c>
      <c r="Z29" s="46">
        <v>51.74</v>
      </c>
      <c r="AA29" s="46">
        <v>5.57</v>
      </c>
      <c r="AB29" s="46">
        <v>52.05</v>
      </c>
      <c r="AC29" s="46">
        <v>62.58</v>
      </c>
      <c r="AD29" s="46">
        <v>58.18</v>
      </c>
      <c r="AE29" s="46">
        <v>52.96</v>
      </c>
      <c r="AF29" s="46">
        <v>56.37</v>
      </c>
      <c r="AG29" s="46">
        <v>78.790000000000006</v>
      </c>
      <c r="AH29" s="46">
        <v>68.88</v>
      </c>
      <c r="AI29" s="46">
        <v>55.49</v>
      </c>
      <c r="AJ29" s="46">
        <v>78.56</v>
      </c>
      <c r="AK29" s="46">
        <v>56.28</v>
      </c>
      <c r="AL29" s="46">
        <v>102.89</v>
      </c>
      <c r="AM29" s="7">
        <f t="shared" si="0"/>
        <v>57.67499999999999</v>
      </c>
    </row>
    <row r="30" spans="1:39" x14ac:dyDescent="0.3">
      <c r="A30" s="5">
        <v>29</v>
      </c>
      <c r="B30" s="6" t="s">
        <v>52</v>
      </c>
      <c r="C30" s="6" t="s">
        <v>100</v>
      </c>
      <c r="D30" s="6" t="s">
        <v>54</v>
      </c>
      <c r="E30" s="6" t="s">
        <v>19</v>
      </c>
      <c r="F30" s="6" t="s">
        <v>13</v>
      </c>
      <c r="G30" s="6" t="s">
        <v>14</v>
      </c>
      <c r="H30" s="5">
        <v>5</v>
      </c>
      <c r="I30" s="45">
        <v>0</v>
      </c>
      <c r="J30" s="45">
        <v>0</v>
      </c>
      <c r="K30" s="46">
        <v>0</v>
      </c>
      <c r="L30" s="46">
        <v>0</v>
      </c>
      <c r="M30" s="46">
        <v>0</v>
      </c>
      <c r="N30" s="46">
        <v>0</v>
      </c>
      <c r="O30" s="46">
        <v>2.52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14.33</v>
      </c>
      <c r="V30" s="46">
        <v>20.260000000000002</v>
      </c>
      <c r="W30" s="46">
        <v>19.239999999999998</v>
      </c>
      <c r="X30" s="46">
        <v>7.68</v>
      </c>
      <c r="Y30" s="46">
        <v>0</v>
      </c>
      <c r="Z30" s="46">
        <v>17.13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7">
        <f t="shared" si="0"/>
        <v>2.7053333333333334</v>
      </c>
    </row>
    <row r="31" spans="1:39" x14ac:dyDescent="0.3">
      <c r="A31" s="5">
        <v>30</v>
      </c>
      <c r="B31" s="6" t="s">
        <v>55</v>
      </c>
      <c r="C31" s="6" t="s">
        <v>56</v>
      </c>
      <c r="D31" s="6" t="s">
        <v>57</v>
      </c>
      <c r="E31" s="6" t="s">
        <v>19</v>
      </c>
      <c r="F31" s="6" t="s">
        <v>13</v>
      </c>
      <c r="G31" s="6" t="s">
        <v>14</v>
      </c>
      <c r="H31" s="5">
        <v>25</v>
      </c>
      <c r="I31" s="45">
        <v>132.81</v>
      </c>
      <c r="J31" s="45">
        <v>170.05</v>
      </c>
      <c r="K31" s="46">
        <v>87.11</v>
      </c>
      <c r="L31" s="46">
        <v>39.9</v>
      </c>
      <c r="M31" s="46">
        <v>96.36</v>
      </c>
      <c r="N31" s="46">
        <v>63.54</v>
      </c>
      <c r="O31" s="46">
        <v>169.54</v>
      </c>
      <c r="P31" s="46">
        <v>114.24</v>
      </c>
      <c r="Q31" s="46">
        <v>166.16</v>
      </c>
      <c r="R31" s="46">
        <v>82.88</v>
      </c>
      <c r="S31" s="46">
        <v>29.08</v>
      </c>
      <c r="T31" s="46">
        <v>45.1</v>
      </c>
      <c r="U31" s="46">
        <v>47.83</v>
      </c>
      <c r="V31" s="46">
        <v>56.33</v>
      </c>
      <c r="W31" s="46">
        <v>30.74</v>
      </c>
      <c r="X31" s="46">
        <v>31.65</v>
      </c>
      <c r="Y31" s="46">
        <v>28.89</v>
      </c>
      <c r="Z31" s="46">
        <v>39.46</v>
      </c>
      <c r="AA31" s="46">
        <v>6.61</v>
      </c>
      <c r="AB31" s="46">
        <v>9.18</v>
      </c>
      <c r="AC31" s="46">
        <v>12.9</v>
      </c>
      <c r="AD31" s="46">
        <v>23.32</v>
      </c>
      <c r="AE31" s="46">
        <v>30.09</v>
      </c>
      <c r="AF31" s="46">
        <v>28.63</v>
      </c>
      <c r="AG31" s="46">
        <v>51.08</v>
      </c>
      <c r="AH31" s="46">
        <v>41.01</v>
      </c>
      <c r="AI31" s="46">
        <v>23.3</v>
      </c>
      <c r="AJ31" s="46">
        <v>66.91</v>
      </c>
      <c r="AK31" s="46">
        <v>77.08</v>
      </c>
      <c r="AL31" s="46">
        <v>76.09</v>
      </c>
      <c r="AM31" s="7">
        <f t="shared" si="0"/>
        <v>62.595666666666666</v>
      </c>
    </row>
    <row r="32" spans="1:39" x14ac:dyDescent="0.3">
      <c r="A32" s="5">
        <v>31</v>
      </c>
      <c r="B32" s="6" t="s">
        <v>55</v>
      </c>
      <c r="C32" s="6" t="s">
        <v>56</v>
      </c>
      <c r="D32" s="6" t="s">
        <v>57</v>
      </c>
      <c r="E32" s="6" t="s">
        <v>19</v>
      </c>
      <c r="F32" s="6" t="s">
        <v>13</v>
      </c>
      <c r="G32" s="6" t="s">
        <v>35</v>
      </c>
      <c r="H32" s="5">
        <v>15</v>
      </c>
      <c r="I32" s="45">
        <v>125.19</v>
      </c>
      <c r="J32" s="45">
        <v>152.24</v>
      </c>
      <c r="K32" s="46">
        <v>186.2</v>
      </c>
      <c r="L32" s="46">
        <v>114.58</v>
      </c>
      <c r="M32" s="46">
        <f>74.19-0.55</f>
        <v>73.64</v>
      </c>
      <c r="N32" s="46">
        <v>103.48</v>
      </c>
      <c r="O32" s="46">
        <v>213.69</v>
      </c>
      <c r="P32" s="46">
        <v>285.94</v>
      </c>
      <c r="Q32" s="46">
        <v>238.84</v>
      </c>
      <c r="R32" s="46">
        <v>294.14999999999998</v>
      </c>
      <c r="S32" s="46">
        <v>171.76</v>
      </c>
      <c r="T32" s="46">
        <v>97.53</v>
      </c>
      <c r="U32" s="46">
        <v>190.58</v>
      </c>
      <c r="V32" s="46">
        <v>175.62</v>
      </c>
      <c r="W32" s="46">
        <v>143.97999999999999</v>
      </c>
      <c r="X32" s="46">
        <v>194.43</v>
      </c>
      <c r="Y32" s="46">
        <v>129.63999999999999</v>
      </c>
      <c r="Z32" s="46">
        <v>61.89</v>
      </c>
      <c r="AA32" s="46">
        <v>179.01</v>
      </c>
      <c r="AB32" s="46">
        <v>31.87</v>
      </c>
      <c r="AC32" s="46">
        <v>35.06</v>
      </c>
      <c r="AD32" s="46">
        <v>31.9</v>
      </c>
      <c r="AE32" s="46">
        <v>207.59</v>
      </c>
      <c r="AF32" s="46">
        <v>235.21</v>
      </c>
      <c r="AG32" s="46">
        <v>61.69</v>
      </c>
      <c r="AH32" s="46">
        <v>133.37</v>
      </c>
      <c r="AI32" s="46">
        <v>166.58</v>
      </c>
      <c r="AJ32" s="46">
        <v>207.44</v>
      </c>
      <c r="AK32" s="46">
        <v>300.25</v>
      </c>
      <c r="AL32" s="46">
        <v>290.10000000000002</v>
      </c>
      <c r="AM32" s="7">
        <f t="shared" si="0"/>
        <v>161.11499999999998</v>
      </c>
    </row>
    <row r="33" spans="1:39" x14ac:dyDescent="0.3">
      <c r="A33" s="5">
        <v>32</v>
      </c>
      <c r="B33" s="6" t="s">
        <v>58</v>
      </c>
      <c r="C33" s="6" t="s">
        <v>59</v>
      </c>
      <c r="D33" s="6" t="s">
        <v>30</v>
      </c>
      <c r="E33" s="6" t="s">
        <v>19</v>
      </c>
      <c r="F33" s="6" t="s">
        <v>13</v>
      </c>
      <c r="G33" s="6" t="s">
        <v>14</v>
      </c>
      <c r="H33" s="5">
        <v>6</v>
      </c>
      <c r="I33" s="45">
        <v>12.85</v>
      </c>
      <c r="J33" s="45">
        <v>14.84</v>
      </c>
      <c r="K33" s="46">
        <v>16.57</v>
      </c>
      <c r="L33" s="46">
        <v>15.76</v>
      </c>
      <c r="M33" s="46">
        <v>14.21</v>
      </c>
      <c r="N33" s="46">
        <v>13.9</v>
      </c>
      <c r="O33" s="46">
        <v>10.31</v>
      </c>
      <c r="P33" s="46">
        <v>12.26</v>
      </c>
      <c r="Q33" s="46">
        <v>12.41</v>
      </c>
      <c r="R33" s="46">
        <v>6.18</v>
      </c>
      <c r="S33" s="46">
        <v>10.1</v>
      </c>
      <c r="T33" s="46">
        <v>9.34</v>
      </c>
      <c r="U33" s="46">
        <v>3.1</v>
      </c>
      <c r="V33" s="46">
        <v>8.42</v>
      </c>
      <c r="W33" s="46">
        <v>9.86</v>
      </c>
      <c r="X33" s="46">
        <v>13.36</v>
      </c>
      <c r="Y33" s="46">
        <v>10.81</v>
      </c>
      <c r="Z33" s="46">
        <v>0</v>
      </c>
      <c r="AA33" s="46">
        <v>0</v>
      </c>
      <c r="AB33" s="46">
        <v>0.43</v>
      </c>
      <c r="AC33" s="46">
        <v>13.11</v>
      </c>
      <c r="AD33" s="46">
        <v>12.11</v>
      </c>
      <c r="AE33" s="46">
        <v>0</v>
      </c>
      <c r="AF33" s="46">
        <v>0</v>
      </c>
      <c r="AG33" s="46">
        <v>0</v>
      </c>
      <c r="AH33" s="46">
        <v>12.84</v>
      </c>
      <c r="AI33" s="46">
        <v>0</v>
      </c>
      <c r="AJ33" s="46">
        <v>11.68</v>
      </c>
      <c r="AK33" s="46">
        <v>10.32</v>
      </c>
      <c r="AL33" s="46">
        <v>11.62</v>
      </c>
      <c r="AM33" s="7">
        <f t="shared" si="0"/>
        <v>8.879666666666667</v>
      </c>
    </row>
    <row r="34" spans="1:39" x14ac:dyDescent="0.3">
      <c r="A34" s="5">
        <v>33</v>
      </c>
      <c r="B34" s="6" t="s">
        <v>58</v>
      </c>
      <c r="C34" s="6" t="s">
        <v>101</v>
      </c>
      <c r="D34" s="6" t="s">
        <v>61</v>
      </c>
      <c r="E34" s="6" t="s">
        <v>19</v>
      </c>
      <c r="F34" s="6" t="s">
        <v>13</v>
      </c>
      <c r="G34" s="6" t="s">
        <v>35</v>
      </c>
      <c r="H34" s="5">
        <v>3</v>
      </c>
      <c r="I34" s="45">
        <v>71.209999999999994</v>
      </c>
      <c r="J34" s="45">
        <v>69.180000000000007</v>
      </c>
      <c r="K34" s="46">
        <v>69.84</v>
      </c>
      <c r="L34" s="46">
        <v>64.67</v>
      </c>
      <c r="M34" s="46">
        <f>77.79-4.02</f>
        <v>73.77000000000001</v>
      </c>
      <c r="N34" s="46">
        <f>83.07-13.21</f>
        <v>69.859999999999985</v>
      </c>
      <c r="O34" s="46">
        <v>87.07</v>
      </c>
      <c r="P34" s="46">
        <v>83.71</v>
      </c>
      <c r="Q34" s="46">
        <v>87.61</v>
      </c>
      <c r="R34" s="46">
        <v>53.96</v>
      </c>
      <c r="S34" s="46">
        <v>87.71</v>
      </c>
      <c r="T34" s="46">
        <v>81.03</v>
      </c>
      <c r="U34" s="46">
        <v>65.650000000000006</v>
      </c>
      <c r="V34" s="46">
        <v>78.790000000000006</v>
      </c>
      <c r="W34" s="46">
        <v>61.68</v>
      </c>
      <c r="X34" s="46">
        <v>73.400000000000006</v>
      </c>
      <c r="Y34" s="46">
        <v>71.819999999999993</v>
      </c>
      <c r="Z34" s="46">
        <v>58.97</v>
      </c>
      <c r="AA34" s="46">
        <v>32.86</v>
      </c>
      <c r="AB34" s="46">
        <v>49.48</v>
      </c>
      <c r="AC34" s="46">
        <v>78.88</v>
      </c>
      <c r="AD34" s="46">
        <v>57.07</v>
      </c>
      <c r="AE34" s="46">
        <v>59.74</v>
      </c>
      <c r="AF34" s="46">
        <v>71.260000000000005</v>
      </c>
      <c r="AG34" s="46">
        <v>71.95</v>
      </c>
      <c r="AH34" s="46">
        <v>69.55</v>
      </c>
      <c r="AI34" s="46">
        <v>66.88</v>
      </c>
      <c r="AJ34" s="46">
        <v>69.05</v>
      </c>
      <c r="AK34" s="46">
        <v>82.99</v>
      </c>
      <c r="AL34" s="46">
        <v>48.65</v>
      </c>
      <c r="AM34" s="7">
        <f t="shared" si="0"/>
        <v>68.942999999999998</v>
      </c>
    </row>
    <row r="35" spans="1:39" x14ac:dyDescent="0.3">
      <c r="A35" s="5">
        <v>34</v>
      </c>
      <c r="B35" s="6" t="s">
        <v>58</v>
      </c>
      <c r="C35" s="6" t="s">
        <v>102</v>
      </c>
      <c r="D35" s="6" t="s">
        <v>61</v>
      </c>
      <c r="E35" s="6" t="s">
        <v>19</v>
      </c>
      <c r="F35" s="6" t="s">
        <v>13</v>
      </c>
      <c r="G35" s="6" t="s">
        <v>35</v>
      </c>
      <c r="H35" s="5">
        <v>9</v>
      </c>
      <c r="I35" s="45">
        <f>293.08-211.11</f>
        <v>81.96999999999997</v>
      </c>
      <c r="J35" s="45">
        <f>169.9-9.79</f>
        <v>160.11000000000001</v>
      </c>
      <c r="K35" s="46">
        <v>154.35</v>
      </c>
      <c r="L35" s="46">
        <f>185.17-1.16</f>
        <v>184.01</v>
      </c>
      <c r="M35" s="46">
        <v>182.61</v>
      </c>
      <c r="N35" s="46">
        <v>210.5</v>
      </c>
      <c r="O35" s="46">
        <v>201.42</v>
      </c>
      <c r="P35" s="46">
        <v>176.35</v>
      </c>
      <c r="Q35" s="46">
        <v>189.77</v>
      </c>
      <c r="R35" s="46">
        <v>188.11</v>
      </c>
      <c r="S35" s="46">
        <v>196.2</v>
      </c>
      <c r="T35" s="46">
        <v>211.27</v>
      </c>
      <c r="U35" s="46">
        <v>228.1</v>
      </c>
      <c r="V35" s="46">
        <v>215.59</v>
      </c>
      <c r="W35" s="46">
        <v>181.7</v>
      </c>
      <c r="X35" s="46">
        <v>139.86000000000001</v>
      </c>
      <c r="Y35" s="46">
        <f>201.69-63.64</f>
        <v>138.05000000000001</v>
      </c>
      <c r="Z35" s="46">
        <f>422.55-253.76</f>
        <v>168.79000000000002</v>
      </c>
      <c r="AA35" s="46">
        <f>101.25-0.17</f>
        <v>101.08</v>
      </c>
      <c r="AB35" s="46">
        <f>222.6-131.38</f>
        <v>91.22</v>
      </c>
      <c r="AC35" s="46">
        <f>540.09-365.56</f>
        <v>174.53000000000003</v>
      </c>
      <c r="AD35" s="46">
        <v>159.79</v>
      </c>
      <c r="AE35" s="46">
        <v>204.12</v>
      </c>
      <c r="AF35" s="46">
        <v>151.77000000000001</v>
      </c>
      <c r="AG35" s="46">
        <v>117.63</v>
      </c>
      <c r="AH35" s="46">
        <v>194.87</v>
      </c>
      <c r="AI35" s="46">
        <v>107.63</v>
      </c>
      <c r="AJ35" s="46">
        <v>121.7</v>
      </c>
      <c r="AK35" s="46">
        <v>170.49</v>
      </c>
      <c r="AL35" s="46">
        <v>126.24</v>
      </c>
      <c r="AM35" s="7">
        <f t="shared" si="0"/>
        <v>164.32766666666663</v>
      </c>
    </row>
    <row r="36" spans="1:39" x14ac:dyDescent="0.3">
      <c r="A36" s="5">
        <v>35</v>
      </c>
      <c r="B36" s="6" t="s">
        <v>58</v>
      </c>
      <c r="C36" s="6" t="s">
        <v>103</v>
      </c>
      <c r="D36" s="6" t="s">
        <v>63</v>
      </c>
      <c r="E36" s="6" t="s">
        <v>19</v>
      </c>
      <c r="F36" s="6" t="s">
        <v>64</v>
      </c>
      <c r="G36" s="12" t="s">
        <v>35</v>
      </c>
      <c r="H36" s="5">
        <v>1</v>
      </c>
      <c r="I36" s="45">
        <v>15.68</v>
      </c>
      <c r="J36" s="45">
        <v>15.82</v>
      </c>
      <c r="K36" s="46">
        <v>8.18</v>
      </c>
      <c r="L36" s="46">
        <v>7.97</v>
      </c>
      <c r="M36" s="46">
        <v>14.79</v>
      </c>
      <c r="N36" s="46">
        <v>11.77</v>
      </c>
      <c r="O36" s="46">
        <v>25.23</v>
      </c>
      <c r="P36" s="46">
        <f>17-17</f>
        <v>0</v>
      </c>
      <c r="Q36" s="46">
        <v>15.33</v>
      </c>
      <c r="R36" s="46">
        <v>15.92</v>
      </c>
      <c r="S36" s="46">
        <v>0</v>
      </c>
      <c r="T36" s="46">
        <v>4.2300000000000004</v>
      </c>
      <c r="U36" s="46">
        <v>0</v>
      </c>
      <c r="V36" s="46">
        <v>0</v>
      </c>
      <c r="W36" s="46">
        <v>0</v>
      </c>
      <c r="X36" s="46">
        <v>8.81</v>
      </c>
      <c r="Y36" s="46">
        <v>5.6779999999999999</v>
      </c>
      <c r="Z36" s="46">
        <v>5.33</v>
      </c>
      <c r="AA36" s="46">
        <v>6.23</v>
      </c>
      <c r="AB36" s="46">
        <v>0</v>
      </c>
      <c r="AC36" s="46">
        <v>6.58</v>
      </c>
      <c r="AD36" s="46">
        <v>0</v>
      </c>
      <c r="AE36" s="46">
        <v>0</v>
      </c>
      <c r="AF36" s="46">
        <v>5.7</v>
      </c>
      <c r="AG36" s="46">
        <v>1.51</v>
      </c>
      <c r="AH36" s="46">
        <v>0</v>
      </c>
      <c r="AI36" s="46">
        <v>0</v>
      </c>
      <c r="AJ36" s="46">
        <v>0</v>
      </c>
      <c r="AK36" s="46">
        <v>0</v>
      </c>
      <c r="AL36" s="46">
        <v>3.94</v>
      </c>
      <c r="AM36" s="7">
        <f t="shared" si="0"/>
        <v>5.956599999999999</v>
      </c>
    </row>
    <row r="37" spans="1:39" x14ac:dyDescent="0.3">
      <c r="A37" s="5">
        <v>36</v>
      </c>
      <c r="B37" s="6" t="s">
        <v>58</v>
      </c>
      <c r="C37" s="6" t="s">
        <v>104</v>
      </c>
      <c r="D37" s="6" t="s">
        <v>30</v>
      </c>
      <c r="E37" s="6" t="s">
        <v>19</v>
      </c>
      <c r="F37" s="6" t="s">
        <v>13</v>
      </c>
      <c r="G37" s="12" t="s">
        <v>35</v>
      </c>
      <c r="H37" s="5">
        <v>7</v>
      </c>
      <c r="I37" s="45">
        <f>201.37-8.38</f>
        <v>192.99</v>
      </c>
      <c r="J37" s="45">
        <v>230.41</v>
      </c>
      <c r="K37" s="46">
        <v>223.14</v>
      </c>
      <c r="L37" s="46">
        <f>279.83-32.19</f>
        <v>247.64</v>
      </c>
      <c r="M37" s="46">
        <v>242.4</v>
      </c>
      <c r="N37" s="46">
        <v>303.33999999999997</v>
      </c>
      <c r="O37" s="46">
        <v>272.42</v>
      </c>
      <c r="P37" s="46">
        <v>313.35000000000002</v>
      </c>
      <c r="Q37" s="46">
        <v>230.31</v>
      </c>
      <c r="R37" s="46">
        <v>231.21</v>
      </c>
      <c r="S37" s="46">
        <v>244.3</v>
      </c>
      <c r="T37" s="46">
        <v>259.60000000000002</v>
      </c>
      <c r="U37" s="46">
        <v>242.5</v>
      </c>
      <c r="V37" s="46">
        <v>238.62</v>
      </c>
      <c r="W37" s="46">
        <v>246.1</v>
      </c>
      <c r="X37" s="46">
        <v>210.55</v>
      </c>
      <c r="Y37" s="46">
        <v>248.61</v>
      </c>
      <c r="Z37" s="46">
        <v>162.1</v>
      </c>
      <c r="AA37" s="46">
        <v>141.76</v>
      </c>
      <c r="AB37" s="46">
        <v>202.35</v>
      </c>
      <c r="AC37" s="46">
        <v>259.98</v>
      </c>
      <c r="AD37" s="46">
        <v>237.27</v>
      </c>
      <c r="AE37" s="46">
        <v>229.49</v>
      </c>
      <c r="AF37" s="46">
        <v>223.92</v>
      </c>
      <c r="AG37" s="46">
        <v>208.13</v>
      </c>
      <c r="AH37" s="46">
        <v>155.24</v>
      </c>
      <c r="AI37" s="46">
        <v>211.32</v>
      </c>
      <c r="AJ37" s="46">
        <v>223.06</v>
      </c>
      <c r="AK37" s="46">
        <v>235.35</v>
      </c>
      <c r="AL37" s="46">
        <v>144.94999999999999</v>
      </c>
      <c r="AM37" s="7">
        <f t="shared" si="0"/>
        <v>227.08033333333336</v>
      </c>
    </row>
    <row r="38" spans="1:39" x14ac:dyDescent="0.3">
      <c r="A38" s="5">
        <v>37</v>
      </c>
      <c r="B38" s="6" t="s">
        <v>65</v>
      </c>
      <c r="C38" s="6" t="s">
        <v>66</v>
      </c>
      <c r="D38" s="6" t="s">
        <v>67</v>
      </c>
      <c r="E38" s="6" t="s">
        <v>12</v>
      </c>
      <c r="F38" s="6" t="s">
        <v>13</v>
      </c>
      <c r="G38" s="6" t="s">
        <v>14</v>
      </c>
      <c r="H38" s="5">
        <f>111-6</f>
        <v>105</v>
      </c>
      <c r="I38" s="45">
        <v>8.56</v>
      </c>
      <c r="J38" s="45">
        <v>5.57</v>
      </c>
      <c r="K38" s="46">
        <v>5.72</v>
      </c>
      <c r="L38" s="46">
        <v>5.55</v>
      </c>
      <c r="M38" s="46">
        <v>3.78</v>
      </c>
      <c r="N38" s="46">
        <v>7.39</v>
      </c>
      <c r="O38" s="46">
        <v>6.22</v>
      </c>
      <c r="P38" s="46">
        <v>5.05</v>
      </c>
      <c r="Q38" s="46">
        <v>5.3</v>
      </c>
      <c r="R38" s="46">
        <v>5.71</v>
      </c>
      <c r="S38" s="46">
        <v>4.12</v>
      </c>
      <c r="T38" s="46">
        <v>5.17</v>
      </c>
      <c r="U38" s="46">
        <v>5.74</v>
      </c>
      <c r="V38" s="46">
        <v>2.0299999999999998</v>
      </c>
      <c r="W38" s="46">
        <v>2.58</v>
      </c>
      <c r="X38" s="46">
        <v>0.33</v>
      </c>
      <c r="Y38" s="46">
        <v>1.83</v>
      </c>
      <c r="Z38" s="46">
        <v>0.1</v>
      </c>
      <c r="AA38" s="46">
        <v>0</v>
      </c>
      <c r="AB38" s="46">
        <v>0.19</v>
      </c>
      <c r="AC38" s="46">
        <v>0.77</v>
      </c>
      <c r="AD38" s="46">
        <v>1.2</v>
      </c>
      <c r="AE38" s="46">
        <v>0.19</v>
      </c>
      <c r="AF38" s="46">
        <v>0.08</v>
      </c>
      <c r="AG38" s="46">
        <v>0.04</v>
      </c>
      <c r="AH38" s="46">
        <v>0.11</v>
      </c>
      <c r="AI38" s="46">
        <v>0.91</v>
      </c>
      <c r="AJ38" s="46">
        <v>0.52</v>
      </c>
      <c r="AK38" s="46">
        <v>0</v>
      </c>
      <c r="AL38" s="46">
        <v>0</v>
      </c>
      <c r="AM38" s="7">
        <f t="shared" si="0"/>
        <v>2.8253333333333321</v>
      </c>
    </row>
    <row r="39" spans="1:39" x14ac:dyDescent="0.3">
      <c r="A39" s="5">
        <v>38</v>
      </c>
      <c r="B39" s="6" t="s">
        <v>65</v>
      </c>
      <c r="C39" s="6" t="s">
        <v>68</v>
      </c>
      <c r="D39" s="6" t="s">
        <v>69</v>
      </c>
      <c r="E39" s="6" t="s">
        <v>12</v>
      </c>
      <c r="F39" s="6" t="s">
        <v>40</v>
      </c>
      <c r="G39" s="6" t="s">
        <v>35</v>
      </c>
      <c r="H39" s="5">
        <v>2</v>
      </c>
      <c r="I39" s="45">
        <v>0</v>
      </c>
      <c r="J39" s="45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2.96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7">
        <f t="shared" si="0"/>
        <v>9.8666666666666666E-2</v>
      </c>
    </row>
    <row r="40" spans="1:39" x14ac:dyDescent="0.3">
      <c r="A40" s="5">
        <v>39</v>
      </c>
      <c r="B40" s="6" t="s">
        <v>65</v>
      </c>
      <c r="C40" s="6" t="s">
        <v>70</v>
      </c>
      <c r="D40" s="6"/>
      <c r="E40" s="6" t="s">
        <v>12</v>
      </c>
      <c r="F40" s="6" t="s">
        <v>13</v>
      </c>
      <c r="G40" s="6" t="s">
        <v>14</v>
      </c>
      <c r="H40" s="13">
        <v>82</v>
      </c>
      <c r="I40" s="46">
        <v>23.02</v>
      </c>
      <c r="J40" s="45">
        <v>30.5</v>
      </c>
      <c r="K40" s="46">
        <v>6.6</v>
      </c>
      <c r="L40" s="46">
        <v>24.29</v>
      </c>
      <c r="M40" s="46">
        <v>21.09</v>
      </c>
      <c r="N40" s="46">
        <v>7.3</v>
      </c>
      <c r="O40" s="46">
        <v>0.11</v>
      </c>
      <c r="P40" s="46">
        <v>24.66</v>
      </c>
      <c r="Q40" s="46">
        <v>2.93</v>
      </c>
      <c r="R40" s="46">
        <v>2.4500000000000002</v>
      </c>
      <c r="S40" s="46">
        <v>23.54</v>
      </c>
      <c r="T40" s="46">
        <v>43.18</v>
      </c>
      <c r="U40" s="46">
        <v>19.239999999999998</v>
      </c>
      <c r="V40" s="46">
        <v>9.07</v>
      </c>
      <c r="W40" s="46">
        <v>15.08</v>
      </c>
      <c r="X40" s="46">
        <v>0</v>
      </c>
      <c r="Y40" s="46">
        <v>0.4</v>
      </c>
      <c r="Z40" s="46">
        <v>18.04</v>
      </c>
      <c r="AA40" s="46">
        <v>38.31</v>
      </c>
      <c r="AB40" s="46">
        <v>15.05</v>
      </c>
      <c r="AC40" s="46">
        <v>17.079999999999998</v>
      </c>
      <c r="AD40" s="46">
        <v>7.58</v>
      </c>
      <c r="AE40" s="46">
        <v>0</v>
      </c>
      <c r="AF40" s="46">
        <v>0.41</v>
      </c>
      <c r="AG40" s="46">
        <v>17.78</v>
      </c>
      <c r="AH40" s="46">
        <v>9.68</v>
      </c>
      <c r="AI40" s="46">
        <v>43.18</v>
      </c>
      <c r="AJ40" s="46">
        <v>0.5</v>
      </c>
      <c r="AK40" s="46">
        <v>15.47</v>
      </c>
      <c r="AL40" s="46">
        <v>24.41</v>
      </c>
      <c r="AM40" s="7">
        <f t="shared" si="0"/>
        <v>15.365000000000004</v>
      </c>
    </row>
    <row r="41" spans="1:39" x14ac:dyDescent="0.3">
      <c r="A41" s="5">
        <v>40</v>
      </c>
      <c r="B41" s="6" t="s">
        <v>65</v>
      </c>
      <c r="C41" s="6" t="s">
        <v>71</v>
      </c>
      <c r="D41" s="6" t="s">
        <v>30</v>
      </c>
      <c r="E41" s="6" t="s">
        <v>19</v>
      </c>
      <c r="F41" s="6" t="s">
        <v>13</v>
      </c>
      <c r="G41" s="6" t="s">
        <v>35</v>
      </c>
      <c r="H41" s="5">
        <v>5</v>
      </c>
      <c r="I41" s="45">
        <f>57.86-0.16</f>
        <v>57.7</v>
      </c>
      <c r="J41" s="45">
        <v>67.400000000000006</v>
      </c>
      <c r="K41" s="46">
        <f>88.4-27.57</f>
        <v>60.830000000000005</v>
      </c>
      <c r="L41" s="46">
        <f>267.75-200.38</f>
        <v>67.37</v>
      </c>
      <c r="M41" s="46">
        <f>152.39-147</f>
        <v>5.3899999999999864</v>
      </c>
      <c r="N41" s="46">
        <f>329.01-287.37</f>
        <v>41.639999999999986</v>
      </c>
      <c r="O41" s="46">
        <v>71.069999999999993</v>
      </c>
      <c r="P41" s="46">
        <v>26.7</v>
      </c>
      <c r="Q41" s="46">
        <v>0</v>
      </c>
      <c r="R41" s="46">
        <v>0</v>
      </c>
      <c r="S41" s="46">
        <f>107.42-71.41</f>
        <v>36.010000000000005</v>
      </c>
      <c r="T41" s="46">
        <v>72.92</v>
      </c>
      <c r="U41" s="46">
        <v>66.58</v>
      </c>
      <c r="V41" s="46">
        <f>54.07-1.35</f>
        <v>52.72</v>
      </c>
      <c r="W41" s="46">
        <v>57.64</v>
      </c>
      <c r="X41" s="46">
        <v>57.47</v>
      </c>
      <c r="Y41" s="46">
        <v>60.86</v>
      </c>
      <c r="Z41" s="46">
        <v>60.45</v>
      </c>
      <c r="AA41" s="46">
        <v>49.57</v>
      </c>
      <c r="AB41" s="46">
        <f>101.5-52.76</f>
        <v>48.74</v>
      </c>
      <c r="AC41" s="46">
        <v>46.26</v>
      </c>
      <c r="AD41" s="46">
        <v>58.18</v>
      </c>
      <c r="AE41" s="46">
        <v>56.02</v>
      </c>
      <c r="AF41" s="46">
        <f>65.71-19.39</f>
        <v>46.319999999999993</v>
      </c>
      <c r="AG41" s="46">
        <v>57.68</v>
      </c>
      <c r="AH41" s="46">
        <f>86.58-29.85</f>
        <v>56.73</v>
      </c>
      <c r="AI41" s="46">
        <f>191.52-150.55</f>
        <v>40.97</v>
      </c>
      <c r="AJ41" s="46">
        <v>66.94</v>
      </c>
      <c r="AK41" s="46">
        <v>47.24</v>
      </c>
      <c r="AL41" s="46">
        <v>78.209999999999994</v>
      </c>
      <c r="AM41" s="7">
        <f t="shared" si="0"/>
        <v>50.520333333333348</v>
      </c>
    </row>
    <row r="42" spans="1:39" x14ac:dyDescent="0.3">
      <c r="A42" s="5">
        <v>41</v>
      </c>
      <c r="B42" s="6" t="s">
        <v>65</v>
      </c>
      <c r="C42" s="6" t="s">
        <v>74</v>
      </c>
      <c r="D42" s="6" t="s">
        <v>30</v>
      </c>
      <c r="E42" s="6" t="s">
        <v>19</v>
      </c>
      <c r="F42" s="6" t="s">
        <v>13</v>
      </c>
      <c r="G42" s="6" t="s">
        <v>14</v>
      </c>
      <c r="H42" s="5">
        <v>2</v>
      </c>
      <c r="I42" s="45">
        <v>0</v>
      </c>
      <c r="J42" s="45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7">
        <f t="shared" si="0"/>
        <v>0</v>
      </c>
    </row>
    <row r="43" spans="1:39" x14ac:dyDescent="0.3">
      <c r="A43" s="5">
        <v>42</v>
      </c>
      <c r="B43" s="6" t="s">
        <v>65</v>
      </c>
      <c r="C43" s="6" t="s">
        <v>75</v>
      </c>
      <c r="D43" s="6" t="s">
        <v>30</v>
      </c>
      <c r="E43" s="6" t="s">
        <v>19</v>
      </c>
      <c r="F43" s="6" t="s">
        <v>13</v>
      </c>
      <c r="G43" s="6" t="s">
        <v>35</v>
      </c>
      <c r="H43" s="5">
        <v>16</v>
      </c>
      <c r="I43" s="45">
        <v>35.39</v>
      </c>
      <c r="J43" s="45">
        <v>21.4</v>
      </c>
      <c r="K43" s="46">
        <v>10.76</v>
      </c>
      <c r="L43" s="46">
        <v>6.47</v>
      </c>
      <c r="M43" s="46">
        <v>30.82</v>
      </c>
      <c r="N43" s="46">
        <f>87.12-70.3</f>
        <v>16.820000000000007</v>
      </c>
      <c r="O43" s="46">
        <v>38.880000000000003</v>
      </c>
      <c r="P43" s="46">
        <v>0.12</v>
      </c>
      <c r="Q43" s="46">
        <v>0.03</v>
      </c>
      <c r="R43" s="46">
        <v>0</v>
      </c>
      <c r="S43" s="46">
        <v>17.13</v>
      </c>
      <c r="T43" s="46">
        <v>20.51</v>
      </c>
      <c r="U43" s="46">
        <v>38.07</v>
      </c>
      <c r="V43" s="46">
        <v>47.49</v>
      </c>
      <c r="W43" s="46">
        <f>102.6-82.09</f>
        <v>20.509999999999991</v>
      </c>
      <c r="X43" s="46">
        <f>23.7-16.72</f>
        <v>6.98</v>
      </c>
      <c r="Y43" s="46">
        <v>6.24</v>
      </c>
      <c r="Z43" s="46">
        <v>10.92</v>
      </c>
      <c r="AA43" s="46">
        <v>24.87</v>
      </c>
      <c r="AB43" s="46">
        <v>16.28</v>
      </c>
      <c r="AC43" s="46">
        <v>10.88</v>
      </c>
      <c r="AD43" s="46">
        <f>60.53-33.36</f>
        <v>27.17</v>
      </c>
      <c r="AE43" s="46">
        <v>39.18</v>
      </c>
      <c r="AF43" s="46">
        <v>7.49</v>
      </c>
      <c r="AG43" s="46">
        <v>32.75</v>
      </c>
      <c r="AH43" s="46">
        <v>21.64</v>
      </c>
      <c r="AI43" s="46">
        <v>18.91</v>
      </c>
      <c r="AJ43" s="46">
        <v>14.89</v>
      </c>
      <c r="AK43" s="46">
        <v>27.94</v>
      </c>
      <c r="AL43" s="46">
        <v>9.14</v>
      </c>
      <c r="AM43" s="7">
        <f t="shared" si="0"/>
        <v>19.32266666666667</v>
      </c>
    </row>
    <row r="44" spans="1:39" x14ac:dyDescent="0.3">
      <c r="A44" s="5">
        <v>43</v>
      </c>
      <c r="B44" s="6" t="s">
        <v>65</v>
      </c>
      <c r="C44" s="6" t="s">
        <v>76</v>
      </c>
      <c r="D44" s="6" t="s">
        <v>30</v>
      </c>
      <c r="E44" s="6" t="s">
        <v>19</v>
      </c>
      <c r="F44" s="6" t="s">
        <v>13</v>
      </c>
      <c r="G44" s="6" t="s">
        <v>35</v>
      </c>
      <c r="H44" s="5">
        <v>10</v>
      </c>
      <c r="I44" s="45">
        <v>0.03</v>
      </c>
      <c r="J44" s="45">
        <v>33.08</v>
      </c>
      <c r="K44" s="46">
        <v>8.43</v>
      </c>
      <c r="L44" s="46">
        <v>17</v>
      </c>
      <c r="M44" s="46">
        <v>27.57</v>
      </c>
      <c r="N44" s="46">
        <v>52.04</v>
      </c>
      <c r="O44" s="46">
        <v>26.75</v>
      </c>
      <c r="P44" s="46">
        <v>14.71</v>
      </c>
      <c r="Q44" s="46">
        <v>0</v>
      </c>
      <c r="R44" s="46">
        <v>0</v>
      </c>
      <c r="S44" s="46">
        <v>2.37</v>
      </c>
      <c r="T44" s="46">
        <v>64.650000000000006</v>
      </c>
      <c r="U44" s="46">
        <v>38.31</v>
      </c>
      <c r="V44" s="46">
        <v>36.39</v>
      </c>
      <c r="W44" s="46">
        <v>27.16</v>
      </c>
      <c r="X44" s="46">
        <v>60.94</v>
      </c>
      <c r="Y44" s="46">
        <v>11.83</v>
      </c>
      <c r="Z44" s="46">
        <v>12.42</v>
      </c>
      <c r="AA44" s="46">
        <v>60.87</v>
      </c>
      <c r="AB44" s="46">
        <v>27.8</v>
      </c>
      <c r="AC44" s="46">
        <v>64.680000000000007</v>
      </c>
      <c r="AD44" s="46">
        <v>35.68</v>
      </c>
      <c r="AE44" s="46">
        <v>41.3</v>
      </c>
      <c r="AF44" s="46">
        <v>14.47</v>
      </c>
      <c r="AG44" s="46">
        <v>40.17</v>
      </c>
      <c r="AH44" s="46">
        <v>28.99</v>
      </c>
      <c r="AI44" s="46">
        <v>35.89</v>
      </c>
      <c r="AJ44" s="46">
        <v>46.82</v>
      </c>
      <c r="AK44" s="46">
        <v>5.5</v>
      </c>
      <c r="AL44" s="46">
        <v>0.25</v>
      </c>
      <c r="AM44" s="7">
        <f t="shared" si="0"/>
        <v>27.869999999999997</v>
      </c>
    </row>
    <row r="45" spans="1:39" x14ac:dyDescent="0.3">
      <c r="A45" s="5">
        <v>44</v>
      </c>
      <c r="B45" s="6" t="s">
        <v>65</v>
      </c>
      <c r="C45" s="6" t="s">
        <v>105</v>
      </c>
      <c r="D45" s="6" t="s">
        <v>30</v>
      </c>
      <c r="E45" s="6" t="s">
        <v>19</v>
      </c>
      <c r="F45" s="6" t="s">
        <v>13</v>
      </c>
      <c r="G45" s="6" t="s">
        <v>35</v>
      </c>
      <c r="H45" s="5">
        <v>13</v>
      </c>
      <c r="I45" s="45">
        <v>44.01</v>
      </c>
      <c r="J45" s="45">
        <v>60.32</v>
      </c>
      <c r="K45" s="46">
        <v>40.76</v>
      </c>
      <c r="L45" s="46">
        <v>21.79</v>
      </c>
      <c r="M45" s="46">
        <v>43.54</v>
      </c>
      <c r="N45" s="46">
        <v>35.450000000000003</v>
      </c>
      <c r="O45" s="46">
        <v>54.2</v>
      </c>
      <c r="P45" s="46">
        <v>24.54</v>
      </c>
      <c r="Q45" s="46">
        <v>29.17</v>
      </c>
      <c r="R45" s="46">
        <v>0</v>
      </c>
      <c r="S45" s="46">
        <f>95.21-54.08</f>
        <v>41.129999999999995</v>
      </c>
      <c r="T45" s="46">
        <f>151.03-119.43</f>
        <v>31.599999999999994</v>
      </c>
      <c r="U45" s="46">
        <v>45.24</v>
      </c>
      <c r="V45" s="46">
        <v>38.61</v>
      </c>
      <c r="W45" s="46">
        <v>54.34</v>
      </c>
      <c r="X45" s="46">
        <v>52.63</v>
      </c>
      <c r="Y45" s="46">
        <v>20.7</v>
      </c>
      <c r="Z45" s="46">
        <v>48.41</v>
      </c>
      <c r="AA45" s="46">
        <v>70.540000000000006</v>
      </c>
      <c r="AB45" s="46">
        <v>49.51</v>
      </c>
      <c r="AC45" s="46">
        <v>42.68</v>
      </c>
      <c r="AD45" s="46">
        <v>36.520000000000003</v>
      </c>
      <c r="AE45" s="46">
        <v>51.69</v>
      </c>
      <c r="AF45" s="46">
        <v>18.39</v>
      </c>
      <c r="AG45" s="46">
        <v>67.86</v>
      </c>
      <c r="AH45" s="46">
        <f>129.28-57.25</f>
        <v>72.03</v>
      </c>
      <c r="AI45" s="46">
        <f>88.47-33.7</f>
        <v>54.769999999999996</v>
      </c>
      <c r="AJ45" s="46">
        <f>83.89-46.62</f>
        <v>37.270000000000003</v>
      </c>
      <c r="AK45" s="46">
        <v>55.23</v>
      </c>
      <c r="AL45" s="46">
        <v>52.41</v>
      </c>
      <c r="AM45" s="7">
        <f t="shared" si="0"/>
        <v>43.177999999999997</v>
      </c>
    </row>
    <row r="46" spans="1:39" x14ac:dyDescent="0.3">
      <c r="A46" s="5">
        <v>45</v>
      </c>
      <c r="B46" s="6" t="s">
        <v>65</v>
      </c>
      <c r="C46" s="6" t="s">
        <v>106</v>
      </c>
      <c r="D46" s="6" t="s">
        <v>30</v>
      </c>
      <c r="E46" s="6" t="s">
        <v>19</v>
      </c>
      <c r="F46" s="6" t="s">
        <v>13</v>
      </c>
      <c r="G46" s="6" t="s">
        <v>14</v>
      </c>
      <c r="H46" s="13">
        <v>6</v>
      </c>
      <c r="I46" s="46">
        <v>0</v>
      </c>
      <c r="J46" s="45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7">
        <f t="shared" si="0"/>
        <v>0</v>
      </c>
    </row>
    <row r="47" spans="1:39" x14ac:dyDescent="0.3">
      <c r="A47" s="5">
        <v>46</v>
      </c>
      <c r="B47" s="6" t="s">
        <v>65</v>
      </c>
      <c r="C47" s="6" t="s">
        <v>106</v>
      </c>
      <c r="D47" s="6" t="s">
        <v>30</v>
      </c>
      <c r="E47" s="6" t="s">
        <v>19</v>
      </c>
      <c r="F47" s="6" t="s">
        <v>13</v>
      </c>
      <c r="G47" s="6" t="s">
        <v>35</v>
      </c>
      <c r="H47" s="5">
        <v>19</v>
      </c>
      <c r="I47" s="45">
        <f>146.24-63.29</f>
        <v>82.950000000000017</v>
      </c>
      <c r="J47" s="45">
        <v>83.98</v>
      </c>
      <c r="K47" s="46">
        <v>73.69</v>
      </c>
      <c r="L47" s="46">
        <f>110.6-3.77</f>
        <v>106.83</v>
      </c>
      <c r="M47" s="46">
        <f>358.49-254.85</f>
        <v>103.64000000000001</v>
      </c>
      <c r="N47" s="46">
        <f>171.05-54.66</f>
        <v>116.39000000000001</v>
      </c>
      <c r="O47" s="46">
        <f>204.58-143.11</f>
        <v>61.47</v>
      </c>
      <c r="P47" s="46">
        <v>91.73</v>
      </c>
      <c r="Q47" s="46">
        <v>116.31</v>
      </c>
      <c r="R47" s="46">
        <v>90.63</v>
      </c>
      <c r="S47" s="46">
        <v>104.72</v>
      </c>
      <c r="T47" s="46">
        <v>132.29</v>
      </c>
      <c r="U47" s="46">
        <v>121.67</v>
      </c>
      <c r="V47" s="46">
        <f>151.29-29.2</f>
        <v>122.08999999999999</v>
      </c>
      <c r="W47" s="46">
        <f>255.54-167.67</f>
        <v>87.87</v>
      </c>
      <c r="X47" s="46">
        <f>114.56-46.91</f>
        <v>67.650000000000006</v>
      </c>
      <c r="Y47" s="46">
        <v>119.45</v>
      </c>
      <c r="Z47" s="46">
        <f>197.56-81.24</f>
        <v>116.32000000000001</v>
      </c>
      <c r="AA47" s="46">
        <v>182.46</v>
      </c>
      <c r="AB47" s="46">
        <v>88.3</v>
      </c>
      <c r="AC47" s="46">
        <v>110.25</v>
      </c>
      <c r="AD47" s="46">
        <f>202.31-85.8</f>
        <v>116.51</v>
      </c>
      <c r="AE47" s="46">
        <v>137.75</v>
      </c>
      <c r="AF47" s="46">
        <f>73.56-0.54</f>
        <v>73.02</v>
      </c>
      <c r="AG47" s="46">
        <f>359-194.61</f>
        <v>164.39</v>
      </c>
      <c r="AH47" s="46">
        <f>155.88-60.53</f>
        <v>95.35</v>
      </c>
      <c r="AI47" s="46">
        <f>160.11-50.26</f>
        <v>109.85000000000002</v>
      </c>
      <c r="AJ47" s="46">
        <f>148.25-48.16</f>
        <v>100.09</v>
      </c>
      <c r="AK47" s="46">
        <f>208.27-121.87</f>
        <v>86.4</v>
      </c>
      <c r="AL47" s="46">
        <v>144.52000000000001</v>
      </c>
      <c r="AM47" s="7">
        <f t="shared" si="0"/>
        <v>106.95233333333334</v>
      </c>
    </row>
    <row r="48" spans="1:39" x14ac:dyDescent="0.3">
      <c r="A48" s="5">
        <v>47</v>
      </c>
      <c r="B48" s="6" t="s">
        <v>65</v>
      </c>
      <c r="C48" s="6" t="s">
        <v>107</v>
      </c>
      <c r="D48" s="6" t="s">
        <v>30</v>
      </c>
      <c r="E48" s="6" t="s">
        <v>19</v>
      </c>
      <c r="F48" s="6" t="s">
        <v>13</v>
      </c>
      <c r="G48" s="6" t="s">
        <v>14</v>
      </c>
      <c r="H48" s="13">
        <v>24</v>
      </c>
      <c r="I48" s="45">
        <v>0</v>
      </c>
      <c r="J48" s="45">
        <v>0</v>
      </c>
      <c r="K48" s="46">
        <v>0</v>
      </c>
      <c r="L48" s="46">
        <v>0</v>
      </c>
      <c r="M48" s="46">
        <v>0</v>
      </c>
      <c r="N48" s="46">
        <v>0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0</v>
      </c>
      <c r="AD48" s="46">
        <v>0</v>
      </c>
      <c r="AE48" s="46">
        <v>0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0</v>
      </c>
      <c r="AL48" s="46">
        <v>0</v>
      </c>
      <c r="AM48" s="7">
        <f t="shared" si="0"/>
        <v>0</v>
      </c>
    </row>
    <row r="49" spans="1:39" x14ac:dyDescent="0.3">
      <c r="A49" s="5">
        <v>48</v>
      </c>
      <c r="B49" s="6" t="s">
        <v>65</v>
      </c>
      <c r="C49" s="6" t="s">
        <v>108</v>
      </c>
      <c r="D49" s="6" t="s">
        <v>30</v>
      </c>
      <c r="E49" s="6" t="s">
        <v>19</v>
      </c>
      <c r="F49" s="6" t="s">
        <v>13</v>
      </c>
      <c r="G49" s="6" t="s">
        <v>35</v>
      </c>
      <c r="H49" s="5">
        <v>3</v>
      </c>
      <c r="I49" s="45">
        <v>0</v>
      </c>
      <c r="J49" s="45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7">
        <f t="shared" si="0"/>
        <v>0</v>
      </c>
    </row>
    <row r="50" spans="1:39" x14ac:dyDescent="0.3">
      <c r="A50" s="5">
        <v>49</v>
      </c>
      <c r="B50" s="6" t="s">
        <v>65</v>
      </c>
      <c r="C50" s="6" t="s">
        <v>109</v>
      </c>
      <c r="D50" s="6" t="s">
        <v>30</v>
      </c>
      <c r="E50" s="6" t="s">
        <v>12</v>
      </c>
      <c r="F50" s="6" t="s">
        <v>40</v>
      </c>
      <c r="G50" s="6" t="s">
        <v>35</v>
      </c>
      <c r="H50" s="5">
        <v>1</v>
      </c>
      <c r="I50" s="45">
        <v>0</v>
      </c>
      <c r="J50" s="45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7">
        <f t="shared" si="0"/>
        <v>0</v>
      </c>
    </row>
    <row r="51" spans="1:39" x14ac:dyDescent="0.3">
      <c r="A51" s="5">
        <v>50</v>
      </c>
      <c r="B51" s="6" t="s">
        <v>65</v>
      </c>
      <c r="C51" s="6" t="s">
        <v>109</v>
      </c>
      <c r="D51" s="6" t="s">
        <v>30</v>
      </c>
      <c r="E51" s="6" t="s">
        <v>12</v>
      </c>
      <c r="F51" s="6" t="s">
        <v>13</v>
      </c>
      <c r="G51" s="6" t="s">
        <v>35</v>
      </c>
      <c r="H51" s="5">
        <v>1</v>
      </c>
      <c r="I51" s="45">
        <v>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7">
        <f t="shared" si="0"/>
        <v>0</v>
      </c>
    </row>
    <row r="52" spans="1:39" x14ac:dyDescent="0.3">
      <c r="A52" s="5">
        <v>51</v>
      </c>
      <c r="B52" s="6" t="s">
        <v>65</v>
      </c>
      <c r="C52" s="6" t="s">
        <v>110</v>
      </c>
      <c r="D52" s="6" t="s">
        <v>30</v>
      </c>
      <c r="E52" s="6" t="s">
        <v>12</v>
      </c>
      <c r="F52" s="6" t="s">
        <v>40</v>
      </c>
      <c r="G52" s="6" t="s">
        <v>35</v>
      </c>
      <c r="H52" s="5">
        <v>1</v>
      </c>
      <c r="I52" s="45">
        <v>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7">
        <f t="shared" si="0"/>
        <v>0</v>
      </c>
    </row>
    <row r="53" spans="1:39" x14ac:dyDescent="0.3">
      <c r="A53" s="5">
        <v>52</v>
      </c>
      <c r="B53" s="6" t="s">
        <v>65</v>
      </c>
      <c r="C53" s="6" t="s">
        <v>110</v>
      </c>
      <c r="D53" s="6" t="s">
        <v>30</v>
      </c>
      <c r="E53" s="6" t="s">
        <v>12</v>
      </c>
      <c r="F53" s="6" t="s">
        <v>13</v>
      </c>
      <c r="G53" s="6" t="s">
        <v>35</v>
      </c>
      <c r="H53" s="5">
        <v>1</v>
      </c>
      <c r="I53" s="45">
        <v>0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7">
        <f t="shared" si="0"/>
        <v>0</v>
      </c>
    </row>
    <row r="54" spans="1:39" x14ac:dyDescent="0.3">
      <c r="A54" s="5">
        <v>53</v>
      </c>
      <c r="B54" s="6" t="s">
        <v>65</v>
      </c>
      <c r="C54" s="6" t="s">
        <v>111</v>
      </c>
      <c r="D54" s="6" t="s">
        <v>30</v>
      </c>
      <c r="E54" s="6" t="s">
        <v>19</v>
      </c>
      <c r="F54" s="6" t="s">
        <v>13</v>
      </c>
      <c r="G54" s="6" t="s">
        <v>14</v>
      </c>
      <c r="H54" s="5">
        <v>10</v>
      </c>
      <c r="I54" s="45">
        <v>68.5</v>
      </c>
      <c r="J54" s="46">
        <v>0</v>
      </c>
      <c r="K54" s="46">
        <v>0</v>
      </c>
      <c r="L54" s="46">
        <v>45.51</v>
      </c>
      <c r="M54" s="46">
        <v>86.51</v>
      </c>
      <c r="N54" s="46">
        <v>40.049999999999997</v>
      </c>
      <c r="O54" s="46">
        <v>0</v>
      </c>
      <c r="P54" s="46">
        <v>0</v>
      </c>
      <c r="Q54" s="46">
        <v>0</v>
      </c>
      <c r="R54" s="46">
        <v>0</v>
      </c>
      <c r="S54" s="46">
        <v>22.73</v>
      </c>
      <c r="T54" s="46">
        <v>74.83</v>
      </c>
      <c r="U54" s="46">
        <v>53.74</v>
      </c>
      <c r="V54" s="46">
        <v>30.71</v>
      </c>
      <c r="W54" s="46">
        <v>58.17</v>
      </c>
      <c r="X54" s="46">
        <v>0</v>
      </c>
      <c r="Y54" s="46">
        <v>0</v>
      </c>
      <c r="Z54" s="46">
        <v>46.63</v>
      </c>
      <c r="AA54" s="46">
        <v>59.07</v>
      </c>
      <c r="AB54" s="46">
        <v>57.09</v>
      </c>
      <c r="AC54" s="46">
        <v>65.86</v>
      </c>
      <c r="AD54" s="46">
        <v>50.65</v>
      </c>
      <c r="AE54" s="46">
        <v>0</v>
      </c>
      <c r="AF54" s="46">
        <v>0</v>
      </c>
      <c r="AG54" s="46">
        <v>50.04</v>
      </c>
      <c r="AH54" s="46">
        <v>61.24</v>
      </c>
      <c r="AI54" s="46">
        <v>61.68</v>
      </c>
      <c r="AJ54" s="46">
        <v>17.04</v>
      </c>
      <c r="AK54" s="46">
        <v>52.04</v>
      </c>
      <c r="AL54" s="46">
        <v>12.48</v>
      </c>
      <c r="AM54" s="7">
        <f t="shared" si="0"/>
        <v>33.818999999999996</v>
      </c>
    </row>
    <row r="55" spans="1:39" x14ac:dyDescent="0.3">
      <c r="A55" s="5">
        <v>54</v>
      </c>
      <c r="B55" s="6" t="s">
        <v>65</v>
      </c>
      <c r="C55" s="37" t="s">
        <v>112</v>
      </c>
      <c r="D55" s="6" t="s">
        <v>113</v>
      </c>
      <c r="E55" s="6" t="s">
        <v>19</v>
      </c>
      <c r="F55" s="6" t="s">
        <v>114</v>
      </c>
      <c r="G55" s="6" t="s">
        <v>80</v>
      </c>
      <c r="H55" s="57">
        <v>1</v>
      </c>
      <c r="I55" s="58">
        <v>9.89</v>
      </c>
      <c r="J55" s="58">
        <v>10.220000000000001</v>
      </c>
      <c r="K55" s="58">
        <v>11.09</v>
      </c>
      <c r="L55" s="58">
        <v>9.23</v>
      </c>
      <c r="M55" s="58">
        <v>9.89</v>
      </c>
      <c r="N55" s="58">
        <v>10.220000000000001</v>
      </c>
      <c r="O55" s="58">
        <v>11.09</v>
      </c>
      <c r="P55" s="58">
        <v>9.23</v>
      </c>
      <c r="Q55" s="58">
        <v>10.220000000000001</v>
      </c>
      <c r="R55" s="58">
        <v>11.09</v>
      </c>
      <c r="S55" s="58">
        <v>9.23</v>
      </c>
      <c r="T55" s="58">
        <v>9.89</v>
      </c>
      <c r="U55" s="58">
        <v>10.220000000000001</v>
      </c>
      <c r="V55" s="58">
        <v>11.09</v>
      </c>
      <c r="W55" s="58">
        <v>10.220000000000001</v>
      </c>
      <c r="X55" s="58">
        <v>11.09</v>
      </c>
      <c r="Y55" s="58">
        <v>11.09</v>
      </c>
      <c r="Z55" s="58">
        <v>9.23</v>
      </c>
      <c r="AA55" s="58">
        <v>9.89</v>
      </c>
      <c r="AB55" s="58">
        <v>10.220000000000001</v>
      </c>
      <c r="AC55" s="58">
        <v>11.09</v>
      </c>
      <c r="AD55" s="58">
        <v>10.220000000000001</v>
      </c>
      <c r="AE55" s="58">
        <v>11.09</v>
      </c>
      <c r="AF55" s="58">
        <v>9.23</v>
      </c>
      <c r="AG55" s="58">
        <v>9.89</v>
      </c>
      <c r="AH55" s="58">
        <v>10.220000000000001</v>
      </c>
      <c r="AI55" s="58">
        <v>11.09</v>
      </c>
      <c r="AJ55" s="58">
        <v>10.220000000000001</v>
      </c>
      <c r="AK55" s="58">
        <v>12.21</v>
      </c>
      <c r="AL55" s="58">
        <v>14.09</v>
      </c>
      <c r="AM55" s="7">
        <f t="shared" si="0"/>
        <v>10.456333333333333</v>
      </c>
    </row>
    <row r="56" spans="1:39" x14ac:dyDescent="0.3">
      <c r="A56" s="5">
        <v>55</v>
      </c>
      <c r="B56" s="6" t="s">
        <v>65</v>
      </c>
      <c r="C56" s="39" t="s">
        <v>115</v>
      </c>
      <c r="D56" s="6" t="s">
        <v>113</v>
      </c>
      <c r="E56" s="6" t="s">
        <v>19</v>
      </c>
      <c r="F56" s="6" t="s">
        <v>116</v>
      </c>
      <c r="G56" s="6" t="s">
        <v>80</v>
      </c>
      <c r="H56" s="5">
        <v>1</v>
      </c>
      <c r="I56" s="47">
        <v>69.5</v>
      </c>
      <c r="J56" s="47">
        <v>67.03</v>
      </c>
      <c r="K56" s="47">
        <v>69.44</v>
      </c>
      <c r="L56" s="47">
        <v>66.94</v>
      </c>
      <c r="M56" s="47">
        <v>89.130000000000038</v>
      </c>
      <c r="N56" s="47">
        <v>65.239999999999995</v>
      </c>
      <c r="O56" s="47">
        <v>70.2</v>
      </c>
      <c r="P56" s="47">
        <v>68.03</v>
      </c>
      <c r="Q56" s="47">
        <v>60.07</v>
      </c>
      <c r="R56" s="47">
        <v>65.03</v>
      </c>
      <c r="S56" s="47">
        <v>67.099999999999994</v>
      </c>
      <c r="T56" s="47">
        <v>70.66</v>
      </c>
      <c r="U56" s="47">
        <v>71.22</v>
      </c>
      <c r="V56" s="47">
        <v>69.34</v>
      </c>
      <c r="W56" s="47">
        <v>68.400000000000006</v>
      </c>
      <c r="X56" s="47">
        <v>65.33</v>
      </c>
      <c r="Y56" s="47">
        <v>68.09</v>
      </c>
      <c r="Z56" s="47">
        <v>69.22</v>
      </c>
      <c r="AA56" s="47">
        <v>64.11</v>
      </c>
      <c r="AB56" s="47">
        <v>69.09</v>
      </c>
      <c r="AC56" s="47">
        <v>67.099999999999994</v>
      </c>
      <c r="AD56" s="47">
        <v>69.12</v>
      </c>
      <c r="AE56" s="47">
        <v>65.22</v>
      </c>
      <c r="AF56" s="47">
        <v>65.349999999999994</v>
      </c>
      <c r="AG56" s="47">
        <v>68.33</v>
      </c>
      <c r="AH56" s="47">
        <v>67.22</v>
      </c>
      <c r="AI56" s="47">
        <v>67.33</v>
      </c>
      <c r="AJ56" s="47">
        <v>68.33</v>
      </c>
      <c r="AK56" s="47">
        <v>61.22</v>
      </c>
      <c r="AL56" s="47">
        <v>70.11</v>
      </c>
      <c r="AM56" s="7">
        <f t="shared" si="0"/>
        <v>68.083333333333314</v>
      </c>
    </row>
    <row r="57" spans="1:39" x14ac:dyDescent="0.3">
      <c r="A57" s="5">
        <v>56</v>
      </c>
      <c r="B57" s="6" t="s">
        <v>65</v>
      </c>
      <c r="C57" s="39" t="s">
        <v>117</v>
      </c>
      <c r="D57" s="6" t="s">
        <v>113</v>
      </c>
      <c r="E57" s="6" t="s">
        <v>19</v>
      </c>
      <c r="F57" s="6" t="s">
        <v>116</v>
      </c>
      <c r="G57" s="6" t="s">
        <v>80</v>
      </c>
      <c r="H57" s="5">
        <v>1</v>
      </c>
      <c r="I57" s="47">
        <v>14.22</v>
      </c>
      <c r="J57" s="47">
        <v>13.22</v>
      </c>
      <c r="K57" s="47">
        <v>16.329999999999998</v>
      </c>
      <c r="L57" s="47">
        <v>14.43</v>
      </c>
      <c r="M57" s="47">
        <v>13.22</v>
      </c>
      <c r="N57" s="47">
        <v>16.329999999999998</v>
      </c>
      <c r="O57" s="47">
        <v>13.22</v>
      </c>
      <c r="P57" s="47">
        <v>16.329999999999998</v>
      </c>
      <c r="Q57" s="47">
        <v>14.22</v>
      </c>
      <c r="R57" s="47">
        <v>13.22</v>
      </c>
      <c r="S57" s="47">
        <v>16.329999999999998</v>
      </c>
      <c r="T57" s="47">
        <v>14.43</v>
      </c>
      <c r="U57" s="47">
        <v>13.22</v>
      </c>
      <c r="V57" s="47">
        <v>16.329999999999998</v>
      </c>
      <c r="W57" s="47">
        <v>13.22</v>
      </c>
      <c r="X57" s="47">
        <v>16.329999999999998</v>
      </c>
      <c r="Y57" s="47">
        <v>16.329999999999998</v>
      </c>
      <c r="Z57" s="47">
        <v>14.43</v>
      </c>
      <c r="AA57" s="47">
        <v>13.22</v>
      </c>
      <c r="AB57" s="47">
        <v>16.329999999999998</v>
      </c>
      <c r="AC57" s="47">
        <v>13.22</v>
      </c>
      <c r="AD57" s="47">
        <v>16.329999999999998</v>
      </c>
      <c r="AE57" s="47">
        <v>14.22</v>
      </c>
      <c r="AF57" s="47">
        <v>13.22</v>
      </c>
      <c r="AG57" s="47">
        <v>16.329999999999998</v>
      </c>
      <c r="AH57" s="47">
        <v>14.43</v>
      </c>
      <c r="AI57" s="47">
        <v>13.22</v>
      </c>
      <c r="AJ57" s="47">
        <v>16.329999999999998</v>
      </c>
      <c r="AK57" s="47">
        <v>13.22</v>
      </c>
      <c r="AL57" s="47">
        <v>16.329999999999998</v>
      </c>
      <c r="AM57" s="7">
        <f t="shared" si="0"/>
        <v>14.725333333333337</v>
      </c>
    </row>
    <row r="58" spans="1:39" x14ac:dyDescent="0.3">
      <c r="A58" s="5">
        <v>57</v>
      </c>
      <c r="B58" s="6" t="s">
        <v>119</v>
      </c>
      <c r="C58" s="39" t="s">
        <v>126</v>
      </c>
      <c r="D58" s="6" t="s">
        <v>30</v>
      </c>
      <c r="E58" s="6" t="s">
        <v>19</v>
      </c>
      <c r="F58" s="6" t="s">
        <v>121</v>
      </c>
      <c r="G58" s="6" t="s">
        <v>35</v>
      </c>
      <c r="H58" s="5">
        <v>20</v>
      </c>
      <c r="I58" s="45">
        <f>390.7-190.93</f>
        <v>199.76999999999998</v>
      </c>
      <c r="J58" s="46">
        <f>232.3-139.44</f>
        <v>92.860000000000014</v>
      </c>
      <c r="K58" s="46">
        <v>149.16999999999999</v>
      </c>
      <c r="L58" s="46">
        <f>157.95-0.21</f>
        <v>157.73999999999998</v>
      </c>
      <c r="M58" s="46">
        <f>165.59-35.61</f>
        <v>129.98000000000002</v>
      </c>
      <c r="N58" s="46">
        <f>457.07-319.02</f>
        <v>138.05000000000001</v>
      </c>
      <c r="O58" s="46">
        <f>419.09-270.17</f>
        <v>148.91999999999996</v>
      </c>
      <c r="P58" s="46">
        <f>388.36-198.41</f>
        <v>189.95000000000002</v>
      </c>
      <c r="Q58" s="46">
        <v>194.24</v>
      </c>
      <c r="R58" s="46">
        <f>176.25-11.22</f>
        <v>165.03</v>
      </c>
      <c r="S58" s="46">
        <f>207.9-53.83</f>
        <v>154.07</v>
      </c>
      <c r="T58" s="46">
        <f>513.81-348.8</f>
        <v>165.00999999999993</v>
      </c>
      <c r="U58" s="46">
        <f>198.54-38.29</f>
        <v>160.25</v>
      </c>
      <c r="V58" s="46">
        <v>192.94</v>
      </c>
      <c r="W58" s="46">
        <f>331.58-198.61</f>
        <v>132.96999999999997</v>
      </c>
      <c r="X58" s="46">
        <f>163.47-72.68</f>
        <v>90.789999999999992</v>
      </c>
      <c r="Y58" s="46">
        <f>247.19-96.26</f>
        <v>150.93</v>
      </c>
      <c r="Z58" s="46">
        <f>411.71-279.8</f>
        <v>131.90999999999997</v>
      </c>
      <c r="AA58" s="46">
        <f>166.45-7.98</f>
        <v>158.47</v>
      </c>
      <c r="AB58" s="46">
        <f>327.33-202.16</f>
        <v>125.16999999999999</v>
      </c>
      <c r="AC58" s="46">
        <f>248.32-81.91</f>
        <v>166.41</v>
      </c>
      <c r="AD58" s="46">
        <f>242.66-80.19</f>
        <v>162.47</v>
      </c>
      <c r="AE58" s="46">
        <f>206.68-71.23</f>
        <v>135.44999999999999</v>
      </c>
      <c r="AF58" s="46">
        <v>128.94999999999999</v>
      </c>
      <c r="AG58" s="46">
        <f>339.32-167.01</f>
        <v>172.31</v>
      </c>
      <c r="AH58" s="46">
        <f>509.64-335.75</f>
        <v>173.89</v>
      </c>
      <c r="AI58" s="46">
        <f>362.07-173.29</f>
        <v>188.78</v>
      </c>
      <c r="AJ58" s="46">
        <f>600.29-390.84</f>
        <v>209.45</v>
      </c>
      <c r="AK58" s="46">
        <f>526.96-382.22</f>
        <v>144.74</v>
      </c>
      <c r="AL58" s="46">
        <f>678.04-513.56</f>
        <v>164.48000000000002</v>
      </c>
      <c r="AM58" s="49">
        <f t="shared" si="0"/>
        <v>155.83833333333325</v>
      </c>
    </row>
    <row r="59" spans="1:39" x14ac:dyDescent="0.3">
      <c r="A59" s="5">
        <v>58</v>
      </c>
      <c r="B59" s="6" t="s">
        <v>65</v>
      </c>
      <c r="C59" s="39" t="s">
        <v>122</v>
      </c>
      <c r="D59" s="6" t="s">
        <v>30</v>
      </c>
      <c r="E59" s="6" t="s">
        <v>19</v>
      </c>
      <c r="F59" s="6" t="s">
        <v>13</v>
      </c>
      <c r="G59" s="6" t="s">
        <v>14</v>
      </c>
      <c r="H59" s="5">
        <v>3</v>
      </c>
      <c r="I59" s="45">
        <v>0.1</v>
      </c>
      <c r="J59" s="46">
        <v>4.17</v>
      </c>
      <c r="K59" s="46">
        <v>0</v>
      </c>
      <c r="L59" s="46">
        <v>0.03</v>
      </c>
      <c r="M59" s="46">
        <v>6.96</v>
      </c>
      <c r="N59" s="46">
        <v>3.38</v>
      </c>
      <c r="O59" s="46">
        <v>7.11</v>
      </c>
      <c r="P59" s="46">
        <v>11</v>
      </c>
      <c r="Q59" s="46">
        <v>8.07</v>
      </c>
      <c r="R59" s="46">
        <v>4.24</v>
      </c>
      <c r="S59" s="46">
        <v>9.9</v>
      </c>
      <c r="T59" s="46">
        <v>13.03</v>
      </c>
      <c r="U59" s="46">
        <v>7.0000000000000007E-2</v>
      </c>
      <c r="V59" s="46">
        <v>3.0000000000000001E-3</v>
      </c>
      <c r="W59" s="46">
        <v>0</v>
      </c>
      <c r="X59" s="46">
        <v>0.02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0</v>
      </c>
      <c r="AI59" s="46">
        <v>0</v>
      </c>
      <c r="AJ59" s="46">
        <v>0.36</v>
      </c>
      <c r="AK59" s="46">
        <v>5.05</v>
      </c>
      <c r="AL59" s="46">
        <v>0</v>
      </c>
      <c r="AM59" s="7">
        <f t="shared" si="0"/>
        <v>2.4497666666666662</v>
      </c>
    </row>
    <row r="60" spans="1:39" x14ac:dyDescent="0.3">
      <c r="A60" s="5">
        <v>59</v>
      </c>
      <c r="B60" s="6" t="s">
        <v>65</v>
      </c>
      <c r="C60" s="39" t="s">
        <v>127</v>
      </c>
      <c r="D60" s="6" t="s">
        <v>128</v>
      </c>
      <c r="E60" s="6" t="s">
        <v>12</v>
      </c>
      <c r="F60" s="6" t="s">
        <v>40</v>
      </c>
      <c r="G60" s="6" t="s">
        <v>35</v>
      </c>
      <c r="H60" s="5">
        <v>2</v>
      </c>
      <c r="I60" s="45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>
        <v>0</v>
      </c>
      <c r="V60" s="46">
        <v>18.920000000000002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21.1</v>
      </c>
      <c r="AE60" s="46">
        <v>1.06</v>
      </c>
      <c r="AF60" s="46">
        <v>48.88</v>
      </c>
      <c r="AG60" s="46">
        <v>0</v>
      </c>
      <c r="AH60" s="46">
        <v>9.02</v>
      </c>
      <c r="AI60" s="46">
        <v>0</v>
      </c>
      <c r="AJ60" s="46">
        <v>19.84</v>
      </c>
      <c r="AK60" s="46">
        <v>0</v>
      </c>
      <c r="AL60" s="46">
        <v>51.84</v>
      </c>
      <c r="AM60" s="7">
        <f t="shared" si="0"/>
        <v>9.4811111111111117</v>
      </c>
    </row>
    <row r="61" spans="1:39" x14ac:dyDescent="0.3">
      <c r="A61" s="5">
        <v>60</v>
      </c>
      <c r="B61" s="6" t="s">
        <v>65</v>
      </c>
      <c r="C61" s="39" t="s">
        <v>129</v>
      </c>
      <c r="D61" s="6"/>
      <c r="E61" s="6" t="s">
        <v>130</v>
      </c>
      <c r="F61" s="6" t="s">
        <v>121</v>
      </c>
      <c r="G61" s="6" t="s">
        <v>35</v>
      </c>
      <c r="H61" s="5">
        <v>2</v>
      </c>
      <c r="I61" s="45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>
        <v>0</v>
      </c>
      <c r="AB61" s="46">
        <v>0</v>
      </c>
      <c r="AC61" s="46">
        <v>0</v>
      </c>
      <c r="AD61" s="46">
        <v>0</v>
      </c>
      <c r="AE61" s="46">
        <v>0</v>
      </c>
      <c r="AF61" s="46">
        <v>0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46">
        <v>0</v>
      </c>
      <c r="AM61" s="7">
        <f t="shared" si="0"/>
        <v>0</v>
      </c>
    </row>
    <row r="62" spans="1:39" x14ac:dyDescent="0.3">
      <c r="A62" s="5"/>
      <c r="B62" s="6"/>
      <c r="C62" s="6"/>
      <c r="D62" s="6"/>
      <c r="E62" s="6"/>
      <c r="F62" s="6"/>
      <c r="G62" s="6"/>
      <c r="H62" s="5"/>
      <c r="I62" s="18"/>
      <c r="J62" s="5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46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46"/>
      <c r="AL62" s="46"/>
      <c r="AM62" s="19"/>
    </row>
    <row r="63" spans="1:39" x14ac:dyDescent="0.3">
      <c r="A63" s="5"/>
      <c r="B63" s="14"/>
      <c r="C63" s="14"/>
      <c r="D63" s="14"/>
      <c r="E63" s="13"/>
      <c r="F63" s="13"/>
      <c r="G63" s="13" t="s">
        <v>79</v>
      </c>
      <c r="H63" s="52">
        <f t="shared" ref="H63" si="1">SUM(H2:H62)</f>
        <v>503</v>
      </c>
      <c r="I63" s="23">
        <f>SUM(I2:I62)</f>
        <v>1664.0999999999997</v>
      </c>
      <c r="J63" s="23">
        <f t="shared" ref="J63:AL63" si="2">SUM(J2:J62)</f>
        <v>1945.5100000000002</v>
      </c>
      <c r="K63" s="23">
        <f t="shared" si="2"/>
        <v>1880.78</v>
      </c>
      <c r="L63" s="23">
        <f t="shared" si="2"/>
        <v>1707.32</v>
      </c>
      <c r="M63" s="23">
        <f t="shared" si="2"/>
        <v>1791.7400000000002</v>
      </c>
      <c r="N63" s="23">
        <f t="shared" si="2"/>
        <v>1941.4799999999998</v>
      </c>
      <c r="O63" s="23">
        <f t="shared" si="2"/>
        <v>2149.61</v>
      </c>
      <c r="P63" s="23">
        <f t="shared" si="2"/>
        <v>2112.37</v>
      </c>
      <c r="Q63" s="23">
        <f t="shared" si="2"/>
        <v>1969.9499999999998</v>
      </c>
      <c r="R63" s="23">
        <f t="shared" si="2"/>
        <v>1775.3500000000001</v>
      </c>
      <c r="S63" s="23">
        <f t="shared" si="2"/>
        <v>1825.5699999999997</v>
      </c>
      <c r="T63" s="23">
        <f t="shared" si="2"/>
        <v>1987.7200000000003</v>
      </c>
      <c r="U63" s="23">
        <f t="shared" si="2"/>
        <v>1975.52</v>
      </c>
      <c r="V63" s="23">
        <f t="shared" si="2"/>
        <v>2017.0829999999996</v>
      </c>
      <c r="W63" s="23">
        <f t="shared" si="2"/>
        <v>1876.9600000000003</v>
      </c>
      <c r="X63" s="23">
        <f t="shared" si="2"/>
        <v>1733.615</v>
      </c>
      <c r="Y63" s="23">
        <f t="shared" si="2"/>
        <v>1719.6179999999995</v>
      </c>
      <c r="Z63" s="23">
        <f t="shared" si="2"/>
        <v>1609.8700000000003</v>
      </c>
      <c r="AA63" s="23">
        <f t="shared" si="2"/>
        <v>1692.1899999999998</v>
      </c>
      <c r="AB63" s="23">
        <f t="shared" si="2"/>
        <v>1355.87</v>
      </c>
      <c r="AC63" s="23">
        <f t="shared" si="2"/>
        <v>1833.5200000000002</v>
      </c>
      <c r="AD63" s="23">
        <f t="shared" si="2"/>
        <v>1759.5800000000002</v>
      </c>
      <c r="AE63" s="23">
        <f t="shared" si="2"/>
        <v>1928.0000000000002</v>
      </c>
      <c r="AF63" s="23">
        <f t="shared" si="2"/>
        <v>1759.1200000000003</v>
      </c>
      <c r="AG63" s="23">
        <f t="shared" si="2"/>
        <v>1902.7299999999998</v>
      </c>
      <c r="AH63" s="23">
        <f t="shared" si="2"/>
        <v>1905.35</v>
      </c>
      <c r="AI63" s="23">
        <f t="shared" si="2"/>
        <v>1810.65</v>
      </c>
      <c r="AJ63" s="23">
        <f t="shared" si="2"/>
        <v>1910.8099999999993</v>
      </c>
      <c r="AK63" s="23">
        <f t="shared" si="2"/>
        <v>1942.7500000000002</v>
      </c>
      <c r="AL63" s="23">
        <f t="shared" si="2"/>
        <v>2129.3100000000004</v>
      </c>
      <c r="AM63" s="19">
        <f>AVERAGE(I63:AL63)</f>
        <v>1853.8015333333335</v>
      </c>
    </row>
    <row r="64" spans="1:39" x14ac:dyDescent="0.3">
      <c r="AM64" s="50"/>
    </row>
    <row r="65" spans="39:39" x14ac:dyDescent="0.3">
      <c r="AM65" s="50"/>
    </row>
  </sheetData>
  <autoFilter ref="A1:AM61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C54"/>
  <sheetViews>
    <sheetView topLeftCell="Y22" workbookViewId="0">
      <selection activeCell="F29" sqref="F29"/>
    </sheetView>
  </sheetViews>
  <sheetFormatPr defaultRowHeight="14.4" x14ac:dyDescent="0.3"/>
  <cols>
    <col min="1" max="1" width="41.6640625" bestFit="1" customWidth="1"/>
    <col min="2" max="2" width="20.6640625" bestFit="1" customWidth="1"/>
    <col min="3" max="3" width="14.44140625" bestFit="1" customWidth="1"/>
    <col min="4" max="33" width="15.109375" bestFit="1" customWidth="1"/>
    <col min="34" max="34" width="15" bestFit="1" customWidth="1"/>
  </cols>
  <sheetData>
    <row r="1" spans="1:3" x14ac:dyDescent="0.3">
      <c r="A1" s="30" t="s">
        <v>1</v>
      </c>
      <c r="B1" s="12" t="s">
        <v>82</v>
      </c>
    </row>
    <row r="3" spans="1:3" x14ac:dyDescent="0.3">
      <c r="A3" s="30" t="s">
        <v>2</v>
      </c>
      <c r="B3" s="12" t="s">
        <v>84</v>
      </c>
      <c r="C3" s="12" t="s">
        <v>85</v>
      </c>
    </row>
    <row r="4" spans="1:3" x14ac:dyDescent="0.3">
      <c r="A4" s="12" t="s">
        <v>126</v>
      </c>
      <c r="B4" s="137">
        <v>20</v>
      </c>
      <c r="C4" s="31">
        <v>165.55096774193549</v>
      </c>
    </row>
    <row r="5" spans="1:3" x14ac:dyDescent="0.3">
      <c r="A5" s="12" t="s">
        <v>86</v>
      </c>
      <c r="B5" s="137">
        <v>6</v>
      </c>
      <c r="C5" s="31">
        <v>49.411290322580648</v>
      </c>
    </row>
    <row r="6" spans="1:3" x14ac:dyDescent="0.3">
      <c r="A6" s="12" t="s">
        <v>87</v>
      </c>
      <c r="B6" s="137">
        <v>9</v>
      </c>
      <c r="C6" s="31">
        <v>145.92851612903226</v>
      </c>
    </row>
    <row r="7" spans="1:3" x14ac:dyDescent="0.3">
      <c r="A7" s="12" t="s">
        <v>88</v>
      </c>
      <c r="B7" s="137">
        <v>3</v>
      </c>
      <c r="C7" s="31">
        <v>80.962258064516121</v>
      </c>
    </row>
    <row r="8" spans="1:3" x14ac:dyDescent="0.3">
      <c r="A8" s="12" t="s">
        <v>98</v>
      </c>
      <c r="B8" s="137">
        <v>5</v>
      </c>
      <c r="C8" s="31">
        <v>0</v>
      </c>
    </row>
    <row r="9" spans="1:3" x14ac:dyDescent="0.3">
      <c r="A9" s="12" t="s">
        <v>91</v>
      </c>
      <c r="B9" s="137">
        <v>0</v>
      </c>
      <c r="C9" s="31">
        <v>0</v>
      </c>
    </row>
    <row r="10" spans="1:3" x14ac:dyDescent="0.3">
      <c r="A10" s="12" t="s">
        <v>92</v>
      </c>
      <c r="B10" s="137">
        <v>3</v>
      </c>
      <c r="C10" s="31">
        <v>43.640967741935491</v>
      </c>
    </row>
    <row r="11" spans="1:3" x14ac:dyDescent="0.3">
      <c r="A11" s="12" t="s">
        <v>96</v>
      </c>
      <c r="B11" s="137">
        <v>1</v>
      </c>
      <c r="C11" s="31">
        <v>0</v>
      </c>
    </row>
    <row r="12" spans="1:3" x14ac:dyDescent="0.3">
      <c r="A12" s="12" t="s">
        <v>70</v>
      </c>
      <c r="B12" s="137">
        <v>82</v>
      </c>
      <c r="C12" s="31">
        <v>15.773870967741932</v>
      </c>
    </row>
    <row r="13" spans="1:3" x14ac:dyDescent="0.3">
      <c r="A13" s="12" t="s">
        <v>68</v>
      </c>
      <c r="B13" s="137">
        <v>2</v>
      </c>
      <c r="C13" s="31">
        <v>8.6774193548387099E-2</v>
      </c>
    </row>
    <row r="14" spans="1:3" x14ac:dyDescent="0.3">
      <c r="A14" s="12" t="s">
        <v>93</v>
      </c>
      <c r="B14" s="137">
        <v>1</v>
      </c>
      <c r="C14" s="31">
        <v>0</v>
      </c>
    </row>
    <row r="15" spans="1:3" x14ac:dyDescent="0.3">
      <c r="A15" s="12" t="s">
        <v>125</v>
      </c>
      <c r="B15" s="137">
        <v>1</v>
      </c>
      <c r="C15" s="31">
        <v>0.29709677419354841</v>
      </c>
    </row>
    <row r="16" spans="1:3" x14ac:dyDescent="0.3">
      <c r="A16" s="12" t="s">
        <v>103</v>
      </c>
      <c r="B16" s="137">
        <v>1</v>
      </c>
      <c r="C16" s="31">
        <v>0.5122580645161291</v>
      </c>
    </row>
    <row r="17" spans="1:3" x14ac:dyDescent="0.3">
      <c r="A17" s="12" t="s">
        <v>36</v>
      </c>
      <c r="B17" s="137">
        <v>6</v>
      </c>
      <c r="C17" s="31">
        <v>32.28516129032257</v>
      </c>
    </row>
    <row r="18" spans="1:3" x14ac:dyDescent="0.3">
      <c r="A18" s="12" t="s">
        <v>50</v>
      </c>
      <c r="B18" s="137">
        <v>5</v>
      </c>
      <c r="C18" s="31">
        <v>24.09548387096774</v>
      </c>
    </row>
    <row r="19" spans="1:3" x14ac:dyDescent="0.3">
      <c r="A19" s="12" t="s">
        <v>105</v>
      </c>
      <c r="B19" s="137">
        <v>13</v>
      </c>
      <c r="C19" s="31">
        <v>44.73838709677419</v>
      </c>
    </row>
    <row r="20" spans="1:3" x14ac:dyDescent="0.3">
      <c r="A20" s="12" t="s">
        <v>37</v>
      </c>
      <c r="B20" s="137">
        <v>6</v>
      </c>
      <c r="C20" s="31">
        <v>48.438064516129032</v>
      </c>
    </row>
    <row r="21" spans="1:3" x14ac:dyDescent="0.3">
      <c r="A21" s="12" t="s">
        <v>66</v>
      </c>
      <c r="B21" s="137">
        <v>105</v>
      </c>
      <c r="C21" s="31">
        <v>1.9435483870967742</v>
      </c>
    </row>
    <row r="22" spans="1:3" x14ac:dyDescent="0.3">
      <c r="A22" s="12" t="s">
        <v>74</v>
      </c>
      <c r="B22" s="137">
        <v>2</v>
      </c>
      <c r="C22" s="31">
        <v>0</v>
      </c>
    </row>
    <row r="23" spans="1:3" x14ac:dyDescent="0.3">
      <c r="A23" s="12" t="s">
        <v>75</v>
      </c>
      <c r="B23" s="137">
        <v>16</v>
      </c>
      <c r="C23" s="31">
        <v>21.315161290322582</v>
      </c>
    </row>
    <row r="24" spans="1:3" x14ac:dyDescent="0.3">
      <c r="A24" s="12" t="s">
        <v>106</v>
      </c>
      <c r="B24" s="137">
        <v>19</v>
      </c>
      <c r="C24" s="31">
        <v>102.21064516129032</v>
      </c>
    </row>
    <row r="25" spans="1:3" x14ac:dyDescent="0.3">
      <c r="A25" s="12" t="s">
        <v>107</v>
      </c>
      <c r="B25" s="137">
        <v>24</v>
      </c>
      <c r="C25" s="31">
        <v>0</v>
      </c>
    </row>
    <row r="26" spans="1:3" x14ac:dyDescent="0.3">
      <c r="A26" s="12" t="s">
        <v>29</v>
      </c>
      <c r="B26" s="137">
        <v>8</v>
      </c>
      <c r="C26" s="31">
        <v>83.663610421836211</v>
      </c>
    </row>
    <row r="27" spans="1:3" x14ac:dyDescent="0.3">
      <c r="A27" s="12" t="s">
        <v>108</v>
      </c>
      <c r="B27" s="137">
        <v>3</v>
      </c>
      <c r="C27" s="31">
        <v>5.056451612903226</v>
      </c>
    </row>
    <row r="28" spans="1:3" x14ac:dyDescent="0.3">
      <c r="A28" s="12" t="s">
        <v>34</v>
      </c>
      <c r="B28" s="137">
        <v>19</v>
      </c>
      <c r="C28" s="31">
        <v>170.22699999999998</v>
      </c>
    </row>
    <row r="29" spans="1:3" x14ac:dyDescent="0.3">
      <c r="A29" s="12" t="s">
        <v>38</v>
      </c>
      <c r="B29" s="137">
        <v>3</v>
      </c>
      <c r="C29" s="31">
        <v>60.647741935483857</v>
      </c>
    </row>
    <row r="30" spans="1:3" x14ac:dyDescent="0.3">
      <c r="A30" s="12" t="s">
        <v>39</v>
      </c>
      <c r="B30" s="137">
        <v>3</v>
      </c>
      <c r="C30" s="31">
        <v>0</v>
      </c>
    </row>
    <row r="31" spans="1:3" x14ac:dyDescent="0.3">
      <c r="A31" s="12" t="s">
        <v>71</v>
      </c>
      <c r="B31" s="137">
        <v>5</v>
      </c>
      <c r="C31" s="31">
        <v>53.44580645161291</v>
      </c>
    </row>
    <row r="32" spans="1:3" x14ac:dyDescent="0.3">
      <c r="A32" s="12" t="s">
        <v>59</v>
      </c>
      <c r="B32" s="137">
        <v>6</v>
      </c>
      <c r="C32" s="31">
        <v>6.7303225806451614</v>
      </c>
    </row>
    <row r="33" spans="1:3" x14ac:dyDescent="0.3">
      <c r="A33" s="12" t="s">
        <v>76</v>
      </c>
      <c r="B33" s="137">
        <v>10</v>
      </c>
      <c r="C33" s="31">
        <v>11.321290322580644</v>
      </c>
    </row>
    <row r="34" spans="1:3" x14ac:dyDescent="0.3">
      <c r="A34" s="12" t="s">
        <v>27</v>
      </c>
      <c r="B34" s="137">
        <v>5</v>
      </c>
      <c r="C34" s="31">
        <v>0</v>
      </c>
    </row>
    <row r="35" spans="1:3" x14ac:dyDescent="0.3">
      <c r="A35" s="12" t="s">
        <v>101</v>
      </c>
      <c r="B35" s="137">
        <v>3</v>
      </c>
      <c r="C35" s="31">
        <v>72.731935483870956</v>
      </c>
    </row>
    <row r="36" spans="1:3" x14ac:dyDescent="0.3">
      <c r="A36" s="12" t="s">
        <v>99</v>
      </c>
      <c r="B36" s="137">
        <v>10</v>
      </c>
      <c r="C36" s="31">
        <v>119.52993548387099</v>
      </c>
    </row>
    <row r="37" spans="1:3" x14ac:dyDescent="0.3">
      <c r="A37" s="12" t="s">
        <v>102</v>
      </c>
      <c r="B37" s="137">
        <v>9</v>
      </c>
      <c r="C37" s="31">
        <v>175.76709677419356</v>
      </c>
    </row>
    <row r="38" spans="1:3" x14ac:dyDescent="0.3">
      <c r="A38" s="12" t="s">
        <v>100</v>
      </c>
      <c r="B38" s="137">
        <v>5</v>
      </c>
      <c r="C38" s="31">
        <v>16.455709677419357</v>
      </c>
    </row>
    <row r="39" spans="1:3" x14ac:dyDescent="0.3">
      <c r="A39" s="12" t="s">
        <v>109</v>
      </c>
      <c r="B39" s="137">
        <v>2</v>
      </c>
      <c r="C39" s="31">
        <v>0</v>
      </c>
    </row>
    <row r="40" spans="1:3" x14ac:dyDescent="0.3">
      <c r="A40" s="12" t="s">
        <v>94</v>
      </c>
      <c r="B40" s="137">
        <v>2</v>
      </c>
      <c r="C40" s="31">
        <v>0</v>
      </c>
    </row>
    <row r="41" spans="1:3" x14ac:dyDescent="0.3">
      <c r="A41" s="12" t="s">
        <v>117</v>
      </c>
      <c r="B41" s="137">
        <v>1</v>
      </c>
      <c r="C41" s="31">
        <v>17.350967741935488</v>
      </c>
    </row>
    <row r="42" spans="1:3" x14ac:dyDescent="0.3">
      <c r="A42" s="12" t="s">
        <v>115</v>
      </c>
      <c r="B42" s="137">
        <v>1</v>
      </c>
      <c r="C42" s="31">
        <v>83.766129032258064</v>
      </c>
    </row>
    <row r="43" spans="1:3" x14ac:dyDescent="0.3">
      <c r="A43" s="12" t="s">
        <v>112</v>
      </c>
      <c r="B43" s="137">
        <v>1</v>
      </c>
      <c r="C43" s="31">
        <v>14.042580645161292</v>
      </c>
    </row>
    <row r="44" spans="1:3" x14ac:dyDescent="0.3">
      <c r="A44" s="12" t="s">
        <v>122</v>
      </c>
      <c r="B44" s="137">
        <v>3</v>
      </c>
      <c r="C44" s="31">
        <v>0</v>
      </c>
    </row>
    <row r="45" spans="1:3" x14ac:dyDescent="0.3">
      <c r="A45" s="12" t="s">
        <v>127</v>
      </c>
      <c r="B45" s="137">
        <v>2</v>
      </c>
      <c r="C45" s="31">
        <v>11.012903225806452</v>
      </c>
    </row>
    <row r="46" spans="1:3" x14ac:dyDescent="0.3">
      <c r="A46" s="12" t="s">
        <v>104</v>
      </c>
      <c r="B46" s="137">
        <v>7</v>
      </c>
      <c r="C46" s="31">
        <v>212.60548387096773</v>
      </c>
    </row>
    <row r="47" spans="1:3" x14ac:dyDescent="0.3">
      <c r="A47" s="12" t="s">
        <v>56</v>
      </c>
      <c r="B47" s="137">
        <v>40</v>
      </c>
      <c r="C47" s="31">
        <v>344.3029032258064</v>
      </c>
    </row>
    <row r="48" spans="1:3" x14ac:dyDescent="0.3">
      <c r="A48" s="12" t="s">
        <v>129</v>
      </c>
      <c r="B48" s="137">
        <v>2</v>
      </c>
      <c r="C48" s="31">
        <v>5.7677419354838699</v>
      </c>
    </row>
    <row r="49" spans="1:3" x14ac:dyDescent="0.3">
      <c r="A49" s="12" t="s">
        <v>111</v>
      </c>
      <c r="B49" s="137">
        <v>7</v>
      </c>
      <c r="C49" s="31">
        <v>46.181612903225798</v>
      </c>
    </row>
    <row r="50" spans="1:3" x14ac:dyDescent="0.3">
      <c r="A50" s="12" t="s">
        <v>110</v>
      </c>
      <c r="B50" s="137">
        <v>2</v>
      </c>
      <c r="C50" s="31">
        <v>0</v>
      </c>
    </row>
    <row r="51" spans="1:3" x14ac:dyDescent="0.3">
      <c r="A51" s="12" t="s">
        <v>132</v>
      </c>
      <c r="B51" s="137">
        <v>5</v>
      </c>
      <c r="C51" s="31">
        <v>4.1542857142857139</v>
      </c>
    </row>
    <row r="52" spans="1:3" x14ac:dyDescent="0.3">
      <c r="A52" s="12" t="s">
        <v>133</v>
      </c>
      <c r="B52" s="137">
        <v>5</v>
      </c>
      <c r="C52" s="31">
        <v>14.616</v>
      </c>
    </row>
    <row r="53" spans="1:3" x14ac:dyDescent="0.3">
      <c r="A53" s="12" t="s">
        <v>139</v>
      </c>
      <c r="B53" s="137">
        <v>1</v>
      </c>
      <c r="C53" s="31">
        <v>0.34749999999999998</v>
      </c>
    </row>
    <row r="54" spans="1:3" x14ac:dyDescent="0.3">
      <c r="A54" s="12" t="s">
        <v>83</v>
      </c>
      <c r="B54" s="137">
        <v>500</v>
      </c>
      <c r="C54" s="31">
        <v>2306.9154606522511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O68"/>
  <sheetViews>
    <sheetView topLeftCell="A49" workbookViewId="0">
      <pane xSplit="8" topLeftCell="I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22.33203125" bestFit="1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0.44140625" style="28" bestFit="1" customWidth="1"/>
    <col min="10" max="10" width="10.44140625" style="27" bestFit="1" customWidth="1"/>
    <col min="11" max="11" width="10.44140625" style="28" bestFit="1" customWidth="1"/>
    <col min="12" max="12" width="10.44140625" bestFit="1" customWidth="1"/>
    <col min="13" max="13" width="10.5546875" customWidth="1"/>
    <col min="14" max="14" width="10.88671875" customWidth="1"/>
    <col min="15" max="15" width="10.44140625" bestFit="1" customWidth="1"/>
    <col min="16" max="17" width="11" customWidth="1"/>
    <col min="18" max="38" width="10.44140625" bestFit="1" customWidth="1"/>
    <col min="39" max="39" width="10.44140625" customWidth="1"/>
  </cols>
  <sheetData>
    <row r="1" spans="1:41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6">
        <v>45200</v>
      </c>
      <c r="J1" s="16">
        <v>45201</v>
      </c>
      <c r="K1" s="16">
        <v>45202</v>
      </c>
      <c r="L1" s="16">
        <v>45203</v>
      </c>
      <c r="M1" s="16">
        <v>45204</v>
      </c>
      <c r="N1" s="16">
        <v>45205</v>
      </c>
      <c r="O1" s="16">
        <v>45206</v>
      </c>
      <c r="P1" s="16">
        <v>45207</v>
      </c>
      <c r="Q1" s="16">
        <v>45208</v>
      </c>
      <c r="R1" s="16">
        <v>45209</v>
      </c>
      <c r="S1" s="16">
        <v>45210</v>
      </c>
      <c r="T1" s="16">
        <v>45211</v>
      </c>
      <c r="U1" s="16">
        <v>45212</v>
      </c>
      <c r="V1" s="16">
        <v>45213</v>
      </c>
      <c r="W1" s="16">
        <v>45214</v>
      </c>
      <c r="X1" s="16">
        <v>45215</v>
      </c>
      <c r="Y1" s="16">
        <v>45216</v>
      </c>
      <c r="Z1" s="16">
        <v>45217</v>
      </c>
      <c r="AA1" s="16">
        <v>45218</v>
      </c>
      <c r="AB1" s="55">
        <v>45219</v>
      </c>
      <c r="AC1" s="55">
        <v>45220</v>
      </c>
      <c r="AD1" s="55">
        <v>45221</v>
      </c>
      <c r="AE1" s="55">
        <v>45222</v>
      </c>
      <c r="AF1" s="16">
        <v>45223</v>
      </c>
      <c r="AG1" s="16">
        <v>45224</v>
      </c>
      <c r="AH1" s="16">
        <v>45225</v>
      </c>
      <c r="AI1" s="16">
        <v>45226</v>
      </c>
      <c r="AJ1" s="16">
        <v>45227</v>
      </c>
      <c r="AK1" s="16">
        <v>45228</v>
      </c>
      <c r="AL1" s="16">
        <v>45229</v>
      </c>
      <c r="AM1" s="16">
        <v>45230</v>
      </c>
      <c r="AN1" s="13" t="s">
        <v>8</v>
      </c>
      <c r="AO1" s="12" t="s">
        <v>79</v>
      </c>
    </row>
    <row r="2" spans="1:41" x14ac:dyDescent="0.3">
      <c r="A2" s="5">
        <v>1</v>
      </c>
      <c r="B2" s="6" t="s">
        <v>9</v>
      </c>
      <c r="C2" s="6" t="s">
        <v>86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46">
        <v>17.2</v>
      </c>
      <c r="J2" s="45">
        <f>280.52-229.64</f>
        <v>50.879999999999995</v>
      </c>
      <c r="K2" s="46">
        <v>102.42</v>
      </c>
      <c r="L2" s="46">
        <f>33.59-5.69</f>
        <v>27.900000000000002</v>
      </c>
      <c r="M2" s="46">
        <v>62.08</v>
      </c>
      <c r="N2" s="46">
        <v>50.66</v>
      </c>
      <c r="O2" s="46">
        <v>19.55</v>
      </c>
      <c r="P2" s="46">
        <v>36.53</v>
      </c>
      <c r="Q2" s="46">
        <f>106.47-5.65</f>
        <v>100.82</v>
      </c>
      <c r="R2" s="46">
        <v>60.01</v>
      </c>
      <c r="S2" s="46">
        <v>52.77</v>
      </c>
      <c r="T2" s="46">
        <v>40.270000000000003</v>
      </c>
      <c r="U2" s="46">
        <v>59.39</v>
      </c>
      <c r="V2" s="46">
        <f>41.01-7.88</f>
        <v>33.129999999999995</v>
      </c>
      <c r="W2" s="46">
        <v>66.13</v>
      </c>
      <c r="X2" s="46">
        <v>63.38</v>
      </c>
      <c r="Y2" s="46">
        <v>34.42</v>
      </c>
      <c r="Z2" s="46">
        <v>68.77</v>
      </c>
      <c r="AA2" s="53">
        <v>57.86</v>
      </c>
      <c r="AB2" s="56">
        <v>47.89</v>
      </c>
      <c r="AC2" s="56">
        <v>45.08</v>
      </c>
      <c r="AD2" s="56">
        <v>61.47</v>
      </c>
      <c r="AE2" s="56">
        <v>29.13</v>
      </c>
      <c r="AF2" s="54">
        <v>44.85</v>
      </c>
      <c r="AG2" s="46">
        <v>36.94</v>
      </c>
      <c r="AH2" s="46">
        <v>69.849999999999994</v>
      </c>
      <c r="AI2" s="46">
        <v>44</v>
      </c>
      <c r="AJ2" s="46">
        <v>36.18</v>
      </c>
      <c r="AK2" s="46">
        <v>29.63</v>
      </c>
      <c r="AL2" s="46">
        <v>23.21</v>
      </c>
      <c r="AM2" s="46">
        <v>59.35</v>
      </c>
      <c r="AN2" s="46">
        <f>AVERAGE(I2:AM2)</f>
        <v>49.411290322580648</v>
      </c>
      <c r="AO2" s="7">
        <f>SUM(I2:AM2)</f>
        <v>1531.75</v>
      </c>
    </row>
    <row r="3" spans="1:41" x14ac:dyDescent="0.3">
      <c r="A3" s="5">
        <v>2</v>
      </c>
      <c r="B3" s="6" t="s">
        <v>9</v>
      </c>
      <c r="C3" s="6" t="s">
        <v>87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28">
        <v>171.22</v>
      </c>
      <c r="J3" s="45">
        <v>137.72999999999999</v>
      </c>
      <c r="K3" s="46">
        <v>174.58</v>
      </c>
      <c r="L3" s="46">
        <v>148.24</v>
      </c>
      <c r="M3" s="46">
        <v>132.85</v>
      </c>
      <c r="N3" s="46">
        <v>147.4</v>
      </c>
      <c r="O3" s="46">
        <v>170.25</v>
      </c>
      <c r="P3" s="46">
        <v>147.02000000000001</v>
      </c>
      <c r="Q3" s="46">
        <v>184.85</v>
      </c>
      <c r="R3" s="46">
        <v>139.88</v>
      </c>
      <c r="S3" s="46">
        <v>192</v>
      </c>
      <c r="T3" s="46">
        <v>181.51</v>
      </c>
      <c r="U3" s="46">
        <v>159.69999999999999</v>
      </c>
      <c r="V3" s="46">
        <v>163.41999999999999</v>
      </c>
      <c r="W3" s="46">
        <v>147.16</v>
      </c>
      <c r="X3" s="46">
        <v>144.49</v>
      </c>
      <c r="Y3" s="46">
        <v>173.244</v>
      </c>
      <c r="Z3" s="46">
        <v>168.86</v>
      </c>
      <c r="AA3" s="53">
        <v>143.5</v>
      </c>
      <c r="AB3" s="56">
        <v>137.72</v>
      </c>
      <c r="AC3" s="56">
        <v>191.31</v>
      </c>
      <c r="AD3" s="56">
        <v>122.51</v>
      </c>
      <c r="AE3" s="56">
        <v>85.49</v>
      </c>
      <c r="AF3" s="54">
        <v>91.45</v>
      </c>
      <c r="AG3" s="46">
        <v>98.11</v>
      </c>
      <c r="AH3" s="46">
        <v>128.68</v>
      </c>
      <c r="AI3" s="46">
        <v>111.2</v>
      </c>
      <c r="AJ3" s="46">
        <v>145.66999999999999</v>
      </c>
      <c r="AK3" s="46">
        <v>127.38</v>
      </c>
      <c r="AL3" s="46">
        <v>135.33000000000001</v>
      </c>
      <c r="AM3" s="46">
        <v>121.03</v>
      </c>
      <c r="AN3" s="46">
        <f t="shared" ref="AN3:AN64" si="0">AVERAGE(I3:AM3)</f>
        <v>145.92851612903226</v>
      </c>
      <c r="AO3" s="7">
        <f t="shared" ref="AO3:AO66" si="1">SUM(I3:AM3)</f>
        <v>4523.7839999999997</v>
      </c>
    </row>
    <row r="4" spans="1:41" x14ac:dyDescent="0.3">
      <c r="A4" s="5">
        <v>3</v>
      </c>
      <c r="B4" s="6" t="s">
        <v>9</v>
      </c>
      <c r="C4" s="6" t="s">
        <v>88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46">
        <v>79.959999999999994</v>
      </c>
      <c r="J4" s="45">
        <v>71.150000000000006</v>
      </c>
      <c r="K4" s="46">
        <v>93.83</v>
      </c>
      <c r="L4" s="46">
        <v>64.77</v>
      </c>
      <c r="M4" s="46">
        <v>79.89</v>
      </c>
      <c r="N4" s="46">
        <v>106.86</v>
      </c>
      <c r="O4" s="46">
        <v>84.59</v>
      </c>
      <c r="P4" s="46">
        <v>91.59</v>
      </c>
      <c r="Q4" s="46">
        <v>94.59</v>
      </c>
      <c r="R4" s="46">
        <v>118.8</v>
      </c>
      <c r="S4" s="46">
        <v>89.1</v>
      </c>
      <c r="T4" s="46">
        <v>75.73</v>
      </c>
      <c r="U4" s="46">
        <v>101.92</v>
      </c>
      <c r="V4" s="46">
        <v>103.74</v>
      </c>
      <c r="W4" s="46">
        <v>85.5</v>
      </c>
      <c r="X4" s="46">
        <v>96.23</v>
      </c>
      <c r="Y4" s="46">
        <v>73.430000000000007</v>
      </c>
      <c r="Z4" s="46">
        <v>77.03</v>
      </c>
      <c r="AA4" s="53">
        <v>75.12</v>
      </c>
      <c r="AB4" s="56">
        <v>84.08</v>
      </c>
      <c r="AC4" s="56">
        <v>61.52</v>
      </c>
      <c r="AD4" s="56">
        <v>98.16</v>
      </c>
      <c r="AE4" s="56">
        <v>69.25</v>
      </c>
      <c r="AF4" s="54">
        <v>61.28</v>
      </c>
      <c r="AG4" s="46">
        <v>58.98</v>
      </c>
      <c r="AH4" s="46">
        <v>49.66</v>
      </c>
      <c r="AI4" s="46">
        <v>79.56</v>
      </c>
      <c r="AJ4" s="46">
        <v>70.67</v>
      </c>
      <c r="AK4" s="46">
        <v>75.459999999999994</v>
      </c>
      <c r="AL4" s="46">
        <v>57.26</v>
      </c>
      <c r="AM4" s="46">
        <v>80.12</v>
      </c>
      <c r="AN4" s="46">
        <f t="shared" si="0"/>
        <v>80.962258064516121</v>
      </c>
      <c r="AO4" s="7">
        <f t="shared" si="1"/>
        <v>2509.83</v>
      </c>
    </row>
    <row r="5" spans="1:41" x14ac:dyDescent="0.3">
      <c r="A5" s="5">
        <v>4</v>
      </c>
      <c r="B5" s="6" t="s">
        <v>9</v>
      </c>
      <c r="C5" s="8" t="s">
        <v>91</v>
      </c>
      <c r="D5" s="8" t="s">
        <v>18</v>
      </c>
      <c r="E5" s="6" t="s">
        <v>19</v>
      </c>
      <c r="F5" s="6" t="s">
        <v>13</v>
      </c>
      <c r="G5" s="6" t="s">
        <v>14</v>
      </c>
      <c r="H5" s="5">
        <v>0</v>
      </c>
      <c r="I5" s="45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53">
        <v>0</v>
      </c>
      <c r="AB5" s="56">
        <v>0</v>
      </c>
      <c r="AC5" s="56">
        <v>0</v>
      </c>
      <c r="AD5" s="56">
        <v>0</v>
      </c>
      <c r="AE5" s="56">
        <v>0</v>
      </c>
      <c r="AF5" s="54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v>0</v>
      </c>
      <c r="AN5" s="46">
        <f t="shared" si="0"/>
        <v>0</v>
      </c>
      <c r="AO5" s="7">
        <f t="shared" si="1"/>
        <v>0</v>
      </c>
    </row>
    <row r="6" spans="1:41" x14ac:dyDescent="0.3">
      <c r="A6" s="5">
        <v>5</v>
      </c>
      <c r="B6" s="6" t="s">
        <v>9</v>
      </c>
      <c r="C6" s="6" t="s">
        <v>92</v>
      </c>
      <c r="D6" s="6" t="s">
        <v>18</v>
      </c>
      <c r="E6" s="6" t="s">
        <v>19</v>
      </c>
      <c r="F6" s="6" t="s">
        <v>13</v>
      </c>
      <c r="G6" s="6" t="s">
        <v>35</v>
      </c>
      <c r="H6" s="5">
        <v>3</v>
      </c>
      <c r="I6" s="45">
        <v>51.52</v>
      </c>
      <c r="J6" s="45">
        <v>60.75</v>
      </c>
      <c r="K6" s="46">
        <v>59.66</v>
      </c>
      <c r="L6" s="46">
        <v>55.97</v>
      </c>
      <c r="M6" s="46">
        <v>63.14</v>
      </c>
      <c r="N6" s="46">
        <v>45.21</v>
      </c>
      <c r="O6" s="46">
        <v>62.92</v>
      </c>
      <c r="P6" s="46">
        <v>34.33</v>
      </c>
      <c r="Q6" s="46">
        <v>59.2</v>
      </c>
      <c r="R6" s="46">
        <v>24.01</v>
      </c>
      <c r="S6" s="46">
        <v>45.79</v>
      </c>
      <c r="T6" s="46">
        <v>33.450000000000003</v>
      </c>
      <c r="U6" s="46">
        <v>21.36</v>
      </c>
      <c r="V6" s="46">
        <v>24.88</v>
      </c>
      <c r="W6" s="46">
        <v>28.86</v>
      </c>
      <c r="X6" s="46">
        <v>49.02</v>
      </c>
      <c r="Y6" s="46">
        <v>51.37</v>
      </c>
      <c r="Z6" s="46">
        <v>39</v>
      </c>
      <c r="AA6" s="53">
        <v>38.6</v>
      </c>
      <c r="AB6" s="56">
        <v>37.67</v>
      </c>
      <c r="AC6" s="56">
        <v>53.84</v>
      </c>
      <c r="AD6" s="56">
        <v>45</v>
      </c>
      <c r="AE6" s="56">
        <v>42.86</v>
      </c>
      <c r="AF6" s="54">
        <v>35.33</v>
      </c>
      <c r="AG6" s="46">
        <v>39.700000000000003</v>
      </c>
      <c r="AH6" s="46">
        <v>26.38</v>
      </c>
      <c r="AI6" s="46">
        <v>45.56</v>
      </c>
      <c r="AJ6" s="46">
        <v>44.49</v>
      </c>
      <c r="AK6" s="46">
        <v>48.31</v>
      </c>
      <c r="AL6" s="46">
        <v>40.03</v>
      </c>
      <c r="AM6" s="46">
        <v>44.66</v>
      </c>
      <c r="AN6" s="46">
        <f t="shared" si="0"/>
        <v>43.640967741935491</v>
      </c>
      <c r="AO6" s="7">
        <f t="shared" si="1"/>
        <v>1352.8700000000001</v>
      </c>
    </row>
    <row r="7" spans="1:41" x14ac:dyDescent="0.3">
      <c r="A7" s="5">
        <v>6</v>
      </c>
      <c r="B7" s="6" t="s">
        <v>9</v>
      </c>
      <c r="C7" s="6" t="s">
        <v>93</v>
      </c>
      <c r="D7" s="6" t="s">
        <v>26</v>
      </c>
      <c r="E7" s="6" t="s">
        <v>19</v>
      </c>
      <c r="F7" s="6" t="s">
        <v>13</v>
      </c>
      <c r="G7" s="6" t="s">
        <v>14</v>
      </c>
      <c r="H7" s="5">
        <v>1</v>
      </c>
      <c r="I7" s="45">
        <v>0</v>
      </c>
      <c r="J7" s="45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53">
        <v>0</v>
      </c>
      <c r="AB7" s="56">
        <v>0</v>
      </c>
      <c r="AC7" s="56">
        <v>0</v>
      </c>
      <c r="AD7" s="56">
        <v>0</v>
      </c>
      <c r="AE7" s="56">
        <v>0</v>
      </c>
      <c r="AF7" s="54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f t="shared" si="0"/>
        <v>0</v>
      </c>
      <c r="AO7" s="7">
        <f t="shared" si="1"/>
        <v>0</v>
      </c>
    </row>
    <row r="8" spans="1:41" x14ac:dyDescent="0.3">
      <c r="A8" s="5">
        <v>7</v>
      </c>
      <c r="B8" s="6" t="s">
        <v>9</v>
      </c>
      <c r="C8" s="6" t="s">
        <v>27</v>
      </c>
      <c r="D8" s="6" t="s">
        <v>28</v>
      </c>
      <c r="E8" s="6" t="s">
        <v>19</v>
      </c>
      <c r="F8" s="6" t="s">
        <v>13</v>
      </c>
      <c r="G8" s="6" t="s">
        <v>14</v>
      </c>
      <c r="H8" s="5">
        <v>5</v>
      </c>
      <c r="I8" s="45">
        <v>0</v>
      </c>
      <c r="J8" s="45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53">
        <v>0</v>
      </c>
      <c r="AB8" s="56">
        <v>0</v>
      </c>
      <c r="AC8" s="56">
        <v>0</v>
      </c>
      <c r="AD8" s="56">
        <v>0</v>
      </c>
      <c r="AE8" s="56">
        <v>0</v>
      </c>
      <c r="AF8" s="54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f t="shared" si="0"/>
        <v>0</v>
      </c>
      <c r="AO8" s="7">
        <f t="shared" si="1"/>
        <v>0</v>
      </c>
    </row>
    <row r="9" spans="1:41" x14ac:dyDescent="0.3">
      <c r="A9" s="5">
        <v>8</v>
      </c>
      <c r="B9" s="6" t="s">
        <v>9</v>
      </c>
      <c r="C9" s="6" t="s">
        <v>29</v>
      </c>
      <c r="D9" s="6" t="s">
        <v>30</v>
      </c>
      <c r="E9" s="6" t="s">
        <v>19</v>
      </c>
      <c r="F9" s="6" t="s">
        <v>13</v>
      </c>
      <c r="G9" s="6" t="s">
        <v>14</v>
      </c>
      <c r="H9" s="5">
        <v>0</v>
      </c>
      <c r="I9" s="45">
        <v>59.86</v>
      </c>
      <c r="J9" s="45">
        <v>51.85</v>
      </c>
      <c r="K9" s="46">
        <v>78.75</v>
      </c>
      <c r="L9" s="46">
        <v>57.34</v>
      </c>
      <c r="M9" s="46">
        <v>22.54</v>
      </c>
      <c r="N9" s="46">
        <v>2.56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53">
        <v>0</v>
      </c>
      <c r="AB9" s="56">
        <v>0</v>
      </c>
      <c r="AC9" s="56">
        <v>0</v>
      </c>
      <c r="AD9" s="56">
        <v>0</v>
      </c>
      <c r="AE9" s="56">
        <v>0</v>
      </c>
      <c r="AF9" s="54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f t="shared" si="0"/>
        <v>8.8032258064516142</v>
      </c>
      <c r="AO9" s="7">
        <f t="shared" si="1"/>
        <v>272.90000000000003</v>
      </c>
    </row>
    <row r="10" spans="1:41" x14ac:dyDescent="0.3">
      <c r="A10" s="5">
        <v>9</v>
      </c>
      <c r="B10" s="6" t="s">
        <v>9</v>
      </c>
      <c r="C10" s="6" t="s">
        <v>29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8</v>
      </c>
      <c r="I10" s="45"/>
      <c r="J10" s="45"/>
      <c r="K10" s="46"/>
      <c r="L10" s="46"/>
      <c r="M10" s="46"/>
      <c r="N10" s="46">
        <v>33.29</v>
      </c>
      <c r="O10" s="46">
        <v>79.989999999999995</v>
      </c>
      <c r="P10" s="46">
        <v>58.73</v>
      </c>
      <c r="Q10" s="46">
        <v>96.72</v>
      </c>
      <c r="R10" s="46">
        <v>52.52</v>
      </c>
      <c r="S10" s="46">
        <v>108.14</v>
      </c>
      <c r="T10" s="46">
        <v>89.47</v>
      </c>
      <c r="U10" s="46">
        <v>51.38</v>
      </c>
      <c r="V10" s="46">
        <v>72.22</v>
      </c>
      <c r="W10" s="46">
        <v>71.290000000000006</v>
      </c>
      <c r="X10" s="46">
        <v>60.71</v>
      </c>
      <c r="Y10" s="46">
        <v>54.9</v>
      </c>
      <c r="Z10" s="46">
        <v>65.78</v>
      </c>
      <c r="AA10" s="53">
        <v>85.7</v>
      </c>
      <c r="AB10" s="56">
        <v>95.47</v>
      </c>
      <c r="AC10" s="56">
        <v>95.89</v>
      </c>
      <c r="AD10" s="56">
        <v>90.57</v>
      </c>
      <c r="AE10" s="56">
        <v>77.97</v>
      </c>
      <c r="AF10" s="54">
        <v>58.84</v>
      </c>
      <c r="AG10" s="46">
        <v>87.12</v>
      </c>
      <c r="AH10" s="46">
        <v>97.85</v>
      </c>
      <c r="AI10" s="46">
        <v>63.16</v>
      </c>
      <c r="AJ10" s="46">
        <v>98.93</v>
      </c>
      <c r="AK10" s="46">
        <v>61.1</v>
      </c>
      <c r="AL10" s="46">
        <v>66.56</v>
      </c>
      <c r="AM10" s="46">
        <v>72.069999999999993</v>
      </c>
      <c r="AN10" s="46">
        <f t="shared" si="0"/>
        <v>74.860384615384604</v>
      </c>
      <c r="AO10" s="7">
        <f t="shared" si="1"/>
        <v>1946.3699999999997</v>
      </c>
    </row>
    <row r="11" spans="1:41" x14ac:dyDescent="0.3">
      <c r="A11" s="5">
        <v>10</v>
      </c>
      <c r="B11" s="6" t="s">
        <v>9</v>
      </c>
      <c r="C11" s="6" t="s">
        <v>94</v>
      </c>
      <c r="D11" s="6" t="s">
        <v>32</v>
      </c>
      <c r="E11" s="6" t="s">
        <v>19</v>
      </c>
      <c r="F11" s="6" t="s">
        <v>13</v>
      </c>
      <c r="G11" s="6" t="s">
        <v>14</v>
      </c>
      <c r="H11" s="5">
        <v>2</v>
      </c>
      <c r="I11" s="45">
        <v>0</v>
      </c>
      <c r="J11" s="45">
        <v>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53">
        <v>0</v>
      </c>
      <c r="AB11" s="56">
        <v>0</v>
      </c>
      <c r="AC11" s="56">
        <v>0</v>
      </c>
      <c r="AD11" s="56">
        <v>0</v>
      </c>
      <c r="AE11" s="56">
        <v>0</v>
      </c>
      <c r="AF11" s="54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0</v>
      </c>
      <c r="AN11" s="46">
        <f t="shared" si="0"/>
        <v>0</v>
      </c>
      <c r="AO11" s="7">
        <f t="shared" si="1"/>
        <v>0</v>
      </c>
    </row>
    <row r="12" spans="1:41" x14ac:dyDescent="0.3">
      <c r="A12" s="5">
        <v>11</v>
      </c>
      <c r="B12" s="6" t="s">
        <v>9</v>
      </c>
      <c r="C12" s="6" t="s">
        <v>34</v>
      </c>
      <c r="D12" s="6" t="s">
        <v>30</v>
      </c>
      <c r="E12" s="6" t="s">
        <v>12</v>
      </c>
      <c r="F12" s="6" t="s">
        <v>13</v>
      </c>
      <c r="G12" s="6" t="s">
        <v>14</v>
      </c>
      <c r="H12" s="5">
        <v>0</v>
      </c>
      <c r="I12" s="45">
        <v>0</v>
      </c>
      <c r="J12" s="45">
        <v>0</v>
      </c>
      <c r="K12" s="46">
        <v>0</v>
      </c>
      <c r="L12" s="46">
        <v>0.7</v>
      </c>
      <c r="M12" s="46">
        <v>0.85</v>
      </c>
      <c r="N12" s="46">
        <v>7.0000000000000001E-3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53">
        <v>0</v>
      </c>
      <c r="AB12" s="56">
        <v>0</v>
      </c>
      <c r="AC12" s="56">
        <v>0</v>
      </c>
      <c r="AD12" s="56">
        <v>0</v>
      </c>
      <c r="AE12" s="56">
        <v>0</v>
      </c>
      <c r="AF12" s="54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46">
        <v>0</v>
      </c>
      <c r="AN12" s="46">
        <f t="shared" si="0"/>
        <v>5.0225806451612891E-2</v>
      </c>
      <c r="AO12" s="7">
        <f t="shared" si="1"/>
        <v>1.5569999999999997</v>
      </c>
    </row>
    <row r="13" spans="1:41" x14ac:dyDescent="0.3">
      <c r="A13" s="5">
        <v>12</v>
      </c>
      <c r="B13" s="6" t="s">
        <v>9</v>
      </c>
      <c r="C13" s="6" t="s">
        <v>34</v>
      </c>
      <c r="D13" s="6" t="s">
        <v>30</v>
      </c>
      <c r="E13" s="6" t="s">
        <v>12</v>
      </c>
      <c r="F13" s="6" t="s">
        <v>13</v>
      </c>
      <c r="G13" s="6" t="s">
        <v>35</v>
      </c>
      <c r="H13" s="5">
        <v>17</v>
      </c>
      <c r="I13" s="45">
        <v>221.6</v>
      </c>
      <c r="J13" s="45">
        <v>182.53</v>
      </c>
      <c r="K13" s="46">
        <v>168.35</v>
      </c>
      <c r="L13" s="46">
        <f>467.21-332.76</f>
        <v>134.44999999999999</v>
      </c>
      <c r="M13" s="46">
        <f>327.29-198.8</f>
        <v>128.49</v>
      </c>
      <c r="N13" s="46">
        <f>339.73-197.54</f>
        <v>142.19000000000003</v>
      </c>
      <c r="O13" s="46">
        <f>153.29-0.12</f>
        <v>153.16999999999999</v>
      </c>
      <c r="P13" s="46">
        <v>154.44999999999999</v>
      </c>
      <c r="Q13" s="46">
        <v>159.21</v>
      </c>
      <c r="R13" s="46">
        <v>164.11</v>
      </c>
      <c r="S13" s="46">
        <v>168.78</v>
      </c>
      <c r="T13" s="46">
        <v>142.30000000000001</v>
      </c>
      <c r="U13" s="46">
        <v>167.82</v>
      </c>
      <c r="V13" s="46">
        <v>171.59</v>
      </c>
      <c r="W13" s="46">
        <v>161.94</v>
      </c>
      <c r="X13" s="46">
        <v>188.18</v>
      </c>
      <c r="Y13" s="46">
        <v>164.3</v>
      </c>
      <c r="Z13" s="46">
        <f>182.56-5.25</f>
        <v>177.31</v>
      </c>
      <c r="AA13" s="53">
        <v>162.91</v>
      </c>
      <c r="AB13" s="56">
        <v>162.41999999999999</v>
      </c>
      <c r="AC13" s="56">
        <v>173.94</v>
      </c>
      <c r="AD13" s="56">
        <v>218.78</v>
      </c>
      <c r="AE13" s="56">
        <v>159.94999999999999</v>
      </c>
      <c r="AF13" s="54">
        <v>174.47</v>
      </c>
      <c r="AG13" s="46">
        <v>184.4</v>
      </c>
      <c r="AH13" s="46">
        <v>226.57</v>
      </c>
      <c r="AI13" s="46">
        <v>208.84</v>
      </c>
      <c r="AJ13" s="46">
        <v>194.11</v>
      </c>
      <c r="AK13" s="46">
        <v>123.3</v>
      </c>
      <c r="AL13" s="46">
        <v>133.5</v>
      </c>
      <c r="AM13" s="46">
        <v>172.45</v>
      </c>
      <c r="AN13" s="46">
        <f t="shared" si="0"/>
        <v>169.2390322580645</v>
      </c>
      <c r="AO13" s="7">
        <f t="shared" si="1"/>
        <v>5246.41</v>
      </c>
    </row>
    <row r="14" spans="1:41" x14ac:dyDescent="0.3">
      <c r="A14" s="5">
        <v>13</v>
      </c>
      <c r="B14" s="6" t="s">
        <v>9</v>
      </c>
      <c r="C14" s="6" t="s">
        <v>34</v>
      </c>
      <c r="D14" s="6" t="s">
        <v>30</v>
      </c>
      <c r="E14" s="6" t="s">
        <v>12</v>
      </c>
      <c r="F14" s="6" t="s">
        <v>13</v>
      </c>
      <c r="G14" s="6" t="s">
        <v>80</v>
      </c>
      <c r="H14" s="5">
        <v>1</v>
      </c>
      <c r="I14" s="45">
        <v>0</v>
      </c>
      <c r="J14" s="45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0.46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53">
        <v>0</v>
      </c>
      <c r="AB14" s="56">
        <v>0</v>
      </c>
      <c r="AC14" s="56">
        <v>0</v>
      </c>
      <c r="AD14" s="56">
        <v>0</v>
      </c>
      <c r="AE14" s="56">
        <v>0</v>
      </c>
      <c r="AF14" s="54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>
        <f t="shared" si="0"/>
        <v>1.4838709677419355E-2</v>
      </c>
      <c r="AO14" s="7">
        <f t="shared" si="1"/>
        <v>0.46</v>
      </c>
    </row>
    <row r="15" spans="1:41" x14ac:dyDescent="0.3">
      <c r="A15" s="5">
        <v>14</v>
      </c>
      <c r="B15" s="6" t="s">
        <v>9</v>
      </c>
      <c r="C15" s="6" t="s">
        <v>34</v>
      </c>
      <c r="D15" s="6" t="s">
        <v>30</v>
      </c>
      <c r="E15" s="6" t="s">
        <v>19</v>
      </c>
      <c r="F15" s="6" t="s">
        <v>124</v>
      </c>
      <c r="G15" s="6" t="s">
        <v>80</v>
      </c>
      <c r="H15" s="5">
        <v>1</v>
      </c>
      <c r="I15" s="45">
        <v>0</v>
      </c>
      <c r="J15" s="45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0.44</v>
      </c>
      <c r="Z15" s="46">
        <v>4.9400000000000004</v>
      </c>
      <c r="AA15" s="53">
        <v>12.7</v>
      </c>
      <c r="AB15" s="56">
        <v>0</v>
      </c>
      <c r="AC15" s="56">
        <v>0</v>
      </c>
      <c r="AD15" s="56">
        <v>0</v>
      </c>
      <c r="AE15" s="56">
        <v>0</v>
      </c>
      <c r="AF15" s="54">
        <v>0</v>
      </c>
      <c r="AG15" s="46">
        <v>0</v>
      </c>
      <c r="AH15" s="46">
        <v>0</v>
      </c>
      <c r="AI15" s="46">
        <v>4.6500000000000004</v>
      </c>
      <c r="AJ15" s="46">
        <v>5.88</v>
      </c>
      <c r="AK15" s="46">
        <v>0</v>
      </c>
      <c r="AL15" s="46">
        <v>0</v>
      </c>
      <c r="AM15" s="46">
        <v>0</v>
      </c>
      <c r="AN15" s="46">
        <f t="shared" si="0"/>
        <v>0.92290322580645145</v>
      </c>
      <c r="AO15" s="7">
        <f t="shared" si="1"/>
        <v>28.609999999999996</v>
      </c>
    </row>
    <row r="16" spans="1:41" x14ac:dyDescent="0.3">
      <c r="A16" s="5">
        <v>15</v>
      </c>
      <c r="B16" s="6" t="s">
        <v>9</v>
      </c>
      <c r="C16" s="6" t="s">
        <v>36</v>
      </c>
      <c r="D16" s="6" t="s">
        <v>30</v>
      </c>
      <c r="E16" s="6" t="s">
        <v>19</v>
      </c>
      <c r="F16" s="6" t="s">
        <v>13</v>
      </c>
      <c r="G16" s="6" t="s">
        <v>35</v>
      </c>
      <c r="H16" s="5">
        <v>6</v>
      </c>
      <c r="I16" s="45">
        <v>47.75</v>
      </c>
      <c r="J16" s="45">
        <v>45.08</v>
      </c>
      <c r="K16" s="46">
        <v>58.76</v>
      </c>
      <c r="L16" s="46">
        <v>42.61</v>
      </c>
      <c r="M16" s="46">
        <v>31.51</v>
      </c>
      <c r="N16" s="46">
        <v>55.04</v>
      </c>
      <c r="O16" s="46">
        <v>40.24</v>
      </c>
      <c r="P16" s="46">
        <f>23.39-1.61</f>
        <v>21.78</v>
      </c>
      <c r="Q16" s="46">
        <v>0</v>
      </c>
      <c r="R16" s="46">
        <v>58.65</v>
      </c>
      <c r="S16" s="46">
        <v>52.26</v>
      </c>
      <c r="T16" s="46">
        <v>27.97</v>
      </c>
      <c r="U16" s="46">
        <v>23.26</v>
      </c>
      <c r="V16" s="46">
        <v>33.340000000000003</v>
      </c>
      <c r="W16" s="46">
        <v>32.68</v>
      </c>
      <c r="X16" s="46">
        <v>21.06</v>
      </c>
      <c r="Y16" s="46">
        <v>35.83</v>
      </c>
      <c r="Z16" s="46">
        <v>23.3</v>
      </c>
      <c r="AA16" s="53">
        <v>18.71</v>
      </c>
      <c r="AB16" s="56">
        <v>17.309999999999999</v>
      </c>
      <c r="AC16" s="56">
        <v>33.64</v>
      </c>
      <c r="AD16" s="56">
        <v>20.48</v>
      </c>
      <c r="AE16" s="56">
        <v>19.87</v>
      </c>
      <c r="AF16" s="54">
        <v>22.15</v>
      </c>
      <c r="AG16" s="46">
        <v>23.33</v>
      </c>
      <c r="AH16" s="46">
        <v>18.62</v>
      </c>
      <c r="AI16" s="46">
        <v>30.31</v>
      </c>
      <c r="AJ16" s="46">
        <v>33.04</v>
      </c>
      <c r="AK16" s="46">
        <v>43.52</v>
      </c>
      <c r="AL16" s="46">
        <v>22.56</v>
      </c>
      <c r="AM16" s="46">
        <v>46.18</v>
      </c>
      <c r="AN16" s="46">
        <f t="shared" si="0"/>
        <v>32.28516129032257</v>
      </c>
      <c r="AO16" s="7">
        <f t="shared" si="1"/>
        <v>1000.8399999999997</v>
      </c>
    </row>
    <row r="17" spans="1:41" x14ac:dyDescent="0.3">
      <c r="A17" s="5">
        <v>16</v>
      </c>
      <c r="B17" s="6" t="s">
        <v>9</v>
      </c>
      <c r="C17" s="6" t="s">
        <v>37</v>
      </c>
      <c r="D17" s="6" t="s">
        <v>30</v>
      </c>
      <c r="E17" s="6" t="s">
        <v>12</v>
      </c>
      <c r="F17" s="6" t="s">
        <v>13</v>
      </c>
      <c r="G17" s="6" t="s">
        <v>35</v>
      </c>
      <c r="H17" s="5">
        <v>6</v>
      </c>
      <c r="I17" s="45">
        <v>35.85</v>
      </c>
      <c r="J17" s="45">
        <v>41.39</v>
      </c>
      <c r="K17" s="46">
        <v>57.23</v>
      </c>
      <c r="L17" s="46">
        <v>44.72</v>
      </c>
      <c r="M17" s="46">
        <v>36.01</v>
      </c>
      <c r="N17" s="46">
        <f>100.76-66.67</f>
        <v>34.090000000000003</v>
      </c>
      <c r="O17" s="46">
        <v>33</v>
      </c>
      <c r="P17" s="46">
        <v>38.53</v>
      </c>
      <c r="Q17" s="46">
        <v>59.7</v>
      </c>
      <c r="R17" s="46">
        <v>43.57</v>
      </c>
      <c r="S17" s="46">
        <v>63.34</v>
      </c>
      <c r="T17" s="46">
        <v>51.74</v>
      </c>
      <c r="U17" s="46">
        <v>67.27</v>
      </c>
      <c r="V17" s="46">
        <v>91.3</v>
      </c>
      <c r="W17" s="46">
        <v>53.55</v>
      </c>
      <c r="X17" s="46">
        <v>42.1</v>
      </c>
      <c r="Y17" s="46">
        <v>55.06</v>
      </c>
      <c r="Z17" s="46">
        <v>54.85</v>
      </c>
      <c r="AA17" s="53">
        <v>54.66</v>
      </c>
      <c r="AB17" s="56">
        <v>45.98</v>
      </c>
      <c r="AC17" s="56">
        <v>59.38</v>
      </c>
      <c r="AD17" s="56">
        <v>55.68</v>
      </c>
      <c r="AE17" s="56">
        <v>34.39</v>
      </c>
      <c r="AF17" s="54">
        <v>43.33</v>
      </c>
      <c r="AG17" s="46">
        <v>37.06</v>
      </c>
      <c r="AH17" s="46">
        <v>46.58</v>
      </c>
      <c r="AI17" s="46">
        <v>42.55</v>
      </c>
      <c r="AJ17" s="46">
        <v>61.9</v>
      </c>
      <c r="AK17" s="46">
        <v>52.77</v>
      </c>
      <c r="AL17" s="46">
        <v>30.28</v>
      </c>
      <c r="AM17" s="46">
        <v>33.72</v>
      </c>
      <c r="AN17" s="46">
        <f t="shared" si="0"/>
        <v>48.438064516129032</v>
      </c>
      <c r="AO17" s="7">
        <f t="shared" si="1"/>
        <v>1501.58</v>
      </c>
    </row>
    <row r="18" spans="1:41" x14ac:dyDescent="0.3">
      <c r="A18" s="5">
        <v>17</v>
      </c>
      <c r="B18" s="6" t="s">
        <v>9</v>
      </c>
      <c r="C18" s="6" t="s">
        <v>38</v>
      </c>
      <c r="D18" s="6" t="s">
        <v>30</v>
      </c>
      <c r="E18" s="6" t="s">
        <v>19</v>
      </c>
      <c r="F18" s="6" t="s">
        <v>13</v>
      </c>
      <c r="G18" s="6" t="s">
        <v>35</v>
      </c>
      <c r="H18" s="5">
        <v>3</v>
      </c>
      <c r="I18" s="45">
        <v>26.82</v>
      </c>
      <c r="J18" s="45">
        <v>42.59</v>
      </c>
      <c r="K18" s="46">
        <v>75.53</v>
      </c>
      <c r="L18" s="46">
        <v>56.45</v>
      </c>
      <c r="M18" s="46">
        <v>65.56</v>
      </c>
      <c r="N18" s="46">
        <v>89.95</v>
      </c>
      <c r="O18" s="46">
        <v>85.65</v>
      </c>
      <c r="P18" s="46">
        <v>66.17</v>
      </c>
      <c r="Q18" s="46">
        <v>98.15</v>
      </c>
      <c r="R18" s="46">
        <v>64.44</v>
      </c>
      <c r="S18" s="46">
        <v>63.45</v>
      </c>
      <c r="T18" s="46">
        <v>66.45</v>
      </c>
      <c r="U18" s="46">
        <v>64.47</v>
      </c>
      <c r="V18" s="46">
        <v>78.11</v>
      </c>
      <c r="W18" s="46">
        <v>56.43</v>
      </c>
      <c r="X18" s="46">
        <v>47.87</v>
      </c>
      <c r="Y18" s="46">
        <v>77.37</v>
      </c>
      <c r="Z18" s="46">
        <v>60.77</v>
      </c>
      <c r="AA18" s="53">
        <v>53.53</v>
      </c>
      <c r="AB18" s="56">
        <v>50.97</v>
      </c>
      <c r="AC18" s="56">
        <v>53.81</v>
      </c>
      <c r="AD18" s="56">
        <v>67.19</v>
      </c>
      <c r="AE18" s="56">
        <v>60.3</v>
      </c>
      <c r="AF18" s="54">
        <v>27.86</v>
      </c>
      <c r="AG18" s="46">
        <v>46.12</v>
      </c>
      <c r="AH18" s="46">
        <v>54.56</v>
      </c>
      <c r="AI18" s="46">
        <v>55.29</v>
      </c>
      <c r="AJ18" s="46">
        <v>53.08</v>
      </c>
      <c r="AK18" s="46">
        <v>65.819999999999993</v>
      </c>
      <c r="AL18" s="46">
        <v>49.8</v>
      </c>
      <c r="AM18" s="46">
        <v>55.52</v>
      </c>
      <c r="AN18" s="46">
        <f t="shared" si="0"/>
        <v>60.647741935483857</v>
      </c>
      <c r="AO18" s="7">
        <f t="shared" si="1"/>
        <v>1880.0799999999995</v>
      </c>
    </row>
    <row r="19" spans="1:41" x14ac:dyDescent="0.3">
      <c r="A19" s="5">
        <v>18</v>
      </c>
      <c r="B19" s="6" t="s">
        <v>9</v>
      </c>
      <c r="C19" s="6" t="s">
        <v>39</v>
      </c>
      <c r="D19" s="6" t="s">
        <v>30</v>
      </c>
      <c r="E19" s="6" t="s">
        <v>19</v>
      </c>
      <c r="F19" s="6" t="s">
        <v>13</v>
      </c>
      <c r="G19" s="6" t="s">
        <v>14</v>
      </c>
      <c r="H19" s="5">
        <v>3</v>
      </c>
      <c r="I19" s="45">
        <v>0</v>
      </c>
      <c r="J19" s="45">
        <v>0</v>
      </c>
      <c r="K19" s="46">
        <v>0</v>
      </c>
      <c r="L19" s="46">
        <v>0</v>
      </c>
      <c r="M19" s="46">
        <v>0</v>
      </c>
      <c r="N19" s="46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53">
        <v>0</v>
      </c>
      <c r="AB19" s="56">
        <v>0</v>
      </c>
      <c r="AC19" s="56">
        <v>0</v>
      </c>
      <c r="AD19" s="56">
        <v>0</v>
      </c>
      <c r="AE19" s="56">
        <v>0</v>
      </c>
      <c r="AF19" s="54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v>0</v>
      </c>
      <c r="AN19" s="46">
        <f t="shared" si="0"/>
        <v>0</v>
      </c>
      <c r="AO19" s="7">
        <f t="shared" si="1"/>
        <v>0</v>
      </c>
    </row>
    <row r="20" spans="1:41" x14ac:dyDescent="0.3">
      <c r="A20" s="5">
        <v>19</v>
      </c>
      <c r="B20" s="6" t="s">
        <v>9</v>
      </c>
      <c r="C20" s="6" t="s">
        <v>96</v>
      </c>
      <c r="D20" s="6" t="s">
        <v>43</v>
      </c>
      <c r="E20" s="6" t="s">
        <v>19</v>
      </c>
      <c r="F20" s="6" t="s">
        <v>13</v>
      </c>
      <c r="G20" s="6" t="s">
        <v>14</v>
      </c>
      <c r="H20" s="5">
        <v>1</v>
      </c>
      <c r="I20" s="45">
        <v>0</v>
      </c>
      <c r="J20" s="45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53">
        <v>0</v>
      </c>
      <c r="AB20" s="56">
        <v>0</v>
      </c>
      <c r="AC20" s="56">
        <v>0</v>
      </c>
      <c r="AD20" s="56">
        <v>0</v>
      </c>
      <c r="AE20" s="56">
        <v>0</v>
      </c>
      <c r="AF20" s="54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f t="shared" si="0"/>
        <v>0</v>
      </c>
      <c r="AO20" s="7">
        <f t="shared" si="1"/>
        <v>0</v>
      </c>
    </row>
    <row r="21" spans="1:41" x14ac:dyDescent="0.3">
      <c r="A21" s="5">
        <v>20</v>
      </c>
      <c r="B21" s="6" t="s">
        <v>9</v>
      </c>
      <c r="C21" s="6" t="s">
        <v>125</v>
      </c>
      <c r="D21" s="6" t="s">
        <v>48</v>
      </c>
      <c r="E21" s="6" t="s">
        <v>19</v>
      </c>
      <c r="F21" s="6" t="s">
        <v>13</v>
      </c>
      <c r="G21" s="6" t="s">
        <v>14</v>
      </c>
      <c r="H21" s="5">
        <v>1</v>
      </c>
      <c r="I21" s="45">
        <v>0</v>
      </c>
      <c r="J21" s="45">
        <v>0</v>
      </c>
      <c r="K21" s="46">
        <v>0</v>
      </c>
      <c r="L21" s="46">
        <v>4.55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4.66</v>
      </c>
      <c r="Y21" s="46">
        <v>0</v>
      </c>
      <c r="Z21" s="46">
        <v>0</v>
      </c>
      <c r="AA21" s="53">
        <v>0</v>
      </c>
      <c r="AB21" s="56">
        <v>0</v>
      </c>
      <c r="AC21" s="56">
        <v>0</v>
      </c>
      <c r="AD21" s="56">
        <v>0</v>
      </c>
      <c r="AE21" s="56">
        <v>0</v>
      </c>
      <c r="AF21" s="54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f t="shared" si="0"/>
        <v>0.29709677419354841</v>
      </c>
      <c r="AO21" s="7">
        <f t="shared" si="1"/>
        <v>9.2100000000000009</v>
      </c>
    </row>
    <row r="22" spans="1:41" x14ac:dyDescent="0.3">
      <c r="A22" s="5">
        <v>21</v>
      </c>
      <c r="B22" s="6" t="s">
        <v>9</v>
      </c>
      <c r="C22" s="6" t="s">
        <v>139</v>
      </c>
      <c r="D22" s="6" t="s">
        <v>128</v>
      </c>
      <c r="E22" s="6" t="s">
        <v>12</v>
      </c>
      <c r="F22" s="6" t="s">
        <v>95</v>
      </c>
      <c r="G22" s="6" t="s">
        <v>35</v>
      </c>
      <c r="H22" s="5">
        <v>1</v>
      </c>
      <c r="I22" s="45"/>
      <c r="J22" s="45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>
        <v>5.5</v>
      </c>
      <c r="Y22" s="46">
        <v>0</v>
      </c>
      <c r="Z22" s="46">
        <v>0</v>
      </c>
      <c r="AA22" s="53">
        <v>0</v>
      </c>
      <c r="AB22" s="56">
        <v>0.06</v>
      </c>
      <c r="AC22" s="56">
        <v>0</v>
      </c>
      <c r="AD22" s="56">
        <v>0</v>
      </c>
      <c r="AE22" s="56">
        <v>0</v>
      </c>
      <c r="AF22" s="54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f t="shared" si="0"/>
        <v>0.34749999999999998</v>
      </c>
      <c r="AO22" s="7">
        <f t="shared" si="1"/>
        <v>5.56</v>
      </c>
    </row>
    <row r="23" spans="1:41" x14ac:dyDescent="0.3">
      <c r="A23" s="5">
        <v>22</v>
      </c>
      <c r="B23" s="6" t="s">
        <v>49</v>
      </c>
      <c r="C23" s="6" t="s">
        <v>50</v>
      </c>
      <c r="D23" s="6" t="s">
        <v>30</v>
      </c>
      <c r="E23" s="6" t="s">
        <v>19</v>
      </c>
      <c r="F23" s="6" t="s">
        <v>13</v>
      </c>
      <c r="G23" s="6" t="s">
        <v>14</v>
      </c>
      <c r="H23" s="5">
        <v>0</v>
      </c>
      <c r="I23" s="45">
        <v>0</v>
      </c>
      <c r="J23" s="45">
        <v>16.34</v>
      </c>
      <c r="K23" s="46">
        <v>15.1</v>
      </c>
      <c r="L23" s="46">
        <v>22.32</v>
      </c>
      <c r="M23" s="46">
        <v>33.42</v>
      </c>
      <c r="N23" s="46">
        <v>23.13</v>
      </c>
      <c r="O23" s="46">
        <v>12.03</v>
      </c>
      <c r="P23" s="46">
        <v>0</v>
      </c>
      <c r="Q23" s="46">
        <v>27.93</v>
      </c>
      <c r="R23" s="46">
        <v>6.95</v>
      </c>
      <c r="S23" s="46">
        <v>19.309999999999999</v>
      </c>
      <c r="T23" s="46">
        <v>22.95</v>
      </c>
      <c r="U23" s="46">
        <v>19.03</v>
      </c>
      <c r="V23" s="46">
        <v>7.61</v>
      </c>
      <c r="W23" s="46">
        <v>9.3699999999999992</v>
      </c>
      <c r="X23" s="46">
        <v>10.98</v>
      </c>
      <c r="Y23" s="46">
        <v>28.11</v>
      </c>
      <c r="Z23" s="46">
        <v>25.69</v>
      </c>
      <c r="AA23" s="53">
        <v>17.149999999999999</v>
      </c>
      <c r="AB23" s="56">
        <v>32.01</v>
      </c>
      <c r="AC23" s="56">
        <v>11.85</v>
      </c>
      <c r="AD23" s="56">
        <v>14.87</v>
      </c>
      <c r="AE23" s="56">
        <v>3.96</v>
      </c>
      <c r="AF23" s="54">
        <v>9.81</v>
      </c>
      <c r="AG23" s="46">
        <v>3.38</v>
      </c>
      <c r="AH23" s="46">
        <v>12</v>
      </c>
      <c r="AI23" s="46">
        <v>9.9600000000000009</v>
      </c>
      <c r="AJ23" s="46">
        <v>0</v>
      </c>
      <c r="AK23" s="46">
        <v>0</v>
      </c>
      <c r="AL23" s="46">
        <v>0</v>
      </c>
      <c r="AM23" s="46">
        <v>0</v>
      </c>
      <c r="AN23" s="46">
        <f t="shared" si="0"/>
        <v>13.395483870967739</v>
      </c>
      <c r="AO23" s="7">
        <f t="shared" si="1"/>
        <v>415.25999999999993</v>
      </c>
    </row>
    <row r="24" spans="1:41" x14ac:dyDescent="0.3">
      <c r="A24" s="5">
        <v>23</v>
      </c>
      <c r="B24" s="6" t="s">
        <v>49</v>
      </c>
      <c r="C24" s="6" t="s">
        <v>50</v>
      </c>
      <c r="D24" s="6" t="s">
        <v>128</v>
      </c>
      <c r="E24" s="6" t="s">
        <v>12</v>
      </c>
      <c r="F24" s="6" t="s">
        <v>13</v>
      </c>
      <c r="G24" s="6" t="s">
        <v>35</v>
      </c>
      <c r="H24" s="5">
        <v>5</v>
      </c>
      <c r="I24" s="45"/>
      <c r="J24" s="45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53"/>
      <c r="AB24" s="56"/>
      <c r="AC24" s="56"/>
      <c r="AD24" s="56"/>
      <c r="AE24" s="56"/>
      <c r="AF24" s="54"/>
      <c r="AG24" s="46"/>
      <c r="AH24" s="46"/>
      <c r="AI24" s="46">
        <v>0</v>
      </c>
      <c r="AJ24" s="46">
        <v>8.39</v>
      </c>
      <c r="AK24" s="46">
        <v>18.2</v>
      </c>
      <c r="AL24" s="46">
        <v>17.13</v>
      </c>
      <c r="AM24" s="46">
        <v>9.7799999999999994</v>
      </c>
      <c r="AN24" s="46">
        <f t="shared" si="0"/>
        <v>10.7</v>
      </c>
      <c r="AO24" s="7">
        <f t="shared" si="1"/>
        <v>53.5</v>
      </c>
    </row>
    <row r="25" spans="1:41" x14ac:dyDescent="0.3">
      <c r="A25" s="5">
        <v>24</v>
      </c>
      <c r="B25" s="6" t="s">
        <v>49</v>
      </c>
      <c r="C25" s="6" t="s">
        <v>98</v>
      </c>
      <c r="D25" s="6" t="s">
        <v>18</v>
      </c>
      <c r="E25" s="6" t="s">
        <v>19</v>
      </c>
      <c r="F25" s="6" t="s">
        <v>13</v>
      </c>
      <c r="G25" s="6" t="s">
        <v>14</v>
      </c>
      <c r="H25" s="5">
        <v>5</v>
      </c>
      <c r="I25" s="46">
        <v>0</v>
      </c>
      <c r="J25" s="45">
        <v>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53">
        <v>0</v>
      </c>
      <c r="AB25" s="56">
        <v>0</v>
      </c>
      <c r="AC25" s="56">
        <v>0</v>
      </c>
      <c r="AD25" s="56">
        <v>0</v>
      </c>
      <c r="AE25" s="56">
        <v>0</v>
      </c>
      <c r="AF25" s="54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46">
        <v>0</v>
      </c>
      <c r="AN25" s="46">
        <f t="shared" si="0"/>
        <v>0</v>
      </c>
      <c r="AO25" s="7">
        <f t="shared" si="1"/>
        <v>0</v>
      </c>
    </row>
    <row r="26" spans="1:41" x14ac:dyDescent="0.3">
      <c r="A26" s="5">
        <v>25</v>
      </c>
      <c r="B26" s="6" t="s">
        <v>49</v>
      </c>
      <c r="C26" s="6" t="s">
        <v>99</v>
      </c>
      <c r="D26" s="6" t="s">
        <v>61</v>
      </c>
      <c r="E26" s="6" t="s">
        <v>19</v>
      </c>
      <c r="F26" s="6" t="s">
        <v>13</v>
      </c>
      <c r="G26" s="6" t="s">
        <v>14</v>
      </c>
      <c r="H26" s="5">
        <v>0</v>
      </c>
      <c r="I26" s="45">
        <v>63.88</v>
      </c>
      <c r="J26" s="45">
        <v>77.540000000000006</v>
      </c>
      <c r="K26" s="46">
        <v>57.29</v>
      </c>
      <c r="L26" s="46">
        <v>107.59</v>
      </c>
      <c r="M26" s="46">
        <v>76.94</v>
      </c>
      <c r="N26" s="46">
        <v>70.63</v>
      </c>
      <c r="O26" s="46">
        <v>77.739999999999995</v>
      </c>
      <c r="P26" s="46">
        <v>52.51</v>
      </c>
      <c r="Q26" s="46">
        <v>84.03</v>
      </c>
      <c r="R26" s="46">
        <v>116.52</v>
      </c>
      <c r="S26" s="46">
        <v>97.41</v>
      </c>
      <c r="T26" s="46">
        <v>75.23</v>
      </c>
      <c r="U26" s="46">
        <v>109.01</v>
      </c>
      <c r="V26" s="46">
        <v>83</v>
      </c>
      <c r="W26" s="46">
        <v>77.569999999999993</v>
      </c>
      <c r="X26" s="46">
        <v>84.8</v>
      </c>
      <c r="Y26" s="46">
        <v>71.12</v>
      </c>
      <c r="Z26" s="46">
        <v>82.15</v>
      </c>
      <c r="AA26" s="53">
        <v>63.75</v>
      </c>
      <c r="AB26" s="56">
        <v>62.26</v>
      </c>
      <c r="AC26" s="56">
        <v>60.9</v>
      </c>
      <c r="AD26" s="56">
        <v>67.06</v>
      </c>
      <c r="AE26" s="56">
        <v>77.86</v>
      </c>
      <c r="AF26" s="54">
        <v>67.959999999999994</v>
      </c>
      <c r="AG26" s="46">
        <v>79.400000000000006</v>
      </c>
      <c r="AH26" s="46">
        <v>63.88</v>
      </c>
      <c r="AI26" s="46">
        <v>32.450000000000003</v>
      </c>
      <c r="AJ26" s="46">
        <v>0</v>
      </c>
      <c r="AK26" s="46">
        <v>0</v>
      </c>
      <c r="AL26" s="46">
        <v>0</v>
      </c>
      <c r="AM26" s="46">
        <v>0</v>
      </c>
      <c r="AN26" s="46">
        <f t="shared" si="0"/>
        <v>65.821935483870973</v>
      </c>
      <c r="AO26" s="7">
        <f t="shared" si="1"/>
        <v>2040.4800000000002</v>
      </c>
    </row>
    <row r="27" spans="1:41" x14ac:dyDescent="0.3">
      <c r="A27" s="5">
        <v>26</v>
      </c>
      <c r="B27" s="6" t="s">
        <v>49</v>
      </c>
      <c r="C27" s="6" t="s">
        <v>99</v>
      </c>
      <c r="D27" s="6" t="s">
        <v>128</v>
      </c>
      <c r="E27" s="6" t="s">
        <v>12</v>
      </c>
      <c r="F27" s="6" t="s">
        <v>13</v>
      </c>
      <c r="G27" s="6" t="s">
        <v>35</v>
      </c>
      <c r="H27" s="5">
        <v>10</v>
      </c>
      <c r="I27" s="45"/>
      <c r="J27" s="45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53"/>
      <c r="AB27" s="56"/>
      <c r="AC27" s="56"/>
      <c r="AD27" s="56"/>
      <c r="AE27" s="56"/>
      <c r="AF27" s="54"/>
      <c r="AG27" s="46"/>
      <c r="AH27" s="46"/>
      <c r="AI27" s="46">
        <v>0</v>
      </c>
      <c r="AJ27" s="46">
        <v>43.95</v>
      </c>
      <c r="AK27" s="46">
        <v>73.3</v>
      </c>
      <c r="AL27" s="46">
        <v>94.3</v>
      </c>
      <c r="AM27" s="46">
        <v>56.99</v>
      </c>
      <c r="AN27" s="46">
        <f t="shared" si="0"/>
        <v>53.708000000000006</v>
      </c>
      <c r="AO27" s="7">
        <f t="shared" si="1"/>
        <v>268.54000000000002</v>
      </c>
    </row>
    <row r="28" spans="1:41" x14ac:dyDescent="0.3">
      <c r="A28" s="5">
        <v>27</v>
      </c>
      <c r="B28" s="6" t="s">
        <v>52</v>
      </c>
      <c r="C28" s="6" t="s">
        <v>100</v>
      </c>
      <c r="D28" s="6" t="s">
        <v>54</v>
      </c>
      <c r="E28" s="6" t="s">
        <v>19</v>
      </c>
      <c r="F28" s="6" t="s">
        <v>13</v>
      </c>
      <c r="G28" s="6" t="s">
        <v>14</v>
      </c>
      <c r="H28" s="5">
        <v>0</v>
      </c>
      <c r="I28" s="45">
        <v>7.34</v>
      </c>
      <c r="J28" s="45">
        <v>0</v>
      </c>
      <c r="K28" s="46">
        <v>29.42</v>
      </c>
      <c r="L28" s="46">
        <v>20.23</v>
      </c>
      <c r="M28" s="46">
        <v>4.66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53">
        <v>0</v>
      </c>
      <c r="AB28" s="56">
        <v>0</v>
      </c>
      <c r="AC28" s="56">
        <v>0</v>
      </c>
      <c r="AD28" s="56">
        <v>0</v>
      </c>
      <c r="AE28" s="56">
        <v>0</v>
      </c>
      <c r="AF28" s="54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f t="shared" si="0"/>
        <v>1.9887096774193551</v>
      </c>
      <c r="AO28" s="7">
        <f t="shared" si="1"/>
        <v>61.650000000000006</v>
      </c>
    </row>
    <row r="29" spans="1:41" x14ac:dyDescent="0.3">
      <c r="A29" s="5">
        <v>28</v>
      </c>
      <c r="B29" s="6" t="s">
        <v>52</v>
      </c>
      <c r="C29" s="6" t="s">
        <v>100</v>
      </c>
      <c r="D29" s="6" t="s">
        <v>128</v>
      </c>
      <c r="E29" s="6" t="s">
        <v>19</v>
      </c>
      <c r="F29" s="6" t="s">
        <v>13</v>
      </c>
      <c r="G29" s="6" t="s">
        <v>35</v>
      </c>
      <c r="H29" s="5">
        <v>5</v>
      </c>
      <c r="I29" s="45"/>
      <c r="J29" s="45"/>
      <c r="K29" s="46"/>
      <c r="L29" s="46"/>
      <c r="M29" s="46"/>
      <c r="N29" s="46"/>
      <c r="O29" s="46"/>
      <c r="P29" s="46"/>
      <c r="Q29" s="46"/>
      <c r="R29" s="46"/>
      <c r="S29" s="46"/>
      <c r="T29" s="46">
        <v>12.36</v>
      </c>
      <c r="U29" s="46">
        <v>18.399999999999999</v>
      </c>
      <c r="V29" s="46">
        <v>0</v>
      </c>
      <c r="W29" s="46">
        <v>6.72</v>
      </c>
      <c r="X29" s="46">
        <v>23.52</v>
      </c>
      <c r="Y29" s="46">
        <v>12.24</v>
      </c>
      <c r="Z29" s="46">
        <v>22.12</v>
      </c>
      <c r="AA29" s="53">
        <v>4.3099999999999996</v>
      </c>
      <c r="AB29" s="56">
        <v>34.29</v>
      </c>
      <c r="AC29" s="56">
        <v>17.190000000000001</v>
      </c>
      <c r="AD29" s="56">
        <v>3.99</v>
      </c>
      <c r="AE29" s="56">
        <v>17.059999999999999</v>
      </c>
      <c r="AF29" s="54">
        <v>11.33</v>
      </c>
      <c r="AG29" s="46">
        <v>19.54</v>
      </c>
      <c r="AH29" s="46">
        <v>26.29</v>
      </c>
      <c r="AI29" s="46">
        <v>8.09</v>
      </c>
      <c r="AJ29" s="46">
        <v>23.83</v>
      </c>
      <c r="AK29" s="46">
        <v>0</v>
      </c>
      <c r="AL29" s="46">
        <v>17.62</v>
      </c>
      <c r="AM29" s="46">
        <v>10.44</v>
      </c>
      <c r="AN29" s="46">
        <f t="shared" si="0"/>
        <v>14.467000000000002</v>
      </c>
      <c r="AO29" s="7">
        <f t="shared" si="1"/>
        <v>289.34000000000003</v>
      </c>
    </row>
    <row r="30" spans="1:41" x14ac:dyDescent="0.3">
      <c r="A30" s="5">
        <v>29</v>
      </c>
      <c r="B30" s="6" t="s">
        <v>52</v>
      </c>
      <c r="C30" s="6" t="s">
        <v>132</v>
      </c>
      <c r="D30" s="6" t="s">
        <v>128</v>
      </c>
      <c r="E30" s="6" t="s">
        <v>12</v>
      </c>
      <c r="F30" s="6" t="s">
        <v>13</v>
      </c>
      <c r="G30" s="6" t="s">
        <v>35</v>
      </c>
      <c r="H30" s="5">
        <v>5</v>
      </c>
      <c r="I30" s="45"/>
      <c r="J30" s="45"/>
      <c r="K30" s="46"/>
      <c r="L30" s="46"/>
      <c r="M30" s="46"/>
      <c r="N30" s="46"/>
      <c r="O30" s="46"/>
      <c r="P30" s="46"/>
      <c r="Q30" s="46"/>
      <c r="R30" s="46"/>
      <c r="S30" s="46">
        <v>2.69</v>
      </c>
      <c r="T30" s="46">
        <v>39.18</v>
      </c>
      <c r="U30" s="46">
        <v>40.26</v>
      </c>
      <c r="V30" s="46">
        <v>0</v>
      </c>
      <c r="W30" s="46">
        <v>0</v>
      </c>
      <c r="X30" s="46">
        <v>5.1100000000000003</v>
      </c>
      <c r="Y30" s="46">
        <v>0</v>
      </c>
      <c r="Z30" s="46">
        <v>0</v>
      </c>
      <c r="AA30" s="53">
        <v>0</v>
      </c>
      <c r="AB30" s="56">
        <v>0</v>
      </c>
      <c r="AC30" s="56">
        <v>0</v>
      </c>
      <c r="AD30" s="56">
        <v>0</v>
      </c>
      <c r="AE30" s="56">
        <v>0</v>
      </c>
      <c r="AF30" s="54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f t="shared" si="0"/>
        <v>4.1542857142857139</v>
      </c>
      <c r="AO30" s="7">
        <f t="shared" si="1"/>
        <v>87.24</v>
      </c>
    </row>
    <row r="31" spans="1:41" x14ac:dyDescent="0.3">
      <c r="A31" s="5">
        <v>30</v>
      </c>
      <c r="B31" s="6" t="s">
        <v>134</v>
      </c>
      <c r="C31" s="6" t="s">
        <v>133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5</v>
      </c>
      <c r="I31" s="45"/>
      <c r="J31" s="45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53"/>
      <c r="AB31" s="56"/>
      <c r="AC31" s="56"/>
      <c r="AD31" s="56"/>
      <c r="AE31" s="56"/>
      <c r="AF31" s="54"/>
      <c r="AG31" s="46"/>
      <c r="AH31" s="46"/>
      <c r="AI31" s="46">
        <v>0</v>
      </c>
      <c r="AJ31" s="46">
        <v>0</v>
      </c>
      <c r="AK31" s="46">
        <v>16.13</v>
      </c>
      <c r="AL31" s="46">
        <v>22.74</v>
      </c>
      <c r="AM31" s="46">
        <v>34.21</v>
      </c>
      <c r="AN31" s="46">
        <f t="shared" si="0"/>
        <v>14.616</v>
      </c>
      <c r="AO31" s="7">
        <f t="shared" si="1"/>
        <v>73.08</v>
      </c>
    </row>
    <row r="32" spans="1:41" x14ac:dyDescent="0.3">
      <c r="A32" s="5">
        <v>31</v>
      </c>
      <c r="B32" s="6" t="s">
        <v>55</v>
      </c>
      <c r="C32" s="6" t="s">
        <v>56</v>
      </c>
      <c r="D32" s="6" t="s">
        <v>57</v>
      </c>
      <c r="E32" s="6" t="s">
        <v>19</v>
      </c>
      <c r="F32" s="6" t="s">
        <v>13</v>
      </c>
      <c r="G32" s="6" t="s">
        <v>14</v>
      </c>
      <c r="H32" s="5">
        <v>0</v>
      </c>
      <c r="I32" s="45">
        <v>98</v>
      </c>
      <c r="J32" s="45">
        <v>38.24</v>
      </c>
      <c r="K32" s="46">
        <v>17.760000000000002</v>
      </c>
      <c r="L32" s="46">
        <v>59.52</v>
      </c>
      <c r="M32" s="46">
        <v>62.89</v>
      </c>
      <c r="N32" s="46">
        <v>25.45</v>
      </c>
      <c r="O32" s="46">
        <v>43.71</v>
      </c>
      <c r="P32" s="46">
        <v>13.45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53">
        <v>0</v>
      </c>
      <c r="AB32" s="56">
        <v>0</v>
      </c>
      <c r="AC32" s="56">
        <v>0</v>
      </c>
      <c r="AD32" s="56">
        <v>0</v>
      </c>
      <c r="AE32" s="56">
        <v>0</v>
      </c>
      <c r="AF32" s="54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f t="shared" si="0"/>
        <v>11.581290322580644</v>
      </c>
      <c r="AO32" s="7">
        <f t="shared" si="1"/>
        <v>359.02</v>
      </c>
    </row>
    <row r="33" spans="1:41" x14ac:dyDescent="0.3">
      <c r="A33" s="5">
        <v>32</v>
      </c>
      <c r="B33" s="6" t="s">
        <v>55</v>
      </c>
      <c r="C33" s="6" t="s">
        <v>56</v>
      </c>
      <c r="D33" s="6" t="s">
        <v>57</v>
      </c>
      <c r="E33" s="6" t="s">
        <v>19</v>
      </c>
      <c r="F33" s="6" t="s">
        <v>13</v>
      </c>
      <c r="G33" s="6" t="s">
        <v>35</v>
      </c>
      <c r="H33" s="5">
        <v>40</v>
      </c>
      <c r="I33" s="45">
        <v>338.41</v>
      </c>
      <c r="J33" s="45">
        <v>314.55</v>
      </c>
      <c r="K33" s="46">
        <v>150.41999999999999</v>
      </c>
      <c r="L33" s="46">
        <v>142.58000000000001</v>
      </c>
      <c r="M33" s="46">
        <v>264.45999999999998</v>
      </c>
      <c r="N33" s="46">
        <v>300.49</v>
      </c>
      <c r="O33" s="46">
        <v>240.93</v>
      </c>
      <c r="P33" s="46">
        <v>332.82</v>
      </c>
      <c r="Q33" s="46">
        <f>327.69-83.63</f>
        <v>244.06</v>
      </c>
      <c r="R33" s="46">
        <v>253.1</v>
      </c>
      <c r="S33" s="46">
        <v>357.92</v>
      </c>
      <c r="T33" s="46">
        <v>414.94</v>
      </c>
      <c r="U33" s="46">
        <v>401.43</v>
      </c>
      <c r="V33" s="46">
        <v>469.77</v>
      </c>
      <c r="W33" s="46">
        <v>486.86</v>
      </c>
      <c r="X33" s="46">
        <v>207.53</v>
      </c>
      <c r="Y33" s="46">
        <v>281.57</v>
      </c>
      <c r="Z33" s="46">
        <v>403.29</v>
      </c>
      <c r="AA33" s="53">
        <v>445.6</v>
      </c>
      <c r="AB33" s="56">
        <v>378.84</v>
      </c>
      <c r="AC33" s="56">
        <v>439.23</v>
      </c>
      <c r="AD33" s="56">
        <v>616.02</v>
      </c>
      <c r="AE33" s="56">
        <v>425.74</v>
      </c>
      <c r="AF33" s="54">
        <v>227.41</v>
      </c>
      <c r="AG33" s="46">
        <v>480.15</v>
      </c>
      <c r="AH33" s="46">
        <v>426.74</v>
      </c>
      <c r="AI33" s="46">
        <v>408.99</v>
      </c>
      <c r="AJ33" s="46">
        <v>390.01</v>
      </c>
      <c r="AK33" s="46">
        <v>411.06</v>
      </c>
      <c r="AL33" s="46">
        <v>39.17</v>
      </c>
      <c r="AM33" s="46">
        <v>20.28</v>
      </c>
      <c r="AN33" s="46">
        <f t="shared" si="0"/>
        <v>332.72161290322578</v>
      </c>
      <c r="AO33" s="7">
        <f t="shared" si="1"/>
        <v>10314.369999999999</v>
      </c>
    </row>
    <row r="34" spans="1:41" x14ac:dyDescent="0.3">
      <c r="A34" s="5">
        <v>33</v>
      </c>
      <c r="B34" s="6" t="s">
        <v>58</v>
      </c>
      <c r="C34" s="6" t="s">
        <v>59</v>
      </c>
      <c r="D34" s="6" t="s">
        <v>30</v>
      </c>
      <c r="E34" s="6" t="s">
        <v>19</v>
      </c>
      <c r="F34" s="6" t="s">
        <v>13</v>
      </c>
      <c r="G34" s="6" t="s">
        <v>14</v>
      </c>
      <c r="H34" s="5">
        <v>6</v>
      </c>
      <c r="I34" s="45">
        <v>0</v>
      </c>
      <c r="J34" s="45">
        <v>0</v>
      </c>
      <c r="K34" s="46">
        <v>0</v>
      </c>
      <c r="L34" s="46">
        <v>11.03</v>
      </c>
      <c r="M34" s="46">
        <v>8.4499999999999993</v>
      </c>
      <c r="N34" s="46">
        <v>10.94</v>
      </c>
      <c r="O34" s="46">
        <v>8.74</v>
      </c>
      <c r="P34" s="46">
        <v>6.38</v>
      </c>
      <c r="Q34" s="46">
        <v>12.17</v>
      </c>
      <c r="R34" s="46">
        <v>10.75</v>
      </c>
      <c r="S34" s="46">
        <v>9.3800000000000008</v>
      </c>
      <c r="T34" s="46">
        <v>10.27</v>
      </c>
      <c r="U34" s="46">
        <v>12.17</v>
      </c>
      <c r="V34" s="46">
        <v>8.2200000000000006</v>
      </c>
      <c r="W34" s="46">
        <v>5.42</v>
      </c>
      <c r="X34" s="46">
        <v>8.31</v>
      </c>
      <c r="Y34" s="46">
        <v>10.25</v>
      </c>
      <c r="Z34" s="46">
        <v>0</v>
      </c>
      <c r="AA34" s="53">
        <v>9.41</v>
      </c>
      <c r="AB34" s="56">
        <v>19.62</v>
      </c>
      <c r="AC34" s="56">
        <v>9.59</v>
      </c>
      <c r="AD34" s="56">
        <v>11.38</v>
      </c>
      <c r="AE34" s="56">
        <v>0.14000000000000001</v>
      </c>
      <c r="AF34" s="54">
        <v>0</v>
      </c>
      <c r="AG34" s="46">
        <v>0</v>
      </c>
      <c r="AH34" s="46">
        <v>0</v>
      </c>
      <c r="AI34" s="46">
        <v>0</v>
      </c>
      <c r="AJ34" s="46">
        <v>0.28000000000000003</v>
      </c>
      <c r="AK34" s="46">
        <v>10.31</v>
      </c>
      <c r="AL34" s="46">
        <v>4.75</v>
      </c>
      <c r="AM34" s="46">
        <v>10.68</v>
      </c>
      <c r="AN34" s="46">
        <f t="shared" si="0"/>
        <v>6.7303225806451614</v>
      </c>
      <c r="AO34" s="7">
        <f t="shared" si="1"/>
        <v>208.64000000000001</v>
      </c>
    </row>
    <row r="35" spans="1:41" x14ac:dyDescent="0.3">
      <c r="A35" s="5">
        <v>34</v>
      </c>
      <c r="B35" s="6" t="s">
        <v>58</v>
      </c>
      <c r="C35" s="6" t="s">
        <v>101</v>
      </c>
      <c r="D35" s="6" t="s">
        <v>61</v>
      </c>
      <c r="E35" s="6" t="s">
        <v>19</v>
      </c>
      <c r="F35" s="6" t="s">
        <v>13</v>
      </c>
      <c r="G35" s="6" t="s">
        <v>35</v>
      </c>
      <c r="H35" s="5">
        <v>3</v>
      </c>
      <c r="I35" s="45">
        <v>83.62</v>
      </c>
      <c r="J35" s="45">
        <v>65.34</v>
      </c>
      <c r="K35" s="46">
        <v>58.39</v>
      </c>
      <c r="L35" s="46">
        <v>69.34</v>
      </c>
      <c r="M35" s="46">
        <v>82.1</v>
      </c>
      <c r="N35" s="46">
        <v>79.760000000000005</v>
      </c>
      <c r="O35" s="46">
        <v>60.92</v>
      </c>
      <c r="P35" s="46">
        <v>74.33</v>
      </c>
      <c r="Q35" s="46">
        <v>77.709999999999994</v>
      </c>
      <c r="R35" s="46">
        <v>78.72</v>
      </c>
      <c r="S35" s="46">
        <v>67.349999999999994</v>
      </c>
      <c r="T35" s="46">
        <v>87.54</v>
      </c>
      <c r="U35" s="46">
        <v>77.11</v>
      </c>
      <c r="V35" s="46">
        <v>95.3</v>
      </c>
      <c r="W35" s="46">
        <v>78.23</v>
      </c>
      <c r="X35" s="46">
        <v>70.099999999999994</v>
      </c>
      <c r="Y35" s="46">
        <v>86.8</v>
      </c>
      <c r="Z35" s="46">
        <v>60.97</v>
      </c>
      <c r="AA35" s="53">
        <v>75.77</v>
      </c>
      <c r="AB35" s="56">
        <v>75.73</v>
      </c>
      <c r="AC35" s="56">
        <v>85.59</v>
      </c>
      <c r="AD35" s="56">
        <v>61.98</v>
      </c>
      <c r="AE35" s="56">
        <v>69.8</v>
      </c>
      <c r="AF35" s="54">
        <v>25.53</v>
      </c>
      <c r="AG35" s="46">
        <v>56.62</v>
      </c>
      <c r="AH35" s="46">
        <v>98.4</v>
      </c>
      <c r="AI35" s="46">
        <v>63.7</v>
      </c>
      <c r="AJ35" s="46">
        <v>70.02</v>
      </c>
      <c r="AK35" s="46">
        <v>70.58</v>
      </c>
      <c r="AL35" s="46">
        <v>95.93</v>
      </c>
      <c r="AM35" s="46">
        <v>51.41</v>
      </c>
      <c r="AN35" s="46">
        <f t="shared" si="0"/>
        <v>72.731935483870956</v>
      </c>
      <c r="AO35" s="7">
        <f t="shared" si="1"/>
        <v>2254.6899999999996</v>
      </c>
    </row>
    <row r="36" spans="1:41" x14ac:dyDescent="0.3">
      <c r="A36" s="5">
        <v>35</v>
      </c>
      <c r="B36" s="6" t="s">
        <v>58</v>
      </c>
      <c r="C36" s="6" t="s">
        <v>102</v>
      </c>
      <c r="D36" s="6" t="s">
        <v>61</v>
      </c>
      <c r="E36" s="6" t="s">
        <v>19</v>
      </c>
      <c r="F36" s="6" t="s">
        <v>13</v>
      </c>
      <c r="G36" s="6" t="s">
        <v>35</v>
      </c>
      <c r="H36" s="5">
        <v>9</v>
      </c>
      <c r="I36" s="45">
        <v>127.51</v>
      </c>
      <c r="J36" s="45">
        <f>380.36-223.58</f>
        <v>156.78</v>
      </c>
      <c r="K36" s="46">
        <f>434.73-225.14</f>
        <v>209.59000000000003</v>
      </c>
      <c r="L36" s="46">
        <v>237.81</v>
      </c>
      <c r="M36" s="46">
        <v>223.37</v>
      </c>
      <c r="N36" s="46">
        <f>480.69-284.72</f>
        <v>195.96999999999997</v>
      </c>
      <c r="O36" s="46">
        <f>666.85-479.35</f>
        <v>187.5</v>
      </c>
      <c r="P36" s="46">
        <f>775.09-578.75</f>
        <v>196.34000000000003</v>
      </c>
      <c r="Q36" s="46">
        <v>209.08</v>
      </c>
      <c r="R36" s="46">
        <v>238.54</v>
      </c>
      <c r="S36" s="46">
        <v>237.87</v>
      </c>
      <c r="T36" s="46">
        <v>214.16</v>
      </c>
      <c r="U36" s="46">
        <v>225.96</v>
      </c>
      <c r="V36" s="46">
        <v>213.85</v>
      </c>
      <c r="W36" s="46">
        <v>214.09</v>
      </c>
      <c r="X36" s="46">
        <v>223.04</v>
      </c>
      <c r="Y36" s="46">
        <v>214.44</v>
      </c>
      <c r="Z36" s="46">
        <v>183.44</v>
      </c>
      <c r="AA36" s="53">
        <v>143.55000000000001</v>
      </c>
      <c r="AB36" s="56">
        <v>173.71</v>
      </c>
      <c r="AC36" s="56">
        <v>85.62</v>
      </c>
      <c r="AD36" s="56">
        <v>156.27000000000001</v>
      </c>
      <c r="AE36" s="56">
        <v>120.07</v>
      </c>
      <c r="AF36" s="54">
        <v>95.6</v>
      </c>
      <c r="AG36" s="46">
        <v>63.5</v>
      </c>
      <c r="AH36" s="46">
        <v>191.87</v>
      </c>
      <c r="AI36" s="46">
        <v>150.41999999999999</v>
      </c>
      <c r="AJ36" s="46">
        <v>127.62</v>
      </c>
      <c r="AK36" s="46">
        <v>151.07</v>
      </c>
      <c r="AL36" s="46">
        <v>134.21</v>
      </c>
      <c r="AM36" s="46">
        <v>145.93</v>
      </c>
      <c r="AN36" s="46">
        <f t="shared" si="0"/>
        <v>175.76709677419356</v>
      </c>
      <c r="AO36" s="7">
        <f t="shared" si="1"/>
        <v>5448.7800000000007</v>
      </c>
    </row>
    <row r="37" spans="1:41" x14ac:dyDescent="0.3">
      <c r="A37" s="5">
        <v>36</v>
      </c>
      <c r="B37" s="6" t="s">
        <v>58</v>
      </c>
      <c r="C37" s="6" t="s">
        <v>103</v>
      </c>
      <c r="D37" s="6" t="s">
        <v>63</v>
      </c>
      <c r="E37" s="6" t="s">
        <v>19</v>
      </c>
      <c r="F37" s="6" t="s">
        <v>64</v>
      </c>
      <c r="G37" s="12" t="s">
        <v>35</v>
      </c>
      <c r="H37" s="5">
        <v>1</v>
      </c>
      <c r="I37" s="45">
        <v>0</v>
      </c>
      <c r="J37" s="45">
        <v>6.55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5.86</v>
      </c>
      <c r="S37" s="46">
        <v>3.47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53">
        <v>0</v>
      </c>
      <c r="AB37" s="56">
        <v>0</v>
      </c>
      <c r="AC37" s="56">
        <v>0</v>
      </c>
      <c r="AD37" s="56">
        <v>0</v>
      </c>
      <c r="AE37" s="56">
        <v>0</v>
      </c>
      <c r="AF37" s="54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f t="shared" si="0"/>
        <v>0.5122580645161291</v>
      </c>
      <c r="AO37" s="7">
        <f t="shared" si="1"/>
        <v>15.88</v>
      </c>
    </row>
    <row r="38" spans="1:41" x14ac:dyDescent="0.3">
      <c r="A38" s="5">
        <v>37</v>
      </c>
      <c r="B38" s="6" t="s">
        <v>58</v>
      </c>
      <c r="C38" s="6" t="s">
        <v>104</v>
      </c>
      <c r="D38" s="6" t="s">
        <v>30</v>
      </c>
      <c r="E38" s="6" t="s">
        <v>19</v>
      </c>
      <c r="F38" s="6" t="s">
        <v>13</v>
      </c>
      <c r="G38" s="12" t="s">
        <v>35</v>
      </c>
      <c r="H38" s="5">
        <v>7</v>
      </c>
      <c r="I38" s="45">
        <v>210.67</v>
      </c>
      <c r="J38" s="45">
        <v>243.99</v>
      </c>
      <c r="K38" s="46">
        <v>204.79</v>
      </c>
      <c r="L38" s="46">
        <v>215.68</v>
      </c>
      <c r="M38" s="46">
        <f>260.25-0.03</f>
        <v>260.22000000000003</v>
      </c>
      <c r="N38" s="46">
        <v>236.35</v>
      </c>
      <c r="O38" s="46">
        <v>240.93</v>
      </c>
      <c r="P38" s="46">
        <v>214.64</v>
      </c>
      <c r="Q38" s="46">
        <v>234.84</v>
      </c>
      <c r="R38" s="46">
        <v>244.31</v>
      </c>
      <c r="S38" s="46">
        <v>264.14</v>
      </c>
      <c r="T38" s="46">
        <v>267.51</v>
      </c>
      <c r="U38" s="46">
        <v>240.11</v>
      </c>
      <c r="V38" s="46">
        <v>269.39999999999998</v>
      </c>
      <c r="W38" s="46">
        <v>236.06</v>
      </c>
      <c r="X38" s="46">
        <v>218.96</v>
      </c>
      <c r="Y38" s="46">
        <v>223.17</v>
      </c>
      <c r="Z38" s="46">
        <v>232.69</v>
      </c>
      <c r="AA38" s="53">
        <v>226.29</v>
      </c>
      <c r="AB38" s="56">
        <v>140.34</v>
      </c>
      <c r="AC38" s="56">
        <v>215.48</v>
      </c>
      <c r="AD38" s="56">
        <v>200.75</v>
      </c>
      <c r="AE38" s="56">
        <v>149.9</v>
      </c>
      <c r="AF38" s="54">
        <v>36.07</v>
      </c>
      <c r="AG38" s="46">
        <v>114.81</v>
      </c>
      <c r="AH38" s="46">
        <v>177.53</v>
      </c>
      <c r="AI38" s="46">
        <v>218.61</v>
      </c>
      <c r="AJ38" s="46">
        <v>261.72000000000003</v>
      </c>
      <c r="AK38" s="46">
        <v>175.17</v>
      </c>
      <c r="AL38" s="46">
        <v>202.75</v>
      </c>
      <c r="AM38" s="46">
        <v>212.89</v>
      </c>
      <c r="AN38" s="46">
        <f t="shared" si="0"/>
        <v>212.60548387096773</v>
      </c>
      <c r="AO38" s="7">
        <f t="shared" si="1"/>
        <v>6590.7699999999995</v>
      </c>
    </row>
    <row r="39" spans="1:41" x14ac:dyDescent="0.3">
      <c r="A39" s="5">
        <v>38</v>
      </c>
      <c r="B39" s="6" t="s">
        <v>65</v>
      </c>
      <c r="C39" s="6" t="s">
        <v>66</v>
      </c>
      <c r="D39" s="6" t="s">
        <v>67</v>
      </c>
      <c r="E39" s="6" t="s">
        <v>12</v>
      </c>
      <c r="F39" s="6" t="s">
        <v>13</v>
      </c>
      <c r="G39" s="6" t="s">
        <v>14</v>
      </c>
      <c r="H39" s="5">
        <f>111-6</f>
        <v>105</v>
      </c>
      <c r="I39" s="45">
        <v>0</v>
      </c>
      <c r="J39" s="45">
        <v>0</v>
      </c>
      <c r="K39" s="46">
        <v>0</v>
      </c>
      <c r="L39" s="46">
        <v>0</v>
      </c>
      <c r="M39" s="46">
        <v>0</v>
      </c>
      <c r="N39" s="46">
        <v>0</v>
      </c>
      <c r="O39" s="46">
        <v>4.18</v>
      </c>
      <c r="P39" s="46">
        <v>4.3600000000000003</v>
      </c>
      <c r="Q39" s="46">
        <v>0</v>
      </c>
      <c r="R39" s="46">
        <v>0</v>
      </c>
      <c r="S39" s="46">
        <v>0.83</v>
      </c>
      <c r="T39" s="46">
        <v>2.1</v>
      </c>
      <c r="U39" s="46">
        <v>0.74</v>
      </c>
      <c r="V39" s="46">
        <v>5.9</v>
      </c>
      <c r="W39" s="46">
        <v>5.4</v>
      </c>
      <c r="X39" s="46">
        <v>0.03</v>
      </c>
      <c r="Y39" s="46">
        <v>2.87</v>
      </c>
      <c r="Z39" s="46">
        <v>2.44</v>
      </c>
      <c r="AA39" s="53">
        <v>2.04</v>
      </c>
      <c r="AB39" s="56">
        <v>2.74</v>
      </c>
      <c r="AC39" s="56">
        <v>3.05</v>
      </c>
      <c r="AD39" s="56">
        <v>4.03</v>
      </c>
      <c r="AE39" s="56">
        <v>0</v>
      </c>
      <c r="AF39" s="54">
        <v>3.36</v>
      </c>
      <c r="AG39" s="46">
        <v>2.88</v>
      </c>
      <c r="AH39" s="46">
        <v>2.4300000000000002</v>
      </c>
      <c r="AI39" s="46">
        <v>3.94</v>
      </c>
      <c r="AJ39" s="46">
        <v>3.58</v>
      </c>
      <c r="AK39" s="46">
        <v>0</v>
      </c>
      <c r="AL39" s="46">
        <v>2.39</v>
      </c>
      <c r="AM39" s="46">
        <v>0.96</v>
      </c>
      <c r="AN39" s="46">
        <f t="shared" si="0"/>
        <v>1.9435483870967742</v>
      </c>
      <c r="AO39" s="7">
        <f t="shared" si="1"/>
        <v>60.25</v>
      </c>
    </row>
    <row r="40" spans="1:41" x14ac:dyDescent="0.3">
      <c r="A40" s="5">
        <v>39</v>
      </c>
      <c r="B40" s="6" t="s">
        <v>65</v>
      </c>
      <c r="C40" s="6" t="s">
        <v>68</v>
      </c>
      <c r="D40" s="6" t="s">
        <v>69</v>
      </c>
      <c r="E40" s="6" t="s">
        <v>12</v>
      </c>
      <c r="F40" s="6" t="s">
        <v>40</v>
      </c>
      <c r="G40" s="6" t="s">
        <v>35</v>
      </c>
      <c r="H40" s="5">
        <v>2</v>
      </c>
      <c r="I40" s="45">
        <v>2.69</v>
      </c>
      <c r="J40" s="45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53">
        <v>0</v>
      </c>
      <c r="AB40" s="56">
        <v>0</v>
      </c>
      <c r="AC40" s="56">
        <v>0</v>
      </c>
      <c r="AD40" s="56">
        <v>0</v>
      </c>
      <c r="AE40" s="56">
        <v>0</v>
      </c>
      <c r="AF40" s="54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46">
        <v>0</v>
      </c>
      <c r="AN40" s="46">
        <f t="shared" si="0"/>
        <v>8.6774193548387099E-2</v>
      </c>
      <c r="AO40" s="7">
        <f t="shared" si="1"/>
        <v>2.69</v>
      </c>
    </row>
    <row r="41" spans="1:41" x14ac:dyDescent="0.3">
      <c r="A41" s="5">
        <v>40</v>
      </c>
      <c r="B41" s="6" t="s">
        <v>65</v>
      </c>
      <c r="C41" s="6" t="s">
        <v>70</v>
      </c>
      <c r="D41" s="6"/>
      <c r="E41" s="6" t="s">
        <v>12</v>
      </c>
      <c r="F41" s="6" t="s">
        <v>13</v>
      </c>
      <c r="G41" s="6" t="s">
        <v>14</v>
      </c>
      <c r="H41" s="5">
        <v>82</v>
      </c>
      <c r="I41" s="46">
        <v>7.07</v>
      </c>
      <c r="J41" s="45">
        <v>5.4</v>
      </c>
      <c r="K41" s="46">
        <v>21.51</v>
      </c>
      <c r="L41" s="46">
        <v>41.53</v>
      </c>
      <c r="M41" s="46">
        <v>21.13</v>
      </c>
      <c r="N41" s="46">
        <v>11.24</v>
      </c>
      <c r="O41" s="46">
        <v>8.69</v>
      </c>
      <c r="P41" s="46">
        <v>28.41</v>
      </c>
      <c r="Q41" s="46">
        <v>46.55</v>
      </c>
      <c r="R41" s="46">
        <v>25.06</v>
      </c>
      <c r="S41" s="46">
        <v>13.37</v>
      </c>
      <c r="T41" s="46">
        <v>3.26</v>
      </c>
      <c r="U41" s="46">
        <v>47.34</v>
      </c>
      <c r="V41" s="46">
        <v>0</v>
      </c>
      <c r="W41" s="46">
        <v>0</v>
      </c>
      <c r="X41" s="46">
        <v>18.739999999999998</v>
      </c>
      <c r="Y41" s="46">
        <v>29.02</v>
      </c>
      <c r="Z41" s="46">
        <v>15.05</v>
      </c>
      <c r="AA41" s="53">
        <v>15.4</v>
      </c>
      <c r="AB41" s="56">
        <v>2.68</v>
      </c>
      <c r="AC41" s="56">
        <v>4.3600000000000003</v>
      </c>
      <c r="AD41" s="56">
        <v>22.58</v>
      </c>
      <c r="AE41" s="56">
        <v>8.09</v>
      </c>
      <c r="AF41" s="54">
        <v>1.53</v>
      </c>
      <c r="AG41" s="46">
        <v>2.1</v>
      </c>
      <c r="AH41" s="46">
        <v>21.35</v>
      </c>
      <c r="AI41" s="46">
        <v>11.82</v>
      </c>
      <c r="AJ41" s="46">
        <v>1.03</v>
      </c>
      <c r="AK41" s="46">
        <v>25.45</v>
      </c>
      <c r="AL41" s="46">
        <v>10.25</v>
      </c>
      <c r="AM41" s="46">
        <v>18.98</v>
      </c>
      <c r="AN41" s="46">
        <f t="shared" si="0"/>
        <v>15.773870967741932</v>
      </c>
      <c r="AO41" s="7">
        <f t="shared" si="1"/>
        <v>488.9899999999999</v>
      </c>
    </row>
    <row r="42" spans="1:41" x14ac:dyDescent="0.3">
      <c r="A42" s="5">
        <v>41</v>
      </c>
      <c r="B42" s="6" t="s">
        <v>65</v>
      </c>
      <c r="C42" s="6" t="s">
        <v>71</v>
      </c>
      <c r="D42" s="6" t="s">
        <v>30</v>
      </c>
      <c r="E42" s="6" t="s">
        <v>19</v>
      </c>
      <c r="F42" s="6" t="s">
        <v>13</v>
      </c>
      <c r="G42" s="6" t="s">
        <v>35</v>
      </c>
      <c r="H42" s="5">
        <v>5</v>
      </c>
      <c r="I42" s="45">
        <v>43.15</v>
      </c>
      <c r="J42" s="45">
        <v>64.900000000000006</v>
      </c>
      <c r="K42" s="46">
        <v>69.09</v>
      </c>
      <c r="L42" s="46">
        <f>112.18-55.36</f>
        <v>56.820000000000007</v>
      </c>
      <c r="M42" s="46">
        <v>60.73</v>
      </c>
      <c r="N42" s="46">
        <v>74.989999999999995</v>
      </c>
      <c r="O42" s="46">
        <v>62.83</v>
      </c>
      <c r="P42" s="46">
        <v>68.39</v>
      </c>
      <c r="Q42" s="46">
        <f>100.24-43.9</f>
        <v>56.339999999999996</v>
      </c>
      <c r="R42" s="46">
        <f>89.59-44.47</f>
        <v>45.120000000000005</v>
      </c>
      <c r="S42" s="46">
        <f>124.07-84.21</f>
        <v>39.86</v>
      </c>
      <c r="T42" s="46">
        <v>74.39</v>
      </c>
      <c r="U42" s="46">
        <v>74.430000000000007</v>
      </c>
      <c r="V42" s="46">
        <v>61.72</v>
      </c>
      <c r="W42" s="46">
        <v>45.33</v>
      </c>
      <c r="X42" s="46">
        <v>33.57</v>
      </c>
      <c r="Y42" s="46">
        <v>60.45</v>
      </c>
      <c r="Z42" s="46">
        <v>65.959999999999994</v>
      </c>
      <c r="AA42" s="53">
        <v>37.92</v>
      </c>
      <c r="AB42" s="56">
        <v>48.14</v>
      </c>
      <c r="AC42" s="56">
        <v>43.92</v>
      </c>
      <c r="AD42" s="56">
        <v>53.57</v>
      </c>
      <c r="AE42" s="56">
        <v>50.6</v>
      </c>
      <c r="AF42" s="54">
        <v>36.74</v>
      </c>
      <c r="AG42" s="46">
        <v>19.170000000000002</v>
      </c>
      <c r="AH42" s="46">
        <v>42</v>
      </c>
      <c r="AI42" s="46">
        <v>50.62</v>
      </c>
      <c r="AJ42" s="46">
        <v>48.45</v>
      </c>
      <c r="AK42" s="46">
        <v>49.85</v>
      </c>
      <c r="AL42" s="46">
        <v>52.27</v>
      </c>
      <c r="AM42" s="46">
        <v>65.5</v>
      </c>
      <c r="AN42" s="46">
        <f t="shared" si="0"/>
        <v>53.44580645161291</v>
      </c>
      <c r="AO42" s="7">
        <f t="shared" si="1"/>
        <v>1656.8200000000002</v>
      </c>
    </row>
    <row r="43" spans="1:41" x14ac:dyDescent="0.3">
      <c r="A43" s="5">
        <v>42</v>
      </c>
      <c r="B43" s="6" t="s">
        <v>65</v>
      </c>
      <c r="C43" s="6" t="s">
        <v>74</v>
      </c>
      <c r="D43" s="6" t="s">
        <v>30</v>
      </c>
      <c r="E43" s="6" t="s">
        <v>19</v>
      </c>
      <c r="F43" s="6" t="s">
        <v>13</v>
      </c>
      <c r="G43" s="6" t="s">
        <v>14</v>
      </c>
      <c r="H43" s="5">
        <v>2</v>
      </c>
      <c r="I43" s="45">
        <v>0</v>
      </c>
      <c r="J43" s="45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53">
        <v>0</v>
      </c>
      <c r="AB43" s="56">
        <v>0</v>
      </c>
      <c r="AC43" s="56">
        <v>0</v>
      </c>
      <c r="AD43" s="56">
        <v>0</v>
      </c>
      <c r="AE43" s="56">
        <v>0</v>
      </c>
      <c r="AF43" s="54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f t="shared" si="0"/>
        <v>0</v>
      </c>
      <c r="AO43" s="7">
        <f t="shared" si="1"/>
        <v>0</v>
      </c>
    </row>
    <row r="44" spans="1:41" x14ac:dyDescent="0.3">
      <c r="A44" s="5">
        <v>43</v>
      </c>
      <c r="B44" s="6" t="s">
        <v>65</v>
      </c>
      <c r="C44" s="6" t="s">
        <v>75</v>
      </c>
      <c r="D44" s="6" t="s">
        <v>30</v>
      </c>
      <c r="E44" s="6" t="s">
        <v>19</v>
      </c>
      <c r="F44" s="6" t="s">
        <v>13</v>
      </c>
      <c r="G44" s="6" t="s">
        <v>35</v>
      </c>
      <c r="H44" s="5">
        <v>16</v>
      </c>
      <c r="I44" s="45">
        <v>13</v>
      </c>
      <c r="J44" s="45">
        <v>20.23</v>
      </c>
      <c r="K44" s="46">
        <v>18.170000000000002</v>
      </c>
      <c r="L44" s="46">
        <v>16.829999999999998</v>
      </c>
      <c r="M44" s="46">
        <v>16.809999999999999</v>
      </c>
      <c r="N44" s="46">
        <v>37.32</v>
      </c>
      <c r="O44" s="46">
        <v>31.44</v>
      </c>
      <c r="P44" s="46">
        <v>29.49</v>
      </c>
      <c r="Q44" s="46">
        <f>41.58-21.43</f>
        <v>20.149999999999999</v>
      </c>
      <c r="R44" s="46">
        <v>21.97</v>
      </c>
      <c r="S44" s="46">
        <v>27.16</v>
      </c>
      <c r="T44" s="46">
        <v>33.32</v>
      </c>
      <c r="U44" s="46">
        <v>24.98</v>
      </c>
      <c r="V44" s="46">
        <v>39.5</v>
      </c>
      <c r="W44" s="46">
        <v>27.84</v>
      </c>
      <c r="X44" s="46">
        <v>15.77</v>
      </c>
      <c r="Y44" s="46">
        <v>33.19</v>
      </c>
      <c r="Z44" s="46">
        <v>26.22</v>
      </c>
      <c r="AA44" s="53">
        <v>21.78</v>
      </c>
      <c r="AB44" s="56">
        <v>18.18</v>
      </c>
      <c r="AC44" s="56">
        <v>18.23</v>
      </c>
      <c r="AD44" s="56">
        <v>12.66</v>
      </c>
      <c r="AE44" s="56">
        <v>24.91</v>
      </c>
      <c r="AF44" s="54">
        <v>1.0900000000000001</v>
      </c>
      <c r="AG44" s="46">
        <v>3.8</v>
      </c>
      <c r="AH44" s="46">
        <v>11.2</v>
      </c>
      <c r="AI44" s="46">
        <v>12.81</v>
      </c>
      <c r="AJ44" s="46">
        <v>20.59</v>
      </c>
      <c r="AK44" s="46">
        <v>22.85</v>
      </c>
      <c r="AL44" s="46">
        <v>18.02</v>
      </c>
      <c r="AM44" s="46">
        <v>21.26</v>
      </c>
      <c r="AN44" s="46">
        <f t="shared" si="0"/>
        <v>21.315161290322582</v>
      </c>
      <c r="AO44" s="7">
        <f t="shared" si="1"/>
        <v>660.77</v>
      </c>
    </row>
    <row r="45" spans="1:41" x14ac:dyDescent="0.3">
      <c r="A45" s="5">
        <v>44</v>
      </c>
      <c r="B45" s="6" t="s">
        <v>65</v>
      </c>
      <c r="C45" s="6" t="s">
        <v>76</v>
      </c>
      <c r="D45" s="6" t="s">
        <v>30</v>
      </c>
      <c r="E45" s="6" t="s">
        <v>19</v>
      </c>
      <c r="F45" s="6" t="s">
        <v>13</v>
      </c>
      <c r="G45" s="6" t="s">
        <v>35</v>
      </c>
      <c r="H45" s="5">
        <v>10</v>
      </c>
      <c r="I45" s="45">
        <v>0</v>
      </c>
      <c r="J45" s="45">
        <v>4.8499999999999996</v>
      </c>
      <c r="K45" s="46">
        <v>7.89</v>
      </c>
      <c r="L45" s="46">
        <v>16.82</v>
      </c>
      <c r="M45" s="46">
        <v>14.2</v>
      </c>
      <c r="N45" s="46">
        <v>28.9</v>
      </c>
      <c r="O45" s="46">
        <v>17.13</v>
      </c>
      <c r="P45" s="46">
        <v>14.97</v>
      </c>
      <c r="Q45" s="46">
        <v>16.559999999999999</v>
      </c>
      <c r="R45" s="46">
        <v>34.46</v>
      </c>
      <c r="S45" s="46">
        <v>15.31</v>
      </c>
      <c r="T45" s="46">
        <v>36.06</v>
      </c>
      <c r="U45" s="46">
        <v>29.45</v>
      </c>
      <c r="V45" s="46">
        <v>6.76</v>
      </c>
      <c r="W45" s="46">
        <v>0.48</v>
      </c>
      <c r="X45" s="46">
        <v>7.17</v>
      </c>
      <c r="Y45" s="46">
        <v>3.68</v>
      </c>
      <c r="Z45" s="46">
        <v>8.5399999999999991</v>
      </c>
      <c r="AA45" s="53">
        <v>8.52</v>
      </c>
      <c r="AB45" s="56">
        <v>11.24</v>
      </c>
      <c r="AC45" s="56">
        <v>5.31</v>
      </c>
      <c r="AD45" s="56">
        <v>4.04</v>
      </c>
      <c r="AE45" s="56">
        <v>4.8499999999999996</v>
      </c>
      <c r="AF45" s="54">
        <v>0</v>
      </c>
      <c r="AG45" s="46">
        <v>0.98</v>
      </c>
      <c r="AH45" s="46">
        <v>8.4</v>
      </c>
      <c r="AI45" s="46">
        <v>21.26</v>
      </c>
      <c r="AJ45" s="46">
        <v>15.24</v>
      </c>
      <c r="AK45" s="46">
        <v>7.89</v>
      </c>
      <c r="AL45" s="46">
        <v>0</v>
      </c>
      <c r="AM45" s="46">
        <v>0</v>
      </c>
      <c r="AN45" s="46">
        <f t="shared" si="0"/>
        <v>11.321290322580644</v>
      </c>
      <c r="AO45" s="7">
        <f t="shared" si="1"/>
        <v>350.96</v>
      </c>
    </row>
    <row r="46" spans="1:41" x14ac:dyDescent="0.3">
      <c r="A46" s="5">
        <v>45</v>
      </c>
      <c r="B46" s="6" t="s">
        <v>65</v>
      </c>
      <c r="C46" s="6" t="s">
        <v>105</v>
      </c>
      <c r="D46" s="6" t="s">
        <v>30</v>
      </c>
      <c r="E46" s="6" t="s">
        <v>19</v>
      </c>
      <c r="F46" s="6" t="s">
        <v>13</v>
      </c>
      <c r="G46" s="6" t="s">
        <v>35</v>
      </c>
      <c r="H46" s="5">
        <v>13</v>
      </c>
      <c r="I46" s="45">
        <v>11.93</v>
      </c>
      <c r="J46" s="45">
        <v>17.079999999999998</v>
      </c>
      <c r="K46" s="46">
        <v>58.81</v>
      </c>
      <c r="L46" s="46">
        <v>58.51</v>
      </c>
      <c r="M46" s="46">
        <f>56.17-0.03</f>
        <v>56.14</v>
      </c>
      <c r="N46" s="46">
        <v>72.180000000000007</v>
      </c>
      <c r="O46" s="46">
        <v>63.54</v>
      </c>
      <c r="P46" s="46">
        <f>85.51-70.22</f>
        <v>15.290000000000006</v>
      </c>
      <c r="Q46" s="46">
        <v>19.52</v>
      </c>
      <c r="R46" s="46">
        <v>53.07</v>
      </c>
      <c r="S46" s="46">
        <v>32.590000000000003</v>
      </c>
      <c r="T46" s="46">
        <v>62.16</v>
      </c>
      <c r="U46" s="46">
        <v>40.39</v>
      </c>
      <c r="V46" s="46">
        <v>47.81</v>
      </c>
      <c r="W46" s="46">
        <v>10.44</v>
      </c>
      <c r="X46" s="46">
        <v>34.54</v>
      </c>
      <c r="Y46" s="46">
        <v>41.91</v>
      </c>
      <c r="Z46" s="46">
        <v>41.44</v>
      </c>
      <c r="AA46" s="53">
        <v>47.35</v>
      </c>
      <c r="AB46" s="56">
        <v>52.3</v>
      </c>
      <c r="AC46" s="56">
        <v>58.83</v>
      </c>
      <c r="AD46" s="56">
        <v>15.64</v>
      </c>
      <c r="AE46" s="56">
        <v>22.87</v>
      </c>
      <c r="AF46" s="54">
        <v>44.73</v>
      </c>
      <c r="AG46" s="46">
        <v>54.75</v>
      </c>
      <c r="AH46" s="46">
        <v>53.26</v>
      </c>
      <c r="AI46" s="46">
        <v>70.92</v>
      </c>
      <c r="AJ46" s="46">
        <v>67.33</v>
      </c>
      <c r="AK46" s="46">
        <v>20.27</v>
      </c>
      <c r="AL46" s="46">
        <v>77.77</v>
      </c>
      <c r="AM46" s="46">
        <v>63.52</v>
      </c>
      <c r="AN46" s="46">
        <f t="shared" si="0"/>
        <v>44.73838709677419</v>
      </c>
      <c r="AO46" s="7">
        <f t="shared" si="1"/>
        <v>1386.8899999999999</v>
      </c>
    </row>
    <row r="47" spans="1:41" x14ac:dyDescent="0.3">
      <c r="A47" s="5">
        <v>46</v>
      </c>
      <c r="B47" s="6" t="s">
        <v>65</v>
      </c>
      <c r="C47" s="6" t="s">
        <v>106</v>
      </c>
      <c r="D47" s="6" t="s">
        <v>30</v>
      </c>
      <c r="E47" s="6" t="s">
        <v>19</v>
      </c>
      <c r="F47" s="6" t="s">
        <v>13</v>
      </c>
      <c r="G47" s="6" t="s">
        <v>14</v>
      </c>
      <c r="H47" s="5">
        <v>0</v>
      </c>
      <c r="I47" s="46">
        <v>0</v>
      </c>
      <c r="J47" s="45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53">
        <v>0</v>
      </c>
      <c r="AB47" s="56">
        <v>0</v>
      </c>
      <c r="AC47" s="56">
        <v>0</v>
      </c>
      <c r="AD47" s="56">
        <v>0</v>
      </c>
      <c r="AE47" s="56">
        <v>0</v>
      </c>
      <c r="AF47" s="54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f t="shared" si="0"/>
        <v>0</v>
      </c>
      <c r="AO47" s="7">
        <f t="shared" si="1"/>
        <v>0</v>
      </c>
    </row>
    <row r="48" spans="1:41" x14ac:dyDescent="0.3">
      <c r="A48" s="5">
        <v>47</v>
      </c>
      <c r="B48" s="6" t="s">
        <v>65</v>
      </c>
      <c r="C48" s="6" t="s">
        <v>106</v>
      </c>
      <c r="D48" s="6" t="s">
        <v>30</v>
      </c>
      <c r="E48" s="6" t="s">
        <v>19</v>
      </c>
      <c r="F48" s="6" t="s">
        <v>13</v>
      </c>
      <c r="G48" s="6" t="s">
        <v>35</v>
      </c>
      <c r="H48" s="5">
        <v>19</v>
      </c>
      <c r="I48" s="45">
        <f>138.29-45.48</f>
        <v>92.81</v>
      </c>
      <c r="J48" s="45">
        <f>70.1-0.31</f>
        <v>69.789999999999992</v>
      </c>
      <c r="K48" s="46">
        <f>88.25-0.08</f>
        <v>88.17</v>
      </c>
      <c r="L48" s="46">
        <v>111.7</v>
      </c>
      <c r="M48" s="46">
        <v>122.59</v>
      </c>
      <c r="N48" s="46">
        <f>156.92-45.78</f>
        <v>111.13999999999999</v>
      </c>
      <c r="O48" s="46">
        <f>144.49-34.14</f>
        <v>110.35000000000001</v>
      </c>
      <c r="P48" s="46">
        <v>90.07</v>
      </c>
      <c r="Q48" s="46">
        <v>100.5</v>
      </c>
      <c r="R48" s="46">
        <f>306.85-212.68</f>
        <v>94.170000000000016</v>
      </c>
      <c r="S48" s="46">
        <f>159.02-64.7</f>
        <v>94.320000000000007</v>
      </c>
      <c r="T48" s="46">
        <f>183.24-60.78</f>
        <v>122.46000000000001</v>
      </c>
      <c r="U48" s="46">
        <v>114.6</v>
      </c>
      <c r="V48" s="46">
        <v>79.62</v>
      </c>
      <c r="W48" s="46">
        <v>91.94</v>
      </c>
      <c r="X48" s="46">
        <v>99.27</v>
      </c>
      <c r="Y48" s="46">
        <v>108.38</v>
      </c>
      <c r="Z48" s="46">
        <v>100.95</v>
      </c>
      <c r="AA48" s="53">
        <v>133.57</v>
      </c>
      <c r="AB48" s="56">
        <v>119.88</v>
      </c>
      <c r="AC48" s="56">
        <v>110.18</v>
      </c>
      <c r="AD48" s="56">
        <v>107.24</v>
      </c>
      <c r="AE48" s="56">
        <v>83.68</v>
      </c>
      <c r="AF48" s="54">
        <v>113.61</v>
      </c>
      <c r="AG48" s="46">
        <v>114.77</v>
      </c>
      <c r="AH48" s="46">
        <v>87.93</v>
      </c>
      <c r="AI48" s="46">
        <v>95.5</v>
      </c>
      <c r="AJ48" s="46">
        <v>92.4</v>
      </c>
      <c r="AK48" s="46">
        <v>100.25</v>
      </c>
      <c r="AL48" s="46">
        <v>100.39</v>
      </c>
      <c r="AM48" s="46">
        <v>106.3</v>
      </c>
      <c r="AN48" s="46">
        <f t="shared" si="0"/>
        <v>102.21064516129032</v>
      </c>
      <c r="AO48" s="7">
        <f t="shared" si="1"/>
        <v>3168.5299999999997</v>
      </c>
    </row>
    <row r="49" spans="1:41" x14ac:dyDescent="0.3">
      <c r="A49" s="5">
        <v>48</v>
      </c>
      <c r="B49" s="6" t="s">
        <v>65</v>
      </c>
      <c r="C49" s="6" t="s">
        <v>107</v>
      </c>
      <c r="D49" s="6" t="s">
        <v>30</v>
      </c>
      <c r="E49" s="6" t="s">
        <v>19</v>
      </c>
      <c r="F49" s="6" t="s">
        <v>13</v>
      </c>
      <c r="G49" s="6" t="s">
        <v>14</v>
      </c>
      <c r="H49" s="5">
        <v>24</v>
      </c>
      <c r="I49" s="45">
        <v>0</v>
      </c>
      <c r="J49" s="45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53">
        <v>0</v>
      </c>
      <c r="AB49" s="56">
        <v>0</v>
      </c>
      <c r="AC49" s="56">
        <v>0</v>
      </c>
      <c r="AD49" s="56">
        <v>0</v>
      </c>
      <c r="AE49" s="56">
        <v>0</v>
      </c>
      <c r="AF49" s="54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f t="shared" si="0"/>
        <v>0</v>
      </c>
      <c r="AO49" s="7">
        <f t="shared" si="1"/>
        <v>0</v>
      </c>
    </row>
    <row r="50" spans="1:41" x14ac:dyDescent="0.3">
      <c r="A50" s="5">
        <v>49</v>
      </c>
      <c r="B50" s="6" t="s">
        <v>65</v>
      </c>
      <c r="C50" s="6" t="s">
        <v>108</v>
      </c>
      <c r="D50" s="6" t="s">
        <v>30</v>
      </c>
      <c r="E50" s="6" t="s">
        <v>19</v>
      </c>
      <c r="F50" s="6" t="s">
        <v>13</v>
      </c>
      <c r="G50" s="6" t="s">
        <v>35</v>
      </c>
      <c r="H50" s="5">
        <v>3</v>
      </c>
      <c r="I50" s="45">
        <v>0</v>
      </c>
      <c r="J50" s="45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53">
        <v>0</v>
      </c>
      <c r="AB50" s="56">
        <v>0</v>
      </c>
      <c r="AC50" s="56">
        <v>0</v>
      </c>
      <c r="AD50" s="56">
        <v>0</v>
      </c>
      <c r="AE50" s="56">
        <v>0</v>
      </c>
      <c r="AF50" s="54">
        <v>0</v>
      </c>
      <c r="AG50" s="46">
        <v>0</v>
      </c>
      <c r="AH50" s="46">
        <v>18.88</v>
      </c>
      <c r="AI50" s="46">
        <v>26.08</v>
      </c>
      <c r="AJ50" s="46">
        <v>23.52</v>
      </c>
      <c r="AK50" s="46">
        <v>30.2</v>
      </c>
      <c r="AL50" s="46">
        <v>43.2</v>
      </c>
      <c r="AM50" s="46">
        <v>14.87</v>
      </c>
      <c r="AN50" s="46">
        <f t="shared" si="0"/>
        <v>5.056451612903226</v>
      </c>
      <c r="AO50" s="7">
        <f t="shared" si="1"/>
        <v>156.75</v>
      </c>
    </row>
    <row r="51" spans="1:41" x14ac:dyDescent="0.3">
      <c r="A51" s="5">
        <v>50</v>
      </c>
      <c r="B51" s="6" t="s">
        <v>65</v>
      </c>
      <c r="C51" s="6" t="s">
        <v>109</v>
      </c>
      <c r="D51" s="6" t="s">
        <v>30</v>
      </c>
      <c r="E51" s="6" t="s">
        <v>12</v>
      </c>
      <c r="F51" s="6" t="s">
        <v>40</v>
      </c>
      <c r="G51" s="6" t="s">
        <v>35</v>
      </c>
      <c r="H51" s="5">
        <v>1</v>
      </c>
      <c r="I51" s="45">
        <v>0</v>
      </c>
      <c r="J51" s="45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53">
        <v>0</v>
      </c>
      <c r="AB51" s="56">
        <v>0</v>
      </c>
      <c r="AC51" s="56">
        <v>0</v>
      </c>
      <c r="AD51" s="56">
        <v>0</v>
      </c>
      <c r="AE51" s="56">
        <v>0</v>
      </c>
      <c r="AF51" s="54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f t="shared" si="0"/>
        <v>0</v>
      </c>
      <c r="AO51" s="7">
        <f t="shared" si="1"/>
        <v>0</v>
      </c>
    </row>
    <row r="52" spans="1:41" x14ac:dyDescent="0.3">
      <c r="A52" s="5">
        <v>51</v>
      </c>
      <c r="B52" s="6" t="s">
        <v>65</v>
      </c>
      <c r="C52" s="6" t="s">
        <v>109</v>
      </c>
      <c r="D52" s="6" t="s">
        <v>30</v>
      </c>
      <c r="E52" s="6" t="s">
        <v>12</v>
      </c>
      <c r="F52" s="6" t="s">
        <v>13</v>
      </c>
      <c r="G52" s="6" t="s">
        <v>35</v>
      </c>
      <c r="H52" s="5">
        <v>1</v>
      </c>
      <c r="I52" s="45">
        <v>0</v>
      </c>
      <c r="J52" s="45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53">
        <v>0</v>
      </c>
      <c r="AB52" s="56">
        <v>0</v>
      </c>
      <c r="AC52" s="56">
        <v>0</v>
      </c>
      <c r="AD52" s="56">
        <v>0</v>
      </c>
      <c r="AE52" s="56">
        <v>0</v>
      </c>
      <c r="AF52" s="54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>
        <f t="shared" si="0"/>
        <v>0</v>
      </c>
      <c r="AO52" s="7">
        <f t="shared" si="1"/>
        <v>0</v>
      </c>
    </row>
    <row r="53" spans="1:41" x14ac:dyDescent="0.3">
      <c r="A53" s="5">
        <v>52</v>
      </c>
      <c r="B53" s="6" t="s">
        <v>65</v>
      </c>
      <c r="C53" s="6" t="s">
        <v>110</v>
      </c>
      <c r="D53" s="6" t="s">
        <v>30</v>
      </c>
      <c r="E53" s="6" t="s">
        <v>12</v>
      </c>
      <c r="F53" s="6" t="s">
        <v>40</v>
      </c>
      <c r="G53" s="6" t="s">
        <v>35</v>
      </c>
      <c r="H53" s="5">
        <v>1</v>
      </c>
      <c r="I53" s="45">
        <v>0</v>
      </c>
      <c r="J53" s="45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53">
        <v>0</v>
      </c>
      <c r="AB53" s="56">
        <v>0</v>
      </c>
      <c r="AC53" s="56">
        <v>0</v>
      </c>
      <c r="AD53" s="56">
        <v>0</v>
      </c>
      <c r="AE53" s="56">
        <v>0</v>
      </c>
      <c r="AF53" s="54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f t="shared" si="0"/>
        <v>0</v>
      </c>
      <c r="AO53" s="7">
        <f t="shared" si="1"/>
        <v>0</v>
      </c>
    </row>
    <row r="54" spans="1:41" x14ac:dyDescent="0.3">
      <c r="A54" s="5">
        <v>53</v>
      </c>
      <c r="B54" s="6" t="s">
        <v>65</v>
      </c>
      <c r="C54" s="6" t="s">
        <v>110</v>
      </c>
      <c r="D54" s="6" t="s">
        <v>30</v>
      </c>
      <c r="E54" s="6" t="s">
        <v>12</v>
      </c>
      <c r="F54" s="6" t="s">
        <v>13</v>
      </c>
      <c r="G54" s="6" t="s">
        <v>35</v>
      </c>
      <c r="H54" s="5">
        <v>1</v>
      </c>
      <c r="I54" s="45">
        <v>0</v>
      </c>
      <c r="J54" s="45">
        <v>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53">
        <v>0</v>
      </c>
      <c r="AB54" s="56">
        <v>0</v>
      </c>
      <c r="AC54" s="56">
        <v>0</v>
      </c>
      <c r="AD54" s="56">
        <v>0</v>
      </c>
      <c r="AE54" s="56">
        <v>0</v>
      </c>
      <c r="AF54" s="54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f t="shared" si="0"/>
        <v>0</v>
      </c>
      <c r="AO54" s="7">
        <f t="shared" si="1"/>
        <v>0</v>
      </c>
    </row>
    <row r="55" spans="1:41" x14ac:dyDescent="0.3">
      <c r="A55" s="5">
        <v>54</v>
      </c>
      <c r="B55" s="6" t="s">
        <v>65</v>
      </c>
      <c r="C55" s="6" t="s">
        <v>111</v>
      </c>
      <c r="D55" s="6" t="s">
        <v>30</v>
      </c>
      <c r="E55" s="6" t="s">
        <v>19</v>
      </c>
      <c r="F55" s="6" t="s">
        <v>13</v>
      </c>
      <c r="G55" s="6" t="s">
        <v>14</v>
      </c>
      <c r="H55" s="5">
        <v>0</v>
      </c>
      <c r="I55" s="45">
        <v>0</v>
      </c>
      <c r="J55" s="46">
        <v>0</v>
      </c>
      <c r="K55" s="46">
        <v>77.28</v>
      </c>
      <c r="L55" s="46">
        <v>48.31</v>
      </c>
      <c r="M55" s="46">
        <v>65.319999999999993</v>
      </c>
      <c r="N55" s="46">
        <v>52.62</v>
      </c>
      <c r="O55" s="46">
        <v>20.9</v>
      </c>
      <c r="P55" s="46">
        <v>11.08</v>
      </c>
      <c r="Q55" s="46">
        <v>40.03</v>
      </c>
      <c r="R55" s="46">
        <v>30.06</v>
      </c>
      <c r="S55" s="46">
        <v>75.349999999999994</v>
      </c>
      <c r="T55" s="46">
        <v>66.72</v>
      </c>
      <c r="U55" s="46">
        <v>27.12</v>
      </c>
      <c r="V55" s="46">
        <v>18.18</v>
      </c>
      <c r="W55" s="46">
        <v>14.68</v>
      </c>
      <c r="X55" s="46">
        <v>41.01</v>
      </c>
      <c r="Y55" s="46">
        <v>39.25</v>
      </c>
      <c r="Z55" s="46">
        <v>54.09</v>
      </c>
      <c r="AA55" s="53">
        <v>50.67</v>
      </c>
      <c r="AB55" s="56">
        <v>63.8</v>
      </c>
      <c r="AC55" s="56">
        <v>0.41</v>
      </c>
      <c r="AD55" s="56">
        <v>0</v>
      </c>
      <c r="AE55" s="56">
        <v>52.22</v>
      </c>
      <c r="AF55" s="54">
        <v>0</v>
      </c>
      <c r="AG55" s="46">
        <v>62.51</v>
      </c>
      <c r="AH55" s="46">
        <v>58.52</v>
      </c>
      <c r="AI55" s="46">
        <v>61.88</v>
      </c>
      <c r="AJ55" s="46">
        <v>36.06</v>
      </c>
      <c r="AK55" s="46">
        <v>0</v>
      </c>
      <c r="AL55" s="46">
        <v>63.98</v>
      </c>
      <c r="AM55" s="46">
        <v>31.12</v>
      </c>
      <c r="AN55" s="46">
        <f t="shared" si="0"/>
        <v>37.521612903225794</v>
      </c>
      <c r="AO55" s="7">
        <f t="shared" si="1"/>
        <v>1163.1699999999996</v>
      </c>
    </row>
    <row r="56" spans="1:41" x14ac:dyDescent="0.3">
      <c r="A56" s="5">
        <v>55</v>
      </c>
      <c r="B56" s="6" t="s">
        <v>65</v>
      </c>
      <c r="C56" s="6" t="s">
        <v>111</v>
      </c>
      <c r="D56" s="6" t="s">
        <v>128</v>
      </c>
      <c r="E56" s="6" t="s">
        <v>19</v>
      </c>
      <c r="F56" s="6" t="s">
        <v>13</v>
      </c>
      <c r="G56" s="6" t="s">
        <v>35</v>
      </c>
      <c r="H56" s="5">
        <v>6</v>
      </c>
      <c r="I56" s="45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53"/>
      <c r="AB56" s="56"/>
      <c r="AC56" s="56"/>
      <c r="AD56" s="56"/>
      <c r="AE56" s="56"/>
      <c r="AF56" s="54"/>
      <c r="AG56" s="46"/>
      <c r="AH56" s="46"/>
      <c r="AI56" s="46"/>
      <c r="AJ56" s="46"/>
      <c r="AK56" s="46"/>
      <c r="AL56" s="46"/>
      <c r="AM56" s="46">
        <v>8.66</v>
      </c>
      <c r="AN56" s="46">
        <f t="shared" si="0"/>
        <v>8.66</v>
      </c>
      <c r="AO56" s="7">
        <f t="shared" si="1"/>
        <v>8.66</v>
      </c>
    </row>
    <row r="57" spans="1:41" x14ac:dyDescent="0.3">
      <c r="A57" s="5">
        <v>56</v>
      </c>
      <c r="B57" s="6" t="s">
        <v>65</v>
      </c>
      <c r="C57" s="6" t="s">
        <v>111</v>
      </c>
      <c r="D57" s="6" t="s">
        <v>128</v>
      </c>
      <c r="E57" s="6" t="s">
        <v>19</v>
      </c>
      <c r="F57" s="6" t="s">
        <v>135</v>
      </c>
      <c r="G57" s="6" t="s">
        <v>35</v>
      </c>
      <c r="H57" s="5">
        <v>1</v>
      </c>
      <c r="I57" s="45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56"/>
      <c r="AC57" s="56"/>
      <c r="AD57" s="56"/>
      <c r="AE57" s="56"/>
      <c r="AF57" s="46"/>
      <c r="AG57" s="46"/>
      <c r="AH57" s="46"/>
      <c r="AI57" s="46"/>
      <c r="AJ57" s="46"/>
      <c r="AK57" s="46"/>
      <c r="AL57" s="46"/>
      <c r="AM57" s="46">
        <v>0</v>
      </c>
      <c r="AN57" s="46">
        <f t="shared" si="0"/>
        <v>0</v>
      </c>
      <c r="AO57" s="7">
        <f t="shared" si="1"/>
        <v>0</v>
      </c>
    </row>
    <row r="58" spans="1:41" x14ac:dyDescent="0.3">
      <c r="A58" s="5">
        <v>57</v>
      </c>
      <c r="B58" s="6" t="s">
        <v>65</v>
      </c>
      <c r="C58" s="37" t="s">
        <v>112</v>
      </c>
      <c r="D58" s="6" t="s">
        <v>113</v>
      </c>
      <c r="E58" s="6" t="s">
        <v>19</v>
      </c>
      <c r="F58" s="6" t="s">
        <v>114</v>
      </c>
      <c r="G58" s="6" t="s">
        <v>80</v>
      </c>
      <c r="H58" s="5">
        <v>1</v>
      </c>
      <c r="I58" s="47">
        <v>9.89</v>
      </c>
      <c r="J58" s="47">
        <v>10.220000000000001</v>
      </c>
      <c r="K58" s="47">
        <v>11.09</v>
      </c>
      <c r="L58" s="47">
        <v>12.11</v>
      </c>
      <c r="M58" s="47">
        <v>10.97</v>
      </c>
      <c r="N58" s="47">
        <v>13.2</v>
      </c>
      <c r="O58" s="47">
        <v>11.23</v>
      </c>
      <c r="P58" s="47">
        <v>12.09</v>
      </c>
      <c r="Q58" s="47">
        <v>14.22</v>
      </c>
      <c r="R58" s="47">
        <v>13.85</v>
      </c>
      <c r="S58" s="47">
        <v>11.41</v>
      </c>
      <c r="T58" s="47">
        <v>10.9</v>
      </c>
      <c r="U58" s="47">
        <v>13.87</v>
      </c>
      <c r="V58" s="47">
        <v>12.52</v>
      </c>
      <c r="W58" s="47">
        <v>11.29</v>
      </c>
      <c r="X58" s="47">
        <v>14.98</v>
      </c>
      <c r="Y58" s="47">
        <v>16.32</v>
      </c>
      <c r="Z58" s="47">
        <v>14.43</v>
      </c>
      <c r="AA58" s="47">
        <v>15.98</v>
      </c>
      <c r="AB58" s="47">
        <v>14.46</v>
      </c>
      <c r="AC58" s="47">
        <v>15.32</v>
      </c>
      <c r="AD58" s="47">
        <v>12.98</v>
      </c>
      <c r="AE58" s="47">
        <v>18.32</v>
      </c>
      <c r="AF58" s="47">
        <v>21.43</v>
      </c>
      <c r="AG58" s="47">
        <v>18.68</v>
      </c>
      <c r="AH58" s="47">
        <v>16.32</v>
      </c>
      <c r="AI58" s="47">
        <v>17.420000000000002</v>
      </c>
      <c r="AJ58" s="47">
        <v>15.98</v>
      </c>
      <c r="AK58" s="47">
        <v>15.09</v>
      </c>
      <c r="AL58" s="47">
        <v>14.78</v>
      </c>
      <c r="AM58" s="47">
        <v>13.97</v>
      </c>
      <c r="AN58" s="46">
        <f t="shared" si="0"/>
        <v>14.042580645161292</v>
      </c>
      <c r="AO58" s="7">
        <f t="shared" si="1"/>
        <v>435.32000000000005</v>
      </c>
    </row>
    <row r="59" spans="1:41" x14ac:dyDescent="0.3">
      <c r="A59" s="5">
        <v>58</v>
      </c>
      <c r="B59" s="6" t="s">
        <v>65</v>
      </c>
      <c r="C59" s="39" t="s">
        <v>115</v>
      </c>
      <c r="D59" s="6" t="s">
        <v>113</v>
      </c>
      <c r="E59" s="6" t="s">
        <v>19</v>
      </c>
      <c r="F59" s="6" t="s">
        <v>116</v>
      </c>
      <c r="G59" s="6" t="s">
        <v>80</v>
      </c>
      <c r="H59" s="5">
        <v>1</v>
      </c>
      <c r="I59" s="47">
        <v>81.22</v>
      </c>
      <c r="J59" s="47">
        <v>78.02</v>
      </c>
      <c r="K59" s="47">
        <v>76.010000000000005</v>
      </c>
      <c r="L59" s="47">
        <v>85.24</v>
      </c>
      <c r="M59" s="47">
        <v>82.91</v>
      </c>
      <c r="N59" s="47">
        <v>90.87</v>
      </c>
      <c r="O59" s="47">
        <v>84.55</v>
      </c>
      <c r="P59" s="47">
        <v>89.23</v>
      </c>
      <c r="Q59" s="47">
        <v>86.34</v>
      </c>
      <c r="R59" s="47">
        <v>88.56</v>
      </c>
      <c r="S59" s="47">
        <v>84.23</v>
      </c>
      <c r="T59" s="47">
        <v>89.33</v>
      </c>
      <c r="U59" s="47">
        <v>82.9</v>
      </c>
      <c r="V59" s="47">
        <v>80.239999999999995</v>
      </c>
      <c r="W59" s="47">
        <v>88.34</v>
      </c>
      <c r="X59" s="47">
        <v>82.09</v>
      </c>
      <c r="Y59" s="47">
        <v>87.33</v>
      </c>
      <c r="Z59" s="47">
        <v>82.07</v>
      </c>
      <c r="AA59" s="47">
        <v>80.55</v>
      </c>
      <c r="AB59" s="47">
        <v>79.91</v>
      </c>
      <c r="AC59" s="47">
        <v>71.23</v>
      </c>
      <c r="AD59" s="47">
        <v>78.680000000000007</v>
      </c>
      <c r="AE59" s="47">
        <v>81.239999999999995</v>
      </c>
      <c r="AF59" s="47">
        <v>83.98</v>
      </c>
      <c r="AG59" s="47">
        <v>78.22</v>
      </c>
      <c r="AH59" s="47">
        <v>86.09</v>
      </c>
      <c r="AI59" s="47">
        <v>88.12</v>
      </c>
      <c r="AJ59" s="47">
        <v>89.45</v>
      </c>
      <c r="AK59" s="47">
        <v>87.76</v>
      </c>
      <c r="AL59" s="47">
        <v>90.12</v>
      </c>
      <c r="AM59" s="47">
        <v>81.92</v>
      </c>
      <c r="AN59" s="46">
        <f t="shared" si="0"/>
        <v>83.766129032258064</v>
      </c>
      <c r="AO59" s="7">
        <f t="shared" si="1"/>
        <v>2596.75</v>
      </c>
    </row>
    <row r="60" spans="1:41" x14ac:dyDescent="0.3">
      <c r="A60" s="5">
        <v>59</v>
      </c>
      <c r="B60" s="6" t="s">
        <v>65</v>
      </c>
      <c r="C60" s="39" t="s">
        <v>117</v>
      </c>
      <c r="D60" s="6" t="s">
        <v>113</v>
      </c>
      <c r="E60" s="6" t="s">
        <v>19</v>
      </c>
      <c r="F60" s="6" t="s">
        <v>116</v>
      </c>
      <c r="G60" s="6" t="s">
        <v>80</v>
      </c>
      <c r="H60" s="5">
        <v>1</v>
      </c>
      <c r="I60" s="47">
        <v>14.22</v>
      </c>
      <c r="J60" s="47">
        <v>13.22</v>
      </c>
      <c r="K60" s="47">
        <v>16.329999999999998</v>
      </c>
      <c r="L60" s="47">
        <v>14.2</v>
      </c>
      <c r="M60" s="47">
        <v>16.98</v>
      </c>
      <c r="N60" s="47">
        <v>19.22</v>
      </c>
      <c r="O60" s="47">
        <v>18.98</v>
      </c>
      <c r="P60" s="47">
        <v>17.22</v>
      </c>
      <c r="Q60" s="47">
        <v>15.98</v>
      </c>
      <c r="R60" s="47">
        <v>19.329999999999998</v>
      </c>
      <c r="S60" s="47">
        <v>18.98</v>
      </c>
      <c r="T60" s="47">
        <v>17.989999999999998</v>
      </c>
      <c r="U60" s="47">
        <v>19.23</v>
      </c>
      <c r="V60" s="47">
        <v>21.19</v>
      </c>
      <c r="W60" s="47">
        <v>15.97</v>
      </c>
      <c r="X60" s="47">
        <v>10.220000000000001</v>
      </c>
      <c r="Y60" s="47">
        <v>19.23</v>
      </c>
      <c r="Z60" s="47">
        <v>18.329999999999998</v>
      </c>
      <c r="AA60" s="47">
        <v>13.54</v>
      </c>
      <c r="AB60" s="47">
        <v>14.32</v>
      </c>
      <c r="AC60" s="47">
        <v>18.32</v>
      </c>
      <c r="AD60" s="47">
        <v>17.23</v>
      </c>
      <c r="AE60" s="47">
        <v>19.329999999999998</v>
      </c>
      <c r="AF60" s="47">
        <v>18.149999999999999</v>
      </c>
      <c r="AG60" s="47">
        <v>17.440000000000001</v>
      </c>
      <c r="AH60" s="47">
        <v>19.440000000000001</v>
      </c>
      <c r="AI60" s="47">
        <v>18.23</v>
      </c>
      <c r="AJ60" s="47">
        <v>17.55</v>
      </c>
      <c r="AK60" s="47">
        <v>20.11</v>
      </c>
      <c r="AL60" s="47">
        <v>18.329999999999998</v>
      </c>
      <c r="AM60" s="47">
        <v>19.07</v>
      </c>
      <c r="AN60" s="46">
        <f t="shared" si="0"/>
        <v>17.350967741935488</v>
      </c>
      <c r="AO60" s="7">
        <f t="shared" si="1"/>
        <v>537.88000000000011</v>
      </c>
    </row>
    <row r="61" spans="1:41" x14ac:dyDescent="0.3">
      <c r="A61" s="5">
        <v>60</v>
      </c>
      <c r="B61" s="6" t="s">
        <v>119</v>
      </c>
      <c r="C61" s="39" t="s">
        <v>126</v>
      </c>
      <c r="D61" s="6" t="s">
        <v>30</v>
      </c>
      <c r="E61" s="6" t="s">
        <v>19</v>
      </c>
      <c r="F61" s="6" t="s">
        <v>121</v>
      </c>
      <c r="G61" s="6" t="s">
        <v>35</v>
      </c>
      <c r="H61" s="5">
        <v>20</v>
      </c>
      <c r="I61" s="45">
        <f>175.66-4.88</f>
        <v>170.78</v>
      </c>
      <c r="J61" s="46">
        <f>519.12-393.18</f>
        <v>125.94</v>
      </c>
      <c r="K61" s="46">
        <f>675.99-488.71</f>
        <v>187.28000000000003</v>
      </c>
      <c r="L61" s="46">
        <f>579.53-409.24</f>
        <v>170.28999999999996</v>
      </c>
      <c r="M61" s="46">
        <f>306.03-92.94</f>
        <v>213.08999999999997</v>
      </c>
      <c r="N61" s="46">
        <f>704.02-513.49</f>
        <v>190.52999999999997</v>
      </c>
      <c r="O61" s="46">
        <v>181.39</v>
      </c>
      <c r="P61" s="46">
        <f>522.5-362.85</f>
        <v>159.64999999999998</v>
      </c>
      <c r="Q61" s="46">
        <f>291.75-124.5</f>
        <v>167.25</v>
      </c>
      <c r="R61" s="46">
        <v>242.92</v>
      </c>
      <c r="S61" s="46">
        <f>242.17-46.14</f>
        <v>196.02999999999997</v>
      </c>
      <c r="T61" s="46">
        <v>186.83</v>
      </c>
      <c r="U61" s="46">
        <v>193.27</v>
      </c>
      <c r="V61" s="46">
        <v>167.23</v>
      </c>
      <c r="W61" s="46">
        <v>124.29</v>
      </c>
      <c r="X61" s="46">
        <v>154.72</v>
      </c>
      <c r="Y61" s="46">
        <v>172.12</v>
      </c>
      <c r="Z61" s="46">
        <v>156.25</v>
      </c>
      <c r="AA61" s="46">
        <v>159.04</v>
      </c>
      <c r="AB61" s="56">
        <v>145.75</v>
      </c>
      <c r="AC61" s="56">
        <v>155.94</v>
      </c>
      <c r="AD61" s="56">
        <v>130.38999999999999</v>
      </c>
      <c r="AE61" s="56">
        <v>123.39</v>
      </c>
      <c r="AF61" s="46">
        <v>133.22999999999999</v>
      </c>
      <c r="AG61" s="46">
        <v>132.5</v>
      </c>
      <c r="AH61" s="46">
        <v>181.47</v>
      </c>
      <c r="AI61" s="46">
        <v>126.42</v>
      </c>
      <c r="AJ61" s="46">
        <v>184.6</v>
      </c>
      <c r="AK61" s="46">
        <v>156.56</v>
      </c>
      <c r="AL61" s="46">
        <v>144.94999999999999</v>
      </c>
      <c r="AM61" s="46">
        <v>197.98</v>
      </c>
      <c r="AN61" s="46">
        <f t="shared" si="0"/>
        <v>165.55096774193549</v>
      </c>
      <c r="AO61" s="7">
        <f t="shared" si="1"/>
        <v>5132.08</v>
      </c>
    </row>
    <row r="62" spans="1:41" x14ac:dyDescent="0.3">
      <c r="A62" s="5">
        <v>61</v>
      </c>
      <c r="B62" s="6" t="s">
        <v>65</v>
      </c>
      <c r="C62" s="39" t="s">
        <v>122</v>
      </c>
      <c r="D62" s="6" t="s">
        <v>30</v>
      </c>
      <c r="E62" s="6" t="s">
        <v>19</v>
      </c>
      <c r="F62" s="6" t="s">
        <v>13</v>
      </c>
      <c r="G62" s="6" t="s">
        <v>14</v>
      </c>
      <c r="H62" s="5">
        <v>3</v>
      </c>
      <c r="I62" s="45">
        <v>0</v>
      </c>
      <c r="J62" s="46">
        <v>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56">
        <v>0</v>
      </c>
      <c r="AC62" s="56">
        <v>0</v>
      </c>
      <c r="AD62" s="56">
        <v>0</v>
      </c>
      <c r="AE62" s="5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f t="shared" si="0"/>
        <v>0</v>
      </c>
      <c r="AO62" s="7">
        <f t="shared" si="1"/>
        <v>0</v>
      </c>
    </row>
    <row r="63" spans="1:41" x14ac:dyDescent="0.3">
      <c r="A63" s="5">
        <v>62</v>
      </c>
      <c r="B63" s="6" t="s">
        <v>65</v>
      </c>
      <c r="C63" s="39" t="s">
        <v>127</v>
      </c>
      <c r="D63" s="6" t="s">
        <v>128</v>
      </c>
      <c r="E63" s="6" t="s">
        <v>12</v>
      </c>
      <c r="F63" s="6" t="s">
        <v>40</v>
      </c>
      <c r="G63" s="6" t="s">
        <v>35</v>
      </c>
      <c r="H63" s="5">
        <v>2</v>
      </c>
      <c r="I63" s="45">
        <v>0</v>
      </c>
      <c r="J63" s="46">
        <v>0</v>
      </c>
      <c r="K63" s="46">
        <v>0</v>
      </c>
      <c r="L63" s="46">
        <v>43.92</v>
      </c>
      <c r="M63" s="46">
        <v>0</v>
      </c>
      <c r="N63" s="46">
        <v>0</v>
      </c>
      <c r="O63" s="46">
        <v>0</v>
      </c>
      <c r="P63" s="46">
        <v>42.56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37.54</v>
      </c>
      <c r="Y63" s="46">
        <v>19.739999999999998</v>
      </c>
      <c r="Z63" s="46">
        <v>24.84</v>
      </c>
      <c r="AA63" s="53">
        <v>26.66</v>
      </c>
      <c r="AB63" s="56">
        <v>0</v>
      </c>
      <c r="AC63" s="56">
        <v>10.02</v>
      </c>
      <c r="AD63" s="56">
        <v>0</v>
      </c>
      <c r="AE63" s="56">
        <v>15.19</v>
      </c>
      <c r="AF63" s="54">
        <v>41.57</v>
      </c>
      <c r="AG63" s="46">
        <v>0</v>
      </c>
      <c r="AH63" s="46">
        <v>20.440000000000001</v>
      </c>
      <c r="AI63" s="46">
        <v>0</v>
      </c>
      <c r="AJ63" s="46">
        <v>41.36</v>
      </c>
      <c r="AK63" s="46">
        <v>0</v>
      </c>
      <c r="AL63" s="46">
        <v>0</v>
      </c>
      <c r="AM63" s="46">
        <v>17.559999999999999</v>
      </c>
      <c r="AN63" s="46">
        <f t="shared" si="0"/>
        <v>11.012903225806452</v>
      </c>
      <c r="AO63" s="7">
        <f t="shared" si="1"/>
        <v>341.40000000000003</v>
      </c>
    </row>
    <row r="64" spans="1:41" x14ac:dyDescent="0.3">
      <c r="A64" s="5">
        <v>63</v>
      </c>
      <c r="B64" s="6" t="s">
        <v>65</v>
      </c>
      <c r="C64" s="39" t="s">
        <v>129</v>
      </c>
      <c r="D64" s="6"/>
      <c r="E64" s="6" t="s">
        <v>130</v>
      </c>
      <c r="F64" s="6" t="s">
        <v>121</v>
      </c>
      <c r="G64" s="6" t="s">
        <v>35</v>
      </c>
      <c r="H64" s="5">
        <v>2</v>
      </c>
      <c r="I64" s="45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11.09</v>
      </c>
      <c r="S64" s="46">
        <v>7.5</v>
      </c>
      <c r="T64" s="46">
        <f>178.91-175.36</f>
        <v>3.5499999999999829</v>
      </c>
      <c r="U64" s="46">
        <v>5.34</v>
      </c>
      <c r="V64" s="46">
        <v>0</v>
      </c>
      <c r="W64" s="46">
        <v>0</v>
      </c>
      <c r="X64" s="46">
        <v>12.37</v>
      </c>
      <c r="Y64" s="46">
        <v>18.47</v>
      </c>
      <c r="Z64" s="46">
        <v>13.97</v>
      </c>
      <c r="AA64" s="53">
        <v>12.55</v>
      </c>
      <c r="AB64" s="56">
        <v>9.44</v>
      </c>
      <c r="AC64" s="56">
        <v>5.62</v>
      </c>
      <c r="AD64" s="56">
        <v>0</v>
      </c>
      <c r="AE64" s="56">
        <v>14.19</v>
      </c>
      <c r="AF64" s="54">
        <v>0</v>
      </c>
      <c r="AG64" s="46">
        <v>12.46</v>
      </c>
      <c r="AH64" s="46">
        <f>169.43-167.34</f>
        <v>2.0900000000000034</v>
      </c>
      <c r="AI64" s="46">
        <v>7.94</v>
      </c>
      <c r="AJ64" s="46">
        <v>0</v>
      </c>
      <c r="AK64" s="46">
        <v>0</v>
      </c>
      <c r="AL64" s="46">
        <v>25.64</v>
      </c>
      <c r="AM64" s="46">
        <v>16.579999999999998</v>
      </c>
      <c r="AN64" s="46">
        <f t="shared" si="0"/>
        <v>5.7677419354838699</v>
      </c>
      <c r="AO64" s="7">
        <f t="shared" si="1"/>
        <v>178.79999999999995</v>
      </c>
    </row>
    <row r="65" spans="1:41" x14ac:dyDescent="0.3">
      <c r="A65" s="5"/>
      <c r="B65" s="6"/>
      <c r="C65" s="6"/>
      <c r="D65" s="6"/>
      <c r="E65" s="6"/>
      <c r="F65" s="6"/>
      <c r="G65" s="6"/>
      <c r="H65" s="5"/>
      <c r="I65" s="45"/>
      <c r="J65" s="45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8"/>
      <c r="AC65" s="48"/>
      <c r="AD65" s="48"/>
      <c r="AE65" s="48"/>
      <c r="AF65" s="46"/>
      <c r="AG65" s="46"/>
      <c r="AH65" s="46"/>
      <c r="AI65" s="46"/>
      <c r="AJ65" s="46"/>
      <c r="AK65" s="46"/>
      <c r="AL65" s="46"/>
      <c r="AM65" s="46"/>
      <c r="AN65" s="48"/>
    </row>
    <row r="66" spans="1:41" x14ac:dyDescent="0.3">
      <c r="A66" s="5"/>
      <c r="B66" s="14"/>
      <c r="C66" s="14"/>
      <c r="D66" s="14"/>
      <c r="E66" s="13"/>
      <c r="F66" s="13"/>
      <c r="G66" s="13" t="s">
        <v>79</v>
      </c>
      <c r="H66" s="52">
        <f>SUM(H2:H65)</f>
        <v>500</v>
      </c>
      <c r="I66" s="44">
        <f t="shared" ref="I66:AJ66" si="2">SUM(I2:I64)</f>
        <v>2087.9700000000007</v>
      </c>
      <c r="J66" s="44">
        <f t="shared" si="2"/>
        <v>2012.93</v>
      </c>
      <c r="K66" s="44">
        <f t="shared" si="2"/>
        <v>2243.5</v>
      </c>
      <c r="L66" s="44">
        <f t="shared" si="2"/>
        <v>2200.08</v>
      </c>
      <c r="M66" s="44">
        <f t="shared" si="2"/>
        <v>2320.3000000000002</v>
      </c>
      <c r="N66" s="44">
        <f t="shared" si="2"/>
        <v>2352.1869999999999</v>
      </c>
      <c r="O66" s="44">
        <f t="shared" si="2"/>
        <v>2217.0700000000002</v>
      </c>
      <c r="P66" s="44">
        <f t="shared" si="2"/>
        <v>2122.41</v>
      </c>
      <c r="Q66" s="44">
        <f t="shared" si="2"/>
        <v>2326.5</v>
      </c>
      <c r="R66" s="44">
        <f t="shared" si="2"/>
        <v>2360.3999999999996</v>
      </c>
      <c r="S66" s="44">
        <f t="shared" si="2"/>
        <v>2512.1099999999997</v>
      </c>
      <c r="T66" s="44">
        <f t="shared" si="2"/>
        <v>2562.56</v>
      </c>
      <c r="U66" s="44">
        <f t="shared" si="2"/>
        <v>2533.7099999999996</v>
      </c>
      <c r="V66" s="44">
        <f t="shared" si="2"/>
        <v>2459.5499999999997</v>
      </c>
      <c r="W66" s="44">
        <f t="shared" si="2"/>
        <v>2253.8599999999997</v>
      </c>
      <c r="X66" s="44">
        <f t="shared" si="2"/>
        <v>2137.5699999999993</v>
      </c>
      <c r="Y66" s="44">
        <f t="shared" si="2"/>
        <v>2300.0239999999999</v>
      </c>
      <c r="Z66" s="44">
        <f t="shared" si="2"/>
        <v>2375.5400000000004</v>
      </c>
      <c r="AA66" s="44">
        <f t="shared" si="2"/>
        <v>2314.69</v>
      </c>
      <c r="AB66" s="44">
        <f t="shared" si="2"/>
        <v>2179.2099999999996</v>
      </c>
      <c r="AC66" s="44">
        <f t="shared" si="2"/>
        <v>2214.5999999999995</v>
      </c>
      <c r="AD66" s="44">
        <f t="shared" si="2"/>
        <v>2371.1999999999998</v>
      </c>
      <c r="AE66" s="44">
        <f t="shared" si="2"/>
        <v>1962.62</v>
      </c>
      <c r="AF66" s="44">
        <f t="shared" si="2"/>
        <v>1532.6899999999998</v>
      </c>
      <c r="AG66" s="44">
        <f t="shared" si="2"/>
        <v>1949.42</v>
      </c>
      <c r="AH66" s="44">
        <f t="shared" si="2"/>
        <v>2345.2800000000002</v>
      </c>
      <c r="AI66" s="44">
        <f t="shared" si="2"/>
        <v>2190.3000000000002</v>
      </c>
      <c r="AJ66" s="44">
        <f t="shared" si="2"/>
        <v>2326.9100000000003</v>
      </c>
      <c r="AK66" s="44">
        <f>SUM(AK2:AK64)</f>
        <v>2089.39</v>
      </c>
      <c r="AL66" s="44">
        <f>SUM(AL2:AL64)</f>
        <v>1849.2200000000003</v>
      </c>
      <c r="AM66" s="44">
        <f>SUM(AM2:AM64)</f>
        <v>1915.9599999999998</v>
      </c>
      <c r="AN66" s="46">
        <f>AVERAGE(I66:AM66)</f>
        <v>2213.5406774193552</v>
      </c>
      <c r="AO66" s="7">
        <f t="shared" si="1"/>
        <v>68619.761000000013</v>
      </c>
    </row>
    <row r="67" spans="1:41" x14ac:dyDescent="0.3">
      <c r="AN67" s="50"/>
    </row>
    <row r="68" spans="1:41" x14ac:dyDescent="0.3">
      <c r="AN68" s="50"/>
    </row>
  </sheetData>
  <autoFilter ref="A1:AN64" xr:uid="{00000000-0009-0000-0000-000009000000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3:I4"/>
  <sheetViews>
    <sheetView workbookViewId="0">
      <selection activeCell="F29" sqref="F29"/>
    </sheetView>
  </sheetViews>
  <sheetFormatPr defaultRowHeight="14.4" x14ac:dyDescent="0.3"/>
  <cols>
    <col min="1" max="8" width="14.21875" bestFit="1" customWidth="1"/>
    <col min="9" max="9" width="10.77734375" bestFit="1" customWidth="1"/>
    <col min="10" max="10" width="11.33203125" bestFit="1" customWidth="1"/>
  </cols>
  <sheetData>
    <row r="3" spans="1:9" x14ac:dyDescent="0.3">
      <c r="A3" s="30" t="s">
        <v>1</v>
      </c>
      <c r="B3" s="12"/>
      <c r="C3" s="12"/>
      <c r="D3" s="12"/>
      <c r="E3" s="12"/>
      <c r="F3" s="12"/>
      <c r="G3" s="12"/>
      <c r="H3" s="12"/>
      <c r="I3" s="12"/>
    </row>
    <row r="4" spans="1:9" x14ac:dyDescent="0.3">
      <c r="A4" s="12" t="s">
        <v>58</v>
      </c>
      <c r="B4" s="12" t="s">
        <v>65</v>
      </c>
      <c r="C4" s="12" t="s">
        <v>9</v>
      </c>
      <c r="D4" s="12" t="s">
        <v>55</v>
      </c>
      <c r="E4" s="12" t="s">
        <v>119</v>
      </c>
      <c r="F4" s="12" t="s">
        <v>49</v>
      </c>
      <c r="G4" s="12" t="s">
        <v>52</v>
      </c>
      <c r="H4" s="12" t="s">
        <v>134</v>
      </c>
      <c r="I4" s="12" t="s">
        <v>83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C57"/>
  <sheetViews>
    <sheetView workbookViewId="0">
      <selection activeCell="F29" sqref="F29"/>
    </sheetView>
  </sheetViews>
  <sheetFormatPr defaultRowHeight="14.4" x14ac:dyDescent="0.3"/>
  <cols>
    <col min="1" max="1" width="41.6640625" bestFit="1" customWidth="1"/>
    <col min="2" max="2" width="20.6640625" bestFit="1" customWidth="1"/>
    <col min="3" max="3" width="14.44140625" bestFit="1" customWidth="1"/>
    <col min="4" max="26" width="15.109375" customWidth="1"/>
    <col min="27" max="32" width="15.109375" bestFit="1" customWidth="1"/>
    <col min="33" max="33" width="15" bestFit="1" customWidth="1"/>
  </cols>
  <sheetData>
    <row r="1" spans="1:3" x14ac:dyDescent="0.3">
      <c r="A1" s="30" t="s">
        <v>1</v>
      </c>
      <c r="B1" s="12" t="s">
        <v>82</v>
      </c>
    </row>
    <row r="3" spans="1:3" x14ac:dyDescent="0.3">
      <c r="A3" s="30" t="s">
        <v>2</v>
      </c>
      <c r="B3" s="12" t="s">
        <v>84</v>
      </c>
      <c r="C3" s="12" t="s">
        <v>85</v>
      </c>
    </row>
    <row r="4" spans="1:3" x14ac:dyDescent="0.3">
      <c r="A4" s="12" t="s">
        <v>126</v>
      </c>
      <c r="B4" s="137">
        <v>20</v>
      </c>
      <c r="C4" s="31">
        <v>144.68233333333333</v>
      </c>
    </row>
    <row r="5" spans="1:3" x14ac:dyDescent="0.3">
      <c r="A5" s="12" t="s">
        <v>86</v>
      </c>
      <c r="B5" s="137">
        <v>6</v>
      </c>
      <c r="C5" s="31">
        <v>51.203333333333326</v>
      </c>
    </row>
    <row r="6" spans="1:3" x14ac:dyDescent="0.3">
      <c r="A6" s="12" t="s">
        <v>87</v>
      </c>
      <c r="B6" s="137">
        <v>9</v>
      </c>
      <c r="C6" s="31">
        <v>112.01949999999997</v>
      </c>
    </row>
    <row r="7" spans="1:3" x14ac:dyDescent="0.3">
      <c r="A7" s="12" t="s">
        <v>88</v>
      </c>
      <c r="B7" s="137">
        <v>3</v>
      </c>
      <c r="C7" s="31">
        <v>59.369666666666674</v>
      </c>
    </row>
    <row r="8" spans="1:3" x14ac:dyDescent="0.3">
      <c r="A8" s="12" t="s">
        <v>133</v>
      </c>
      <c r="B8" s="137">
        <v>5</v>
      </c>
      <c r="C8" s="31">
        <v>26.732666666666663</v>
      </c>
    </row>
    <row r="9" spans="1:3" x14ac:dyDescent="0.3">
      <c r="A9" s="12" t="s">
        <v>132</v>
      </c>
      <c r="B9" s="137">
        <v>5</v>
      </c>
      <c r="C9" s="31">
        <v>0</v>
      </c>
    </row>
    <row r="10" spans="1:3" x14ac:dyDescent="0.3">
      <c r="A10" s="12" t="s">
        <v>142</v>
      </c>
      <c r="B10" s="137">
        <v>5</v>
      </c>
      <c r="C10" s="31">
        <v>16.847666666666672</v>
      </c>
    </row>
    <row r="11" spans="1:3" x14ac:dyDescent="0.3">
      <c r="A11" s="12" t="s">
        <v>98</v>
      </c>
      <c r="B11" s="137">
        <v>5</v>
      </c>
      <c r="C11" s="31">
        <v>0</v>
      </c>
    </row>
    <row r="12" spans="1:3" x14ac:dyDescent="0.3">
      <c r="A12" s="12" t="s">
        <v>92</v>
      </c>
      <c r="B12" s="137">
        <v>3</v>
      </c>
      <c r="C12" s="31">
        <v>43.501999999999995</v>
      </c>
    </row>
    <row r="13" spans="1:3" x14ac:dyDescent="0.3">
      <c r="A13" s="12" t="s">
        <v>138</v>
      </c>
      <c r="B13" s="137">
        <v>1</v>
      </c>
      <c r="C13" s="31">
        <v>0.88576923076923086</v>
      </c>
    </row>
    <row r="14" spans="1:3" x14ac:dyDescent="0.3">
      <c r="A14" s="12" t="s">
        <v>96</v>
      </c>
      <c r="B14" s="137">
        <v>1</v>
      </c>
      <c r="C14" s="31">
        <v>0</v>
      </c>
    </row>
    <row r="15" spans="1:3" x14ac:dyDescent="0.3">
      <c r="A15" s="12" t="s">
        <v>70</v>
      </c>
      <c r="B15" s="137">
        <v>82</v>
      </c>
      <c r="C15" s="31">
        <v>12.1746</v>
      </c>
    </row>
    <row r="16" spans="1:3" x14ac:dyDescent="0.3">
      <c r="A16" s="12" t="s">
        <v>68</v>
      </c>
      <c r="B16" s="137">
        <v>2</v>
      </c>
      <c r="C16" s="31">
        <v>0</v>
      </c>
    </row>
    <row r="17" spans="1:3" x14ac:dyDescent="0.3">
      <c r="A17" s="12" t="s">
        <v>93</v>
      </c>
      <c r="B17" s="137">
        <v>1</v>
      </c>
      <c r="C17" s="31">
        <v>0</v>
      </c>
    </row>
    <row r="18" spans="1:3" x14ac:dyDescent="0.3">
      <c r="A18" s="12" t="s">
        <v>125</v>
      </c>
      <c r="B18" s="137">
        <v>1</v>
      </c>
      <c r="C18" s="31">
        <v>0.36616666666666664</v>
      </c>
    </row>
    <row r="19" spans="1:3" x14ac:dyDescent="0.3">
      <c r="A19" s="12" t="s">
        <v>137</v>
      </c>
      <c r="B19" s="137">
        <v>20</v>
      </c>
      <c r="C19" s="31">
        <v>14.300333333333333</v>
      </c>
    </row>
    <row r="20" spans="1:3" x14ac:dyDescent="0.3">
      <c r="A20" s="12" t="s">
        <v>103</v>
      </c>
      <c r="B20" s="137">
        <v>1</v>
      </c>
      <c r="C20" s="31">
        <v>0.13499999999999998</v>
      </c>
    </row>
    <row r="21" spans="1:3" x14ac:dyDescent="0.3">
      <c r="A21" s="12" t="s">
        <v>140</v>
      </c>
      <c r="B21" s="137">
        <v>1</v>
      </c>
      <c r="C21" s="31">
        <v>2E-3</v>
      </c>
    </row>
    <row r="22" spans="1:3" x14ac:dyDescent="0.3">
      <c r="A22" s="12" t="s">
        <v>36</v>
      </c>
      <c r="B22" s="137">
        <v>6</v>
      </c>
      <c r="C22" s="31">
        <v>25.538000000000004</v>
      </c>
    </row>
    <row r="23" spans="1:3" x14ac:dyDescent="0.3">
      <c r="A23" s="12" t="s">
        <v>105</v>
      </c>
      <c r="B23" s="137">
        <v>13</v>
      </c>
      <c r="C23" s="31">
        <v>48.869000000000007</v>
      </c>
    </row>
    <row r="24" spans="1:3" x14ac:dyDescent="0.3">
      <c r="A24" s="12" t="s">
        <v>37</v>
      </c>
      <c r="B24" s="137">
        <v>6</v>
      </c>
      <c r="C24" s="31">
        <v>38.226333333333329</v>
      </c>
    </row>
    <row r="25" spans="1:3" x14ac:dyDescent="0.3">
      <c r="A25" s="12" t="s">
        <v>66</v>
      </c>
      <c r="B25" s="137">
        <v>105</v>
      </c>
      <c r="C25" s="31">
        <v>1.646366666666667</v>
      </c>
    </row>
    <row r="26" spans="1:3" x14ac:dyDescent="0.3">
      <c r="A26" s="12" t="s">
        <v>74</v>
      </c>
      <c r="B26" s="137">
        <v>2</v>
      </c>
      <c r="C26" s="31">
        <v>0</v>
      </c>
    </row>
    <row r="27" spans="1:3" x14ac:dyDescent="0.3">
      <c r="A27" s="12" t="s">
        <v>136</v>
      </c>
      <c r="B27" s="137">
        <v>16</v>
      </c>
      <c r="C27" s="31">
        <v>7.3976666666666668</v>
      </c>
    </row>
    <row r="28" spans="1:3" x14ac:dyDescent="0.3">
      <c r="A28" s="12" t="s">
        <v>106</v>
      </c>
      <c r="B28" s="137">
        <v>19</v>
      </c>
      <c r="C28" s="31">
        <v>56.923666666666676</v>
      </c>
    </row>
    <row r="29" spans="1:3" x14ac:dyDescent="0.3">
      <c r="A29" s="12" t="s">
        <v>107</v>
      </c>
      <c r="B29" s="137">
        <v>24</v>
      </c>
      <c r="C29" s="31">
        <v>0</v>
      </c>
    </row>
    <row r="30" spans="1:3" x14ac:dyDescent="0.3">
      <c r="A30" s="12" t="s">
        <v>29</v>
      </c>
      <c r="B30" s="137">
        <v>8</v>
      </c>
      <c r="C30" s="31">
        <v>64.212666666666692</v>
      </c>
    </row>
    <row r="31" spans="1:3" x14ac:dyDescent="0.3">
      <c r="A31" s="12" t="s">
        <v>108</v>
      </c>
      <c r="B31" s="137">
        <v>3</v>
      </c>
      <c r="C31" s="31">
        <v>0</v>
      </c>
    </row>
    <row r="32" spans="1:3" x14ac:dyDescent="0.3">
      <c r="A32" s="12" t="s">
        <v>34</v>
      </c>
      <c r="B32" s="137">
        <v>19</v>
      </c>
      <c r="C32" s="31">
        <v>162.78699999999998</v>
      </c>
    </row>
    <row r="33" spans="1:3" x14ac:dyDescent="0.3">
      <c r="A33" s="12" t="s">
        <v>38</v>
      </c>
      <c r="B33" s="137">
        <v>3</v>
      </c>
      <c r="C33" s="31">
        <v>40.574666666666666</v>
      </c>
    </row>
    <row r="34" spans="1:3" x14ac:dyDescent="0.3">
      <c r="A34" s="12" t="s">
        <v>39</v>
      </c>
      <c r="B34" s="137">
        <v>3</v>
      </c>
      <c r="C34" s="31">
        <v>0</v>
      </c>
    </row>
    <row r="35" spans="1:3" x14ac:dyDescent="0.3">
      <c r="A35" s="12" t="s">
        <v>71</v>
      </c>
      <c r="B35" s="137">
        <v>5</v>
      </c>
      <c r="C35" s="31">
        <v>49.331999999999994</v>
      </c>
    </row>
    <row r="36" spans="1:3" x14ac:dyDescent="0.3">
      <c r="A36" s="12" t="s">
        <v>59</v>
      </c>
      <c r="B36" s="137">
        <v>6</v>
      </c>
      <c r="C36" s="31">
        <v>7.0406666666666666</v>
      </c>
    </row>
    <row r="37" spans="1:3" x14ac:dyDescent="0.3">
      <c r="A37" s="12" t="s">
        <v>76</v>
      </c>
      <c r="B37" s="137">
        <v>10</v>
      </c>
      <c r="C37" s="31">
        <v>10.356666666666666</v>
      </c>
    </row>
    <row r="38" spans="1:3" x14ac:dyDescent="0.3">
      <c r="A38" s="12" t="s">
        <v>27</v>
      </c>
      <c r="B38" s="137">
        <v>5</v>
      </c>
      <c r="C38" s="31">
        <v>0</v>
      </c>
    </row>
    <row r="39" spans="1:3" x14ac:dyDescent="0.3">
      <c r="A39" s="12" t="s">
        <v>101</v>
      </c>
      <c r="B39" s="137">
        <v>3</v>
      </c>
      <c r="C39" s="31">
        <v>66.847666666666669</v>
      </c>
    </row>
    <row r="40" spans="1:3" x14ac:dyDescent="0.3">
      <c r="A40" s="12" t="s">
        <v>99</v>
      </c>
      <c r="B40" s="137">
        <v>10</v>
      </c>
      <c r="C40" s="31">
        <v>73.549333333333351</v>
      </c>
    </row>
    <row r="41" spans="1:3" x14ac:dyDescent="0.3">
      <c r="A41" s="12" t="s">
        <v>102</v>
      </c>
      <c r="B41" s="137">
        <v>9</v>
      </c>
      <c r="C41" s="31">
        <v>139.75966666666667</v>
      </c>
    </row>
    <row r="42" spans="1:3" x14ac:dyDescent="0.3">
      <c r="A42" s="12" t="s">
        <v>100</v>
      </c>
      <c r="B42" s="137">
        <v>5</v>
      </c>
      <c r="C42" s="31">
        <v>14.334999999999999</v>
      </c>
    </row>
    <row r="43" spans="1:3" x14ac:dyDescent="0.3">
      <c r="A43" s="12" t="s">
        <v>109</v>
      </c>
      <c r="B43" s="137">
        <v>1</v>
      </c>
      <c r="C43" s="31">
        <v>0</v>
      </c>
    </row>
    <row r="44" spans="1:3" x14ac:dyDescent="0.3">
      <c r="A44" s="12" t="s">
        <v>94</v>
      </c>
      <c r="B44" s="137">
        <v>2</v>
      </c>
      <c r="C44" s="31">
        <v>0</v>
      </c>
    </row>
    <row r="45" spans="1:3" x14ac:dyDescent="0.3">
      <c r="A45" s="12" t="s">
        <v>117</v>
      </c>
      <c r="B45" s="137">
        <v>1</v>
      </c>
      <c r="C45" s="31">
        <v>14.045</v>
      </c>
    </row>
    <row r="46" spans="1:3" x14ac:dyDescent="0.3">
      <c r="A46" s="12" t="s">
        <v>115</v>
      </c>
      <c r="B46" s="137">
        <v>1</v>
      </c>
      <c r="C46" s="31">
        <v>83.943333333333356</v>
      </c>
    </row>
    <row r="47" spans="1:3" x14ac:dyDescent="0.3">
      <c r="A47" s="12" t="s">
        <v>112</v>
      </c>
      <c r="B47" s="137">
        <v>1</v>
      </c>
      <c r="C47" s="31">
        <v>11.033333333333333</v>
      </c>
    </row>
    <row r="48" spans="1:3" x14ac:dyDescent="0.3">
      <c r="A48" s="12" t="s">
        <v>122</v>
      </c>
      <c r="B48" s="137">
        <v>3</v>
      </c>
      <c r="C48" s="31">
        <v>0</v>
      </c>
    </row>
    <row r="49" spans="1:3" x14ac:dyDescent="0.3">
      <c r="A49" s="12" t="s">
        <v>127</v>
      </c>
      <c r="B49" s="137">
        <v>2</v>
      </c>
      <c r="C49" s="31">
        <v>12.223666666666666</v>
      </c>
    </row>
    <row r="50" spans="1:3" x14ac:dyDescent="0.3">
      <c r="A50" s="12" t="s">
        <v>143</v>
      </c>
      <c r="B50" s="137">
        <v>4</v>
      </c>
      <c r="C50" s="31">
        <v>0</v>
      </c>
    </row>
    <row r="51" spans="1:3" x14ac:dyDescent="0.3">
      <c r="A51" s="12" t="s">
        <v>104</v>
      </c>
      <c r="B51" s="137">
        <v>7</v>
      </c>
      <c r="C51" s="31">
        <v>182.50266666666667</v>
      </c>
    </row>
    <row r="52" spans="1:3" x14ac:dyDescent="0.3">
      <c r="A52" s="12" t="s">
        <v>56</v>
      </c>
      <c r="B52" s="137">
        <v>40</v>
      </c>
      <c r="C52" s="31">
        <v>416.85333333333335</v>
      </c>
    </row>
    <row r="53" spans="1:3" x14ac:dyDescent="0.3">
      <c r="A53" s="12" t="s">
        <v>129</v>
      </c>
      <c r="B53" s="137">
        <v>2</v>
      </c>
      <c r="C53" s="31">
        <v>12.701333333333332</v>
      </c>
    </row>
    <row r="54" spans="1:3" x14ac:dyDescent="0.3">
      <c r="A54" s="12" t="s">
        <v>111</v>
      </c>
      <c r="B54" s="137">
        <v>7</v>
      </c>
      <c r="C54" s="31">
        <v>36.944999999999993</v>
      </c>
    </row>
    <row r="55" spans="1:3" x14ac:dyDescent="0.3">
      <c r="A55" s="12" t="s">
        <v>141</v>
      </c>
      <c r="B55" s="137">
        <v>2</v>
      </c>
      <c r="C55" s="31">
        <v>0</v>
      </c>
    </row>
    <row r="56" spans="1:3" x14ac:dyDescent="0.3">
      <c r="A56" s="12" t="s">
        <v>110</v>
      </c>
      <c r="B56" s="137">
        <v>1</v>
      </c>
      <c r="C56" s="31">
        <v>0</v>
      </c>
    </row>
    <row r="57" spans="1:3" x14ac:dyDescent="0.3">
      <c r="A57" s="12" t="s">
        <v>83</v>
      </c>
      <c r="B57" s="137">
        <v>525</v>
      </c>
      <c r="C57" s="31">
        <v>2059.8650692307697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M64"/>
  <sheetViews>
    <sheetView topLeftCell="A16" workbookViewId="0">
      <pane xSplit="8" topLeftCell="I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22.33203125" bestFit="1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0.44140625" style="28" bestFit="1" customWidth="1"/>
    <col min="10" max="10" width="10.44140625" style="27" bestFit="1" customWidth="1"/>
    <col min="11" max="11" width="10.44140625" style="28" bestFit="1" customWidth="1"/>
    <col min="12" max="12" width="10.44140625" bestFit="1" customWidth="1"/>
    <col min="13" max="13" width="10.5546875" customWidth="1"/>
    <col min="14" max="14" width="10.88671875" customWidth="1"/>
    <col min="15" max="15" width="10.44140625" bestFit="1" customWidth="1"/>
    <col min="16" max="17" width="11" customWidth="1"/>
    <col min="18" max="38" width="10.44140625" bestFit="1" customWidth="1"/>
  </cols>
  <sheetData>
    <row r="1" spans="1:39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6">
        <v>45231</v>
      </c>
      <c r="J1" s="16">
        <v>45232</v>
      </c>
      <c r="K1" s="16">
        <v>45233</v>
      </c>
      <c r="L1" s="16">
        <v>45234</v>
      </c>
      <c r="M1" s="16">
        <v>45235</v>
      </c>
      <c r="N1" s="16">
        <v>45236</v>
      </c>
      <c r="O1" s="16">
        <v>45237</v>
      </c>
      <c r="P1" s="16">
        <v>45238</v>
      </c>
      <c r="Q1" s="16">
        <v>45239</v>
      </c>
      <c r="R1" s="16">
        <v>45240</v>
      </c>
      <c r="S1" s="16">
        <v>45241</v>
      </c>
      <c r="T1" s="16">
        <v>45242</v>
      </c>
      <c r="U1" s="16">
        <v>45243</v>
      </c>
      <c r="V1" s="16">
        <v>45244</v>
      </c>
      <c r="W1" s="16">
        <v>45245</v>
      </c>
      <c r="X1" s="16">
        <v>45246</v>
      </c>
      <c r="Y1" s="16">
        <v>45247</v>
      </c>
      <c r="Z1" s="16">
        <v>45248</v>
      </c>
      <c r="AA1" s="16">
        <v>45249</v>
      </c>
      <c r="AB1" s="55">
        <v>45250</v>
      </c>
      <c r="AC1" s="55">
        <v>45251</v>
      </c>
      <c r="AD1" s="55">
        <v>45252</v>
      </c>
      <c r="AE1" s="55">
        <v>45253</v>
      </c>
      <c r="AF1" s="16">
        <v>45254</v>
      </c>
      <c r="AG1" s="16">
        <v>45255</v>
      </c>
      <c r="AH1" s="16">
        <v>45256</v>
      </c>
      <c r="AI1" s="16">
        <v>45257</v>
      </c>
      <c r="AJ1" s="16">
        <v>45258</v>
      </c>
      <c r="AK1" s="16">
        <v>45259</v>
      </c>
      <c r="AL1" s="16">
        <v>45260</v>
      </c>
      <c r="AM1" s="13" t="s">
        <v>8</v>
      </c>
    </row>
    <row r="2" spans="1:39" x14ac:dyDescent="0.3">
      <c r="A2" s="5">
        <v>1</v>
      </c>
      <c r="B2" s="6" t="s">
        <v>9</v>
      </c>
      <c r="C2" s="6" t="s">
        <v>86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46">
        <v>52.7</v>
      </c>
      <c r="J2" s="45">
        <v>30.29</v>
      </c>
      <c r="K2" s="46">
        <v>52.91</v>
      </c>
      <c r="L2" s="46">
        <v>34.229999999999997</v>
      </c>
      <c r="M2" s="46">
        <v>67.599999999999994</v>
      </c>
      <c r="N2" s="46">
        <v>75.63</v>
      </c>
      <c r="O2" s="46">
        <v>59.57</v>
      </c>
      <c r="P2" s="46">
        <v>65.89</v>
      </c>
      <c r="Q2" s="46">
        <v>59.86</v>
      </c>
      <c r="R2" s="46">
        <v>46.59</v>
      </c>
      <c r="S2" s="46">
        <v>62.8</v>
      </c>
      <c r="T2" s="46">
        <v>53.65</v>
      </c>
      <c r="U2" s="46">
        <v>39.909999999999997</v>
      </c>
      <c r="V2" s="46">
        <v>63.64</v>
      </c>
      <c r="W2" s="46">
        <v>70.89</v>
      </c>
      <c r="X2" s="46">
        <v>41.45</v>
      </c>
      <c r="Y2" s="46">
        <v>66.069999999999993</v>
      </c>
      <c r="Z2" s="46">
        <v>52.89</v>
      </c>
      <c r="AA2" s="53">
        <v>44.04</v>
      </c>
      <c r="AB2" s="60">
        <v>33.68</v>
      </c>
      <c r="AC2" s="60">
        <v>50.3</v>
      </c>
      <c r="AD2" s="60">
        <v>35.340000000000003</v>
      </c>
      <c r="AE2" s="60">
        <v>43.67</v>
      </c>
      <c r="AF2" s="54">
        <v>50.31</v>
      </c>
      <c r="AG2" s="46">
        <v>70.849999999999994</v>
      </c>
      <c r="AH2" s="46">
        <v>47.01</v>
      </c>
      <c r="AI2" s="46">
        <v>45.23</v>
      </c>
      <c r="AJ2" s="46">
        <v>43.23</v>
      </c>
      <c r="AK2" s="46">
        <v>23.87</v>
      </c>
      <c r="AL2" s="46">
        <v>52</v>
      </c>
      <c r="AM2" s="46">
        <f>AVERAGE(I2:AL2)</f>
        <v>51.203333333333326</v>
      </c>
    </row>
    <row r="3" spans="1:39" x14ac:dyDescent="0.3">
      <c r="A3" s="5">
        <v>2</v>
      </c>
      <c r="B3" s="6" t="s">
        <v>9</v>
      </c>
      <c r="C3" s="6" t="s">
        <v>87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28">
        <v>141.85</v>
      </c>
      <c r="J3" s="45">
        <v>101.9</v>
      </c>
      <c r="K3" s="46">
        <v>151.97999999999999</v>
      </c>
      <c r="L3" s="46">
        <v>119.5</v>
      </c>
      <c r="M3" s="46">
        <v>118.87</v>
      </c>
      <c r="N3" s="46">
        <v>120.17</v>
      </c>
      <c r="O3" s="46">
        <v>106.84</v>
      </c>
      <c r="P3" s="46">
        <v>151.56</v>
      </c>
      <c r="Q3" s="46">
        <v>143.83000000000001</v>
      </c>
      <c r="R3" s="46">
        <v>135.53</v>
      </c>
      <c r="S3" s="46">
        <v>141.69</v>
      </c>
      <c r="T3" s="46">
        <v>112.18</v>
      </c>
      <c r="U3" s="46">
        <v>71.56</v>
      </c>
      <c r="V3" s="46">
        <v>111.83</v>
      </c>
      <c r="W3" s="46">
        <v>125.77500000000001</v>
      </c>
      <c r="X3" s="46">
        <v>137.59</v>
      </c>
      <c r="Y3" s="46">
        <v>105.9</v>
      </c>
      <c r="Z3" s="46">
        <v>139.79</v>
      </c>
      <c r="AA3" s="53">
        <v>81.790000000000006</v>
      </c>
      <c r="AB3" s="60">
        <v>94.77</v>
      </c>
      <c r="AC3" s="60">
        <v>116.97</v>
      </c>
      <c r="AD3" s="60">
        <v>113.87</v>
      </c>
      <c r="AE3" s="60">
        <v>76.95</v>
      </c>
      <c r="AF3" s="54">
        <v>138.32</v>
      </c>
      <c r="AG3" s="46">
        <v>88.83</v>
      </c>
      <c r="AH3" s="46">
        <v>112.46</v>
      </c>
      <c r="AI3" s="46">
        <v>72.739999999999995</v>
      </c>
      <c r="AJ3" s="46">
        <v>104.26</v>
      </c>
      <c r="AK3" s="46">
        <v>86.18</v>
      </c>
      <c r="AL3" s="46">
        <v>35.1</v>
      </c>
      <c r="AM3" s="46">
        <f t="shared" ref="AM3:AM60" si="0">AVERAGE(I3:AL3)</f>
        <v>112.01949999999997</v>
      </c>
    </row>
    <row r="4" spans="1:39" x14ac:dyDescent="0.3">
      <c r="A4" s="5">
        <v>3</v>
      </c>
      <c r="B4" s="6" t="s">
        <v>9</v>
      </c>
      <c r="C4" s="6" t="s">
        <v>88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46">
        <v>74.489999999999995</v>
      </c>
      <c r="J4" s="45">
        <v>76.41</v>
      </c>
      <c r="K4" s="46">
        <v>80</v>
      </c>
      <c r="L4" s="46">
        <v>75.819999999999993</v>
      </c>
      <c r="M4" s="46">
        <v>54.78</v>
      </c>
      <c r="N4" s="46">
        <v>77.27</v>
      </c>
      <c r="O4" s="46">
        <v>67.680000000000007</v>
      </c>
      <c r="P4" s="46">
        <v>68.430000000000007</v>
      </c>
      <c r="Q4" s="46">
        <v>72.739999999999995</v>
      </c>
      <c r="R4" s="46">
        <v>89.37</v>
      </c>
      <c r="S4" s="46">
        <v>82.3</v>
      </c>
      <c r="T4" s="46">
        <v>46.08</v>
      </c>
      <c r="U4" s="46">
        <v>65.89</v>
      </c>
      <c r="V4" s="46">
        <v>54.22</v>
      </c>
      <c r="W4" s="46">
        <v>64.069999999999993</v>
      </c>
      <c r="X4" s="46">
        <v>67.099999999999994</v>
      </c>
      <c r="Y4" s="46">
        <v>39.79</v>
      </c>
      <c r="Z4" s="46">
        <v>58.15</v>
      </c>
      <c r="AA4" s="53">
        <v>50.77</v>
      </c>
      <c r="AB4" s="60">
        <v>46.95</v>
      </c>
      <c r="AC4" s="60">
        <v>49.75</v>
      </c>
      <c r="AD4" s="60">
        <v>52.93</v>
      </c>
      <c r="AE4" s="60">
        <v>60.41</v>
      </c>
      <c r="AF4" s="54">
        <v>38.06</v>
      </c>
      <c r="AG4" s="46">
        <v>54.53</v>
      </c>
      <c r="AH4" s="46">
        <v>49.72</v>
      </c>
      <c r="AI4" s="46">
        <v>52.24</v>
      </c>
      <c r="AJ4" s="46">
        <v>50.01</v>
      </c>
      <c r="AK4" s="46">
        <v>47.65</v>
      </c>
      <c r="AL4" s="46">
        <v>13.48</v>
      </c>
      <c r="AM4" s="46">
        <f t="shared" si="0"/>
        <v>59.369666666666674</v>
      </c>
    </row>
    <row r="5" spans="1:39" x14ac:dyDescent="0.3">
      <c r="A5" s="5">
        <v>4</v>
      </c>
      <c r="B5" s="6" t="s">
        <v>9</v>
      </c>
      <c r="C5" s="6" t="s">
        <v>92</v>
      </c>
      <c r="D5" s="6" t="s">
        <v>18</v>
      </c>
      <c r="E5" s="6" t="s">
        <v>19</v>
      </c>
      <c r="F5" s="6" t="s">
        <v>13</v>
      </c>
      <c r="G5" s="6" t="s">
        <v>35</v>
      </c>
      <c r="H5" s="5">
        <v>3</v>
      </c>
      <c r="I5" s="45">
        <v>48.27</v>
      </c>
      <c r="J5" s="45">
        <v>42.18</v>
      </c>
      <c r="K5" s="46">
        <v>49.11</v>
      </c>
      <c r="L5" s="46">
        <v>52.06</v>
      </c>
      <c r="M5" s="46">
        <v>47.31</v>
      </c>
      <c r="N5" s="46">
        <v>51.78</v>
      </c>
      <c r="O5" s="46">
        <v>28.06</v>
      </c>
      <c r="P5" s="46">
        <v>51.67</v>
      </c>
      <c r="Q5" s="46">
        <v>39.03</v>
      </c>
      <c r="R5" s="46">
        <v>64.680000000000007</v>
      </c>
      <c r="S5" s="46">
        <v>53.12</v>
      </c>
      <c r="T5" s="46">
        <v>49.75</v>
      </c>
      <c r="U5" s="46">
        <v>45.47</v>
      </c>
      <c r="V5" s="46">
        <v>22.14</v>
      </c>
      <c r="W5" s="46">
        <v>29.73</v>
      </c>
      <c r="X5" s="46">
        <v>21.32</v>
      </c>
      <c r="Y5" s="46">
        <v>38.28</v>
      </c>
      <c r="Z5" s="46">
        <v>32.19</v>
      </c>
      <c r="AA5" s="53">
        <v>32.6</v>
      </c>
      <c r="AB5" s="60">
        <v>37.380000000000003</v>
      </c>
      <c r="AC5" s="60">
        <v>60.11</v>
      </c>
      <c r="AD5" s="60">
        <v>64.790000000000006</v>
      </c>
      <c r="AE5" s="60">
        <v>46.06</v>
      </c>
      <c r="AF5" s="54">
        <v>41.32</v>
      </c>
      <c r="AG5" s="46">
        <v>56.89</v>
      </c>
      <c r="AH5" s="46">
        <v>57.72</v>
      </c>
      <c r="AI5" s="46">
        <v>50.12</v>
      </c>
      <c r="AJ5" s="46">
        <v>42.21</v>
      </c>
      <c r="AK5" s="46">
        <v>37.61</v>
      </c>
      <c r="AL5" s="46">
        <v>12.1</v>
      </c>
      <c r="AM5" s="46">
        <f t="shared" si="0"/>
        <v>43.501999999999995</v>
      </c>
    </row>
    <row r="6" spans="1:39" x14ac:dyDescent="0.3">
      <c r="A6" s="5">
        <v>5</v>
      </c>
      <c r="B6" s="6" t="s">
        <v>9</v>
      </c>
      <c r="C6" s="6" t="s">
        <v>93</v>
      </c>
      <c r="D6" s="6" t="s">
        <v>26</v>
      </c>
      <c r="E6" s="6" t="s">
        <v>19</v>
      </c>
      <c r="F6" s="6" t="s">
        <v>13</v>
      </c>
      <c r="G6" s="6" t="s">
        <v>14</v>
      </c>
      <c r="H6" s="5">
        <v>1</v>
      </c>
      <c r="I6" s="45">
        <v>0</v>
      </c>
      <c r="J6" s="45">
        <v>0</v>
      </c>
      <c r="K6" s="46">
        <v>0</v>
      </c>
      <c r="L6" s="46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53">
        <v>0</v>
      </c>
      <c r="AB6" s="53">
        <v>0</v>
      </c>
      <c r="AC6" s="60">
        <v>0</v>
      </c>
      <c r="AD6" s="60">
        <v>0</v>
      </c>
      <c r="AE6" s="60">
        <v>0</v>
      </c>
      <c r="AF6" s="54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f t="shared" si="0"/>
        <v>0</v>
      </c>
    </row>
    <row r="7" spans="1:39" x14ac:dyDescent="0.3">
      <c r="A7" s="5">
        <v>6</v>
      </c>
      <c r="B7" s="6" t="s">
        <v>9</v>
      </c>
      <c r="C7" s="6" t="s">
        <v>27</v>
      </c>
      <c r="D7" s="6" t="s">
        <v>28</v>
      </c>
      <c r="E7" s="6" t="s">
        <v>19</v>
      </c>
      <c r="F7" s="6" t="s">
        <v>13</v>
      </c>
      <c r="G7" s="6" t="s">
        <v>14</v>
      </c>
      <c r="H7" s="5">
        <v>5</v>
      </c>
      <c r="I7" s="45">
        <v>0</v>
      </c>
      <c r="J7" s="45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53">
        <v>0</v>
      </c>
      <c r="AB7" s="53">
        <v>0</v>
      </c>
      <c r="AC7" s="60">
        <v>0</v>
      </c>
      <c r="AD7" s="60">
        <v>0</v>
      </c>
      <c r="AE7" s="60">
        <v>0</v>
      </c>
      <c r="AF7" s="54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f t="shared" si="0"/>
        <v>0</v>
      </c>
    </row>
    <row r="8" spans="1:39" x14ac:dyDescent="0.3">
      <c r="A8" s="5">
        <v>7</v>
      </c>
      <c r="B8" s="6" t="s">
        <v>9</v>
      </c>
      <c r="C8" s="6" t="s">
        <v>29</v>
      </c>
      <c r="D8" s="6" t="s">
        <v>30</v>
      </c>
      <c r="E8" s="6" t="s">
        <v>12</v>
      </c>
      <c r="F8" s="6" t="s">
        <v>13</v>
      </c>
      <c r="G8" s="6" t="s">
        <v>35</v>
      </c>
      <c r="H8" s="5">
        <v>8</v>
      </c>
      <c r="I8" s="45">
        <v>37.020000000000003</v>
      </c>
      <c r="J8" s="45">
        <v>66.67</v>
      </c>
      <c r="K8" s="46">
        <v>56.28</v>
      </c>
      <c r="L8" s="46">
        <v>70.34</v>
      </c>
      <c r="M8" s="46">
        <v>66.849999999999994</v>
      </c>
      <c r="N8" s="46">
        <v>60.49</v>
      </c>
      <c r="O8" s="46">
        <v>69.650000000000006</v>
      </c>
      <c r="P8" s="46">
        <v>82.91</v>
      </c>
      <c r="Q8" s="46">
        <v>71.98</v>
      </c>
      <c r="R8" s="46">
        <v>92.97</v>
      </c>
      <c r="S8" s="46">
        <v>102.39</v>
      </c>
      <c r="T8" s="46">
        <v>59.57</v>
      </c>
      <c r="U8" s="46">
        <v>51.25</v>
      </c>
      <c r="V8" s="46">
        <v>58.2</v>
      </c>
      <c r="W8" s="46">
        <v>51.23</v>
      </c>
      <c r="X8" s="46">
        <v>57.78</v>
      </c>
      <c r="Y8" s="46">
        <v>48.6</v>
      </c>
      <c r="Z8" s="46">
        <v>85.39</v>
      </c>
      <c r="AA8" s="53">
        <v>65.900000000000006</v>
      </c>
      <c r="AB8" s="60">
        <v>63.49</v>
      </c>
      <c r="AC8" s="60">
        <v>61.48</v>
      </c>
      <c r="AD8" s="60">
        <v>67.53</v>
      </c>
      <c r="AE8" s="60">
        <v>55.43</v>
      </c>
      <c r="AF8" s="54">
        <v>79.239999999999995</v>
      </c>
      <c r="AG8" s="46">
        <v>67.89</v>
      </c>
      <c r="AH8" s="46">
        <v>68.22</v>
      </c>
      <c r="AI8" s="46">
        <v>55.51</v>
      </c>
      <c r="AJ8" s="46">
        <v>57.74</v>
      </c>
      <c r="AK8" s="46">
        <v>47.67</v>
      </c>
      <c r="AL8" s="46">
        <v>46.71</v>
      </c>
      <c r="AM8" s="46">
        <f t="shared" si="0"/>
        <v>64.212666666666692</v>
      </c>
    </row>
    <row r="9" spans="1:39" x14ac:dyDescent="0.3">
      <c r="A9" s="5">
        <v>8</v>
      </c>
      <c r="B9" s="6" t="s">
        <v>9</v>
      </c>
      <c r="C9" s="6" t="s">
        <v>94</v>
      </c>
      <c r="D9" s="6" t="s">
        <v>32</v>
      </c>
      <c r="E9" s="6" t="s">
        <v>19</v>
      </c>
      <c r="F9" s="6" t="s">
        <v>13</v>
      </c>
      <c r="G9" s="6" t="s">
        <v>14</v>
      </c>
      <c r="H9" s="5">
        <v>2</v>
      </c>
      <c r="I9" s="45">
        <v>0</v>
      </c>
      <c r="J9" s="45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53">
        <v>0</v>
      </c>
      <c r="AB9" s="53">
        <v>0</v>
      </c>
      <c r="AC9" s="60">
        <v>0</v>
      </c>
      <c r="AD9" s="60">
        <v>0</v>
      </c>
      <c r="AE9" s="60">
        <v>0</v>
      </c>
      <c r="AF9" s="54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f t="shared" si="0"/>
        <v>0</v>
      </c>
    </row>
    <row r="10" spans="1:39" x14ac:dyDescent="0.3">
      <c r="A10" s="5">
        <v>9</v>
      </c>
      <c r="B10" s="6" t="s">
        <v>9</v>
      </c>
      <c r="C10" s="6" t="s">
        <v>34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17</v>
      </c>
      <c r="I10" s="45">
        <v>174.26</v>
      </c>
      <c r="J10" s="45">
        <v>211.54</v>
      </c>
      <c r="K10" s="46">
        <v>166.08</v>
      </c>
      <c r="L10" s="46">
        <v>161.63999999999999</v>
      </c>
      <c r="M10" s="46">
        <v>174.57</v>
      </c>
      <c r="N10" s="46">
        <v>156.96</v>
      </c>
      <c r="O10" s="46">
        <v>150.44</v>
      </c>
      <c r="P10" s="46">
        <v>112.46</v>
      </c>
      <c r="Q10" s="46">
        <v>127.37</v>
      </c>
      <c r="R10" s="46">
        <v>105.27</v>
      </c>
      <c r="S10" s="46">
        <v>140.4</v>
      </c>
      <c r="T10" s="46">
        <v>114.71</v>
      </c>
      <c r="U10" s="46">
        <v>94.28</v>
      </c>
      <c r="V10" s="46">
        <v>95.8</v>
      </c>
      <c r="W10" s="46">
        <v>124.68</v>
      </c>
      <c r="X10" s="46">
        <v>120.37</v>
      </c>
      <c r="Y10" s="46">
        <v>130.79</v>
      </c>
      <c r="Z10" s="46">
        <v>165.16</v>
      </c>
      <c r="AA10" s="53">
        <v>139.96</v>
      </c>
      <c r="AB10" s="60">
        <v>122.92</v>
      </c>
      <c r="AC10" s="60">
        <v>114.98</v>
      </c>
      <c r="AD10" s="60">
        <v>152.1</v>
      </c>
      <c r="AE10" s="60">
        <v>164.58</v>
      </c>
      <c r="AF10" s="54">
        <v>127.83</v>
      </c>
      <c r="AG10" s="46">
        <v>101.67</v>
      </c>
      <c r="AH10" s="46">
        <v>169.16</v>
      </c>
      <c r="AI10" s="46">
        <v>158.94</v>
      </c>
      <c r="AJ10" s="46">
        <v>127.22</v>
      </c>
      <c r="AK10" s="46">
        <v>148.77000000000001</v>
      </c>
      <c r="AL10" s="46">
        <v>123.57</v>
      </c>
      <c r="AM10" s="46">
        <f t="shared" si="0"/>
        <v>139.28266666666664</v>
      </c>
    </row>
    <row r="11" spans="1:39" x14ac:dyDescent="0.3">
      <c r="A11" s="5">
        <v>10</v>
      </c>
      <c r="B11" s="6" t="s">
        <v>9</v>
      </c>
      <c r="C11" s="6" t="s">
        <v>34</v>
      </c>
      <c r="D11" s="6" t="s">
        <v>30</v>
      </c>
      <c r="E11" s="6" t="s">
        <v>12</v>
      </c>
      <c r="F11" s="6" t="s">
        <v>13</v>
      </c>
      <c r="G11" s="6" t="s">
        <v>80</v>
      </c>
      <c r="H11" s="5">
        <v>1</v>
      </c>
      <c r="I11" s="45">
        <v>0</v>
      </c>
      <c r="J11" s="45">
        <v>0.02</v>
      </c>
      <c r="K11" s="46">
        <v>2.17</v>
      </c>
      <c r="L11" s="46">
        <v>2.34</v>
      </c>
      <c r="M11" s="46">
        <v>5.58</v>
      </c>
      <c r="N11" s="46">
        <v>22.21</v>
      </c>
      <c r="O11" s="46">
        <v>23.82</v>
      </c>
      <c r="P11" s="46">
        <v>18.13</v>
      </c>
      <c r="Q11" s="46">
        <v>18.420000000000002</v>
      </c>
      <c r="R11" s="46">
        <v>20.239999999999998</v>
      </c>
      <c r="S11" s="46">
        <v>16.86</v>
      </c>
      <c r="T11" s="46">
        <v>28.58</v>
      </c>
      <c r="U11" s="46">
        <v>15.08</v>
      </c>
      <c r="V11" s="46">
        <v>13.16</v>
      </c>
      <c r="W11" s="46">
        <v>25.87</v>
      </c>
      <c r="X11" s="46">
        <v>15.71</v>
      </c>
      <c r="Y11" s="46">
        <v>24.33</v>
      </c>
      <c r="Z11" s="46">
        <v>11.58</v>
      </c>
      <c r="AA11" s="53">
        <v>16.920000000000002</v>
      </c>
      <c r="AB11" s="60">
        <v>12.01</v>
      </c>
      <c r="AC11" s="60">
        <v>43.03</v>
      </c>
      <c r="AD11" s="60">
        <v>19.16</v>
      </c>
      <c r="AE11" s="60">
        <v>24.9</v>
      </c>
      <c r="AF11" s="54">
        <v>8.9600000000000009</v>
      </c>
      <c r="AG11" s="46">
        <v>13.47</v>
      </c>
      <c r="AH11" s="46">
        <v>19.8</v>
      </c>
      <c r="AI11" s="46">
        <v>8.69</v>
      </c>
      <c r="AJ11" s="46">
        <v>25.28</v>
      </c>
      <c r="AK11" s="46">
        <v>6.54</v>
      </c>
      <c r="AL11" s="46">
        <v>7.15</v>
      </c>
      <c r="AM11" s="46">
        <f t="shared" si="0"/>
        <v>15.667000000000002</v>
      </c>
    </row>
    <row r="12" spans="1:39" x14ac:dyDescent="0.3">
      <c r="A12" s="5">
        <v>11</v>
      </c>
      <c r="B12" s="6" t="s">
        <v>9</v>
      </c>
      <c r="C12" s="6" t="s">
        <v>34</v>
      </c>
      <c r="D12" s="6" t="s">
        <v>30</v>
      </c>
      <c r="E12" s="6" t="s">
        <v>12</v>
      </c>
      <c r="F12" s="6" t="s">
        <v>124</v>
      </c>
      <c r="G12" s="6" t="s">
        <v>80</v>
      </c>
      <c r="H12" s="5">
        <v>1</v>
      </c>
      <c r="I12" s="45">
        <v>0</v>
      </c>
      <c r="J12" s="45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22.27</v>
      </c>
      <c r="Q12" s="46">
        <v>9.5399999999999991</v>
      </c>
      <c r="R12" s="46">
        <v>16.25</v>
      </c>
      <c r="S12" s="46">
        <v>8.82</v>
      </c>
      <c r="T12" s="46">
        <v>4.38</v>
      </c>
      <c r="U12" s="46">
        <v>9.2799999999999994</v>
      </c>
      <c r="V12" s="46">
        <v>4.53</v>
      </c>
      <c r="W12" s="46">
        <v>16.670000000000002</v>
      </c>
      <c r="X12" s="46">
        <v>19.7</v>
      </c>
      <c r="Y12" s="46">
        <v>11.82</v>
      </c>
      <c r="Z12" s="46">
        <v>16.260000000000002</v>
      </c>
      <c r="AA12" s="53">
        <v>13.49</v>
      </c>
      <c r="AB12" s="60">
        <v>15.45</v>
      </c>
      <c r="AC12" s="60">
        <v>6.95</v>
      </c>
      <c r="AD12" s="60">
        <v>8.8000000000000007</v>
      </c>
      <c r="AE12" s="60">
        <v>0.01</v>
      </c>
      <c r="AF12" s="54">
        <v>0.01</v>
      </c>
      <c r="AG12" s="46">
        <v>0.28999999999999998</v>
      </c>
      <c r="AH12" s="46">
        <v>3.71</v>
      </c>
      <c r="AI12" s="46">
        <v>7.6</v>
      </c>
      <c r="AJ12" s="46">
        <v>13.19</v>
      </c>
      <c r="AK12" s="46">
        <v>11.92</v>
      </c>
      <c r="AL12" s="46">
        <v>14.18</v>
      </c>
      <c r="AM12" s="46">
        <f t="shared" si="0"/>
        <v>7.8373333333333326</v>
      </c>
    </row>
    <row r="13" spans="1:39" x14ac:dyDescent="0.3">
      <c r="A13" s="5">
        <v>12</v>
      </c>
      <c r="B13" s="6" t="s">
        <v>9</v>
      </c>
      <c r="C13" s="6" t="s">
        <v>36</v>
      </c>
      <c r="D13" s="6" t="s">
        <v>30</v>
      </c>
      <c r="E13" s="6" t="s">
        <v>19</v>
      </c>
      <c r="F13" s="6" t="s">
        <v>13</v>
      </c>
      <c r="G13" s="6" t="s">
        <v>35</v>
      </c>
      <c r="H13" s="5">
        <v>6</v>
      </c>
      <c r="I13" s="45">
        <v>30.76</v>
      </c>
      <c r="J13" s="45">
        <v>43.84</v>
      </c>
      <c r="K13" s="46">
        <v>40.11</v>
      </c>
      <c r="L13" s="46">
        <v>26.15</v>
      </c>
      <c r="M13" s="46">
        <v>22.75</v>
      </c>
      <c r="N13" s="46">
        <v>14.06</v>
      </c>
      <c r="O13" s="46">
        <v>32.979999999999997</v>
      </c>
      <c r="P13" s="46">
        <v>14.29</v>
      </c>
      <c r="Q13" s="46">
        <v>16.5</v>
      </c>
      <c r="R13" s="46">
        <v>24.75</v>
      </c>
      <c r="S13" s="46">
        <v>24.78</v>
      </c>
      <c r="T13" s="46">
        <v>33.159999999999997</v>
      </c>
      <c r="U13" s="46">
        <v>23.35</v>
      </c>
      <c r="V13" s="46">
        <v>19.579999999999998</v>
      </c>
      <c r="W13" s="46">
        <v>22.5</v>
      </c>
      <c r="X13" s="46">
        <v>24.69</v>
      </c>
      <c r="Y13" s="46">
        <v>36.56</v>
      </c>
      <c r="Z13" s="46">
        <v>27.56</v>
      </c>
      <c r="AA13" s="53">
        <v>25.09</v>
      </c>
      <c r="AB13" s="60">
        <v>17.010000000000002</v>
      </c>
      <c r="AC13" s="60">
        <v>32.020000000000003</v>
      </c>
      <c r="AD13" s="60">
        <v>17.95</v>
      </c>
      <c r="AE13" s="60">
        <v>30.83</v>
      </c>
      <c r="AF13" s="54">
        <v>24.06</v>
      </c>
      <c r="AG13" s="46">
        <v>25.02</v>
      </c>
      <c r="AH13" s="46">
        <v>27.97</v>
      </c>
      <c r="AI13" s="46">
        <v>18.010000000000002</v>
      </c>
      <c r="AJ13" s="46">
        <v>20.440000000000001</v>
      </c>
      <c r="AK13" s="46">
        <v>22.82</v>
      </c>
      <c r="AL13" s="46">
        <v>26.55</v>
      </c>
      <c r="AM13" s="46">
        <f t="shared" si="0"/>
        <v>25.538000000000004</v>
      </c>
    </row>
    <row r="14" spans="1:39" x14ac:dyDescent="0.3">
      <c r="A14" s="5">
        <v>13</v>
      </c>
      <c r="B14" s="6" t="s">
        <v>9</v>
      </c>
      <c r="C14" s="6" t="s">
        <v>37</v>
      </c>
      <c r="D14" s="6" t="s">
        <v>30</v>
      </c>
      <c r="E14" s="6" t="s">
        <v>12</v>
      </c>
      <c r="F14" s="6" t="s">
        <v>13</v>
      </c>
      <c r="G14" s="6" t="s">
        <v>35</v>
      </c>
      <c r="H14" s="5">
        <v>6</v>
      </c>
      <c r="I14" s="45">
        <v>36.92</v>
      </c>
      <c r="J14" s="45">
        <v>40.96</v>
      </c>
      <c r="K14" s="46">
        <v>32.270000000000003</v>
      </c>
      <c r="L14" s="46">
        <v>52.44</v>
      </c>
      <c r="M14" s="46">
        <v>46.16</v>
      </c>
      <c r="N14" s="46">
        <v>39.28</v>
      </c>
      <c r="O14" s="46">
        <v>43.05</v>
      </c>
      <c r="P14" s="46">
        <v>45.88</v>
      </c>
      <c r="Q14" s="46">
        <v>43.01</v>
      </c>
      <c r="R14" s="46">
        <v>52.04</v>
      </c>
      <c r="S14" s="46">
        <v>41.77</v>
      </c>
      <c r="T14" s="46">
        <v>41.63</v>
      </c>
      <c r="U14" s="46">
        <v>30.18</v>
      </c>
      <c r="V14" s="46">
        <v>33.94</v>
      </c>
      <c r="W14" s="46">
        <v>34.340000000000003</v>
      </c>
      <c r="X14" s="46">
        <v>23.12</v>
      </c>
      <c r="Y14" s="46">
        <v>43.16</v>
      </c>
      <c r="Z14" s="46">
        <v>44.99</v>
      </c>
      <c r="AA14" s="53">
        <v>48.02</v>
      </c>
      <c r="AB14" s="60">
        <v>32.79</v>
      </c>
      <c r="AC14" s="60">
        <v>38.32</v>
      </c>
      <c r="AD14" s="60">
        <v>31.19</v>
      </c>
      <c r="AE14" s="60">
        <v>36.96</v>
      </c>
      <c r="AF14" s="54">
        <v>41.2</v>
      </c>
      <c r="AG14" s="46">
        <v>17.75</v>
      </c>
      <c r="AH14" s="46">
        <v>43.77</v>
      </c>
      <c r="AI14" s="46">
        <v>34.08</v>
      </c>
      <c r="AJ14" s="46">
        <v>36.619999999999997</v>
      </c>
      <c r="AK14" s="46">
        <v>29.47</v>
      </c>
      <c r="AL14" s="46">
        <v>31.48</v>
      </c>
      <c r="AM14" s="46">
        <f t="shared" si="0"/>
        <v>38.226333333333329</v>
      </c>
    </row>
    <row r="15" spans="1:39" x14ac:dyDescent="0.3">
      <c r="A15" s="5">
        <v>14</v>
      </c>
      <c r="B15" s="6" t="s">
        <v>9</v>
      </c>
      <c r="C15" s="6" t="s">
        <v>38</v>
      </c>
      <c r="D15" s="6" t="s">
        <v>30</v>
      </c>
      <c r="E15" s="6" t="s">
        <v>19</v>
      </c>
      <c r="F15" s="6" t="s">
        <v>13</v>
      </c>
      <c r="G15" s="6" t="s">
        <v>35</v>
      </c>
      <c r="H15" s="5">
        <v>3</v>
      </c>
      <c r="I15" s="45">
        <v>53.63</v>
      </c>
      <c r="J15" s="45">
        <v>33.76</v>
      </c>
      <c r="K15" s="46">
        <v>38.79</v>
      </c>
      <c r="L15" s="46">
        <v>27.63</v>
      </c>
      <c r="M15" s="46">
        <v>47.05</v>
      </c>
      <c r="N15" s="46">
        <v>53.38</v>
      </c>
      <c r="O15" s="46">
        <v>26.64</v>
      </c>
      <c r="P15" s="46">
        <v>42.36</v>
      </c>
      <c r="Q15" s="46">
        <v>53.44</v>
      </c>
      <c r="R15" s="46">
        <v>38.57</v>
      </c>
      <c r="S15" s="46">
        <v>42.66</v>
      </c>
      <c r="T15" s="46">
        <v>59.78</v>
      </c>
      <c r="U15" s="46">
        <v>29.58</v>
      </c>
      <c r="V15" s="46">
        <v>40.799999999999997</v>
      </c>
      <c r="W15" s="46">
        <v>40.369999999999997</v>
      </c>
      <c r="X15" s="46">
        <v>44.63</v>
      </c>
      <c r="Y15" s="46">
        <v>51.66</v>
      </c>
      <c r="Z15" s="46">
        <v>50.89</v>
      </c>
      <c r="AA15" s="53">
        <v>17.350000000000001</v>
      </c>
      <c r="AB15" s="60">
        <v>58.49</v>
      </c>
      <c r="AC15" s="60">
        <v>32.53</v>
      </c>
      <c r="AD15" s="60">
        <v>57.55</v>
      </c>
      <c r="AE15" s="60">
        <v>34.75</v>
      </c>
      <c r="AF15" s="54">
        <v>45.47</v>
      </c>
      <c r="AG15" s="46">
        <v>44.57</v>
      </c>
      <c r="AH15" s="46">
        <v>31.76</v>
      </c>
      <c r="AI15" s="46">
        <v>48.82</v>
      </c>
      <c r="AJ15" s="46">
        <v>39.72</v>
      </c>
      <c r="AK15" s="46">
        <v>5.39</v>
      </c>
      <c r="AL15" s="46">
        <v>25.22</v>
      </c>
      <c r="AM15" s="46">
        <f t="shared" si="0"/>
        <v>40.574666666666666</v>
      </c>
    </row>
    <row r="16" spans="1:39" x14ac:dyDescent="0.3">
      <c r="A16" s="5">
        <v>15</v>
      </c>
      <c r="B16" s="6" t="s">
        <v>9</v>
      </c>
      <c r="C16" s="6" t="s">
        <v>39</v>
      </c>
      <c r="D16" s="6" t="s">
        <v>30</v>
      </c>
      <c r="E16" s="6" t="s">
        <v>19</v>
      </c>
      <c r="F16" s="6" t="s">
        <v>13</v>
      </c>
      <c r="G16" s="6" t="s">
        <v>14</v>
      </c>
      <c r="H16" s="5">
        <v>3</v>
      </c>
      <c r="I16" s="45">
        <v>0</v>
      </c>
      <c r="J16" s="45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53">
        <v>0</v>
      </c>
      <c r="AB16" s="53">
        <v>0</v>
      </c>
      <c r="AC16" s="60">
        <v>0</v>
      </c>
      <c r="AD16" s="60">
        <v>0</v>
      </c>
      <c r="AE16" s="60">
        <v>0</v>
      </c>
      <c r="AF16" s="54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6">
        <f t="shared" si="0"/>
        <v>0</v>
      </c>
    </row>
    <row r="17" spans="1:39" x14ac:dyDescent="0.3">
      <c r="A17" s="5">
        <v>16</v>
      </c>
      <c r="B17" s="6" t="s">
        <v>9</v>
      </c>
      <c r="C17" s="6" t="s">
        <v>96</v>
      </c>
      <c r="D17" s="6" t="s">
        <v>43</v>
      </c>
      <c r="E17" s="6" t="s">
        <v>19</v>
      </c>
      <c r="F17" s="6" t="s">
        <v>13</v>
      </c>
      <c r="G17" s="6" t="s">
        <v>14</v>
      </c>
      <c r="H17" s="5">
        <v>1</v>
      </c>
      <c r="I17" s="45">
        <v>0</v>
      </c>
      <c r="J17" s="45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53">
        <v>0</v>
      </c>
      <c r="AB17" s="53">
        <v>0</v>
      </c>
      <c r="AC17" s="60">
        <v>0</v>
      </c>
      <c r="AD17" s="60">
        <v>0</v>
      </c>
      <c r="AE17" s="60">
        <v>0</v>
      </c>
      <c r="AF17" s="54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f t="shared" si="0"/>
        <v>0</v>
      </c>
    </row>
    <row r="18" spans="1:39" x14ac:dyDescent="0.3">
      <c r="A18" s="5">
        <v>17</v>
      </c>
      <c r="B18" s="6" t="s">
        <v>9</v>
      </c>
      <c r="C18" s="6" t="s">
        <v>125</v>
      </c>
      <c r="D18" s="6" t="s">
        <v>48</v>
      </c>
      <c r="E18" s="6" t="s">
        <v>19</v>
      </c>
      <c r="F18" s="6" t="s">
        <v>13</v>
      </c>
      <c r="G18" s="6" t="s">
        <v>14</v>
      </c>
      <c r="H18" s="5">
        <v>1</v>
      </c>
      <c r="I18" s="45">
        <v>0</v>
      </c>
      <c r="J18" s="45">
        <v>0</v>
      </c>
      <c r="K18" s="46">
        <v>0</v>
      </c>
      <c r="L18" s="46">
        <v>0</v>
      </c>
      <c r="M18" s="46">
        <v>0</v>
      </c>
      <c r="N18" s="46">
        <v>3.0000000000000001E-3</v>
      </c>
      <c r="O18" s="46">
        <v>2.5110000000000001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0</v>
      </c>
      <c r="Z18" s="46">
        <v>0</v>
      </c>
      <c r="AA18" s="53">
        <v>0</v>
      </c>
      <c r="AB18" s="53">
        <v>0</v>
      </c>
      <c r="AC18" s="60">
        <v>0</v>
      </c>
      <c r="AD18" s="60">
        <v>0</v>
      </c>
      <c r="AE18" s="60">
        <v>3.5939999999999999</v>
      </c>
      <c r="AF18" s="54">
        <v>0</v>
      </c>
      <c r="AG18" s="46">
        <v>0</v>
      </c>
      <c r="AH18" s="46">
        <v>0</v>
      </c>
      <c r="AI18" s="46">
        <v>4.8769999999999998</v>
      </c>
      <c r="AJ18" s="46">
        <v>0</v>
      </c>
      <c r="AK18" s="46">
        <v>0</v>
      </c>
      <c r="AL18" s="46">
        <v>0</v>
      </c>
      <c r="AM18" s="46">
        <f t="shared" si="0"/>
        <v>0.36616666666666664</v>
      </c>
    </row>
    <row r="19" spans="1:39" x14ac:dyDescent="0.3">
      <c r="A19" s="5">
        <v>18</v>
      </c>
      <c r="B19" s="6" t="s">
        <v>9</v>
      </c>
      <c r="C19" s="6" t="s">
        <v>140</v>
      </c>
      <c r="D19" s="6" t="s">
        <v>128</v>
      </c>
      <c r="E19" s="6" t="s">
        <v>12</v>
      </c>
      <c r="F19" s="6" t="s">
        <v>95</v>
      </c>
      <c r="G19" s="6" t="s">
        <v>35</v>
      </c>
      <c r="H19" s="5">
        <v>1</v>
      </c>
      <c r="I19" s="45">
        <v>0</v>
      </c>
      <c r="J19" s="45">
        <v>0.06</v>
      </c>
      <c r="K19" s="46">
        <v>0</v>
      </c>
      <c r="L19" s="46">
        <v>0</v>
      </c>
      <c r="M19" s="46">
        <v>0</v>
      </c>
      <c r="N19" s="46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53">
        <v>0</v>
      </c>
      <c r="AB19" s="60">
        <v>0</v>
      </c>
      <c r="AC19" s="60">
        <v>0</v>
      </c>
      <c r="AD19" s="60">
        <v>0</v>
      </c>
      <c r="AE19" s="60">
        <v>0</v>
      </c>
      <c r="AF19" s="54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f t="shared" si="0"/>
        <v>2E-3</v>
      </c>
    </row>
    <row r="20" spans="1:39" x14ac:dyDescent="0.3">
      <c r="A20" s="5">
        <v>19</v>
      </c>
      <c r="B20" s="6" t="s">
        <v>9</v>
      </c>
      <c r="C20" s="6" t="s">
        <v>141</v>
      </c>
      <c r="D20" s="6" t="s">
        <v>128</v>
      </c>
      <c r="E20" s="6" t="s">
        <v>12</v>
      </c>
      <c r="F20" s="6" t="s">
        <v>13</v>
      </c>
      <c r="G20" s="6" t="s">
        <v>35</v>
      </c>
      <c r="H20" s="5">
        <v>2</v>
      </c>
      <c r="I20" s="45"/>
      <c r="J20" s="45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>
        <v>0</v>
      </c>
      <c r="Z20" s="46">
        <v>0</v>
      </c>
      <c r="AA20" s="53">
        <v>0</v>
      </c>
      <c r="AB20" s="60">
        <v>0</v>
      </c>
      <c r="AC20" s="60">
        <v>0</v>
      </c>
      <c r="AD20" s="60">
        <v>0</v>
      </c>
      <c r="AE20" s="60">
        <v>0</v>
      </c>
      <c r="AF20" s="54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f t="shared" si="0"/>
        <v>0</v>
      </c>
    </row>
    <row r="21" spans="1:39" x14ac:dyDescent="0.3">
      <c r="A21" s="5">
        <v>20</v>
      </c>
      <c r="B21" s="6" t="s">
        <v>49</v>
      </c>
      <c r="C21" s="6" t="s">
        <v>142</v>
      </c>
      <c r="D21" s="6" t="s">
        <v>128</v>
      </c>
      <c r="E21" s="6" t="s">
        <v>12</v>
      </c>
      <c r="F21" s="6" t="s">
        <v>13</v>
      </c>
      <c r="G21" s="6" t="s">
        <v>35</v>
      </c>
      <c r="H21" s="5">
        <v>5</v>
      </c>
      <c r="I21" s="45">
        <v>22.69</v>
      </c>
      <c r="J21" s="45">
        <v>6.95</v>
      </c>
      <c r="K21" s="46">
        <v>28.85</v>
      </c>
      <c r="L21" s="46">
        <v>6.73</v>
      </c>
      <c r="M21" s="46">
        <v>0</v>
      </c>
      <c r="N21" s="46">
        <v>15.41</v>
      </c>
      <c r="O21" s="46">
        <v>19.149999999999999</v>
      </c>
      <c r="P21" s="46">
        <v>5.55</v>
      </c>
      <c r="Q21" s="46">
        <v>18.47</v>
      </c>
      <c r="R21" s="46">
        <v>5.33</v>
      </c>
      <c r="S21" s="46">
        <v>33.26</v>
      </c>
      <c r="T21" s="46">
        <v>17.57</v>
      </c>
      <c r="U21" s="46">
        <v>11.17</v>
      </c>
      <c r="V21" s="46">
        <v>23.5</v>
      </c>
      <c r="W21" s="46">
        <v>6.44</v>
      </c>
      <c r="X21" s="46">
        <v>21.54</v>
      </c>
      <c r="Y21" s="46">
        <v>30.01</v>
      </c>
      <c r="Z21" s="46">
        <v>4.1100000000000003</v>
      </c>
      <c r="AA21" s="53">
        <v>13.22</v>
      </c>
      <c r="AB21" s="60">
        <v>19.760000000000002</v>
      </c>
      <c r="AC21" s="60">
        <v>21.63</v>
      </c>
      <c r="AD21" s="60">
        <v>17.28</v>
      </c>
      <c r="AE21" s="60">
        <v>36.69</v>
      </c>
      <c r="AF21" s="54">
        <v>27.49</v>
      </c>
      <c r="AG21" s="46">
        <v>24.1</v>
      </c>
      <c r="AH21" s="46">
        <v>8.92</v>
      </c>
      <c r="AI21" s="46">
        <v>9.99</v>
      </c>
      <c r="AJ21" s="46">
        <v>9.6</v>
      </c>
      <c r="AK21" s="46">
        <v>19.66</v>
      </c>
      <c r="AL21" s="46">
        <v>20.36</v>
      </c>
      <c r="AM21" s="46">
        <f t="shared" si="0"/>
        <v>16.847666666666672</v>
      </c>
    </row>
    <row r="22" spans="1:39" x14ac:dyDescent="0.3">
      <c r="A22" s="5">
        <v>21</v>
      </c>
      <c r="B22" s="6" t="s">
        <v>49</v>
      </c>
      <c r="C22" s="6" t="s">
        <v>98</v>
      </c>
      <c r="D22" s="6" t="s">
        <v>18</v>
      </c>
      <c r="E22" s="6" t="s">
        <v>19</v>
      </c>
      <c r="F22" s="6" t="s">
        <v>13</v>
      </c>
      <c r="G22" s="6" t="s">
        <v>14</v>
      </c>
      <c r="H22" s="5">
        <v>5</v>
      </c>
      <c r="I22" s="46">
        <v>0</v>
      </c>
      <c r="J22" s="45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53">
        <v>0</v>
      </c>
      <c r="AB22" s="60">
        <v>0</v>
      </c>
      <c r="AC22" s="60">
        <v>0</v>
      </c>
      <c r="AD22" s="60">
        <v>0</v>
      </c>
      <c r="AE22" s="60">
        <v>0</v>
      </c>
      <c r="AF22" s="54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f t="shared" si="0"/>
        <v>0</v>
      </c>
    </row>
    <row r="23" spans="1:39" x14ac:dyDescent="0.3">
      <c r="A23" s="5">
        <v>22</v>
      </c>
      <c r="B23" s="6" t="s">
        <v>49</v>
      </c>
      <c r="C23" s="6" t="s">
        <v>99</v>
      </c>
      <c r="D23" s="6" t="s">
        <v>128</v>
      </c>
      <c r="E23" s="6" t="s">
        <v>12</v>
      </c>
      <c r="F23" s="6" t="s">
        <v>13</v>
      </c>
      <c r="G23" s="6" t="s">
        <v>35</v>
      </c>
      <c r="H23" s="5">
        <v>10</v>
      </c>
      <c r="I23" s="45">
        <v>73.22</v>
      </c>
      <c r="J23" s="45">
        <v>81.64</v>
      </c>
      <c r="K23" s="46">
        <v>87.26</v>
      </c>
      <c r="L23" s="46">
        <v>59.78</v>
      </c>
      <c r="M23" s="46">
        <v>52.69</v>
      </c>
      <c r="N23" s="46">
        <v>135.49</v>
      </c>
      <c r="O23" s="46">
        <v>64.31</v>
      </c>
      <c r="P23" s="46">
        <v>75.8</v>
      </c>
      <c r="Q23" s="46">
        <v>77.319999999999993</v>
      </c>
      <c r="R23" s="46">
        <v>100.98</v>
      </c>
      <c r="S23" s="46">
        <v>80.64</v>
      </c>
      <c r="T23" s="46">
        <v>95.6</v>
      </c>
      <c r="U23" s="46">
        <v>71.739999999999995</v>
      </c>
      <c r="V23" s="46">
        <v>60.54</v>
      </c>
      <c r="W23" s="46">
        <v>64.69</v>
      </c>
      <c r="X23" s="46">
        <v>37.520000000000003</v>
      </c>
      <c r="Y23" s="46">
        <v>95.87</v>
      </c>
      <c r="Z23" s="46">
        <v>58.49</v>
      </c>
      <c r="AA23" s="53">
        <v>68.680000000000007</v>
      </c>
      <c r="AB23" s="60">
        <v>68.67</v>
      </c>
      <c r="AC23" s="60">
        <v>59.6</v>
      </c>
      <c r="AD23" s="60">
        <v>75.27</v>
      </c>
      <c r="AE23" s="60">
        <v>64.459999999999994</v>
      </c>
      <c r="AF23" s="54">
        <v>86.28</v>
      </c>
      <c r="AG23" s="46">
        <v>58.25</v>
      </c>
      <c r="AH23" s="46">
        <v>67.44</v>
      </c>
      <c r="AI23" s="46">
        <v>75.28</v>
      </c>
      <c r="AJ23" s="46">
        <v>84.26</v>
      </c>
      <c r="AK23" s="46">
        <v>73.680000000000007</v>
      </c>
      <c r="AL23" s="46">
        <v>51.03</v>
      </c>
      <c r="AM23" s="46">
        <f t="shared" si="0"/>
        <v>73.549333333333351</v>
      </c>
    </row>
    <row r="24" spans="1:39" x14ac:dyDescent="0.3">
      <c r="A24" s="5">
        <v>23</v>
      </c>
      <c r="B24" s="6" t="s">
        <v>52</v>
      </c>
      <c r="C24" s="6" t="s">
        <v>100</v>
      </c>
      <c r="D24" s="6" t="s">
        <v>128</v>
      </c>
      <c r="E24" s="6" t="s">
        <v>19</v>
      </c>
      <c r="F24" s="6" t="s">
        <v>13</v>
      </c>
      <c r="G24" s="6" t="s">
        <v>35</v>
      </c>
      <c r="H24" s="5">
        <v>5</v>
      </c>
      <c r="I24" s="45">
        <v>30.36</v>
      </c>
      <c r="J24" s="45">
        <v>22.84</v>
      </c>
      <c r="K24" s="46">
        <v>24.98</v>
      </c>
      <c r="L24" s="46">
        <v>6.53</v>
      </c>
      <c r="M24" s="46">
        <v>6.65</v>
      </c>
      <c r="N24" s="46">
        <v>23.45</v>
      </c>
      <c r="O24" s="46">
        <v>38.33</v>
      </c>
      <c r="P24" s="46">
        <v>13.56</v>
      </c>
      <c r="Q24" s="46">
        <v>28.33</v>
      </c>
      <c r="R24" s="46">
        <v>18.690000000000001</v>
      </c>
      <c r="S24" s="46">
        <v>23.32</v>
      </c>
      <c r="T24" s="46">
        <v>2.91</v>
      </c>
      <c r="U24" s="46">
        <v>24.29</v>
      </c>
      <c r="V24" s="46">
        <v>16.36</v>
      </c>
      <c r="W24" s="46">
        <v>26.9</v>
      </c>
      <c r="X24" s="46">
        <v>5.96</v>
      </c>
      <c r="Y24" s="46">
        <v>0</v>
      </c>
      <c r="Z24" s="46">
        <v>0</v>
      </c>
      <c r="AA24" s="53">
        <v>0</v>
      </c>
      <c r="AB24" s="60">
        <v>0</v>
      </c>
      <c r="AC24" s="60">
        <v>0</v>
      </c>
      <c r="AD24" s="60">
        <v>0</v>
      </c>
      <c r="AE24" s="60">
        <v>0</v>
      </c>
      <c r="AF24" s="54">
        <v>17.05</v>
      </c>
      <c r="AG24" s="46">
        <v>11.94</v>
      </c>
      <c r="AH24" s="46">
        <v>2.88</v>
      </c>
      <c r="AI24" s="46">
        <v>10.5</v>
      </c>
      <c r="AJ24" s="46">
        <v>29.9</v>
      </c>
      <c r="AK24" s="46">
        <v>19.87</v>
      </c>
      <c r="AL24" s="46">
        <v>24.45</v>
      </c>
      <c r="AM24" s="46">
        <f t="shared" si="0"/>
        <v>14.334999999999999</v>
      </c>
    </row>
    <row r="25" spans="1:39" x14ac:dyDescent="0.3">
      <c r="A25" s="5">
        <v>24</v>
      </c>
      <c r="B25" s="6" t="s">
        <v>52</v>
      </c>
      <c r="C25" s="6" t="s">
        <v>132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5</v>
      </c>
      <c r="I25" s="45">
        <v>0</v>
      </c>
      <c r="J25" s="45">
        <v>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53">
        <v>0</v>
      </c>
      <c r="AB25" s="60">
        <v>0</v>
      </c>
      <c r="AC25" s="62">
        <v>0</v>
      </c>
      <c r="AD25" s="60">
        <v>0</v>
      </c>
      <c r="AE25" s="60">
        <v>0</v>
      </c>
      <c r="AF25" s="54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46">
        <f t="shared" si="0"/>
        <v>0</v>
      </c>
    </row>
    <row r="26" spans="1:39" x14ac:dyDescent="0.3">
      <c r="A26" s="5">
        <v>25</v>
      </c>
      <c r="B26" s="6" t="s">
        <v>134</v>
      </c>
      <c r="C26" s="6" t="s">
        <v>133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5</v>
      </c>
      <c r="I26" s="45">
        <v>20.66</v>
      </c>
      <c r="J26" s="45">
        <v>24.94</v>
      </c>
      <c r="K26" s="46">
        <v>31.73</v>
      </c>
      <c r="L26" s="46">
        <v>12.24</v>
      </c>
      <c r="M26" s="46">
        <v>36.99</v>
      </c>
      <c r="N26" s="46">
        <v>29.87</v>
      </c>
      <c r="O26" s="46">
        <v>28.57</v>
      </c>
      <c r="P26" s="46">
        <v>43.02</v>
      </c>
      <c r="Q26" s="46">
        <v>27.79</v>
      </c>
      <c r="R26" s="46">
        <v>14.17</v>
      </c>
      <c r="S26" s="46">
        <v>32.39</v>
      </c>
      <c r="T26" s="46">
        <v>15.4</v>
      </c>
      <c r="U26" s="46">
        <v>36.67</v>
      </c>
      <c r="V26" s="46">
        <v>17.34</v>
      </c>
      <c r="W26" s="46">
        <v>32.74</v>
      </c>
      <c r="X26" s="46">
        <v>29.85</v>
      </c>
      <c r="Y26" s="46">
        <v>24.13</v>
      </c>
      <c r="Z26" s="46">
        <v>23.56</v>
      </c>
      <c r="AA26" s="53">
        <v>22.93</v>
      </c>
      <c r="AB26" s="60">
        <v>27.28</v>
      </c>
      <c r="AC26" s="60">
        <v>27.39</v>
      </c>
      <c r="AD26" s="60">
        <v>23.91</v>
      </c>
      <c r="AE26" s="60">
        <v>25.35</v>
      </c>
      <c r="AF26" s="54">
        <v>21.42</v>
      </c>
      <c r="AG26" s="46">
        <v>17.489999999999998</v>
      </c>
      <c r="AH26" s="46">
        <v>29.37</v>
      </c>
      <c r="AI26" s="46">
        <v>27.1</v>
      </c>
      <c r="AJ26" s="46">
        <v>26.22</v>
      </c>
      <c r="AK26" s="46">
        <v>32.18</v>
      </c>
      <c r="AL26" s="46">
        <v>39.28</v>
      </c>
      <c r="AM26" s="46">
        <f t="shared" si="0"/>
        <v>26.732666666666663</v>
      </c>
    </row>
    <row r="27" spans="1:39" x14ac:dyDescent="0.3">
      <c r="A27" s="5">
        <v>26</v>
      </c>
      <c r="B27" s="6" t="s">
        <v>55</v>
      </c>
      <c r="C27" s="6" t="s">
        <v>56</v>
      </c>
      <c r="D27" s="6" t="s">
        <v>57</v>
      </c>
      <c r="E27" s="6" t="s">
        <v>19</v>
      </c>
      <c r="F27" s="6" t="s">
        <v>13</v>
      </c>
      <c r="G27" s="6" t="s">
        <v>35</v>
      </c>
      <c r="H27" s="5">
        <v>40</v>
      </c>
      <c r="I27" s="45">
        <v>140.55000000000001</v>
      </c>
      <c r="J27" s="45">
        <v>501.29</v>
      </c>
      <c r="K27" s="46">
        <v>331.28</v>
      </c>
      <c r="L27" s="46">
        <v>390.2</v>
      </c>
      <c r="M27" s="46">
        <v>466.31</v>
      </c>
      <c r="N27" s="46">
        <v>291.17</v>
      </c>
      <c r="O27" s="46">
        <v>227.17</v>
      </c>
      <c r="P27" s="46">
        <v>459.12</v>
      </c>
      <c r="Q27" s="46">
        <v>392.76</v>
      </c>
      <c r="R27" s="46">
        <v>462.23</v>
      </c>
      <c r="S27" s="46">
        <v>293.99</v>
      </c>
      <c r="T27" s="46">
        <v>455.02</v>
      </c>
      <c r="U27" s="46">
        <v>248.26</v>
      </c>
      <c r="V27" s="46">
        <v>257.92</v>
      </c>
      <c r="W27" s="46">
        <v>758.99</v>
      </c>
      <c r="X27" s="46">
        <v>646.66999999999996</v>
      </c>
      <c r="Y27" s="46">
        <v>601.52</v>
      </c>
      <c r="Z27" s="46">
        <v>578.32000000000005</v>
      </c>
      <c r="AA27" s="53">
        <v>546.4</v>
      </c>
      <c r="AB27" s="60">
        <v>351.11</v>
      </c>
      <c r="AC27" s="60">
        <v>205.43</v>
      </c>
      <c r="AD27" s="60">
        <v>544.88</v>
      </c>
      <c r="AE27" s="60">
        <v>395.72</v>
      </c>
      <c r="AF27" s="54">
        <v>510.85</v>
      </c>
      <c r="AG27" s="46">
        <v>520.41</v>
      </c>
      <c r="AH27" s="46">
        <v>556.49</v>
      </c>
      <c r="AI27" s="46">
        <v>461.61</v>
      </c>
      <c r="AJ27" s="46">
        <v>208.11</v>
      </c>
      <c r="AK27" s="46">
        <v>239.75</v>
      </c>
      <c r="AL27" s="46">
        <v>462.07</v>
      </c>
      <c r="AM27" s="46">
        <f t="shared" si="0"/>
        <v>416.85333333333335</v>
      </c>
    </row>
    <row r="28" spans="1:39" x14ac:dyDescent="0.3">
      <c r="A28" s="5">
        <v>27</v>
      </c>
      <c r="B28" s="6" t="s">
        <v>58</v>
      </c>
      <c r="C28" s="6" t="s">
        <v>59</v>
      </c>
      <c r="D28" s="6" t="s">
        <v>30</v>
      </c>
      <c r="E28" s="6" t="s">
        <v>19</v>
      </c>
      <c r="F28" s="6" t="s">
        <v>13</v>
      </c>
      <c r="G28" s="6" t="s">
        <v>14</v>
      </c>
      <c r="H28" s="5">
        <v>6</v>
      </c>
      <c r="I28" s="45">
        <v>6.69</v>
      </c>
      <c r="J28" s="45">
        <v>9.3149999999999995</v>
      </c>
      <c r="K28" s="46">
        <v>6.2789999999999999</v>
      </c>
      <c r="L28" s="46">
        <v>8.5239999999999991</v>
      </c>
      <c r="M28" s="46">
        <v>17.12</v>
      </c>
      <c r="N28" s="46">
        <v>6.7489999999999997</v>
      </c>
      <c r="O28" s="46">
        <v>17.702999999999999</v>
      </c>
      <c r="P28" s="46">
        <v>8.6769999999999996</v>
      </c>
      <c r="Q28" s="46">
        <v>8.67</v>
      </c>
      <c r="R28" s="46">
        <v>4.47</v>
      </c>
      <c r="S28" s="46">
        <v>14.718999999999999</v>
      </c>
      <c r="T28" s="46">
        <v>0</v>
      </c>
      <c r="U28" s="46">
        <v>4.0609999999999999</v>
      </c>
      <c r="V28" s="46">
        <v>0</v>
      </c>
      <c r="W28" s="46">
        <v>3.7080000000000002</v>
      </c>
      <c r="X28" s="46">
        <v>0</v>
      </c>
      <c r="Y28" s="46">
        <v>0</v>
      </c>
      <c r="Z28" s="46">
        <v>12.250999999999999</v>
      </c>
      <c r="AA28" s="53">
        <v>8.4009999999999998</v>
      </c>
      <c r="AB28" s="60">
        <v>7.0090000000000003</v>
      </c>
      <c r="AC28" s="60">
        <v>13.756</v>
      </c>
      <c r="AD28" s="60">
        <v>7.06</v>
      </c>
      <c r="AE28" s="60">
        <v>0</v>
      </c>
      <c r="AF28" s="54">
        <v>10.241</v>
      </c>
      <c r="AG28" s="46">
        <v>0</v>
      </c>
      <c r="AH28" s="46">
        <v>0</v>
      </c>
      <c r="AI28" s="46">
        <v>10.366</v>
      </c>
      <c r="AJ28" s="46">
        <v>0</v>
      </c>
      <c r="AK28" s="46">
        <v>10.148</v>
      </c>
      <c r="AL28" s="46">
        <v>15.303000000000001</v>
      </c>
      <c r="AM28" s="46">
        <f t="shared" si="0"/>
        <v>7.0406666666666666</v>
      </c>
    </row>
    <row r="29" spans="1:39" x14ac:dyDescent="0.3">
      <c r="A29" s="5">
        <v>28</v>
      </c>
      <c r="B29" s="6" t="s">
        <v>58</v>
      </c>
      <c r="C29" s="6" t="s">
        <v>101</v>
      </c>
      <c r="D29" s="6" t="s">
        <v>61</v>
      </c>
      <c r="E29" s="6" t="s">
        <v>19</v>
      </c>
      <c r="F29" s="6" t="s">
        <v>13</v>
      </c>
      <c r="G29" s="6" t="s">
        <v>35</v>
      </c>
      <c r="H29" s="5">
        <v>3</v>
      </c>
      <c r="I29" s="45">
        <v>61.06</v>
      </c>
      <c r="J29" s="45">
        <v>47.23</v>
      </c>
      <c r="K29" s="46">
        <v>67.02</v>
      </c>
      <c r="L29" s="46">
        <v>81.400000000000006</v>
      </c>
      <c r="M29" s="46">
        <v>56.45</v>
      </c>
      <c r="N29" s="46">
        <v>91.39</v>
      </c>
      <c r="O29" s="46">
        <v>70.03</v>
      </c>
      <c r="P29" s="46">
        <v>85.48</v>
      </c>
      <c r="Q29" s="46">
        <v>103.11</v>
      </c>
      <c r="R29" s="46">
        <v>75.760000000000005</v>
      </c>
      <c r="S29" s="46">
        <v>60.25</v>
      </c>
      <c r="T29" s="46">
        <v>88.48</v>
      </c>
      <c r="U29" s="46">
        <v>69.77</v>
      </c>
      <c r="V29" s="46">
        <v>22.05</v>
      </c>
      <c r="W29" s="46">
        <v>55.33</v>
      </c>
      <c r="X29" s="46">
        <v>50.72</v>
      </c>
      <c r="Y29" s="46">
        <v>67.95</v>
      </c>
      <c r="Z29" s="46">
        <v>58.58</v>
      </c>
      <c r="AA29" s="53">
        <v>63.1</v>
      </c>
      <c r="AB29" s="60">
        <v>50.2</v>
      </c>
      <c r="AC29" s="60">
        <v>77.7</v>
      </c>
      <c r="AD29" s="60">
        <v>83.17</v>
      </c>
      <c r="AE29" s="60">
        <v>53.34</v>
      </c>
      <c r="AF29" s="54">
        <v>68.12</v>
      </c>
      <c r="AG29" s="46">
        <v>60.46</v>
      </c>
      <c r="AH29" s="46">
        <v>75.23</v>
      </c>
      <c r="AI29" s="46">
        <v>59.34</v>
      </c>
      <c r="AJ29" s="46">
        <v>83.2</v>
      </c>
      <c r="AK29" s="46">
        <v>44.27</v>
      </c>
      <c r="AL29" s="46">
        <v>75.239999999999995</v>
      </c>
      <c r="AM29" s="46">
        <f t="shared" si="0"/>
        <v>66.847666666666669</v>
      </c>
    </row>
    <row r="30" spans="1:39" x14ac:dyDescent="0.3">
      <c r="A30" s="5">
        <v>29</v>
      </c>
      <c r="B30" s="6" t="s">
        <v>58</v>
      </c>
      <c r="C30" s="6" t="s">
        <v>102</v>
      </c>
      <c r="D30" s="6" t="s">
        <v>61</v>
      </c>
      <c r="E30" s="6" t="s">
        <v>19</v>
      </c>
      <c r="F30" s="6" t="s">
        <v>13</v>
      </c>
      <c r="G30" s="6" t="s">
        <v>35</v>
      </c>
      <c r="H30" s="5">
        <v>9</v>
      </c>
      <c r="I30" s="45">
        <v>143.09</v>
      </c>
      <c r="J30" s="45">
        <v>81.11</v>
      </c>
      <c r="K30" s="46">
        <v>216.28</v>
      </c>
      <c r="L30" s="46">
        <v>203.47</v>
      </c>
      <c r="M30" s="46">
        <v>200.55</v>
      </c>
      <c r="N30" s="46">
        <v>166.29</v>
      </c>
      <c r="O30" s="46">
        <v>194.15</v>
      </c>
      <c r="P30" s="46">
        <v>160.74</v>
      </c>
      <c r="Q30" s="46">
        <v>175.67</v>
      </c>
      <c r="R30" s="46">
        <v>205.28</v>
      </c>
      <c r="S30" s="46">
        <v>167.29</v>
      </c>
      <c r="T30" s="46">
        <v>215.25</v>
      </c>
      <c r="U30" s="46">
        <v>131.19</v>
      </c>
      <c r="V30" s="46">
        <v>45</v>
      </c>
      <c r="W30" s="46">
        <v>79.930000000000007</v>
      </c>
      <c r="X30" s="46">
        <v>170.82</v>
      </c>
      <c r="Y30" s="46">
        <v>114</v>
      </c>
      <c r="Z30" s="46">
        <v>135.52000000000001</v>
      </c>
      <c r="AA30" s="53">
        <v>125.15</v>
      </c>
      <c r="AB30" s="60">
        <v>111.27</v>
      </c>
      <c r="AC30" s="60">
        <v>101.97</v>
      </c>
      <c r="AD30" s="60">
        <v>128.18</v>
      </c>
      <c r="AE30" s="60">
        <v>123.99</v>
      </c>
      <c r="AF30" s="54">
        <v>97.97</v>
      </c>
      <c r="AG30" s="46">
        <v>143.5</v>
      </c>
      <c r="AH30" s="46">
        <v>117.84</v>
      </c>
      <c r="AI30" s="46">
        <v>116.08</v>
      </c>
      <c r="AJ30" s="46">
        <v>119.73</v>
      </c>
      <c r="AK30" s="46">
        <v>104.05</v>
      </c>
      <c r="AL30" s="46">
        <v>97.43</v>
      </c>
      <c r="AM30" s="46">
        <f t="shared" si="0"/>
        <v>139.75966666666667</v>
      </c>
    </row>
    <row r="31" spans="1:39" x14ac:dyDescent="0.3">
      <c r="A31" s="5">
        <v>30</v>
      </c>
      <c r="B31" s="6" t="s">
        <v>58</v>
      </c>
      <c r="C31" s="6" t="s">
        <v>103</v>
      </c>
      <c r="D31" s="6" t="s">
        <v>63</v>
      </c>
      <c r="E31" s="6" t="s">
        <v>19</v>
      </c>
      <c r="F31" s="6" t="s">
        <v>64</v>
      </c>
      <c r="G31" s="12" t="s">
        <v>35</v>
      </c>
      <c r="H31" s="5">
        <v>1</v>
      </c>
      <c r="I31" s="45">
        <v>0</v>
      </c>
      <c r="J31" s="45">
        <v>0</v>
      </c>
      <c r="K31" s="46">
        <v>0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53">
        <v>0</v>
      </c>
      <c r="AB31" s="60">
        <v>0</v>
      </c>
      <c r="AC31" s="60">
        <v>0</v>
      </c>
      <c r="AD31" s="60">
        <v>0</v>
      </c>
      <c r="AE31" s="60">
        <v>0</v>
      </c>
      <c r="AF31" s="54">
        <v>0</v>
      </c>
      <c r="AG31" s="46">
        <v>0</v>
      </c>
      <c r="AH31" s="46">
        <v>0</v>
      </c>
      <c r="AI31" s="46">
        <v>0</v>
      </c>
      <c r="AJ31" s="46">
        <v>4.05</v>
      </c>
      <c r="AK31" s="46">
        <v>0</v>
      </c>
      <c r="AL31" s="46">
        <v>0</v>
      </c>
      <c r="AM31" s="46">
        <f t="shared" si="0"/>
        <v>0.13499999999999998</v>
      </c>
    </row>
    <row r="32" spans="1:39" x14ac:dyDescent="0.3">
      <c r="A32" s="5">
        <v>31</v>
      </c>
      <c r="B32" s="6" t="s">
        <v>58</v>
      </c>
      <c r="C32" s="6" t="s">
        <v>104</v>
      </c>
      <c r="D32" s="6" t="s">
        <v>30</v>
      </c>
      <c r="E32" s="6" t="s">
        <v>19</v>
      </c>
      <c r="F32" s="6" t="s">
        <v>13</v>
      </c>
      <c r="G32" s="12" t="s">
        <v>35</v>
      </c>
      <c r="H32" s="5">
        <v>7</v>
      </c>
      <c r="I32" s="45">
        <v>162.96</v>
      </c>
      <c r="J32" s="45">
        <v>183.25</v>
      </c>
      <c r="K32" s="46">
        <v>222.55</v>
      </c>
      <c r="L32" s="46">
        <v>284.67</v>
      </c>
      <c r="M32" s="46">
        <v>218.99</v>
      </c>
      <c r="N32" s="46">
        <v>262.98</v>
      </c>
      <c r="O32" s="46">
        <v>187.35</v>
      </c>
      <c r="P32" s="46">
        <v>255.57</v>
      </c>
      <c r="Q32" s="46">
        <v>225.75</v>
      </c>
      <c r="R32" s="46">
        <v>237.81</v>
      </c>
      <c r="S32" s="46">
        <v>217.09</v>
      </c>
      <c r="T32" s="46">
        <v>168.99</v>
      </c>
      <c r="U32" s="46">
        <v>145.16999999999999</v>
      </c>
      <c r="V32" s="46">
        <v>81.150000000000006</v>
      </c>
      <c r="W32" s="46">
        <v>178.82</v>
      </c>
      <c r="X32" s="46">
        <v>153.72999999999999</v>
      </c>
      <c r="Y32" s="46">
        <v>192.39</v>
      </c>
      <c r="Z32" s="46">
        <v>202.26</v>
      </c>
      <c r="AA32" s="53">
        <v>163.63999999999999</v>
      </c>
      <c r="AB32" s="60">
        <v>156.63999999999999</v>
      </c>
      <c r="AC32" s="60">
        <v>151.72</v>
      </c>
      <c r="AD32" s="60">
        <v>197.61</v>
      </c>
      <c r="AE32" s="60">
        <v>155.29</v>
      </c>
      <c r="AF32" s="54">
        <v>163.51</v>
      </c>
      <c r="AG32" s="46">
        <v>146.28</v>
      </c>
      <c r="AH32" s="46">
        <v>146.33000000000001</v>
      </c>
      <c r="AI32" s="46">
        <v>143.62</v>
      </c>
      <c r="AJ32" s="46">
        <v>134.21</v>
      </c>
      <c r="AK32" s="46">
        <v>143.26</v>
      </c>
      <c r="AL32" s="46">
        <v>191.49</v>
      </c>
      <c r="AM32" s="46">
        <f t="shared" si="0"/>
        <v>182.50266666666667</v>
      </c>
    </row>
    <row r="33" spans="1:39" x14ac:dyDescent="0.3">
      <c r="A33" s="5">
        <v>32</v>
      </c>
      <c r="B33" s="6" t="s">
        <v>65</v>
      </c>
      <c r="C33" s="6" t="s">
        <v>66</v>
      </c>
      <c r="D33" s="6" t="s">
        <v>67</v>
      </c>
      <c r="E33" s="6" t="s">
        <v>12</v>
      </c>
      <c r="F33" s="6" t="s">
        <v>13</v>
      </c>
      <c r="G33" s="6" t="s">
        <v>14</v>
      </c>
      <c r="H33" s="5">
        <f>111-6</f>
        <v>105</v>
      </c>
      <c r="I33" s="45">
        <v>0</v>
      </c>
      <c r="J33" s="45">
        <v>2.1629999999999998</v>
      </c>
      <c r="K33" s="46">
        <v>0</v>
      </c>
      <c r="L33" s="46">
        <v>1.02</v>
      </c>
      <c r="M33" s="46">
        <v>1.262</v>
      </c>
      <c r="N33" s="46">
        <v>2.14</v>
      </c>
      <c r="O33" s="59">
        <v>0</v>
      </c>
      <c r="P33" s="46">
        <v>3.0539999999999998</v>
      </c>
      <c r="Q33" s="46">
        <v>4.4020000000000001</v>
      </c>
      <c r="R33" s="46">
        <v>1.583</v>
      </c>
      <c r="S33" s="46">
        <v>2.173</v>
      </c>
      <c r="T33" s="46">
        <v>1.4750000000000001</v>
      </c>
      <c r="U33" s="46">
        <v>2.0499999999999998</v>
      </c>
      <c r="V33" s="46">
        <v>1.8919999999999999</v>
      </c>
      <c r="W33" s="46">
        <v>0</v>
      </c>
      <c r="X33" s="46">
        <v>1.2310000000000001</v>
      </c>
      <c r="Y33" s="46">
        <v>0</v>
      </c>
      <c r="Z33" s="46">
        <v>0</v>
      </c>
      <c r="AA33" s="53">
        <v>4.2560000000000002</v>
      </c>
      <c r="AB33" s="60">
        <v>0</v>
      </c>
      <c r="AC33" s="60">
        <v>2.883</v>
      </c>
      <c r="AD33" s="60">
        <v>2.1829999999999998</v>
      </c>
      <c r="AE33" s="60">
        <v>0</v>
      </c>
      <c r="AF33" s="54">
        <v>1.776</v>
      </c>
      <c r="AG33" s="46">
        <v>0</v>
      </c>
      <c r="AH33" s="46">
        <v>0</v>
      </c>
      <c r="AI33" s="46">
        <v>1.8720000000000001</v>
      </c>
      <c r="AJ33" s="46">
        <v>3.758</v>
      </c>
      <c r="AK33" s="46">
        <v>4.6239999999999997</v>
      </c>
      <c r="AL33" s="46">
        <v>3.5939999999999999</v>
      </c>
      <c r="AM33" s="46">
        <f t="shared" si="0"/>
        <v>1.646366666666667</v>
      </c>
    </row>
    <row r="34" spans="1:39" x14ac:dyDescent="0.3">
      <c r="A34" s="5">
        <v>33</v>
      </c>
      <c r="B34" s="6" t="s">
        <v>65</v>
      </c>
      <c r="C34" s="6" t="s">
        <v>68</v>
      </c>
      <c r="D34" s="6" t="s">
        <v>69</v>
      </c>
      <c r="E34" s="6" t="s">
        <v>12</v>
      </c>
      <c r="F34" s="6" t="s">
        <v>40</v>
      </c>
      <c r="G34" s="6" t="s">
        <v>35</v>
      </c>
      <c r="H34" s="5">
        <v>2</v>
      </c>
      <c r="I34" s="45">
        <v>0</v>
      </c>
      <c r="J34" s="45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53">
        <v>0</v>
      </c>
      <c r="AB34" s="60">
        <v>0</v>
      </c>
      <c r="AC34" s="60">
        <v>0</v>
      </c>
      <c r="AD34" s="60">
        <v>0</v>
      </c>
      <c r="AE34" s="60">
        <v>0</v>
      </c>
      <c r="AF34" s="54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f t="shared" si="0"/>
        <v>0</v>
      </c>
    </row>
    <row r="35" spans="1:39" x14ac:dyDescent="0.3">
      <c r="A35" s="5">
        <v>34</v>
      </c>
      <c r="B35" s="6" t="s">
        <v>65</v>
      </c>
      <c r="C35" s="6" t="s">
        <v>70</v>
      </c>
      <c r="D35" s="6"/>
      <c r="E35" s="6" t="s">
        <v>12</v>
      </c>
      <c r="F35" s="6" t="s">
        <v>13</v>
      </c>
      <c r="G35" s="6" t="s">
        <v>14</v>
      </c>
      <c r="H35" s="5">
        <v>82</v>
      </c>
      <c r="I35" s="46">
        <v>9.2880000000000003</v>
      </c>
      <c r="J35" s="45">
        <v>14.489000000000001</v>
      </c>
      <c r="K35" s="46">
        <v>28.914000000000001</v>
      </c>
      <c r="L35" s="46">
        <v>6.2729999999999997</v>
      </c>
      <c r="M35" s="46">
        <v>2.6160000000000001</v>
      </c>
      <c r="N35" s="46">
        <v>21.109000000000002</v>
      </c>
      <c r="O35" s="46">
        <v>20.273</v>
      </c>
      <c r="P35" s="46">
        <v>11.318</v>
      </c>
      <c r="Q35" s="46">
        <v>47.055999999999997</v>
      </c>
      <c r="R35" s="46">
        <v>23.629000000000001</v>
      </c>
      <c r="S35" s="46">
        <v>5.17</v>
      </c>
      <c r="T35" s="46">
        <v>0</v>
      </c>
      <c r="U35" s="46">
        <v>2.9860000000000002</v>
      </c>
      <c r="V35" s="46">
        <v>2.0840000000000001</v>
      </c>
      <c r="W35" s="46">
        <v>6.5250000000000004</v>
      </c>
      <c r="X35" s="46">
        <v>15.388999999999999</v>
      </c>
      <c r="Y35" s="46">
        <v>19.382999999999999</v>
      </c>
      <c r="Z35" s="46">
        <v>0</v>
      </c>
      <c r="AA35" s="53">
        <v>3.8530000000000002</v>
      </c>
      <c r="AB35" s="60">
        <v>36.46</v>
      </c>
      <c r="AC35" s="60">
        <v>20.213999999999999</v>
      </c>
      <c r="AD35" s="60">
        <v>12.888999999999999</v>
      </c>
      <c r="AE35" s="60">
        <v>1.893</v>
      </c>
      <c r="AF35" s="54">
        <v>9.1989999999999998</v>
      </c>
      <c r="AG35" s="46">
        <v>1.5669999999999999</v>
      </c>
      <c r="AH35" s="46">
        <v>35.447000000000003</v>
      </c>
      <c r="AI35" s="46">
        <v>2.206</v>
      </c>
      <c r="AJ35" s="46">
        <v>5.008</v>
      </c>
      <c r="AK35" s="46">
        <v>0</v>
      </c>
      <c r="AL35" s="46">
        <v>0</v>
      </c>
      <c r="AM35" s="46">
        <f t="shared" si="0"/>
        <v>12.1746</v>
      </c>
    </row>
    <row r="36" spans="1:39" x14ac:dyDescent="0.3">
      <c r="A36" s="5">
        <v>35</v>
      </c>
      <c r="B36" s="6" t="s">
        <v>65</v>
      </c>
      <c r="C36" s="6" t="s">
        <v>71</v>
      </c>
      <c r="D36" s="6" t="s">
        <v>30</v>
      </c>
      <c r="E36" s="6" t="s">
        <v>19</v>
      </c>
      <c r="F36" s="6" t="s">
        <v>13</v>
      </c>
      <c r="G36" s="6" t="s">
        <v>35</v>
      </c>
      <c r="H36" s="5">
        <v>5</v>
      </c>
      <c r="I36" s="45">
        <v>54.99</v>
      </c>
      <c r="J36" s="45">
        <v>55.36</v>
      </c>
      <c r="K36" s="46">
        <v>62.35</v>
      </c>
      <c r="L36" s="46">
        <v>45.95</v>
      </c>
      <c r="M36" s="46">
        <v>65.34</v>
      </c>
      <c r="N36" s="46">
        <v>87.18</v>
      </c>
      <c r="O36" s="46">
        <v>52.52</v>
      </c>
      <c r="P36" s="46">
        <v>61.74</v>
      </c>
      <c r="Q36" s="46">
        <v>70.42</v>
      </c>
      <c r="R36" s="46">
        <v>59.43</v>
      </c>
      <c r="S36" s="46">
        <v>54.2</v>
      </c>
      <c r="T36" s="46">
        <v>28.47</v>
      </c>
      <c r="U36" s="46">
        <v>34.64</v>
      </c>
      <c r="V36" s="46">
        <v>45.35</v>
      </c>
      <c r="W36" s="46">
        <v>38.020000000000003</v>
      </c>
      <c r="X36" s="46">
        <v>46.36</v>
      </c>
      <c r="Y36" s="46">
        <v>78.16</v>
      </c>
      <c r="Z36" s="46">
        <v>59.73</v>
      </c>
      <c r="AA36" s="53">
        <v>48.58</v>
      </c>
      <c r="AB36" s="60">
        <v>48.54</v>
      </c>
      <c r="AC36" s="60">
        <v>36.61</v>
      </c>
      <c r="AD36" s="60">
        <v>29.6</v>
      </c>
      <c r="AE36" s="60">
        <v>41.93</v>
      </c>
      <c r="AF36" s="54">
        <v>37.96</v>
      </c>
      <c r="AG36" s="46">
        <v>21.09</v>
      </c>
      <c r="AH36" s="46">
        <v>42.97</v>
      </c>
      <c r="AI36" s="46">
        <v>40.78</v>
      </c>
      <c r="AJ36" s="46">
        <v>31.79</v>
      </c>
      <c r="AK36" s="46">
        <v>43.22</v>
      </c>
      <c r="AL36" s="46">
        <v>56.68</v>
      </c>
      <c r="AM36" s="46">
        <f t="shared" si="0"/>
        <v>49.331999999999994</v>
      </c>
    </row>
    <row r="37" spans="1:39" x14ac:dyDescent="0.3">
      <c r="A37" s="5">
        <v>36</v>
      </c>
      <c r="B37" s="6" t="s">
        <v>65</v>
      </c>
      <c r="C37" s="6" t="s">
        <v>74</v>
      </c>
      <c r="D37" s="6" t="s">
        <v>30</v>
      </c>
      <c r="E37" s="6" t="s">
        <v>19</v>
      </c>
      <c r="F37" s="6" t="s">
        <v>13</v>
      </c>
      <c r="G37" s="6" t="s">
        <v>14</v>
      </c>
      <c r="H37" s="5">
        <v>2</v>
      </c>
      <c r="I37" s="45">
        <v>0</v>
      </c>
      <c r="J37" s="45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53">
        <v>0</v>
      </c>
      <c r="AB37" s="60">
        <v>0</v>
      </c>
      <c r="AC37" s="60">
        <v>0</v>
      </c>
      <c r="AD37" s="60">
        <v>0</v>
      </c>
      <c r="AE37" s="60">
        <v>0</v>
      </c>
      <c r="AF37" s="54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f t="shared" si="0"/>
        <v>0</v>
      </c>
    </row>
    <row r="38" spans="1:39" x14ac:dyDescent="0.3">
      <c r="A38" s="5">
        <v>37</v>
      </c>
      <c r="B38" s="6" t="s">
        <v>65</v>
      </c>
      <c r="C38" s="6" t="s">
        <v>136</v>
      </c>
      <c r="D38" s="6" t="s">
        <v>30</v>
      </c>
      <c r="E38" s="6" t="s">
        <v>19</v>
      </c>
      <c r="F38" s="6" t="s">
        <v>13</v>
      </c>
      <c r="G38" s="6" t="s">
        <v>35</v>
      </c>
      <c r="H38" s="5">
        <v>16</v>
      </c>
      <c r="I38" s="45">
        <v>4.0199999999999996</v>
      </c>
      <c r="J38" s="45">
        <v>21.01</v>
      </c>
      <c r="K38" s="46">
        <v>23.6</v>
      </c>
      <c r="L38" s="46">
        <v>34.25</v>
      </c>
      <c r="M38" s="46">
        <v>21.34</v>
      </c>
      <c r="N38" s="46">
        <v>11.21</v>
      </c>
      <c r="O38" s="46">
        <v>15.65</v>
      </c>
      <c r="P38" s="46">
        <v>23.29</v>
      </c>
      <c r="Q38" s="46">
        <v>8.75</v>
      </c>
      <c r="R38" s="46">
        <v>11.39</v>
      </c>
      <c r="S38" s="46">
        <v>0.24</v>
      </c>
      <c r="T38" s="46">
        <v>0</v>
      </c>
      <c r="U38" s="46">
        <v>2.4900000000000002</v>
      </c>
      <c r="V38" s="46">
        <v>4.34</v>
      </c>
      <c r="W38" s="46">
        <v>0</v>
      </c>
      <c r="X38" s="46">
        <v>0</v>
      </c>
      <c r="Y38" s="46">
        <v>0</v>
      </c>
      <c r="Z38" s="46">
        <v>4.6900000000000004</v>
      </c>
      <c r="AA38" s="53">
        <v>5.8</v>
      </c>
      <c r="AB38" s="60">
        <v>0</v>
      </c>
      <c r="AC38" s="60">
        <v>0</v>
      </c>
      <c r="AD38" s="60">
        <v>10.81</v>
      </c>
      <c r="AE38" s="60">
        <v>0</v>
      </c>
      <c r="AF38" s="54">
        <v>0.03</v>
      </c>
      <c r="AG38" s="46">
        <v>9.7899999999999991</v>
      </c>
      <c r="AH38" s="46">
        <v>5.56</v>
      </c>
      <c r="AI38" s="46">
        <v>0</v>
      </c>
      <c r="AJ38" s="46">
        <v>0</v>
      </c>
      <c r="AK38" s="46">
        <v>3.67</v>
      </c>
      <c r="AL38" s="46">
        <v>0</v>
      </c>
      <c r="AM38" s="46">
        <f t="shared" si="0"/>
        <v>7.3976666666666668</v>
      </c>
    </row>
    <row r="39" spans="1:39" x14ac:dyDescent="0.3">
      <c r="A39" s="5">
        <v>38</v>
      </c>
      <c r="B39" s="6" t="s">
        <v>65</v>
      </c>
      <c r="C39" s="6" t="s">
        <v>76</v>
      </c>
      <c r="D39" s="6" t="s">
        <v>30</v>
      </c>
      <c r="E39" s="6" t="s">
        <v>19</v>
      </c>
      <c r="F39" s="6" t="s">
        <v>13</v>
      </c>
      <c r="G39" s="6" t="s">
        <v>35</v>
      </c>
      <c r="H39" s="5">
        <v>10</v>
      </c>
      <c r="I39" s="45">
        <v>6.4</v>
      </c>
      <c r="J39" s="45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4.7300000000000004</v>
      </c>
      <c r="R39" s="46">
        <v>6.51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1.35</v>
      </c>
      <c r="Y39" s="46">
        <v>0</v>
      </c>
      <c r="Z39" s="46">
        <v>10.08</v>
      </c>
      <c r="AA39" s="53">
        <v>5.18</v>
      </c>
      <c r="AB39" s="60">
        <v>0</v>
      </c>
      <c r="AC39" s="60">
        <v>0.12</v>
      </c>
      <c r="AD39" s="60">
        <v>46.45</v>
      </c>
      <c r="AE39" s="60">
        <v>15.93</v>
      </c>
      <c r="AF39" s="54">
        <v>23.39</v>
      </c>
      <c r="AG39" s="46">
        <v>43.56</v>
      </c>
      <c r="AH39" s="46">
        <v>16.45</v>
      </c>
      <c r="AI39" s="46">
        <v>21.44</v>
      </c>
      <c r="AJ39" s="46">
        <v>26.86</v>
      </c>
      <c r="AK39" s="46">
        <v>46.79</v>
      </c>
      <c r="AL39" s="46">
        <v>35.46</v>
      </c>
      <c r="AM39" s="46">
        <f t="shared" si="0"/>
        <v>10.356666666666666</v>
      </c>
    </row>
    <row r="40" spans="1:39" x14ac:dyDescent="0.3">
      <c r="A40" s="5">
        <v>39</v>
      </c>
      <c r="B40" s="6" t="s">
        <v>65</v>
      </c>
      <c r="C40" s="6" t="s">
        <v>105</v>
      </c>
      <c r="D40" s="6" t="s">
        <v>30</v>
      </c>
      <c r="E40" s="6" t="s">
        <v>19</v>
      </c>
      <c r="F40" s="6" t="s">
        <v>13</v>
      </c>
      <c r="G40" s="6" t="s">
        <v>35</v>
      </c>
      <c r="H40" s="5">
        <v>13</v>
      </c>
      <c r="I40" s="45">
        <v>16.04</v>
      </c>
      <c r="J40" s="45">
        <v>42.87</v>
      </c>
      <c r="K40" s="46">
        <v>54.3</v>
      </c>
      <c r="L40" s="46">
        <v>51.39</v>
      </c>
      <c r="M40" s="46">
        <v>38.89</v>
      </c>
      <c r="N40" s="46">
        <v>71.55</v>
      </c>
      <c r="O40" s="46">
        <v>64.73</v>
      </c>
      <c r="P40" s="46">
        <v>52.25</v>
      </c>
      <c r="Q40" s="46">
        <v>61.91</v>
      </c>
      <c r="R40" s="46">
        <v>49.09</v>
      </c>
      <c r="S40" s="46">
        <v>40.14</v>
      </c>
      <c r="T40" s="46">
        <v>21.72</v>
      </c>
      <c r="U40" s="46">
        <v>21.11</v>
      </c>
      <c r="V40" s="46">
        <v>44.46</v>
      </c>
      <c r="W40" s="46">
        <v>29.83</v>
      </c>
      <c r="X40" s="46">
        <v>57.57</v>
      </c>
      <c r="Y40" s="46">
        <v>39.700000000000003</v>
      </c>
      <c r="Z40" s="46">
        <v>43.69</v>
      </c>
      <c r="AA40" s="53">
        <v>35.28</v>
      </c>
      <c r="AB40" s="60">
        <v>39.270000000000003</v>
      </c>
      <c r="AC40" s="60">
        <v>73.27</v>
      </c>
      <c r="AD40" s="60">
        <v>77.58</v>
      </c>
      <c r="AE40" s="60">
        <v>61.64</v>
      </c>
      <c r="AF40" s="54">
        <v>73.19</v>
      </c>
      <c r="AG40" s="46">
        <v>56.99</v>
      </c>
      <c r="AH40" s="46">
        <v>39.6</v>
      </c>
      <c r="AI40" s="46">
        <v>55.76</v>
      </c>
      <c r="AJ40" s="46">
        <v>46.47</v>
      </c>
      <c r="AK40" s="46">
        <v>55.16</v>
      </c>
      <c r="AL40" s="46">
        <v>50.62</v>
      </c>
      <c r="AM40" s="46">
        <f t="shared" si="0"/>
        <v>48.869000000000007</v>
      </c>
    </row>
    <row r="41" spans="1:39" x14ac:dyDescent="0.3">
      <c r="A41" s="5">
        <v>40</v>
      </c>
      <c r="B41" s="6" t="s">
        <v>65</v>
      </c>
      <c r="C41" s="6" t="s">
        <v>106</v>
      </c>
      <c r="D41" s="6" t="s">
        <v>30</v>
      </c>
      <c r="E41" s="6" t="s">
        <v>19</v>
      </c>
      <c r="F41" s="6" t="s">
        <v>13</v>
      </c>
      <c r="G41" s="6" t="s">
        <v>35</v>
      </c>
      <c r="H41" s="5">
        <v>19</v>
      </c>
      <c r="I41" s="45">
        <v>92.05</v>
      </c>
      <c r="J41" s="45">
        <v>56</v>
      </c>
      <c r="K41" s="46">
        <v>92.33</v>
      </c>
      <c r="L41" s="46">
        <v>96.84</v>
      </c>
      <c r="M41" s="46">
        <v>79.47</v>
      </c>
      <c r="N41" s="46">
        <v>100.37</v>
      </c>
      <c r="O41" s="46">
        <v>115.94</v>
      </c>
      <c r="P41" s="46">
        <v>100.22</v>
      </c>
      <c r="Q41" s="46">
        <v>55.81</v>
      </c>
      <c r="R41" s="46">
        <v>6.97</v>
      </c>
      <c r="S41" s="46">
        <v>5</v>
      </c>
      <c r="T41" s="46">
        <v>3.63</v>
      </c>
      <c r="U41" s="46">
        <v>5.29</v>
      </c>
      <c r="V41" s="46">
        <v>0</v>
      </c>
      <c r="W41" s="46">
        <v>0.97</v>
      </c>
      <c r="X41" s="46">
        <v>0.16</v>
      </c>
      <c r="Y41" s="46">
        <v>0</v>
      </c>
      <c r="Z41" s="46">
        <v>6.61</v>
      </c>
      <c r="AA41" s="53">
        <v>63.17</v>
      </c>
      <c r="AB41" s="60">
        <v>55.45</v>
      </c>
      <c r="AC41" s="62">
        <v>85.04</v>
      </c>
      <c r="AD41" s="60">
        <v>78.39</v>
      </c>
      <c r="AE41" s="60">
        <v>63.71</v>
      </c>
      <c r="AF41" s="54">
        <v>85.57</v>
      </c>
      <c r="AG41" s="46">
        <v>87.62</v>
      </c>
      <c r="AH41" s="46">
        <v>87.4</v>
      </c>
      <c r="AI41" s="46">
        <v>55.94</v>
      </c>
      <c r="AJ41" s="46">
        <v>74.22</v>
      </c>
      <c r="AK41" s="46">
        <v>77.459999999999994</v>
      </c>
      <c r="AL41" s="46">
        <v>76.08</v>
      </c>
      <c r="AM41" s="46">
        <f t="shared" si="0"/>
        <v>56.923666666666676</v>
      </c>
    </row>
    <row r="42" spans="1:39" x14ac:dyDescent="0.3">
      <c r="A42" s="5">
        <v>41</v>
      </c>
      <c r="B42" s="6" t="s">
        <v>65</v>
      </c>
      <c r="C42" s="6" t="s">
        <v>107</v>
      </c>
      <c r="D42" s="6" t="s">
        <v>30</v>
      </c>
      <c r="E42" s="6" t="s">
        <v>19</v>
      </c>
      <c r="F42" s="6" t="s">
        <v>13</v>
      </c>
      <c r="G42" s="6" t="s">
        <v>14</v>
      </c>
      <c r="H42" s="5">
        <v>24</v>
      </c>
      <c r="I42" s="45">
        <v>0</v>
      </c>
      <c r="J42" s="45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53">
        <v>0</v>
      </c>
      <c r="AB42" s="60">
        <v>0</v>
      </c>
      <c r="AC42" s="60">
        <v>0</v>
      </c>
      <c r="AD42" s="60">
        <v>0</v>
      </c>
      <c r="AE42" s="60">
        <v>0</v>
      </c>
      <c r="AF42" s="54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f t="shared" si="0"/>
        <v>0</v>
      </c>
    </row>
    <row r="43" spans="1:39" x14ac:dyDescent="0.3">
      <c r="A43" s="5">
        <v>42</v>
      </c>
      <c r="B43" s="6" t="s">
        <v>65</v>
      </c>
      <c r="C43" s="6" t="s">
        <v>108</v>
      </c>
      <c r="D43" s="6" t="s">
        <v>30</v>
      </c>
      <c r="E43" s="6" t="s">
        <v>19</v>
      </c>
      <c r="F43" s="6" t="s">
        <v>13</v>
      </c>
      <c r="G43" s="6" t="s">
        <v>35</v>
      </c>
      <c r="H43" s="5">
        <v>3</v>
      </c>
      <c r="I43" s="45">
        <v>0</v>
      </c>
      <c r="J43" s="45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53">
        <v>0</v>
      </c>
      <c r="AB43" s="60">
        <v>0</v>
      </c>
      <c r="AC43" s="60">
        <v>0</v>
      </c>
      <c r="AD43" s="60">
        <v>0</v>
      </c>
      <c r="AE43" s="60">
        <v>0</v>
      </c>
      <c r="AF43" s="54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f t="shared" si="0"/>
        <v>0</v>
      </c>
    </row>
    <row r="44" spans="1:39" x14ac:dyDescent="0.3">
      <c r="A44" s="5">
        <v>43</v>
      </c>
      <c r="B44" s="6" t="s">
        <v>65</v>
      </c>
      <c r="C44" s="6" t="s">
        <v>109</v>
      </c>
      <c r="D44" s="6" t="s">
        <v>30</v>
      </c>
      <c r="E44" s="6" t="s">
        <v>12</v>
      </c>
      <c r="F44" s="6" t="s">
        <v>40</v>
      </c>
      <c r="G44" s="6" t="s">
        <v>35</v>
      </c>
      <c r="H44" s="5">
        <v>0</v>
      </c>
      <c r="I44" s="45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53">
        <v>0</v>
      </c>
      <c r="AB44" s="60">
        <v>0</v>
      </c>
      <c r="AC44" s="60">
        <v>0</v>
      </c>
      <c r="AD44" s="60">
        <v>0</v>
      </c>
      <c r="AE44" s="60">
        <v>0</v>
      </c>
      <c r="AF44" s="54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f t="shared" si="0"/>
        <v>0</v>
      </c>
    </row>
    <row r="45" spans="1:39" x14ac:dyDescent="0.3">
      <c r="A45" s="5">
        <v>44</v>
      </c>
      <c r="B45" s="6" t="s">
        <v>65</v>
      </c>
      <c r="C45" s="6" t="s">
        <v>109</v>
      </c>
      <c r="D45" s="6" t="s">
        <v>30</v>
      </c>
      <c r="E45" s="6" t="s">
        <v>12</v>
      </c>
      <c r="F45" s="6" t="s">
        <v>13</v>
      </c>
      <c r="G45" s="6" t="s">
        <v>35</v>
      </c>
      <c r="H45" s="5">
        <v>1</v>
      </c>
      <c r="I45" s="45">
        <v>0</v>
      </c>
      <c r="J45" s="45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53">
        <v>0</v>
      </c>
      <c r="AB45" s="60">
        <v>0</v>
      </c>
      <c r="AC45" s="60">
        <v>0</v>
      </c>
      <c r="AD45" s="60">
        <v>0</v>
      </c>
      <c r="AE45" s="60">
        <v>0</v>
      </c>
      <c r="AF45" s="54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f t="shared" si="0"/>
        <v>0</v>
      </c>
    </row>
    <row r="46" spans="1:39" x14ac:dyDescent="0.3">
      <c r="A46" s="5">
        <v>45</v>
      </c>
      <c r="B46" s="6" t="s">
        <v>65</v>
      </c>
      <c r="C46" s="6" t="s">
        <v>110</v>
      </c>
      <c r="D46" s="6" t="s">
        <v>30</v>
      </c>
      <c r="E46" s="6" t="s">
        <v>12</v>
      </c>
      <c r="F46" s="6" t="s">
        <v>40</v>
      </c>
      <c r="G46" s="6" t="s">
        <v>35</v>
      </c>
      <c r="H46" s="5">
        <v>0</v>
      </c>
      <c r="I46" s="45">
        <v>0</v>
      </c>
      <c r="J46" s="45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53">
        <v>0</v>
      </c>
      <c r="AB46" s="60">
        <v>0</v>
      </c>
      <c r="AC46" s="60">
        <v>0</v>
      </c>
      <c r="AD46" s="60">
        <v>0</v>
      </c>
      <c r="AE46" s="60">
        <v>0</v>
      </c>
      <c r="AF46" s="54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f t="shared" si="0"/>
        <v>0</v>
      </c>
    </row>
    <row r="47" spans="1:39" x14ac:dyDescent="0.3">
      <c r="A47" s="5">
        <v>46</v>
      </c>
      <c r="B47" s="6" t="s">
        <v>65</v>
      </c>
      <c r="C47" s="6" t="s">
        <v>110</v>
      </c>
      <c r="D47" s="6" t="s">
        <v>30</v>
      </c>
      <c r="E47" s="6" t="s">
        <v>12</v>
      </c>
      <c r="F47" s="6" t="s">
        <v>13</v>
      </c>
      <c r="G47" s="6" t="s">
        <v>35</v>
      </c>
      <c r="H47" s="5">
        <v>1</v>
      </c>
      <c r="I47" s="45">
        <v>0</v>
      </c>
      <c r="J47" s="45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53">
        <v>0</v>
      </c>
      <c r="AB47" s="60">
        <v>0</v>
      </c>
      <c r="AC47" s="60">
        <v>0</v>
      </c>
      <c r="AD47" s="60">
        <v>0</v>
      </c>
      <c r="AE47" s="60">
        <v>0</v>
      </c>
      <c r="AF47" s="54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f t="shared" si="0"/>
        <v>0</v>
      </c>
    </row>
    <row r="48" spans="1:39" x14ac:dyDescent="0.3">
      <c r="A48" s="5">
        <v>47</v>
      </c>
      <c r="B48" s="6" t="s">
        <v>65</v>
      </c>
      <c r="C48" s="6" t="s">
        <v>111</v>
      </c>
      <c r="D48" s="6" t="s">
        <v>128</v>
      </c>
      <c r="E48" s="6" t="s">
        <v>19</v>
      </c>
      <c r="F48" s="6" t="s">
        <v>13</v>
      </c>
      <c r="G48" s="6" t="s">
        <v>35</v>
      </c>
      <c r="H48" s="5">
        <v>6</v>
      </c>
      <c r="I48" s="45">
        <v>32.799999999999997</v>
      </c>
      <c r="J48" s="46">
        <v>29.95</v>
      </c>
      <c r="K48" s="46">
        <v>44.65</v>
      </c>
      <c r="L48" s="46">
        <v>25.62</v>
      </c>
      <c r="M48" s="46">
        <v>0</v>
      </c>
      <c r="N48" s="46">
        <v>51.13</v>
      </c>
      <c r="O48" s="46">
        <v>49.05</v>
      </c>
      <c r="P48" s="46">
        <v>45.74</v>
      </c>
      <c r="Q48" s="46">
        <v>49.31</v>
      </c>
      <c r="R48" s="46">
        <v>64.63</v>
      </c>
      <c r="S48" s="46">
        <v>23</v>
      </c>
      <c r="T48" s="46">
        <v>17.37</v>
      </c>
      <c r="U48" s="46">
        <v>55.13</v>
      </c>
      <c r="V48" s="46">
        <v>43.68</v>
      </c>
      <c r="W48" s="46">
        <v>26.53</v>
      </c>
      <c r="X48" s="46">
        <v>54.28</v>
      </c>
      <c r="Y48" s="46">
        <v>24</v>
      </c>
      <c r="Z48" s="46">
        <v>0</v>
      </c>
      <c r="AA48" s="53">
        <v>0</v>
      </c>
      <c r="AB48" s="60">
        <v>75.790000000000006</v>
      </c>
      <c r="AC48" s="60">
        <v>51.39</v>
      </c>
      <c r="AD48" s="60">
        <v>30.05</v>
      </c>
      <c r="AE48" s="60">
        <v>41.18</v>
      </c>
      <c r="AF48" s="54">
        <v>60.39</v>
      </c>
      <c r="AG48" s="46">
        <v>17.77</v>
      </c>
      <c r="AH48" s="46">
        <v>30.45</v>
      </c>
      <c r="AI48" s="46">
        <v>0</v>
      </c>
      <c r="AJ48" s="46">
        <v>54</v>
      </c>
      <c r="AK48" s="46">
        <v>40.43</v>
      </c>
      <c r="AL48" s="46">
        <v>53.17</v>
      </c>
      <c r="AM48" s="46">
        <f t="shared" si="0"/>
        <v>36.382999999999996</v>
      </c>
    </row>
    <row r="49" spans="1:39" x14ac:dyDescent="0.3">
      <c r="A49" s="5">
        <v>48</v>
      </c>
      <c r="B49" s="6" t="s">
        <v>65</v>
      </c>
      <c r="C49" s="6" t="s">
        <v>111</v>
      </c>
      <c r="D49" s="6" t="s">
        <v>128</v>
      </c>
      <c r="E49" s="6" t="s">
        <v>19</v>
      </c>
      <c r="F49" s="6" t="s">
        <v>40</v>
      </c>
      <c r="G49" s="6" t="s">
        <v>35</v>
      </c>
      <c r="H49" s="5">
        <v>1</v>
      </c>
      <c r="I49" s="45">
        <v>3.57</v>
      </c>
      <c r="J49" s="46">
        <v>0.46</v>
      </c>
      <c r="K49" s="46">
        <v>5.03</v>
      </c>
      <c r="L49" s="46">
        <v>0</v>
      </c>
      <c r="M49" s="46">
        <v>0.17</v>
      </c>
      <c r="N49" s="46">
        <v>0</v>
      </c>
      <c r="O49" s="46">
        <v>0.21</v>
      </c>
      <c r="P49" s="46">
        <v>3.58</v>
      </c>
      <c r="Q49" s="46">
        <v>2.72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53">
        <v>0</v>
      </c>
      <c r="AB49" s="60">
        <v>0</v>
      </c>
      <c r="AC49" s="60">
        <v>0</v>
      </c>
      <c r="AD49" s="60">
        <v>0</v>
      </c>
      <c r="AE49" s="60">
        <v>0</v>
      </c>
      <c r="AF49" s="54">
        <v>0</v>
      </c>
      <c r="AG49" s="46">
        <v>0</v>
      </c>
      <c r="AH49" s="46">
        <v>0</v>
      </c>
      <c r="AI49" s="46">
        <v>0</v>
      </c>
      <c r="AJ49" s="46">
        <v>0.33</v>
      </c>
      <c r="AK49" s="46">
        <v>0</v>
      </c>
      <c r="AL49" s="46">
        <v>0.79</v>
      </c>
      <c r="AM49" s="46">
        <f t="shared" si="0"/>
        <v>0.56199999999999994</v>
      </c>
    </row>
    <row r="50" spans="1:39" x14ac:dyDescent="0.3">
      <c r="A50" s="5">
        <v>49</v>
      </c>
      <c r="B50" s="6" t="s">
        <v>65</v>
      </c>
      <c r="C50" s="37" t="s">
        <v>112</v>
      </c>
      <c r="D50" s="6" t="s">
        <v>113</v>
      </c>
      <c r="E50" s="6" t="s">
        <v>19</v>
      </c>
      <c r="F50" s="6" t="s">
        <v>114</v>
      </c>
      <c r="G50" s="6" t="s">
        <v>80</v>
      </c>
      <c r="H50" s="5">
        <v>1</v>
      </c>
      <c r="I50" s="51">
        <v>10.89</v>
      </c>
      <c r="J50" s="51">
        <v>12.86</v>
      </c>
      <c r="K50" s="51">
        <v>12.03</v>
      </c>
      <c r="L50" s="51">
        <v>10.220000000000001</v>
      </c>
      <c r="M50" s="51">
        <v>10.97</v>
      </c>
      <c r="N50" s="51">
        <v>12.13</v>
      </c>
      <c r="O50" s="51">
        <v>10.25</v>
      </c>
      <c r="P50" s="51">
        <v>14.08</v>
      </c>
      <c r="Q50" s="51">
        <v>12.38</v>
      </c>
      <c r="R50" s="51">
        <v>13.21</v>
      </c>
      <c r="S50" s="51">
        <v>12.83</v>
      </c>
      <c r="T50" s="51">
        <v>12.56</v>
      </c>
      <c r="U50" s="51">
        <v>14.09</v>
      </c>
      <c r="V50" s="51">
        <v>13.87</v>
      </c>
      <c r="W50" s="51">
        <v>12.33</v>
      </c>
      <c r="X50" s="51">
        <v>14.67</v>
      </c>
      <c r="Y50" s="51">
        <v>11.54</v>
      </c>
      <c r="Z50" s="51">
        <v>14.09</v>
      </c>
      <c r="AA50" s="51">
        <v>12.76</v>
      </c>
      <c r="AB50" s="51">
        <v>15.23</v>
      </c>
      <c r="AC50" s="51">
        <v>13.44</v>
      </c>
      <c r="AD50" s="51">
        <v>12.67</v>
      </c>
      <c r="AE50" s="51">
        <v>14.98</v>
      </c>
      <c r="AF50" s="51">
        <v>11.26</v>
      </c>
      <c r="AG50" s="51">
        <v>12.45</v>
      </c>
      <c r="AH50" s="51">
        <v>13.21</v>
      </c>
      <c r="AI50" s="51">
        <v>0</v>
      </c>
      <c r="AJ50" s="51">
        <v>0</v>
      </c>
      <c r="AK50" s="51">
        <v>0</v>
      </c>
      <c r="AL50" s="51">
        <v>0</v>
      </c>
      <c r="AM50" s="46">
        <f t="shared" si="0"/>
        <v>11.033333333333333</v>
      </c>
    </row>
    <row r="51" spans="1:39" x14ac:dyDescent="0.3">
      <c r="A51" s="5">
        <v>50</v>
      </c>
      <c r="B51" s="6" t="s">
        <v>65</v>
      </c>
      <c r="C51" s="39" t="s">
        <v>115</v>
      </c>
      <c r="D51" s="6" t="s">
        <v>113</v>
      </c>
      <c r="E51" s="6" t="s">
        <v>19</v>
      </c>
      <c r="F51" s="6" t="s">
        <v>116</v>
      </c>
      <c r="G51" s="6" t="s">
        <v>80</v>
      </c>
      <c r="H51" s="5">
        <v>1</v>
      </c>
      <c r="I51" s="51">
        <v>85.12</v>
      </c>
      <c r="J51" s="51">
        <v>80.430000000000007</v>
      </c>
      <c r="K51" s="51">
        <v>81.540000000000006</v>
      </c>
      <c r="L51" s="51">
        <v>80.23</v>
      </c>
      <c r="M51" s="51">
        <v>89.54</v>
      </c>
      <c r="N51" s="51">
        <v>88.23</v>
      </c>
      <c r="O51" s="51">
        <v>84.55</v>
      </c>
      <c r="P51" s="51">
        <v>79.430000000000007</v>
      </c>
      <c r="Q51" s="51">
        <v>80.87</v>
      </c>
      <c r="R51" s="51">
        <v>86.55</v>
      </c>
      <c r="S51" s="51">
        <v>87.9</v>
      </c>
      <c r="T51" s="51">
        <v>85.09</v>
      </c>
      <c r="U51" s="51">
        <v>84.67</v>
      </c>
      <c r="V51" s="51">
        <v>89.52</v>
      </c>
      <c r="W51" s="51">
        <v>85.54</v>
      </c>
      <c r="X51" s="51">
        <v>83.29</v>
      </c>
      <c r="Y51" s="51">
        <v>84.98</v>
      </c>
      <c r="Z51" s="51">
        <v>80.22</v>
      </c>
      <c r="AA51" s="51">
        <v>79.650000000000006</v>
      </c>
      <c r="AB51" s="51">
        <v>80.209999999999994</v>
      </c>
      <c r="AC51" s="51">
        <v>79.98</v>
      </c>
      <c r="AD51" s="51">
        <v>84.24</v>
      </c>
      <c r="AE51" s="51">
        <v>83.56</v>
      </c>
      <c r="AF51" s="51">
        <v>84.98</v>
      </c>
      <c r="AG51" s="51">
        <v>90.55</v>
      </c>
      <c r="AH51" s="51">
        <v>86.55</v>
      </c>
      <c r="AI51" s="51">
        <v>81.430000000000007</v>
      </c>
      <c r="AJ51" s="51">
        <v>82.56</v>
      </c>
      <c r="AK51" s="51">
        <v>84.55</v>
      </c>
      <c r="AL51" s="51">
        <v>82.34</v>
      </c>
      <c r="AM51" s="46">
        <f t="shared" si="0"/>
        <v>83.943333333333356</v>
      </c>
    </row>
    <row r="52" spans="1:39" x14ac:dyDescent="0.3">
      <c r="A52" s="5">
        <v>51</v>
      </c>
      <c r="B52" s="6" t="s">
        <v>65</v>
      </c>
      <c r="C52" s="39" t="s">
        <v>117</v>
      </c>
      <c r="D52" s="6" t="s">
        <v>113</v>
      </c>
      <c r="E52" s="6" t="s">
        <v>19</v>
      </c>
      <c r="F52" s="6" t="s">
        <v>116</v>
      </c>
      <c r="G52" s="6" t="s">
        <v>80</v>
      </c>
      <c r="H52" s="5">
        <v>1</v>
      </c>
      <c r="I52" s="51">
        <v>11.93</v>
      </c>
      <c r="J52" s="51">
        <v>15.22</v>
      </c>
      <c r="K52" s="51">
        <v>16.489999999999998</v>
      </c>
      <c r="L52" s="51">
        <v>14.27</v>
      </c>
      <c r="M52" s="51">
        <v>13.98</v>
      </c>
      <c r="N52" s="51">
        <v>12.78</v>
      </c>
      <c r="O52" s="51">
        <v>15.56</v>
      </c>
      <c r="P52" s="51">
        <v>14.54</v>
      </c>
      <c r="Q52" s="51">
        <v>17.34</v>
      </c>
      <c r="R52" s="51">
        <v>18.350000000000001</v>
      </c>
      <c r="S52" s="51">
        <v>15.99</v>
      </c>
      <c r="T52" s="51">
        <v>14.83</v>
      </c>
      <c r="U52" s="51">
        <v>15.67</v>
      </c>
      <c r="V52" s="51">
        <v>16.78</v>
      </c>
      <c r="W52" s="51">
        <v>13.22</v>
      </c>
      <c r="X52" s="51">
        <v>14.32</v>
      </c>
      <c r="Y52" s="51">
        <v>13.98</v>
      </c>
      <c r="Z52" s="51">
        <v>11.32</v>
      </c>
      <c r="AA52" s="51">
        <v>12.32</v>
      </c>
      <c r="AB52" s="51">
        <v>11.55</v>
      </c>
      <c r="AC52" s="51">
        <v>12.86</v>
      </c>
      <c r="AD52" s="51">
        <v>12.56</v>
      </c>
      <c r="AE52" s="51">
        <v>11.22</v>
      </c>
      <c r="AF52" s="51">
        <v>12.36</v>
      </c>
      <c r="AG52" s="51">
        <v>13.24</v>
      </c>
      <c r="AH52" s="51">
        <v>14.82</v>
      </c>
      <c r="AI52" s="51">
        <v>12.33</v>
      </c>
      <c r="AJ52" s="51">
        <v>12.64</v>
      </c>
      <c r="AK52" s="51">
        <v>13.56</v>
      </c>
      <c r="AL52" s="51">
        <v>15.32</v>
      </c>
      <c r="AM52" s="46">
        <f t="shared" si="0"/>
        <v>14.045</v>
      </c>
    </row>
    <row r="53" spans="1:39" x14ac:dyDescent="0.3">
      <c r="A53" s="5">
        <v>52</v>
      </c>
      <c r="B53" s="6" t="s">
        <v>119</v>
      </c>
      <c r="C53" s="39" t="s">
        <v>126</v>
      </c>
      <c r="D53" s="6" t="s">
        <v>30</v>
      </c>
      <c r="E53" s="6" t="s">
        <v>19</v>
      </c>
      <c r="F53" s="6" t="s">
        <v>121</v>
      </c>
      <c r="G53" s="6" t="s">
        <v>35</v>
      </c>
      <c r="H53" s="5">
        <v>20</v>
      </c>
      <c r="I53" s="63">
        <v>144.18</v>
      </c>
      <c r="J53" s="48">
        <v>166.45</v>
      </c>
      <c r="K53" s="48">
        <v>173.74</v>
      </c>
      <c r="L53" s="48">
        <v>169.04</v>
      </c>
      <c r="M53" s="48">
        <v>171.71</v>
      </c>
      <c r="N53" s="48">
        <v>130.79</v>
      </c>
      <c r="O53" s="48">
        <v>184.41</v>
      </c>
      <c r="P53" s="48">
        <v>169.44</v>
      </c>
      <c r="Q53" s="48">
        <v>174.25</v>
      </c>
      <c r="R53" s="48">
        <v>194.82</v>
      </c>
      <c r="S53" s="48">
        <v>182.28</v>
      </c>
      <c r="T53" s="48">
        <v>85.65</v>
      </c>
      <c r="U53" s="48">
        <v>41.33</v>
      </c>
      <c r="V53" s="48">
        <v>52.42</v>
      </c>
      <c r="W53" s="48">
        <v>102.06</v>
      </c>
      <c r="X53" s="48">
        <v>118.28</v>
      </c>
      <c r="Y53" s="48">
        <v>116.78</v>
      </c>
      <c r="Z53" s="48">
        <v>109.37</v>
      </c>
      <c r="AA53" s="64">
        <v>96.23</v>
      </c>
      <c r="AB53" s="61">
        <v>117.47</v>
      </c>
      <c r="AC53" s="61">
        <v>156.25</v>
      </c>
      <c r="AD53" s="61">
        <v>167.13</v>
      </c>
      <c r="AE53" s="61">
        <v>169.8</v>
      </c>
      <c r="AF53" s="65">
        <v>187.17</v>
      </c>
      <c r="AG53" s="48">
        <v>168.97</v>
      </c>
      <c r="AH53" s="48">
        <v>164.74</v>
      </c>
      <c r="AI53" s="48">
        <f>173.81-6.55</f>
        <v>167.26</v>
      </c>
      <c r="AJ53" s="48">
        <v>162.81</v>
      </c>
      <c r="AK53" s="48">
        <v>150.97</v>
      </c>
      <c r="AL53" s="48">
        <f>147.21-2.54</f>
        <v>144.67000000000002</v>
      </c>
      <c r="AM53" s="46">
        <f t="shared" si="0"/>
        <v>144.68233333333333</v>
      </c>
    </row>
    <row r="54" spans="1:39" x14ac:dyDescent="0.3">
      <c r="A54" s="5">
        <v>53</v>
      </c>
      <c r="B54" s="6" t="s">
        <v>119</v>
      </c>
      <c r="C54" s="39" t="s">
        <v>138</v>
      </c>
      <c r="D54" s="6" t="s">
        <v>128</v>
      </c>
      <c r="E54" s="6" t="s">
        <v>19</v>
      </c>
      <c r="F54" s="6" t="s">
        <v>121</v>
      </c>
      <c r="G54" s="6" t="s">
        <v>35</v>
      </c>
      <c r="H54" s="5">
        <v>1</v>
      </c>
      <c r="I54" s="45"/>
      <c r="J54" s="46"/>
      <c r="K54" s="46"/>
      <c r="L54" s="46"/>
      <c r="M54" s="46">
        <v>3.57</v>
      </c>
      <c r="N54" s="46">
        <v>9.6300000000000008</v>
      </c>
      <c r="O54" s="46">
        <v>5.09</v>
      </c>
      <c r="P54" s="46">
        <v>4.74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53">
        <v>0</v>
      </c>
      <c r="AB54" s="60">
        <v>0</v>
      </c>
      <c r="AC54" s="60">
        <v>0</v>
      </c>
      <c r="AD54" s="60">
        <v>0</v>
      </c>
      <c r="AE54" s="60">
        <v>0</v>
      </c>
      <c r="AF54" s="54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f t="shared" si="0"/>
        <v>0.88576923076923086</v>
      </c>
    </row>
    <row r="55" spans="1:39" x14ac:dyDescent="0.3">
      <c r="A55" s="5">
        <v>54</v>
      </c>
      <c r="B55" s="6" t="s">
        <v>65</v>
      </c>
      <c r="C55" s="39" t="s">
        <v>122</v>
      </c>
      <c r="D55" s="6" t="s">
        <v>30</v>
      </c>
      <c r="E55" s="6" t="s">
        <v>19</v>
      </c>
      <c r="F55" s="6" t="s">
        <v>13</v>
      </c>
      <c r="G55" s="6" t="s">
        <v>14</v>
      </c>
      <c r="H55" s="5">
        <v>3</v>
      </c>
      <c r="I55" s="45">
        <v>0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53">
        <v>0</v>
      </c>
      <c r="AB55" s="60">
        <v>0</v>
      </c>
      <c r="AC55" s="60">
        <v>0</v>
      </c>
      <c r="AD55" s="60">
        <v>0</v>
      </c>
      <c r="AE55" s="60">
        <v>0</v>
      </c>
      <c r="AF55" s="54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f t="shared" si="0"/>
        <v>0</v>
      </c>
    </row>
    <row r="56" spans="1:39" x14ac:dyDescent="0.3">
      <c r="A56" s="5">
        <v>55</v>
      </c>
      <c r="B56" s="6" t="s">
        <v>65</v>
      </c>
      <c r="C56" s="39" t="s">
        <v>127</v>
      </c>
      <c r="D56" s="6" t="s">
        <v>128</v>
      </c>
      <c r="E56" s="6" t="s">
        <v>12</v>
      </c>
      <c r="F56" s="6" t="s">
        <v>40</v>
      </c>
      <c r="G56" s="6" t="s">
        <v>35</v>
      </c>
      <c r="H56" s="5">
        <v>2</v>
      </c>
      <c r="I56" s="45">
        <v>47.69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17.7</v>
      </c>
      <c r="Q56" s="46">
        <v>49.19</v>
      </c>
      <c r="R56" s="46">
        <v>0</v>
      </c>
      <c r="S56" s="46">
        <v>0</v>
      </c>
      <c r="T56" s="46">
        <v>50.99</v>
      </c>
      <c r="U56" s="46">
        <v>0</v>
      </c>
      <c r="V56" s="46">
        <v>0</v>
      </c>
      <c r="W56" s="46">
        <v>0</v>
      </c>
      <c r="X56" s="46">
        <v>19.21</v>
      </c>
      <c r="Y56" s="46">
        <v>0</v>
      </c>
      <c r="Z56" s="46">
        <v>50.26</v>
      </c>
      <c r="AA56" s="53">
        <v>0</v>
      </c>
      <c r="AB56" s="60">
        <v>0</v>
      </c>
      <c r="AC56" s="60">
        <v>0</v>
      </c>
      <c r="AD56" s="60">
        <v>0</v>
      </c>
      <c r="AE56" s="60">
        <v>6.19</v>
      </c>
      <c r="AF56" s="54">
        <v>0</v>
      </c>
      <c r="AG56" s="46">
        <v>40.22</v>
      </c>
      <c r="AH56" s="46">
        <v>4.51</v>
      </c>
      <c r="AI56" s="46">
        <v>0</v>
      </c>
      <c r="AJ56" s="46">
        <v>0</v>
      </c>
      <c r="AK56" s="46">
        <v>15.88</v>
      </c>
      <c r="AL56" s="46">
        <v>64.87</v>
      </c>
      <c r="AM56" s="46">
        <f t="shared" si="0"/>
        <v>12.223666666666666</v>
      </c>
    </row>
    <row r="57" spans="1:39" x14ac:dyDescent="0.3">
      <c r="A57" s="5">
        <v>56</v>
      </c>
      <c r="B57" s="6" t="s">
        <v>65</v>
      </c>
      <c r="C57" s="39" t="s">
        <v>129</v>
      </c>
      <c r="D57" s="6"/>
      <c r="E57" s="6" t="s">
        <v>130</v>
      </c>
      <c r="F57" s="6" t="s">
        <v>121</v>
      </c>
      <c r="G57" s="6" t="s">
        <v>35</v>
      </c>
      <c r="H57" s="5">
        <v>2</v>
      </c>
      <c r="I57" s="45">
        <v>22.68</v>
      </c>
      <c r="J57" s="46">
        <v>14.6</v>
      </c>
      <c r="K57" s="46">
        <v>15.09</v>
      </c>
      <c r="L57" s="46">
        <v>0</v>
      </c>
      <c r="M57" s="46">
        <v>0</v>
      </c>
      <c r="N57" s="46">
        <v>3.99</v>
      </c>
      <c r="O57" s="46">
        <v>7.22</v>
      </c>
      <c r="P57" s="46">
        <v>42.14</v>
      </c>
      <c r="Q57" s="46">
        <v>16.8</v>
      </c>
      <c r="R57" s="46">
        <v>4.4400000000000004</v>
      </c>
      <c r="S57" s="46">
        <v>0</v>
      </c>
      <c r="T57" s="46">
        <v>20.2</v>
      </c>
      <c r="U57" s="46">
        <v>21.1</v>
      </c>
      <c r="V57" s="46">
        <v>12.04</v>
      </c>
      <c r="W57" s="46">
        <v>37.68</v>
      </c>
      <c r="X57" s="46">
        <v>24.58</v>
      </c>
      <c r="Y57" s="46">
        <v>24.14</v>
      </c>
      <c r="Z57" s="46">
        <v>7.55</v>
      </c>
      <c r="AA57" s="53">
        <v>0</v>
      </c>
      <c r="AB57" s="60">
        <v>32.75</v>
      </c>
      <c r="AC57" s="60">
        <v>15.84</v>
      </c>
      <c r="AD57" s="60">
        <v>1.0900000000000001</v>
      </c>
      <c r="AE57" s="60">
        <v>0.16</v>
      </c>
      <c r="AF57" s="54">
        <v>19.23</v>
      </c>
      <c r="AG57" s="46">
        <v>3.89</v>
      </c>
      <c r="AH57" s="46">
        <v>0</v>
      </c>
      <c r="AI57" s="46">
        <v>0.89</v>
      </c>
      <c r="AJ57" s="46">
        <v>22.55</v>
      </c>
      <c r="AK57" s="46">
        <v>6.02</v>
      </c>
      <c r="AL57" s="46">
        <v>4.37</v>
      </c>
      <c r="AM57" s="46">
        <f t="shared" si="0"/>
        <v>12.701333333333332</v>
      </c>
    </row>
    <row r="58" spans="1:39" x14ac:dyDescent="0.3">
      <c r="A58" s="5">
        <v>57</v>
      </c>
      <c r="B58" s="6" t="s">
        <v>65</v>
      </c>
      <c r="C58" s="39" t="s">
        <v>137</v>
      </c>
      <c r="D58" s="6" t="s">
        <v>128</v>
      </c>
      <c r="E58" s="6" t="s">
        <v>19</v>
      </c>
      <c r="F58" s="6" t="s">
        <v>121</v>
      </c>
      <c r="G58" s="6" t="s">
        <v>35</v>
      </c>
      <c r="H58" s="5">
        <v>20</v>
      </c>
      <c r="I58" s="45">
        <v>0</v>
      </c>
      <c r="J58" s="46">
        <v>0</v>
      </c>
      <c r="K58" s="46">
        <v>0</v>
      </c>
      <c r="L58" s="46">
        <v>0</v>
      </c>
      <c r="M58" s="46">
        <v>0</v>
      </c>
      <c r="N58" s="46">
        <v>8.17</v>
      </c>
      <c r="O58" s="46">
        <v>26.87</v>
      </c>
      <c r="P58" s="46">
        <v>0.02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21.91</v>
      </c>
      <c r="Z58" s="46">
        <v>5.85</v>
      </c>
      <c r="AA58" s="53">
        <v>19.649999999999999</v>
      </c>
      <c r="AB58" s="61">
        <v>33.36</v>
      </c>
      <c r="AC58" s="61">
        <v>24.82</v>
      </c>
      <c r="AD58" s="61">
        <v>29.37</v>
      </c>
      <c r="AE58" s="61">
        <v>16.989999999999998</v>
      </c>
      <c r="AF58" s="54">
        <v>14.16</v>
      </c>
      <c r="AG58" s="46">
        <v>37.840000000000003</v>
      </c>
      <c r="AH58" s="46">
        <v>15.2</v>
      </c>
      <c r="AI58" s="46">
        <v>40.29</v>
      </c>
      <c r="AJ58" s="46">
        <v>27.9</v>
      </c>
      <c r="AK58" s="46">
        <v>50.54</v>
      </c>
      <c r="AL58" s="46">
        <v>56.07</v>
      </c>
      <c r="AM58" s="46">
        <f t="shared" si="0"/>
        <v>14.300333333333333</v>
      </c>
    </row>
    <row r="59" spans="1:39" x14ac:dyDescent="0.3">
      <c r="A59" s="5">
        <v>58</v>
      </c>
      <c r="B59" s="6" t="s">
        <v>65</v>
      </c>
      <c r="C59" s="39" t="s">
        <v>143</v>
      </c>
      <c r="D59" s="6" t="s">
        <v>128</v>
      </c>
      <c r="E59" s="6" t="s">
        <v>12</v>
      </c>
      <c r="F59" s="6" t="s">
        <v>121</v>
      </c>
      <c r="G59" s="6" t="s">
        <v>35</v>
      </c>
      <c r="H59" s="5">
        <v>2</v>
      </c>
      <c r="I59" s="45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53"/>
      <c r="AB59" s="61"/>
      <c r="AC59" s="61"/>
      <c r="AD59" s="61"/>
      <c r="AE59" s="61"/>
      <c r="AF59" s="54"/>
      <c r="AG59" s="46">
        <v>0</v>
      </c>
      <c r="AH59" s="46">
        <v>0</v>
      </c>
      <c r="AI59" s="46">
        <v>0</v>
      </c>
      <c r="AJ59" s="46">
        <v>0</v>
      </c>
      <c r="AK59" s="46">
        <v>0</v>
      </c>
      <c r="AL59" s="46">
        <v>0</v>
      </c>
      <c r="AM59" s="46">
        <f t="shared" si="0"/>
        <v>0</v>
      </c>
    </row>
    <row r="60" spans="1:39" x14ac:dyDescent="0.3">
      <c r="A60" s="5">
        <v>59</v>
      </c>
      <c r="B60" s="6" t="s">
        <v>65</v>
      </c>
      <c r="C60" s="39" t="s">
        <v>143</v>
      </c>
      <c r="D60" s="6" t="s">
        <v>128</v>
      </c>
      <c r="E60" s="6" t="s">
        <v>12</v>
      </c>
      <c r="F60" s="6" t="s">
        <v>40</v>
      </c>
      <c r="G60" s="6" t="s">
        <v>35</v>
      </c>
      <c r="H60" s="5">
        <v>2</v>
      </c>
      <c r="I60" s="45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53"/>
      <c r="AB60" s="61"/>
      <c r="AC60" s="61"/>
      <c r="AD60" s="61"/>
      <c r="AE60" s="61"/>
      <c r="AF60" s="54"/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f t="shared" si="0"/>
        <v>0</v>
      </c>
    </row>
    <row r="61" spans="1:39" x14ac:dyDescent="0.3">
      <c r="A61" s="5"/>
      <c r="B61" s="6"/>
      <c r="C61" s="6"/>
      <c r="D61" s="6"/>
      <c r="E61" s="6"/>
      <c r="F61" s="6"/>
      <c r="G61" s="6"/>
      <c r="H61" s="5"/>
      <c r="I61" s="45"/>
      <c r="J61" s="45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8"/>
      <c r="AC61" s="48"/>
      <c r="AD61" s="48"/>
      <c r="AE61" s="48"/>
      <c r="AF61" s="46"/>
      <c r="AG61" s="46"/>
      <c r="AH61" s="46"/>
      <c r="AI61" s="46"/>
      <c r="AJ61" s="46"/>
      <c r="AK61" s="46"/>
      <c r="AL61" s="46"/>
      <c r="AM61" s="46"/>
    </row>
    <row r="62" spans="1:39" x14ac:dyDescent="0.3">
      <c r="A62" s="5"/>
      <c r="B62" s="14"/>
      <c r="C62" s="14"/>
      <c r="D62" s="14"/>
      <c r="E62" s="13"/>
      <c r="F62" s="13"/>
      <c r="G62" s="13" t="s">
        <v>79</v>
      </c>
      <c r="H62" s="52">
        <f t="shared" ref="H62:AL62" si="1">SUM(H2:H61)</f>
        <v>525</v>
      </c>
      <c r="I62" s="44">
        <f t="shared" si="1"/>
        <v>1852.8280000000002</v>
      </c>
      <c r="J62" s="44">
        <f t="shared" si="1"/>
        <v>2118.0569999999998</v>
      </c>
      <c r="K62" s="44">
        <f t="shared" si="1"/>
        <v>2295.9929999999995</v>
      </c>
      <c r="L62" s="44">
        <f t="shared" si="1"/>
        <v>2210.797</v>
      </c>
      <c r="M62" s="44">
        <f t="shared" si="1"/>
        <v>2206.1280000000002</v>
      </c>
      <c r="N62" s="44">
        <f t="shared" si="1"/>
        <v>2304.4410000000007</v>
      </c>
      <c r="O62" s="44">
        <f t="shared" si="1"/>
        <v>2110.3269999999998</v>
      </c>
      <c r="P62" s="44">
        <f t="shared" si="1"/>
        <v>2426.648999999999</v>
      </c>
      <c r="Q62" s="44">
        <f t="shared" si="1"/>
        <v>2369.5280000000007</v>
      </c>
      <c r="R62" s="44">
        <f t="shared" si="1"/>
        <v>2351.5820000000003</v>
      </c>
      <c r="S62" s="44">
        <f t="shared" si="1"/>
        <v>2069.4620000000004</v>
      </c>
      <c r="T62" s="44">
        <f t="shared" si="1"/>
        <v>2004.6749999999997</v>
      </c>
      <c r="U62" s="44">
        <f t="shared" si="1"/>
        <v>1518.7070000000001</v>
      </c>
      <c r="V62" s="44">
        <f t="shared" si="1"/>
        <v>1368.136</v>
      </c>
      <c r="W62" s="44">
        <f t="shared" si="1"/>
        <v>2166.3780000000002</v>
      </c>
      <c r="X62" s="44">
        <f t="shared" si="1"/>
        <v>2140.9599999999996</v>
      </c>
      <c r="Y62" s="44">
        <f t="shared" si="1"/>
        <v>2157.4029999999998</v>
      </c>
      <c r="Z62" s="44">
        <f t="shared" si="1"/>
        <v>2161.4009999999998</v>
      </c>
      <c r="AA62" s="44">
        <f t="shared" si="1"/>
        <v>1934.1800000000003</v>
      </c>
      <c r="AB62" s="44">
        <f t="shared" si="1"/>
        <v>1872.9589999999998</v>
      </c>
      <c r="AC62" s="44">
        <f t="shared" si="1"/>
        <v>1838.3529999999996</v>
      </c>
      <c r="AD62" s="44">
        <f t="shared" si="1"/>
        <v>2293.5819999999999</v>
      </c>
      <c r="AE62" s="44">
        <f t="shared" si="1"/>
        <v>1962.1670000000004</v>
      </c>
      <c r="AF62" s="44">
        <f t="shared" si="1"/>
        <v>2218.3759999999997</v>
      </c>
      <c r="AG62" s="44">
        <f t="shared" si="1"/>
        <v>2129.7370000000001</v>
      </c>
      <c r="AH62" s="44">
        <f t="shared" si="1"/>
        <v>2192.7069999999999</v>
      </c>
      <c r="AI62" s="44">
        <f t="shared" si="1"/>
        <v>1950.941</v>
      </c>
      <c r="AJ62" s="44">
        <f t="shared" si="1"/>
        <v>1810.096</v>
      </c>
      <c r="AK62" s="44">
        <f t="shared" si="1"/>
        <v>1747.6320000000001</v>
      </c>
      <c r="AL62" s="44">
        <f t="shared" si="1"/>
        <v>2008.2269999999996</v>
      </c>
      <c r="AM62" s="46">
        <f>AVERAGE(I62:AL62)</f>
        <v>2059.7469666666666</v>
      </c>
    </row>
    <row r="63" spans="1:39" x14ac:dyDescent="0.3">
      <c r="AM63" s="50"/>
    </row>
    <row r="64" spans="1:39" x14ac:dyDescent="0.3">
      <c r="AM64" s="50"/>
    </row>
  </sheetData>
  <autoFilter ref="A1:AM60" xr:uid="{00000000-0009-0000-0000-00000C000000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3:I4"/>
  <sheetViews>
    <sheetView workbookViewId="0">
      <selection activeCell="F29" sqref="F29"/>
    </sheetView>
  </sheetViews>
  <sheetFormatPr defaultRowHeight="14.4" x14ac:dyDescent="0.3"/>
  <cols>
    <col min="1" max="8" width="14.21875" bestFit="1" customWidth="1"/>
    <col min="9" max="9" width="10.77734375" bestFit="1" customWidth="1"/>
    <col min="10" max="10" width="11.33203125" customWidth="1"/>
    <col min="11" max="11" width="11.33203125" bestFit="1" customWidth="1"/>
    <col min="12" max="16" width="16.5546875" customWidth="1"/>
    <col min="17" max="17" width="20.109375" customWidth="1"/>
    <col min="18" max="18" width="21.6640625" customWidth="1"/>
    <col min="19" max="25" width="21.5546875" bestFit="1" customWidth="1"/>
    <col min="26" max="26" width="26.5546875" bestFit="1" customWidth="1"/>
    <col min="27" max="27" width="20.109375" bestFit="1" customWidth="1"/>
    <col min="28" max="28" width="20" bestFit="1" customWidth="1"/>
  </cols>
  <sheetData>
    <row r="3" spans="1:9" x14ac:dyDescent="0.3">
      <c r="A3" s="30" t="s">
        <v>1</v>
      </c>
      <c r="B3" s="12"/>
      <c r="C3" s="12"/>
      <c r="D3" s="12"/>
      <c r="E3" s="12"/>
      <c r="F3" s="12"/>
      <c r="G3" s="12"/>
      <c r="H3" s="12"/>
      <c r="I3" s="12"/>
    </row>
    <row r="4" spans="1:9" x14ac:dyDescent="0.3">
      <c r="A4" s="12" t="s">
        <v>58</v>
      </c>
      <c r="B4" s="12" t="s">
        <v>65</v>
      </c>
      <c r="C4" s="12" t="s">
        <v>134</v>
      </c>
      <c r="D4" s="12" t="s">
        <v>9</v>
      </c>
      <c r="E4" s="12" t="s">
        <v>55</v>
      </c>
      <c r="F4" s="12" t="s">
        <v>119</v>
      </c>
      <c r="G4" s="12" t="s">
        <v>49</v>
      </c>
      <c r="H4" s="12" t="s">
        <v>52</v>
      </c>
      <c r="I4" s="12" t="s">
        <v>83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D59"/>
  <sheetViews>
    <sheetView workbookViewId="0">
      <selection activeCell="F29" sqref="F29"/>
    </sheetView>
  </sheetViews>
  <sheetFormatPr defaultRowHeight="14.4" x14ac:dyDescent="0.3"/>
  <cols>
    <col min="1" max="1" width="41.6640625" bestFit="1" customWidth="1"/>
    <col min="2" max="2" width="20.6640625" bestFit="1" customWidth="1"/>
    <col min="3" max="3" width="14.44140625" bestFit="1" customWidth="1"/>
    <col min="4" max="4" width="31.33203125" bestFit="1" customWidth="1"/>
    <col min="5" max="17" width="15.109375" customWidth="1"/>
    <col min="18" max="31" width="15.109375" bestFit="1" customWidth="1"/>
    <col min="32" max="32" width="15" bestFit="1" customWidth="1"/>
    <col min="33" max="33" width="32.44140625" bestFit="1" customWidth="1"/>
  </cols>
  <sheetData>
    <row r="1" spans="1:4" x14ac:dyDescent="0.3">
      <c r="A1" s="30" t="s">
        <v>1</v>
      </c>
      <c r="B1" s="12" t="s">
        <v>82</v>
      </c>
    </row>
    <row r="3" spans="1:4" x14ac:dyDescent="0.3">
      <c r="A3" s="30" t="s">
        <v>2</v>
      </c>
      <c r="B3" s="12" t="s">
        <v>84</v>
      </c>
      <c r="C3" s="12" t="s">
        <v>85</v>
      </c>
      <c r="D3" s="12" t="s">
        <v>156</v>
      </c>
    </row>
    <row r="4" spans="1:4" x14ac:dyDescent="0.3">
      <c r="A4" s="12" t="s">
        <v>126</v>
      </c>
      <c r="B4" s="137">
        <v>20</v>
      </c>
      <c r="C4" s="31">
        <v>124.46548387096769</v>
      </c>
      <c r="D4" s="67">
        <v>6.2232741935483844</v>
      </c>
    </row>
    <row r="5" spans="1:4" x14ac:dyDescent="0.3">
      <c r="A5" s="12" t="s">
        <v>86</v>
      </c>
      <c r="B5" s="137">
        <v>6</v>
      </c>
      <c r="C5" s="31">
        <v>53.964193548387101</v>
      </c>
      <c r="D5" s="67">
        <v>8.9940322580645162</v>
      </c>
    </row>
    <row r="6" spans="1:4" x14ac:dyDescent="0.3">
      <c r="A6" s="12" t="s">
        <v>87</v>
      </c>
      <c r="B6" s="137">
        <v>9</v>
      </c>
      <c r="C6" s="31">
        <v>117.81387096774195</v>
      </c>
      <c r="D6" s="67">
        <v>13.090430107526883</v>
      </c>
    </row>
    <row r="7" spans="1:4" x14ac:dyDescent="0.3">
      <c r="A7" s="12" t="s">
        <v>88</v>
      </c>
      <c r="B7" s="137">
        <v>3</v>
      </c>
      <c r="C7" s="31">
        <v>42.706129032258055</v>
      </c>
      <c r="D7" s="67">
        <v>14.235376344086019</v>
      </c>
    </row>
    <row r="8" spans="1:4" x14ac:dyDescent="0.3">
      <c r="A8" s="12" t="s">
        <v>133</v>
      </c>
      <c r="B8" s="137">
        <v>5</v>
      </c>
      <c r="C8" s="31">
        <v>27.679999999999996</v>
      </c>
      <c r="D8" s="67">
        <v>5.5359999999999996</v>
      </c>
    </row>
    <row r="9" spans="1:4" x14ac:dyDescent="0.3">
      <c r="A9" s="12" t="s">
        <v>132</v>
      </c>
      <c r="B9" s="137">
        <v>5</v>
      </c>
      <c r="C9" s="31">
        <v>0</v>
      </c>
      <c r="D9" s="67">
        <v>0</v>
      </c>
    </row>
    <row r="10" spans="1:4" x14ac:dyDescent="0.3">
      <c r="A10" s="12" t="s">
        <v>142</v>
      </c>
      <c r="B10" s="137">
        <v>5</v>
      </c>
      <c r="C10" s="31">
        <v>13.880645161290325</v>
      </c>
      <c r="D10" s="67">
        <v>2.7761290322580647</v>
      </c>
    </row>
    <row r="11" spans="1:4" x14ac:dyDescent="0.3">
      <c r="A11" s="12" t="s">
        <v>98</v>
      </c>
      <c r="B11" s="137">
        <v>5</v>
      </c>
      <c r="C11" s="31">
        <v>0</v>
      </c>
      <c r="D11" s="67">
        <v>0</v>
      </c>
    </row>
    <row r="12" spans="1:4" x14ac:dyDescent="0.3">
      <c r="A12" s="12" t="s">
        <v>92</v>
      </c>
      <c r="B12" s="137">
        <v>3</v>
      </c>
      <c r="C12" s="31">
        <v>39.974193548387092</v>
      </c>
      <c r="D12" s="67">
        <v>13.324731182795697</v>
      </c>
    </row>
    <row r="13" spans="1:4" x14ac:dyDescent="0.3">
      <c r="A13" s="12" t="s">
        <v>138</v>
      </c>
      <c r="B13" s="137">
        <v>2</v>
      </c>
      <c r="C13" s="31">
        <v>6.2012903225806433</v>
      </c>
      <c r="D13" s="67">
        <v>3.1006451612903216</v>
      </c>
    </row>
    <row r="14" spans="1:4" x14ac:dyDescent="0.3">
      <c r="A14" s="12" t="s">
        <v>96</v>
      </c>
      <c r="B14" s="137">
        <v>1</v>
      </c>
      <c r="C14" s="31">
        <v>0</v>
      </c>
      <c r="D14" s="67">
        <v>0</v>
      </c>
    </row>
    <row r="15" spans="1:4" x14ac:dyDescent="0.3">
      <c r="A15" s="12" t="s">
        <v>70</v>
      </c>
      <c r="B15" s="137">
        <v>82</v>
      </c>
      <c r="C15" s="31">
        <v>4.2274193548387089</v>
      </c>
      <c r="D15" s="67">
        <v>5.1553894571203768E-2</v>
      </c>
    </row>
    <row r="16" spans="1:4" x14ac:dyDescent="0.3">
      <c r="A16" s="12" t="s">
        <v>68</v>
      </c>
      <c r="B16" s="137">
        <v>2</v>
      </c>
      <c r="C16" s="31">
        <v>0</v>
      </c>
      <c r="D16" s="67">
        <v>0</v>
      </c>
    </row>
    <row r="17" spans="1:4" x14ac:dyDescent="0.3">
      <c r="A17" s="12" t="s">
        <v>93</v>
      </c>
      <c r="B17" s="137">
        <v>1</v>
      </c>
      <c r="C17" s="31">
        <v>0</v>
      </c>
      <c r="D17" s="67">
        <v>0</v>
      </c>
    </row>
    <row r="18" spans="1:4" x14ac:dyDescent="0.3">
      <c r="A18" s="12" t="s">
        <v>125</v>
      </c>
      <c r="B18" s="137">
        <v>1</v>
      </c>
      <c r="C18" s="31">
        <v>0.192</v>
      </c>
      <c r="D18" s="67">
        <v>0.192</v>
      </c>
    </row>
    <row r="19" spans="1:4" x14ac:dyDescent="0.3">
      <c r="A19" s="12" t="s">
        <v>103</v>
      </c>
      <c r="B19" s="137">
        <v>1</v>
      </c>
      <c r="C19" s="31">
        <v>0.61806451612903213</v>
      </c>
      <c r="D19" s="67">
        <v>0.61806451612903213</v>
      </c>
    </row>
    <row r="20" spans="1:4" x14ac:dyDescent="0.3">
      <c r="A20" s="12" t="s">
        <v>140</v>
      </c>
      <c r="B20" s="137">
        <v>1</v>
      </c>
      <c r="C20" s="31">
        <v>0</v>
      </c>
      <c r="D20" s="67">
        <v>0</v>
      </c>
    </row>
    <row r="21" spans="1:4" x14ac:dyDescent="0.3">
      <c r="A21" s="12" t="s">
        <v>36</v>
      </c>
      <c r="B21" s="137">
        <v>6</v>
      </c>
      <c r="C21" s="31">
        <v>17.723225806451612</v>
      </c>
      <c r="D21" s="67">
        <v>2.9538709677419352</v>
      </c>
    </row>
    <row r="22" spans="1:4" x14ac:dyDescent="0.3">
      <c r="A22" s="12" t="s">
        <v>105</v>
      </c>
      <c r="B22" s="137">
        <v>13</v>
      </c>
      <c r="C22" s="31">
        <v>44.610322580645182</v>
      </c>
      <c r="D22" s="67">
        <v>3.4315632754342449</v>
      </c>
    </row>
    <row r="23" spans="1:4" x14ac:dyDescent="0.3">
      <c r="A23" s="12" t="s">
        <v>66</v>
      </c>
      <c r="B23" s="137">
        <v>105</v>
      </c>
      <c r="C23" s="31">
        <v>2.1992258064516128</v>
      </c>
      <c r="D23" s="67">
        <v>2.094500768049155E-2</v>
      </c>
    </row>
    <row r="24" spans="1:4" x14ac:dyDescent="0.3">
      <c r="A24" s="12" t="s">
        <v>74</v>
      </c>
      <c r="B24" s="137">
        <v>2</v>
      </c>
      <c r="C24" s="31">
        <v>0</v>
      </c>
      <c r="D24" s="67">
        <v>0</v>
      </c>
    </row>
    <row r="25" spans="1:4" x14ac:dyDescent="0.3">
      <c r="A25" s="12" t="s">
        <v>136</v>
      </c>
      <c r="B25" s="137">
        <v>16</v>
      </c>
      <c r="C25" s="31">
        <v>16.536129032258064</v>
      </c>
      <c r="D25" s="67">
        <v>1.033508064516129</v>
      </c>
    </row>
    <row r="26" spans="1:4" x14ac:dyDescent="0.3">
      <c r="A26" s="12" t="s">
        <v>106</v>
      </c>
      <c r="B26" s="137">
        <v>19</v>
      </c>
      <c r="C26" s="31">
        <v>64.621935483870956</v>
      </c>
      <c r="D26" s="67">
        <v>3.4011544991511031</v>
      </c>
    </row>
    <row r="27" spans="1:4" x14ac:dyDescent="0.3">
      <c r="A27" s="12" t="s">
        <v>107</v>
      </c>
      <c r="B27" s="137">
        <v>24</v>
      </c>
      <c r="C27" s="31">
        <v>0</v>
      </c>
      <c r="D27" s="67">
        <v>0</v>
      </c>
    </row>
    <row r="28" spans="1:4" x14ac:dyDescent="0.3">
      <c r="A28" s="12" t="s">
        <v>29</v>
      </c>
      <c r="B28" s="137">
        <v>8</v>
      </c>
      <c r="C28" s="31">
        <v>44.190967741935488</v>
      </c>
      <c r="D28" s="67">
        <v>5.523870967741936</v>
      </c>
    </row>
    <row r="29" spans="1:4" x14ac:dyDescent="0.3">
      <c r="A29" s="12" t="s">
        <v>108</v>
      </c>
      <c r="B29" s="137">
        <v>3</v>
      </c>
      <c r="C29" s="31">
        <v>0</v>
      </c>
      <c r="D29" s="67">
        <v>0</v>
      </c>
    </row>
    <row r="30" spans="1:4" x14ac:dyDescent="0.3">
      <c r="A30" s="12" t="s">
        <v>38</v>
      </c>
      <c r="B30" s="137">
        <v>3</v>
      </c>
      <c r="C30" s="31">
        <v>53.555806451612909</v>
      </c>
      <c r="D30" s="67">
        <v>17.851935483870971</v>
      </c>
    </row>
    <row r="31" spans="1:4" x14ac:dyDescent="0.3">
      <c r="A31" s="12" t="s">
        <v>39</v>
      </c>
      <c r="B31" s="137">
        <v>3</v>
      </c>
      <c r="C31" s="31">
        <v>0</v>
      </c>
      <c r="D31" s="67">
        <v>0</v>
      </c>
    </row>
    <row r="32" spans="1:4" x14ac:dyDescent="0.3">
      <c r="A32" s="12" t="s">
        <v>71</v>
      </c>
      <c r="B32" s="137">
        <v>5</v>
      </c>
      <c r="C32" s="31">
        <v>45.78387096774194</v>
      </c>
      <c r="D32" s="67">
        <v>9.1567741935483884</v>
      </c>
    </row>
    <row r="33" spans="1:4" x14ac:dyDescent="0.3">
      <c r="A33" s="12" t="s">
        <v>59</v>
      </c>
      <c r="B33" s="137">
        <v>6</v>
      </c>
      <c r="C33" s="31">
        <v>1.4316129032258067</v>
      </c>
      <c r="D33" s="67">
        <v>0.23860215053763445</v>
      </c>
    </row>
    <row r="34" spans="1:4" x14ac:dyDescent="0.3">
      <c r="A34" s="12" t="s">
        <v>76</v>
      </c>
      <c r="B34" s="137">
        <v>10</v>
      </c>
      <c r="C34" s="31">
        <v>36.717096774193557</v>
      </c>
      <c r="D34" s="67">
        <v>3.6717096774193556</v>
      </c>
    </row>
    <row r="35" spans="1:4" x14ac:dyDescent="0.3">
      <c r="A35" s="12" t="s">
        <v>27</v>
      </c>
      <c r="B35" s="137">
        <v>5</v>
      </c>
      <c r="C35" s="31">
        <v>0</v>
      </c>
      <c r="D35" s="67">
        <v>0</v>
      </c>
    </row>
    <row r="36" spans="1:4" x14ac:dyDescent="0.3">
      <c r="A36" s="12" t="s">
        <v>101</v>
      </c>
      <c r="B36" s="137">
        <v>3</v>
      </c>
      <c r="C36" s="31">
        <v>69.710645161290316</v>
      </c>
      <c r="D36" s="67">
        <v>23.236881720430105</v>
      </c>
    </row>
    <row r="37" spans="1:4" x14ac:dyDescent="0.3">
      <c r="A37" s="12" t="s">
        <v>99</v>
      </c>
      <c r="B37" s="137">
        <v>10</v>
      </c>
      <c r="C37" s="31">
        <v>79.927741935483894</v>
      </c>
      <c r="D37" s="67">
        <v>7.9927741935483896</v>
      </c>
    </row>
    <row r="38" spans="1:4" x14ac:dyDescent="0.3">
      <c r="A38" s="12" t="s">
        <v>102</v>
      </c>
      <c r="B38" s="137">
        <v>9</v>
      </c>
      <c r="C38" s="31">
        <v>164.33580645161288</v>
      </c>
      <c r="D38" s="67">
        <v>18.259534050179209</v>
      </c>
    </row>
    <row r="39" spans="1:4" x14ac:dyDescent="0.3">
      <c r="A39" s="12" t="s">
        <v>100</v>
      </c>
      <c r="B39" s="137">
        <v>5</v>
      </c>
      <c r="C39" s="31">
        <v>14.130645161290319</v>
      </c>
      <c r="D39" s="67">
        <v>2.8261290322580637</v>
      </c>
    </row>
    <row r="40" spans="1:4" x14ac:dyDescent="0.3">
      <c r="A40" s="12" t="s">
        <v>109</v>
      </c>
      <c r="B40" s="137">
        <v>1</v>
      </c>
      <c r="C40" s="31">
        <v>0</v>
      </c>
      <c r="D40" s="67">
        <v>0</v>
      </c>
    </row>
    <row r="41" spans="1:4" x14ac:dyDescent="0.3">
      <c r="A41" s="12" t="s">
        <v>94</v>
      </c>
      <c r="B41" s="137">
        <v>2</v>
      </c>
      <c r="C41" s="31">
        <v>0</v>
      </c>
      <c r="D41" s="67">
        <v>0</v>
      </c>
    </row>
    <row r="42" spans="1:4" x14ac:dyDescent="0.3">
      <c r="A42" s="12" t="s">
        <v>117</v>
      </c>
      <c r="B42" s="137">
        <v>1</v>
      </c>
      <c r="C42" s="31">
        <v>10.441290322580647</v>
      </c>
      <c r="D42" s="67">
        <v>10.441290322580647</v>
      </c>
    </row>
    <row r="43" spans="1:4" x14ac:dyDescent="0.3">
      <c r="A43" s="12" t="s">
        <v>115</v>
      </c>
      <c r="B43" s="137">
        <v>1</v>
      </c>
      <c r="C43" s="31">
        <v>73.20225806451613</v>
      </c>
      <c r="D43" s="67">
        <v>73.20225806451613</v>
      </c>
    </row>
    <row r="44" spans="1:4" x14ac:dyDescent="0.3">
      <c r="A44" s="12" t="s">
        <v>112</v>
      </c>
      <c r="B44" s="137">
        <v>1</v>
      </c>
      <c r="C44" s="31">
        <v>0</v>
      </c>
      <c r="D44" s="67">
        <v>0</v>
      </c>
    </row>
    <row r="45" spans="1:4" x14ac:dyDescent="0.3">
      <c r="A45" s="12" t="s">
        <v>122</v>
      </c>
      <c r="B45" s="137">
        <v>3</v>
      </c>
      <c r="C45" s="31">
        <v>0</v>
      </c>
      <c r="D45" s="67">
        <v>0</v>
      </c>
    </row>
    <row r="46" spans="1:4" x14ac:dyDescent="0.3">
      <c r="A46" s="12" t="s">
        <v>127</v>
      </c>
      <c r="B46" s="137">
        <v>2</v>
      </c>
      <c r="C46" s="31">
        <v>13.946774193548386</v>
      </c>
      <c r="D46" s="67">
        <v>6.9733870967741929</v>
      </c>
    </row>
    <row r="47" spans="1:4" x14ac:dyDescent="0.3">
      <c r="A47" s="12" t="s">
        <v>143</v>
      </c>
      <c r="B47" s="137">
        <v>4</v>
      </c>
      <c r="C47" s="31">
        <v>0</v>
      </c>
      <c r="D47" s="67">
        <v>0</v>
      </c>
    </row>
    <row r="48" spans="1:4" x14ac:dyDescent="0.3">
      <c r="A48" s="12" t="s">
        <v>145</v>
      </c>
      <c r="B48" s="137">
        <v>2</v>
      </c>
      <c r="C48" s="31">
        <v>0</v>
      </c>
      <c r="D48" s="67">
        <v>0</v>
      </c>
    </row>
    <row r="49" spans="1:4" x14ac:dyDescent="0.3">
      <c r="A49" s="12" t="s">
        <v>56</v>
      </c>
      <c r="B49" s="137">
        <v>40</v>
      </c>
      <c r="C49" s="31">
        <v>427.51129032258063</v>
      </c>
      <c r="D49" s="67">
        <v>10.687782258064516</v>
      </c>
    </row>
    <row r="50" spans="1:4" x14ac:dyDescent="0.3">
      <c r="A50" s="12" t="s">
        <v>129</v>
      </c>
      <c r="B50" s="137">
        <v>2</v>
      </c>
      <c r="C50" s="31">
        <v>14.613225806451613</v>
      </c>
      <c r="D50" s="67">
        <v>7.3066129032258065</v>
      </c>
    </row>
    <row r="51" spans="1:4" x14ac:dyDescent="0.3">
      <c r="A51" s="12" t="s">
        <v>111</v>
      </c>
      <c r="B51" s="137">
        <v>7</v>
      </c>
      <c r="C51" s="31">
        <v>36.022903225806452</v>
      </c>
      <c r="D51" s="67">
        <v>7.218064516129032</v>
      </c>
    </row>
    <row r="52" spans="1:4" x14ac:dyDescent="0.3">
      <c r="A52" s="12" t="s">
        <v>148</v>
      </c>
      <c r="B52" s="137">
        <v>6</v>
      </c>
      <c r="C52" s="31">
        <v>31.460967741935487</v>
      </c>
      <c r="D52" s="67">
        <v>5.2434946236559146</v>
      </c>
    </row>
    <row r="53" spans="1:4" x14ac:dyDescent="0.3">
      <c r="A53" s="12" t="s">
        <v>150</v>
      </c>
      <c r="B53" s="137">
        <v>20</v>
      </c>
      <c r="C53" s="31">
        <v>43.850645161290309</v>
      </c>
      <c r="D53" s="67">
        <v>2.1925322580645155</v>
      </c>
    </row>
    <row r="54" spans="1:4" x14ac:dyDescent="0.3">
      <c r="A54" s="12" t="s">
        <v>147</v>
      </c>
      <c r="B54" s="137">
        <v>19</v>
      </c>
      <c r="C54" s="31">
        <v>156.58774193548385</v>
      </c>
      <c r="D54" s="67">
        <v>23.364212523719164</v>
      </c>
    </row>
    <row r="55" spans="1:4" x14ac:dyDescent="0.3">
      <c r="A55" s="12" t="s">
        <v>149</v>
      </c>
      <c r="B55" s="137">
        <v>7</v>
      </c>
      <c r="C55" s="31">
        <v>197.00354838709674</v>
      </c>
      <c r="D55" s="67">
        <v>28.143364055299536</v>
      </c>
    </row>
    <row r="56" spans="1:4" x14ac:dyDescent="0.3">
      <c r="A56" s="12" t="s">
        <v>151</v>
      </c>
      <c r="B56" s="137">
        <v>5</v>
      </c>
      <c r="C56" s="31">
        <v>45.088888888888896</v>
      </c>
      <c r="D56" s="67">
        <v>9.0177777777777788</v>
      </c>
    </row>
    <row r="57" spans="1:4" x14ac:dyDescent="0.3">
      <c r="A57" s="12" t="s">
        <v>141</v>
      </c>
      <c r="B57" s="137">
        <v>2</v>
      </c>
      <c r="C57" s="31">
        <v>0</v>
      </c>
      <c r="D57" s="67">
        <v>0</v>
      </c>
    </row>
    <row r="58" spans="1:4" x14ac:dyDescent="0.3">
      <c r="A58" s="12" t="s">
        <v>110</v>
      </c>
      <c r="B58" s="137">
        <v>1</v>
      </c>
      <c r="C58" s="31">
        <v>0</v>
      </c>
      <c r="D58" s="67">
        <v>0</v>
      </c>
    </row>
    <row r="59" spans="1:4" x14ac:dyDescent="0.3">
      <c r="A59" s="12" t="s">
        <v>83</v>
      </c>
      <c r="B59" s="137">
        <v>533</v>
      </c>
      <c r="C59" s="31">
        <v>2136.9278566308244</v>
      </c>
      <c r="D59" s="67">
        <v>351.53226637413525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 filterMode="1"/>
  <dimension ref="A1:AP64"/>
  <sheetViews>
    <sheetView zoomScaleNormal="100" workbookViewId="0">
      <pane xSplit="8" topLeftCell="V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22.33203125" bestFit="1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8.6640625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9" width="10.44140625" bestFit="1" customWidth="1"/>
    <col min="40" max="40" width="10.44140625" customWidth="1"/>
    <col min="42" max="42" width="10.5546875" bestFit="1" customWidth="1"/>
  </cols>
  <sheetData>
    <row r="1" spans="1:42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146</v>
      </c>
      <c r="J1" s="16">
        <v>45261</v>
      </c>
      <c r="K1" s="16">
        <v>45262</v>
      </c>
      <c r="L1" s="16">
        <v>45263</v>
      </c>
      <c r="M1" s="16">
        <v>45264</v>
      </c>
      <c r="N1" s="16">
        <v>45265</v>
      </c>
      <c r="O1" s="16">
        <v>45266</v>
      </c>
      <c r="P1" s="16">
        <v>45267</v>
      </c>
      <c r="Q1" s="16">
        <v>45268</v>
      </c>
      <c r="R1" s="16">
        <v>45269</v>
      </c>
      <c r="S1" s="16">
        <v>45270</v>
      </c>
      <c r="T1" s="16">
        <v>45271</v>
      </c>
      <c r="U1" s="16">
        <v>45272</v>
      </c>
      <c r="V1" s="16">
        <v>45273</v>
      </c>
      <c r="W1" s="16">
        <v>45274</v>
      </c>
      <c r="X1" s="16">
        <v>45275</v>
      </c>
      <c r="Y1" s="16">
        <v>45276</v>
      </c>
      <c r="Z1" s="16">
        <v>45277</v>
      </c>
      <c r="AA1" s="16">
        <v>45278</v>
      </c>
      <c r="AB1" s="16">
        <v>45279</v>
      </c>
      <c r="AC1" s="55">
        <v>45280</v>
      </c>
      <c r="AD1" s="55">
        <v>45281</v>
      </c>
      <c r="AE1" s="55">
        <v>45282</v>
      </c>
      <c r="AF1" s="55">
        <v>45283</v>
      </c>
      <c r="AG1" s="16">
        <v>45284</v>
      </c>
      <c r="AH1" s="16">
        <v>45285</v>
      </c>
      <c r="AI1" s="16">
        <v>45286</v>
      </c>
      <c r="AJ1" s="16">
        <v>45287</v>
      </c>
      <c r="AK1" s="16">
        <v>45288</v>
      </c>
      <c r="AL1" s="16">
        <v>45289</v>
      </c>
      <c r="AM1" s="16">
        <v>45290</v>
      </c>
      <c r="AN1" s="16">
        <v>45291</v>
      </c>
      <c r="AO1" s="13" t="s">
        <v>8</v>
      </c>
      <c r="AP1" s="66" t="s">
        <v>152</v>
      </c>
    </row>
    <row r="2" spans="1:42" x14ac:dyDescent="0.3">
      <c r="A2" s="5">
        <v>1</v>
      </c>
      <c r="B2" s="6" t="s">
        <v>9</v>
      </c>
      <c r="C2" s="6" t="s">
        <v>86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5">
        <v>14</v>
      </c>
      <c r="J2" s="46">
        <v>24.68</v>
      </c>
      <c r="K2" s="45">
        <v>54.89</v>
      </c>
      <c r="L2" s="46">
        <v>62.2</v>
      </c>
      <c r="M2" s="46">
        <v>43.47</v>
      </c>
      <c r="N2" s="46">
        <v>42.05</v>
      </c>
      <c r="O2" s="46">
        <v>51.54</v>
      </c>
      <c r="P2" s="46">
        <v>116.37</v>
      </c>
      <c r="Q2" s="46">
        <v>75.069999999999993</v>
      </c>
      <c r="R2" s="46">
        <v>46.92</v>
      </c>
      <c r="S2" s="46">
        <v>49.62</v>
      </c>
      <c r="T2" s="46">
        <v>55.74</v>
      </c>
      <c r="U2" s="46">
        <v>74.38</v>
      </c>
      <c r="V2" s="46">
        <v>53.04</v>
      </c>
      <c r="W2" s="46">
        <v>54.14</v>
      </c>
      <c r="X2" s="46">
        <v>53.55</v>
      </c>
      <c r="Y2" s="46">
        <v>56.09</v>
      </c>
      <c r="Z2" s="46">
        <v>44.21</v>
      </c>
      <c r="AA2" s="46">
        <v>35.31</v>
      </c>
      <c r="AB2" s="53">
        <v>30.68</v>
      </c>
      <c r="AC2" s="60">
        <v>37.39</v>
      </c>
      <c r="AD2" s="60">
        <v>35.29</v>
      </c>
      <c r="AE2" s="60">
        <v>39.729999999999997</v>
      </c>
      <c r="AF2" s="60">
        <v>45.13</v>
      </c>
      <c r="AG2" s="54">
        <v>42.19</v>
      </c>
      <c r="AH2" s="46">
        <v>60.68</v>
      </c>
      <c r="AI2" s="46">
        <v>69.59</v>
      </c>
      <c r="AJ2" s="46">
        <v>65.61</v>
      </c>
      <c r="AK2" s="46">
        <v>61.5</v>
      </c>
      <c r="AL2" s="46">
        <v>62.68</v>
      </c>
      <c r="AM2" s="46">
        <v>62.23</v>
      </c>
      <c r="AN2" s="46">
        <v>66.92</v>
      </c>
      <c r="AO2" s="46">
        <f>AVERAGE(J2:AN2)</f>
        <v>53.964193548387101</v>
      </c>
      <c r="AP2" s="67">
        <f>AO2/H2</f>
        <v>8.9940322580645162</v>
      </c>
    </row>
    <row r="3" spans="1:42" x14ac:dyDescent="0.3">
      <c r="A3" s="5">
        <v>2</v>
      </c>
      <c r="B3" s="6" t="s">
        <v>9</v>
      </c>
      <c r="C3" s="6" t="s">
        <v>87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5"/>
      <c r="J3" s="46">
        <v>91.81</v>
      </c>
      <c r="K3" s="45">
        <v>132.88</v>
      </c>
      <c r="L3" s="46">
        <v>131.87</v>
      </c>
      <c r="M3" s="46">
        <v>88.95</v>
      </c>
      <c r="N3" s="46">
        <v>132.41999999999999</v>
      </c>
      <c r="O3" s="46">
        <v>105.57</v>
      </c>
      <c r="P3" s="46">
        <v>137.46</v>
      </c>
      <c r="Q3" s="46">
        <v>126.54</v>
      </c>
      <c r="R3" s="46">
        <v>128.34</v>
      </c>
      <c r="S3" s="46">
        <v>117.68</v>
      </c>
      <c r="T3" s="46">
        <v>111.29</v>
      </c>
      <c r="U3" s="46">
        <v>132.85</v>
      </c>
      <c r="V3" s="46">
        <v>117.85</v>
      </c>
      <c r="W3" s="46">
        <v>133.55000000000001</v>
      </c>
      <c r="X3" s="46">
        <v>100.62</v>
      </c>
      <c r="Y3" s="46">
        <v>99.4</v>
      </c>
      <c r="Z3" s="46">
        <v>110.04</v>
      </c>
      <c r="AA3" s="46">
        <v>86</v>
      </c>
      <c r="AB3" s="53">
        <v>100.74</v>
      </c>
      <c r="AC3" s="60">
        <v>109.81</v>
      </c>
      <c r="AD3" s="60">
        <v>127.15</v>
      </c>
      <c r="AE3" s="60">
        <v>128.78</v>
      </c>
      <c r="AF3" s="60">
        <v>95.34</v>
      </c>
      <c r="AG3" s="54">
        <v>132.86000000000001</v>
      </c>
      <c r="AH3" s="46">
        <v>125.63</v>
      </c>
      <c r="AI3" s="46">
        <v>118.94</v>
      </c>
      <c r="AJ3" s="46">
        <v>117.14</v>
      </c>
      <c r="AK3" s="46">
        <v>136.97999999999999</v>
      </c>
      <c r="AL3" s="46">
        <v>121.07</v>
      </c>
      <c r="AM3" s="46">
        <v>117.39</v>
      </c>
      <c r="AN3" s="46">
        <v>135.28</v>
      </c>
      <c r="AO3" s="46">
        <f t="shared" ref="AO3:AO59" si="0">AVERAGE(J3:AN3)</f>
        <v>117.81387096774195</v>
      </c>
      <c r="AP3" s="67">
        <f t="shared" ref="AP3:AP60" si="1">AO3/H3</f>
        <v>13.090430107526883</v>
      </c>
    </row>
    <row r="4" spans="1:42" x14ac:dyDescent="0.3">
      <c r="A4" s="5">
        <v>3</v>
      </c>
      <c r="B4" s="6" t="s">
        <v>9</v>
      </c>
      <c r="C4" s="6" t="s">
        <v>88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5"/>
      <c r="J4" s="46">
        <v>67.23</v>
      </c>
      <c r="K4" s="45">
        <v>45.9</v>
      </c>
      <c r="L4" s="46">
        <v>36.68</v>
      </c>
      <c r="M4" s="46">
        <v>60.65</v>
      </c>
      <c r="N4" s="46">
        <v>61.87</v>
      </c>
      <c r="O4" s="46">
        <v>44.23</v>
      </c>
      <c r="P4" s="46">
        <v>45.25</v>
      </c>
      <c r="Q4" s="46">
        <v>46.39</v>
      </c>
      <c r="R4" s="46">
        <v>32.36</v>
      </c>
      <c r="S4" s="46">
        <v>40.39</v>
      </c>
      <c r="T4" s="46">
        <v>40.68</v>
      </c>
      <c r="U4" s="46">
        <v>37.43</v>
      </c>
      <c r="V4" s="46">
        <v>44.45</v>
      </c>
      <c r="W4" s="46">
        <v>53.7</v>
      </c>
      <c r="X4" s="46">
        <v>36.520000000000003</v>
      </c>
      <c r="Y4" s="46">
        <v>38.5</v>
      </c>
      <c r="Z4" s="46">
        <v>42.36</v>
      </c>
      <c r="AA4" s="46">
        <v>41.05</v>
      </c>
      <c r="AB4" s="53">
        <v>37.78</v>
      </c>
      <c r="AC4" s="60">
        <v>37.89</v>
      </c>
      <c r="AD4" s="60">
        <v>47.27</v>
      </c>
      <c r="AE4" s="60">
        <v>46.33</v>
      </c>
      <c r="AF4" s="60">
        <v>34.159999999999997</v>
      </c>
      <c r="AG4" s="54">
        <v>28.1</v>
      </c>
      <c r="AH4" s="46">
        <v>32.36</v>
      </c>
      <c r="AI4" s="46">
        <v>57.57</v>
      </c>
      <c r="AJ4" s="46">
        <v>39</v>
      </c>
      <c r="AK4" s="46">
        <v>44.24</v>
      </c>
      <c r="AL4" s="46">
        <v>36.74</v>
      </c>
      <c r="AM4" s="46">
        <v>38.29</v>
      </c>
      <c r="AN4" s="46">
        <v>28.52</v>
      </c>
      <c r="AO4" s="46">
        <f t="shared" si="0"/>
        <v>42.706129032258055</v>
      </c>
      <c r="AP4" s="67">
        <f t="shared" si="1"/>
        <v>14.235376344086019</v>
      </c>
    </row>
    <row r="5" spans="1:42" x14ac:dyDescent="0.3">
      <c r="A5" s="5">
        <v>4</v>
      </c>
      <c r="B5" s="6" t="s">
        <v>9</v>
      </c>
      <c r="C5" s="6" t="s">
        <v>92</v>
      </c>
      <c r="D5" s="6" t="s">
        <v>18</v>
      </c>
      <c r="E5" s="6" t="s">
        <v>12</v>
      </c>
      <c r="F5" s="6" t="s">
        <v>13</v>
      </c>
      <c r="G5" s="6" t="s">
        <v>35</v>
      </c>
      <c r="H5" s="5">
        <v>3</v>
      </c>
      <c r="I5" s="5">
        <v>8</v>
      </c>
      <c r="J5" s="45">
        <v>26.96</v>
      </c>
      <c r="K5" s="45">
        <v>49.6</v>
      </c>
      <c r="L5" s="46">
        <v>35.81</v>
      </c>
      <c r="M5" s="46">
        <v>46.75</v>
      </c>
      <c r="N5" s="46">
        <v>28.85</v>
      </c>
      <c r="O5" s="46">
        <v>42.58</v>
      </c>
      <c r="P5" s="46">
        <v>61.86</v>
      </c>
      <c r="Q5" s="46">
        <v>47.6</v>
      </c>
      <c r="R5" s="46">
        <v>47.72</v>
      </c>
      <c r="S5" s="46">
        <v>59.32</v>
      </c>
      <c r="T5" s="46">
        <v>32.799999999999997</v>
      </c>
      <c r="U5" s="46">
        <v>41.38</v>
      </c>
      <c r="V5" s="46">
        <v>44.89</v>
      </c>
      <c r="W5" s="46">
        <v>35.99</v>
      </c>
      <c r="X5" s="46">
        <v>40.369999999999997</v>
      </c>
      <c r="Y5" s="46">
        <v>41.76</v>
      </c>
      <c r="Z5" s="46">
        <v>33.82</v>
      </c>
      <c r="AA5" s="46">
        <v>27.41</v>
      </c>
      <c r="AB5" s="53">
        <v>40.22</v>
      </c>
      <c r="AC5" s="60">
        <v>43.33</v>
      </c>
      <c r="AD5" s="60">
        <v>42.01</v>
      </c>
      <c r="AE5" s="60">
        <v>38.72</v>
      </c>
      <c r="AF5" s="60">
        <v>37.17</v>
      </c>
      <c r="AG5" s="54">
        <v>36.590000000000003</v>
      </c>
      <c r="AH5" s="46">
        <v>19.149999999999999</v>
      </c>
      <c r="AI5" s="46">
        <v>55.76</v>
      </c>
      <c r="AJ5" s="46">
        <v>34.549999999999997</v>
      </c>
      <c r="AK5" s="46">
        <v>36.18</v>
      </c>
      <c r="AL5" s="46">
        <v>44.12</v>
      </c>
      <c r="AM5" s="46">
        <v>35.090000000000003</v>
      </c>
      <c r="AN5" s="46">
        <v>30.84</v>
      </c>
      <c r="AO5" s="46">
        <f t="shared" si="0"/>
        <v>39.974193548387092</v>
      </c>
      <c r="AP5" s="67">
        <f t="shared" si="1"/>
        <v>13.324731182795697</v>
      </c>
    </row>
    <row r="6" spans="1:42" hidden="1" x14ac:dyDescent="0.3">
      <c r="A6" s="5">
        <v>5</v>
      </c>
      <c r="B6" s="6" t="s">
        <v>9</v>
      </c>
      <c r="C6" s="6" t="s">
        <v>93</v>
      </c>
      <c r="D6" s="6" t="s">
        <v>26</v>
      </c>
      <c r="E6" s="6" t="s">
        <v>19</v>
      </c>
      <c r="F6" s="6" t="s">
        <v>13</v>
      </c>
      <c r="G6" s="6" t="s">
        <v>14</v>
      </c>
      <c r="H6" s="5">
        <v>1</v>
      </c>
      <c r="I6" s="5">
        <v>0</v>
      </c>
      <c r="J6" s="45">
        <v>0</v>
      </c>
      <c r="K6" s="45">
        <v>0</v>
      </c>
      <c r="L6" s="45">
        <v>0</v>
      </c>
      <c r="M6" s="45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>
        <f t="shared" si="0"/>
        <v>0</v>
      </c>
      <c r="AP6" s="67">
        <f t="shared" si="1"/>
        <v>0</v>
      </c>
    </row>
    <row r="7" spans="1:42" hidden="1" x14ac:dyDescent="0.3">
      <c r="A7" s="5">
        <v>6</v>
      </c>
      <c r="B7" s="6" t="s">
        <v>9</v>
      </c>
      <c r="C7" s="6" t="s">
        <v>27</v>
      </c>
      <c r="D7" s="6" t="s">
        <v>28</v>
      </c>
      <c r="E7" s="6" t="s">
        <v>19</v>
      </c>
      <c r="F7" s="6" t="s">
        <v>13</v>
      </c>
      <c r="G7" s="6" t="s">
        <v>14</v>
      </c>
      <c r="H7" s="5">
        <v>5</v>
      </c>
      <c r="I7" s="5"/>
      <c r="J7" s="45">
        <v>0</v>
      </c>
      <c r="K7" s="45">
        <v>0</v>
      </c>
      <c r="L7" s="45">
        <v>0</v>
      </c>
      <c r="M7" s="45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f t="shared" si="0"/>
        <v>0</v>
      </c>
      <c r="AP7" s="67">
        <f t="shared" si="1"/>
        <v>0</v>
      </c>
    </row>
    <row r="8" spans="1:42" x14ac:dyDescent="0.3">
      <c r="A8" s="5">
        <v>7</v>
      </c>
      <c r="B8" s="6" t="s">
        <v>9</v>
      </c>
      <c r="C8" s="6" t="s">
        <v>29</v>
      </c>
      <c r="D8" s="6" t="s">
        <v>30</v>
      </c>
      <c r="E8" s="6" t="s">
        <v>12</v>
      </c>
      <c r="F8" s="6" t="s">
        <v>13</v>
      </c>
      <c r="G8" s="6" t="s">
        <v>35</v>
      </c>
      <c r="H8" s="5">
        <v>8</v>
      </c>
      <c r="I8" s="5">
        <v>10</v>
      </c>
      <c r="J8" s="45">
        <v>83.57</v>
      </c>
      <c r="K8" s="45">
        <v>77.599999999999994</v>
      </c>
      <c r="L8" s="46">
        <v>54.31</v>
      </c>
      <c r="M8" s="46">
        <v>48.12</v>
      </c>
      <c r="N8" s="46">
        <v>51.86</v>
      </c>
      <c r="O8" s="46">
        <v>76.7</v>
      </c>
      <c r="P8" s="46">
        <v>55.37</v>
      </c>
      <c r="Q8" s="46">
        <v>35.01</v>
      </c>
      <c r="R8" s="46">
        <v>55.61</v>
      </c>
      <c r="S8" s="46">
        <v>43.29</v>
      </c>
      <c r="T8" s="46">
        <v>32.94</v>
      </c>
      <c r="U8" s="46">
        <v>27.32</v>
      </c>
      <c r="V8" s="46">
        <v>44.09</v>
      </c>
      <c r="W8" s="46">
        <v>41.2</v>
      </c>
      <c r="X8" s="46">
        <v>40.35</v>
      </c>
      <c r="Y8" s="46">
        <v>41.84</v>
      </c>
      <c r="Z8" s="46">
        <v>28.87</v>
      </c>
      <c r="AA8" s="46">
        <v>22.38</v>
      </c>
      <c r="AB8" s="53">
        <v>33.729999999999997</v>
      </c>
      <c r="AC8" s="60">
        <v>51.33</v>
      </c>
      <c r="AD8" s="60">
        <v>20.62</v>
      </c>
      <c r="AE8" s="60">
        <v>49.14</v>
      </c>
      <c r="AF8" s="60">
        <v>46.2</v>
      </c>
      <c r="AG8" s="54">
        <v>26.87</v>
      </c>
      <c r="AH8" s="46">
        <v>13.7</v>
      </c>
      <c r="AI8" s="46">
        <v>23.06</v>
      </c>
      <c r="AJ8" s="46">
        <v>45.64</v>
      </c>
      <c r="AK8" s="46">
        <v>60.76</v>
      </c>
      <c r="AL8" s="46">
        <v>33.69</v>
      </c>
      <c r="AM8" s="46">
        <v>53.47</v>
      </c>
      <c r="AN8" s="46">
        <v>51.28</v>
      </c>
      <c r="AO8" s="46">
        <f t="shared" si="0"/>
        <v>44.190967741935488</v>
      </c>
      <c r="AP8" s="67">
        <f t="shared" si="1"/>
        <v>5.523870967741936</v>
      </c>
    </row>
    <row r="9" spans="1:42" hidden="1" x14ac:dyDescent="0.3">
      <c r="A9" s="5">
        <v>8</v>
      </c>
      <c r="B9" s="6" t="s">
        <v>9</v>
      </c>
      <c r="C9" s="6" t="s">
        <v>94</v>
      </c>
      <c r="D9" s="6" t="s">
        <v>32</v>
      </c>
      <c r="E9" s="6" t="s">
        <v>19</v>
      </c>
      <c r="F9" s="6" t="s">
        <v>13</v>
      </c>
      <c r="G9" s="6" t="s">
        <v>14</v>
      </c>
      <c r="H9" s="5">
        <v>2</v>
      </c>
      <c r="I9" s="5">
        <v>0</v>
      </c>
      <c r="J9" s="45">
        <v>0</v>
      </c>
      <c r="K9" s="45">
        <v>0</v>
      </c>
      <c r="L9" s="45">
        <v>0</v>
      </c>
      <c r="M9" s="45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>
        <f t="shared" si="0"/>
        <v>0</v>
      </c>
      <c r="AP9" s="67">
        <f t="shared" si="1"/>
        <v>0</v>
      </c>
    </row>
    <row r="10" spans="1:42" x14ac:dyDescent="0.3">
      <c r="A10" s="5">
        <v>9</v>
      </c>
      <c r="B10" s="6" t="s">
        <v>9</v>
      </c>
      <c r="C10" s="6" t="s">
        <v>147</v>
      </c>
      <c r="D10" s="6" t="s">
        <v>128</v>
      </c>
      <c r="E10" s="6" t="s">
        <v>12</v>
      </c>
      <c r="F10" s="6" t="s">
        <v>13</v>
      </c>
      <c r="G10" s="6" t="s">
        <v>35</v>
      </c>
      <c r="H10" s="5">
        <v>17</v>
      </c>
      <c r="I10" s="5">
        <v>30</v>
      </c>
      <c r="J10" s="45">
        <v>182.28</v>
      </c>
      <c r="K10" s="45">
        <v>151.07</v>
      </c>
      <c r="L10" s="46">
        <v>161.44999999999999</v>
      </c>
      <c r="M10" s="46">
        <v>168.57</v>
      </c>
      <c r="N10" s="46">
        <v>126.8</v>
      </c>
      <c r="O10" s="46">
        <v>129.6</v>
      </c>
      <c r="P10" s="46">
        <v>165.83</v>
      </c>
      <c r="Q10" s="46">
        <v>135.94999999999999</v>
      </c>
      <c r="R10" s="46">
        <v>116.23</v>
      </c>
      <c r="S10" s="46">
        <v>140.05000000000001</v>
      </c>
      <c r="T10" s="46">
        <v>143.72999999999999</v>
      </c>
      <c r="U10" s="46">
        <v>108.47</v>
      </c>
      <c r="V10" s="46">
        <v>143.34</v>
      </c>
      <c r="W10" s="46">
        <v>88.51</v>
      </c>
      <c r="X10" s="46">
        <v>137.59</v>
      </c>
      <c r="Y10" s="46">
        <v>139.58000000000001</v>
      </c>
      <c r="Z10" s="46">
        <v>131.36000000000001</v>
      </c>
      <c r="AA10" s="46">
        <v>140.38</v>
      </c>
      <c r="AB10" s="53">
        <v>188.29</v>
      </c>
      <c r="AC10" s="60">
        <v>117.46</v>
      </c>
      <c r="AD10" s="60">
        <v>163.33000000000001</v>
      </c>
      <c r="AE10" s="60">
        <v>111.35</v>
      </c>
      <c r="AF10" s="60">
        <v>150.31</v>
      </c>
      <c r="AG10" s="54">
        <v>143.6</v>
      </c>
      <c r="AH10" s="46">
        <v>168.5</v>
      </c>
      <c r="AI10" s="46">
        <v>149.66</v>
      </c>
      <c r="AJ10" s="46">
        <v>125.76</v>
      </c>
      <c r="AK10" s="46">
        <v>124.74</v>
      </c>
      <c r="AL10" s="46">
        <v>145.59</v>
      </c>
      <c r="AM10" s="46">
        <v>168.54</v>
      </c>
      <c r="AN10" s="46">
        <v>120.13</v>
      </c>
      <c r="AO10" s="46">
        <f t="shared" si="0"/>
        <v>141.54999999999998</v>
      </c>
      <c r="AP10" s="67">
        <f t="shared" si="1"/>
        <v>8.3264705882352938</v>
      </c>
    </row>
    <row r="11" spans="1:42" x14ac:dyDescent="0.3">
      <c r="A11" s="5">
        <v>10</v>
      </c>
      <c r="B11" s="6" t="s">
        <v>9</v>
      </c>
      <c r="C11" s="6" t="s">
        <v>147</v>
      </c>
      <c r="D11" s="6" t="s">
        <v>128</v>
      </c>
      <c r="E11" s="6" t="s">
        <v>12</v>
      </c>
      <c r="F11" s="6" t="s">
        <v>13</v>
      </c>
      <c r="G11" s="6" t="s">
        <v>80</v>
      </c>
      <c r="H11" s="5">
        <v>1</v>
      </c>
      <c r="I11" s="5">
        <v>0</v>
      </c>
      <c r="J11" s="45">
        <v>3.35</v>
      </c>
      <c r="K11" s="45">
        <v>7.05</v>
      </c>
      <c r="L11" s="46">
        <v>0.01</v>
      </c>
      <c r="M11" s="46">
        <v>20.9</v>
      </c>
      <c r="N11" s="46">
        <v>7.4</v>
      </c>
      <c r="O11" s="46">
        <v>9.9499999999999993</v>
      </c>
      <c r="P11" s="46">
        <v>0.26</v>
      </c>
      <c r="Q11" s="46">
        <v>11.87</v>
      </c>
      <c r="R11" s="46">
        <v>9.9600000000000009</v>
      </c>
      <c r="S11" s="46">
        <v>0.35</v>
      </c>
      <c r="T11" s="46">
        <v>0</v>
      </c>
      <c r="U11" s="46">
        <v>18.170000000000002</v>
      </c>
      <c r="V11" s="46">
        <v>4.58</v>
      </c>
      <c r="W11" s="46">
        <v>6.68</v>
      </c>
      <c r="X11" s="46">
        <v>3.55</v>
      </c>
      <c r="Y11" s="46">
        <v>7.52</v>
      </c>
      <c r="Z11" s="46">
        <v>0</v>
      </c>
      <c r="AA11" s="46">
        <v>5.82</v>
      </c>
      <c r="AB11" s="53">
        <v>0</v>
      </c>
      <c r="AC11" s="60">
        <v>0</v>
      </c>
      <c r="AD11" s="60">
        <v>0</v>
      </c>
      <c r="AE11" s="60">
        <v>2.42</v>
      </c>
      <c r="AF11" s="60">
        <v>0</v>
      </c>
      <c r="AG11" s="54">
        <v>0</v>
      </c>
      <c r="AH11" s="46">
        <v>0</v>
      </c>
      <c r="AI11" s="46">
        <v>0</v>
      </c>
      <c r="AJ11" s="46">
        <v>6.29</v>
      </c>
      <c r="AK11" s="46">
        <v>0</v>
      </c>
      <c r="AL11" s="46">
        <v>5.21</v>
      </c>
      <c r="AM11" s="46">
        <v>0</v>
      </c>
      <c r="AN11" s="46">
        <v>7.5</v>
      </c>
      <c r="AO11" s="46">
        <f t="shared" si="0"/>
        <v>4.4787096774193547</v>
      </c>
      <c r="AP11" s="67">
        <f t="shared" si="1"/>
        <v>4.4787096774193547</v>
      </c>
    </row>
    <row r="12" spans="1:42" x14ac:dyDescent="0.3">
      <c r="A12" s="5">
        <v>11</v>
      </c>
      <c r="B12" s="6" t="s">
        <v>9</v>
      </c>
      <c r="C12" s="6" t="s">
        <v>147</v>
      </c>
      <c r="D12" s="6" t="s">
        <v>128</v>
      </c>
      <c r="E12" s="6" t="s">
        <v>12</v>
      </c>
      <c r="F12" s="6" t="s">
        <v>124</v>
      </c>
      <c r="G12" s="6" t="s">
        <v>80</v>
      </c>
      <c r="H12" s="5">
        <v>1</v>
      </c>
      <c r="I12" s="5">
        <v>0</v>
      </c>
      <c r="J12" s="45">
        <v>26.29</v>
      </c>
      <c r="K12" s="45">
        <v>6.93</v>
      </c>
      <c r="L12" s="46">
        <v>10.44</v>
      </c>
      <c r="M12" s="46">
        <v>7.09</v>
      </c>
      <c r="N12" s="46">
        <v>14.93</v>
      </c>
      <c r="O12" s="46">
        <v>7.46</v>
      </c>
      <c r="P12" s="46">
        <v>8.42</v>
      </c>
      <c r="Q12" s="46">
        <v>24.34</v>
      </c>
      <c r="R12" s="46">
        <v>0</v>
      </c>
      <c r="S12" s="46">
        <v>15.61</v>
      </c>
      <c r="T12" s="46">
        <v>13.1</v>
      </c>
      <c r="U12" s="46">
        <v>6.76</v>
      </c>
      <c r="V12" s="46">
        <v>14.27</v>
      </c>
      <c r="W12" s="46">
        <v>14.13</v>
      </c>
      <c r="X12" s="46">
        <v>13.13</v>
      </c>
      <c r="Y12" s="46">
        <v>6.71</v>
      </c>
      <c r="Z12" s="46">
        <v>6.26</v>
      </c>
      <c r="AA12" s="46">
        <v>14.92</v>
      </c>
      <c r="AB12" s="53">
        <v>6.69</v>
      </c>
      <c r="AC12" s="60">
        <v>12.58</v>
      </c>
      <c r="AD12" s="60">
        <v>6.65</v>
      </c>
      <c r="AE12" s="60">
        <v>7.73</v>
      </c>
      <c r="AF12" s="60">
        <v>15.72</v>
      </c>
      <c r="AG12" s="54">
        <v>6.17</v>
      </c>
      <c r="AH12" s="46">
        <v>6.15</v>
      </c>
      <c r="AI12" s="46">
        <v>0</v>
      </c>
      <c r="AJ12" s="46">
        <v>6.1</v>
      </c>
      <c r="AK12" s="46">
        <v>7.77</v>
      </c>
      <c r="AL12" s="46">
        <v>14.46</v>
      </c>
      <c r="AM12" s="46">
        <v>12.2</v>
      </c>
      <c r="AN12" s="46">
        <v>14.32</v>
      </c>
      <c r="AO12" s="46">
        <f t="shared" si="0"/>
        <v>10.559032258064516</v>
      </c>
      <c r="AP12" s="67">
        <f t="shared" si="1"/>
        <v>10.559032258064516</v>
      </c>
    </row>
    <row r="13" spans="1:42" x14ac:dyDescent="0.3">
      <c r="A13" s="5">
        <v>12</v>
      </c>
      <c r="B13" s="6" t="s">
        <v>9</v>
      </c>
      <c r="C13" s="6" t="s">
        <v>36</v>
      </c>
      <c r="D13" s="6" t="s">
        <v>30</v>
      </c>
      <c r="E13" s="6" t="s">
        <v>12</v>
      </c>
      <c r="F13" s="6" t="s">
        <v>13</v>
      </c>
      <c r="G13" s="6" t="s">
        <v>35</v>
      </c>
      <c r="H13" s="5">
        <v>6</v>
      </c>
      <c r="I13" s="5">
        <v>9</v>
      </c>
      <c r="J13" s="45">
        <v>0.14000000000000001</v>
      </c>
      <c r="K13" s="45">
        <v>23.64</v>
      </c>
      <c r="L13" s="46">
        <v>19.14</v>
      </c>
      <c r="M13" s="46">
        <v>13.3</v>
      </c>
      <c r="N13" s="46">
        <v>31.77</v>
      </c>
      <c r="O13" s="46">
        <v>20.12</v>
      </c>
      <c r="P13" s="46">
        <v>22.26</v>
      </c>
      <c r="Q13" s="46">
        <v>24.2</v>
      </c>
      <c r="R13" s="46">
        <v>27.22</v>
      </c>
      <c r="S13" s="46">
        <v>18.309999999999999</v>
      </c>
      <c r="T13" s="46">
        <v>12.62</v>
      </c>
      <c r="U13" s="46">
        <v>14.77</v>
      </c>
      <c r="V13" s="46">
        <v>16.809999999999999</v>
      </c>
      <c r="W13" s="46">
        <v>19.5</v>
      </c>
      <c r="X13" s="46">
        <v>21.34</v>
      </c>
      <c r="Y13" s="46">
        <v>11.94</v>
      </c>
      <c r="Z13" s="46">
        <v>5.68</v>
      </c>
      <c r="AA13" s="46">
        <v>27.72</v>
      </c>
      <c r="AB13" s="53">
        <v>22.83</v>
      </c>
      <c r="AC13" s="60">
        <v>24.34</v>
      </c>
      <c r="AD13" s="60">
        <v>25.39</v>
      </c>
      <c r="AE13" s="60">
        <v>25.6</v>
      </c>
      <c r="AF13" s="60">
        <v>7.47</v>
      </c>
      <c r="AG13" s="54">
        <v>28.85</v>
      </c>
      <c r="AH13" s="46">
        <v>16.46</v>
      </c>
      <c r="AI13" s="46">
        <v>0</v>
      </c>
      <c r="AJ13" s="46">
        <v>0</v>
      </c>
      <c r="AK13" s="46">
        <v>0</v>
      </c>
      <c r="AL13" s="46">
        <v>22.81</v>
      </c>
      <c r="AM13" s="46">
        <v>29.16</v>
      </c>
      <c r="AN13" s="46">
        <v>16.03</v>
      </c>
      <c r="AO13" s="46">
        <f t="shared" si="0"/>
        <v>17.723225806451612</v>
      </c>
      <c r="AP13" s="67">
        <f t="shared" si="1"/>
        <v>2.9538709677419352</v>
      </c>
    </row>
    <row r="14" spans="1:42" x14ac:dyDescent="0.3">
      <c r="A14" s="5">
        <v>13</v>
      </c>
      <c r="B14" s="6" t="s">
        <v>9</v>
      </c>
      <c r="C14" s="6" t="s">
        <v>148</v>
      </c>
      <c r="D14" s="6" t="s">
        <v>128</v>
      </c>
      <c r="E14" s="6" t="s">
        <v>12</v>
      </c>
      <c r="F14" s="6" t="s">
        <v>13</v>
      </c>
      <c r="G14" s="6" t="s">
        <v>35</v>
      </c>
      <c r="H14" s="5">
        <v>6</v>
      </c>
      <c r="I14" s="5">
        <v>13</v>
      </c>
      <c r="J14" s="45">
        <v>0.32</v>
      </c>
      <c r="K14" s="45">
        <v>21.19</v>
      </c>
      <c r="L14" s="46">
        <v>34.270000000000003</v>
      </c>
      <c r="M14" s="46">
        <v>38.4</v>
      </c>
      <c r="N14" s="46">
        <v>32.19</v>
      </c>
      <c r="O14" s="46">
        <v>26.96</v>
      </c>
      <c r="P14" s="46">
        <v>25.14</v>
      </c>
      <c r="Q14" s="46">
        <v>28.22</v>
      </c>
      <c r="R14" s="46">
        <v>35.700000000000003</v>
      </c>
      <c r="S14" s="46">
        <v>35.04</v>
      </c>
      <c r="T14" s="46">
        <v>36.26</v>
      </c>
      <c r="U14" s="46">
        <v>27.83</v>
      </c>
      <c r="V14" s="46">
        <v>34.75</v>
      </c>
      <c r="W14" s="46">
        <v>33.26</v>
      </c>
      <c r="X14" s="46">
        <v>46.59</v>
      </c>
      <c r="Y14" s="46">
        <v>37.799999999999997</v>
      </c>
      <c r="Z14" s="46">
        <v>33.85</v>
      </c>
      <c r="AA14" s="46">
        <v>33.44</v>
      </c>
      <c r="AB14" s="53">
        <v>26.53</v>
      </c>
      <c r="AC14" s="60">
        <v>35.47</v>
      </c>
      <c r="AD14" s="60">
        <v>44.24</v>
      </c>
      <c r="AE14" s="60">
        <v>24.03</v>
      </c>
      <c r="AF14" s="60">
        <v>25.66</v>
      </c>
      <c r="AG14" s="54">
        <v>18.670000000000002</v>
      </c>
      <c r="AH14" s="46">
        <v>28.76</v>
      </c>
      <c r="AI14" s="46">
        <v>32.65</v>
      </c>
      <c r="AJ14" s="46">
        <v>37.56</v>
      </c>
      <c r="AK14" s="46">
        <v>39.729999999999997</v>
      </c>
      <c r="AL14" s="46">
        <v>36.82</v>
      </c>
      <c r="AM14" s="46">
        <v>37.130000000000003</v>
      </c>
      <c r="AN14" s="46">
        <v>26.83</v>
      </c>
      <c r="AO14" s="46">
        <f t="shared" si="0"/>
        <v>31.460967741935487</v>
      </c>
      <c r="AP14" s="67">
        <f t="shared" si="1"/>
        <v>5.2434946236559146</v>
      </c>
    </row>
    <row r="15" spans="1:42" x14ac:dyDescent="0.3">
      <c r="A15" s="5">
        <v>14</v>
      </c>
      <c r="B15" s="6" t="s">
        <v>9</v>
      </c>
      <c r="C15" s="6" t="s">
        <v>38</v>
      </c>
      <c r="D15" s="6" t="s">
        <v>30</v>
      </c>
      <c r="E15" s="6" t="s">
        <v>12</v>
      </c>
      <c r="F15" s="6" t="s">
        <v>13</v>
      </c>
      <c r="G15" s="6" t="s">
        <v>35</v>
      </c>
      <c r="H15" s="5">
        <v>3</v>
      </c>
      <c r="I15" s="5">
        <v>10</v>
      </c>
      <c r="J15" s="45">
        <v>14.5</v>
      </c>
      <c r="K15" s="45">
        <v>40.340000000000003</v>
      </c>
      <c r="L15" s="46">
        <v>43.8</v>
      </c>
      <c r="M15" s="46">
        <v>20.5</v>
      </c>
      <c r="N15" s="46">
        <v>46.15</v>
      </c>
      <c r="O15" s="46">
        <v>31.75</v>
      </c>
      <c r="P15" s="46">
        <v>42.44</v>
      </c>
      <c r="Q15" s="46">
        <v>39</v>
      </c>
      <c r="R15" s="46">
        <v>53.44</v>
      </c>
      <c r="S15" s="46">
        <v>55.36</v>
      </c>
      <c r="T15" s="46">
        <v>76.84</v>
      </c>
      <c r="U15" s="46">
        <v>51.42</v>
      </c>
      <c r="V15" s="46">
        <v>67.959999999999994</v>
      </c>
      <c r="W15" s="46">
        <v>68.23</v>
      </c>
      <c r="X15" s="46">
        <v>30.13</v>
      </c>
      <c r="Y15" s="46">
        <v>45.42</v>
      </c>
      <c r="Z15" s="46">
        <v>59.15</v>
      </c>
      <c r="AA15" s="46">
        <v>45.74</v>
      </c>
      <c r="AB15" s="53">
        <v>56.98</v>
      </c>
      <c r="AC15" s="60">
        <v>50.52</v>
      </c>
      <c r="AD15" s="60">
        <v>70.260000000000005</v>
      </c>
      <c r="AE15" s="60">
        <v>79.92</v>
      </c>
      <c r="AF15" s="60">
        <v>66.66</v>
      </c>
      <c r="AG15" s="54">
        <v>54.02</v>
      </c>
      <c r="AH15" s="46">
        <v>50.93</v>
      </c>
      <c r="AI15" s="46">
        <v>66.42</v>
      </c>
      <c r="AJ15" s="46">
        <v>78.67</v>
      </c>
      <c r="AK15" s="46">
        <v>68.97</v>
      </c>
      <c r="AL15" s="46">
        <v>61.42</v>
      </c>
      <c r="AM15" s="46">
        <v>54.28</v>
      </c>
      <c r="AN15" s="46">
        <v>69.010000000000005</v>
      </c>
      <c r="AO15" s="46">
        <f t="shared" si="0"/>
        <v>53.555806451612909</v>
      </c>
      <c r="AP15" s="67">
        <f t="shared" si="1"/>
        <v>17.851935483870971</v>
      </c>
    </row>
    <row r="16" spans="1:42" hidden="1" x14ac:dyDescent="0.3">
      <c r="A16" s="5">
        <v>15</v>
      </c>
      <c r="B16" s="6" t="s">
        <v>9</v>
      </c>
      <c r="C16" s="6" t="s">
        <v>39</v>
      </c>
      <c r="D16" s="6" t="s">
        <v>30</v>
      </c>
      <c r="E16" s="6" t="s">
        <v>19</v>
      </c>
      <c r="F16" s="6" t="s">
        <v>13</v>
      </c>
      <c r="G16" s="6" t="s">
        <v>14</v>
      </c>
      <c r="H16" s="5">
        <v>3</v>
      </c>
      <c r="I16" s="5">
        <v>0</v>
      </c>
      <c r="J16" s="45">
        <v>0</v>
      </c>
      <c r="K16" s="45">
        <v>0</v>
      </c>
      <c r="L16" s="45">
        <v>0</v>
      </c>
      <c r="M16" s="45">
        <v>0</v>
      </c>
      <c r="N16" s="46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6">
        <v>0</v>
      </c>
      <c r="AN16" s="46">
        <v>0</v>
      </c>
      <c r="AO16" s="46">
        <f t="shared" si="0"/>
        <v>0</v>
      </c>
      <c r="AP16" s="67">
        <f t="shared" si="1"/>
        <v>0</v>
      </c>
    </row>
    <row r="17" spans="1:42" hidden="1" x14ac:dyDescent="0.3">
      <c r="A17" s="5">
        <v>16</v>
      </c>
      <c r="B17" s="6" t="s">
        <v>9</v>
      </c>
      <c r="C17" s="6" t="s">
        <v>96</v>
      </c>
      <c r="D17" s="6" t="s">
        <v>43</v>
      </c>
      <c r="E17" s="6" t="s">
        <v>19</v>
      </c>
      <c r="F17" s="6" t="s">
        <v>13</v>
      </c>
      <c r="G17" s="6" t="s">
        <v>14</v>
      </c>
      <c r="H17" s="5">
        <v>1</v>
      </c>
      <c r="I17" s="5">
        <v>0</v>
      </c>
      <c r="J17" s="45">
        <v>0</v>
      </c>
      <c r="K17" s="45">
        <v>0</v>
      </c>
      <c r="L17" s="45">
        <v>0</v>
      </c>
      <c r="M17" s="45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>
        <f t="shared" si="0"/>
        <v>0</v>
      </c>
      <c r="AP17" s="67">
        <f t="shared" si="1"/>
        <v>0</v>
      </c>
    </row>
    <row r="18" spans="1:42" hidden="1" x14ac:dyDescent="0.3">
      <c r="A18" s="5">
        <v>17</v>
      </c>
      <c r="B18" s="6" t="s">
        <v>9</v>
      </c>
      <c r="C18" s="6" t="s">
        <v>125</v>
      </c>
      <c r="D18" s="6" t="s">
        <v>48</v>
      </c>
      <c r="E18" s="6" t="s">
        <v>19</v>
      </c>
      <c r="F18" s="6" t="s">
        <v>13</v>
      </c>
      <c r="G18" s="6" t="s">
        <v>14</v>
      </c>
      <c r="H18" s="5">
        <v>1</v>
      </c>
      <c r="I18" s="5">
        <v>0</v>
      </c>
      <c r="J18" s="45">
        <v>0</v>
      </c>
      <c r="K18" s="45">
        <v>0</v>
      </c>
      <c r="L18" s="45">
        <v>0</v>
      </c>
      <c r="M18" s="45">
        <v>0</v>
      </c>
      <c r="N18" s="46">
        <v>3.0179999999999998</v>
      </c>
      <c r="O18" s="46">
        <v>0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2.2360000000000002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0</v>
      </c>
      <c r="AD18" s="46">
        <v>0</v>
      </c>
      <c r="AE18" s="60">
        <v>0</v>
      </c>
      <c r="AF18" s="60">
        <v>0.69799999999999995</v>
      </c>
      <c r="AG18" s="54">
        <v>0</v>
      </c>
      <c r="AH18" s="46">
        <v>0</v>
      </c>
      <c r="AI18" s="46">
        <v>0</v>
      </c>
      <c r="AJ18" s="46">
        <v>0</v>
      </c>
      <c r="AK18" s="46">
        <v>0</v>
      </c>
      <c r="AL18" s="46">
        <v>0</v>
      </c>
      <c r="AM18" s="46">
        <v>0</v>
      </c>
      <c r="AN18" s="46">
        <v>0</v>
      </c>
      <c r="AO18" s="46">
        <f t="shared" si="0"/>
        <v>0.192</v>
      </c>
      <c r="AP18" s="67">
        <f t="shared" si="1"/>
        <v>0.192</v>
      </c>
    </row>
    <row r="19" spans="1:42" x14ac:dyDescent="0.3">
      <c r="A19" s="5">
        <v>18</v>
      </c>
      <c r="B19" s="6" t="s">
        <v>9</v>
      </c>
      <c r="C19" s="6" t="s">
        <v>140</v>
      </c>
      <c r="D19" s="6" t="s">
        <v>63</v>
      </c>
      <c r="E19" s="6" t="s">
        <v>12</v>
      </c>
      <c r="F19" s="6" t="s">
        <v>95</v>
      </c>
      <c r="G19" s="6" t="s">
        <v>35</v>
      </c>
      <c r="H19" s="5">
        <v>1</v>
      </c>
      <c r="I19" s="5">
        <v>5</v>
      </c>
      <c r="J19" s="45">
        <v>0</v>
      </c>
      <c r="K19" s="45">
        <v>0</v>
      </c>
      <c r="L19" s="45">
        <v>0</v>
      </c>
      <c r="M19" s="46">
        <v>0</v>
      </c>
      <c r="N19" s="46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53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46">
        <v>0</v>
      </c>
      <c r="AK19" s="46">
        <v>0</v>
      </c>
      <c r="AL19" s="46">
        <v>0</v>
      </c>
      <c r="AM19" s="46">
        <v>0</v>
      </c>
      <c r="AN19" s="46">
        <v>0</v>
      </c>
      <c r="AO19" s="46">
        <f t="shared" si="0"/>
        <v>0</v>
      </c>
      <c r="AP19" s="67">
        <f t="shared" si="1"/>
        <v>0</v>
      </c>
    </row>
    <row r="20" spans="1:42" x14ac:dyDescent="0.3">
      <c r="A20" s="5">
        <v>19</v>
      </c>
      <c r="B20" s="6" t="s">
        <v>9</v>
      </c>
      <c r="C20" s="6" t="s">
        <v>141</v>
      </c>
      <c r="D20" s="6" t="s">
        <v>128</v>
      </c>
      <c r="E20" s="6" t="s">
        <v>12</v>
      </c>
      <c r="F20" s="6" t="s">
        <v>13</v>
      </c>
      <c r="G20" s="6" t="s">
        <v>35</v>
      </c>
      <c r="H20" s="5">
        <v>2</v>
      </c>
      <c r="I20" s="5"/>
      <c r="J20" s="45">
        <v>0</v>
      </c>
      <c r="K20" s="45">
        <v>0</v>
      </c>
      <c r="L20" s="45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53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f t="shared" si="0"/>
        <v>0</v>
      </c>
      <c r="AP20" s="67">
        <f t="shared" si="1"/>
        <v>0</v>
      </c>
    </row>
    <row r="21" spans="1:42" x14ac:dyDescent="0.3">
      <c r="A21" s="5">
        <v>20</v>
      </c>
      <c r="B21" s="6" t="s">
        <v>9</v>
      </c>
      <c r="C21" s="6" t="s">
        <v>151</v>
      </c>
      <c r="D21" s="6" t="s">
        <v>128</v>
      </c>
      <c r="E21" s="6" t="s">
        <v>12</v>
      </c>
      <c r="F21" s="6" t="s">
        <v>13</v>
      </c>
      <c r="G21" s="6" t="s">
        <v>35</v>
      </c>
      <c r="H21" s="5">
        <v>5</v>
      </c>
      <c r="I21" s="5"/>
      <c r="J21" s="45"/>
      <c r="K21" s="45"/>
      <c r="L21" s="45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>
        <v>0</v>
      </c>
      <c r="X21" s="46">
        <v>0</v>
      </c>
      <c r="Y21" s="46">
        <v>0.01</v>
      </c>
      <c r="Z21" s="46">
        <v>0</v>
      </c>
      <c r="AA21" s="46">
        <v>7.76</v>
      </c>
      <c r="AB21" s="53">
        <v>44.01</v>
      </c>
      <c r="AC21" s="60">
        <v>48.99</v>
      </c>
      <c r="AD21" s="60">
        <v>74.25</v>
      </c>
      <c r="AE21" s="60">
        <v>47.76</v>
      </c>
      <c r="AF21" s="60">
        <v>50.19</v>
      </c>
      <c r="AG21" s="54">
        <v>60.96</v>
      </c>
      <c r="AH21" s="46">
        <v>82.96</v>
      </c>
      <c r="AI21" s="46">
        <v>45.1</v>
      </c>
      <c r="AJ21" s="46">
        <v>56.61</v>
      </c>
      <c r="AK21" s="46">
        <v>60.89</v>
      </c>
      <c r="AL21" s="46">
        <v>71.69</v>
      </c>
      <c r="AM21" s="46">
        <v>82.33</v>
      </c>
      <c r="AN21" s="46">
        <v>78.09</v>
      </c>
      <c r="AO21" s="46">
        <f t="shared" si="0"/>
        <v>45.088888888888896</v>
      </c>
      <c r="AP21" s="67">
        <f t="shared" si="1"/>
        <v>9.0177777777777788</v>
      </c>
    </row>
    <row r="22" spans="1:42" x14ac:dyDescent="0.3">
      <c r="A22" s="5">
        <v>21</v>
      </c>
      <c r="B22" s="6" t="s">
        <v>49</v>
      </c>
      <c r="C22" s="6" t="s">
        <v>142</v>
      </c>
      <c r="D22" s="6" t="s">
        <v>128</v>
      </c>
      <c r="E22" s="6" t="s">
        <v>12</v>
      </c>
      <c r="F22" s="6" t="s">
        <v>13</v>
      </c>
      <c r="G22" s="6" t="s">
        <v>35</v>
      </c>
      <c r="H22" s="5">
        <v>5</v>
      </c>
      <c r="I22" s="5"/>
      <c r="J22" s="45">
        <v>10.02</v>
      </c>
      <c r="K22" s="45">
        <v>4</v>
      </c>
      <c r="L22" s="46">
        <v>9.41</v>
      </c>
      <c r="M22" s="46">
        <v>2.69</v>
      </c>
      <c r="N22" s="46">
        <v>22.16</v>
      </c>
      <c r="O22" s="46">
        <v>2.68</v>
      </c>
      <c r="P22" s="46">
        <v>28.68</v>
      </c>
      <c r="Q22" s="46">
        <v>6.07</v>
      </c>
      <c r="R22" s="46">
        <v>17.3</v>
      </c>
      <c r="S22" s="46">
        <v>12.04</v>
      </c>
      <c r="T22" s="46">
        <v>20.59</v>
      </c>
      <c r="U22" s="46">
        <v>14.05</v>
      </c>
      <c r="V22" s="46">
        <v>26.51</v>
      </c>
      <c r="W22" s="46">
        <v>20.88</v>
      </c>
      <c r="X22" s="46">
        <v>18.34</v>
      </c>
      <c r="Y22" s="46">
        <v>7.15</v>
      </c>
      <c r="Z22" s="46">
        <v>5.1100000000000003</v>
      </c>
      <c r="AA22" s="46">
        <v>15.86</v>
      </c>
      <c r="AB22" s="53">
        <v>28.66</v>
      </c>
      <c r="AC22" s="60">
        <v>12.14</v>
      </c>
      <c r="AD22" s="60">
        <v>13.09</v>
      </c>
      <c r="AE22" s="60">
        <v>20.03</v>
      </c>
      <c r="AF22" s="60">
        <v>17.309999999999999</v>
      </c>
      <c r="AG22" s="54">
        <v>0</v>
      </c>
      <c r="AH22" s="46">
        <v>10.130000000000001</v>
      </c>
      <c r="AI22" s="46">
        <v>14.75</v>
      </c>
      <c r="AJ22" s="46">
        <v>11.33</v>
      </c>
      <c r="AK22" s="46">
        <v>20.11</v>
      </c>
      <c r="AL22" s="46">
        <v>10.61</v>
      </c>
      <c r="AM22" s="46">
        <v>13.68</v>
      </c>
      <c r="AN22" s="46">
        <v>14.92</v>
      </c>
      <c r="AO22" s="46">
        <f t="shared" si="0"/>
        <v>13.880645161290325</v>
      </c>
      <c r="AP22" s="67">
        <f t="shared" si="1"/>
        <v>2.7761290322580647</v>
      </c>
    </row>
    <row r="23" spans="1:42" hidden="1" x14ac:dyDescent="0.3">
      <c r="A23" s="5">
        <v>22</v>
      </c>
      <c r="B23" s="6" t="s">
        <v>49</v>
      </c>
      <c r="C23" s="6" t="s">
        <v>98</v>
      </c>
      <c r="D23" s="6" t="s">
        <v>18</v>
      </c>
      <c r="E23" s="6" t="s">
        <v>19</v>
      </c>
      <c r="F23" s="6" t="s">
        <v>13</v>
      </c>
      <c r="G23" s="6" t="s">
        <v>14</v>
      </c>
      <c r="H23" s="5">
        <v>5</v>
      </c>
      <c r="I23" s="5">
        <v>0</v>
      </c>
      <c r="J23" s="46">
        <v>0</v>
      </c>
      <c r="K23" s="45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46">
        <v>0</v>
      </c>
      <c r="AK23" s="46">
        <v>0</v>
      </c>
      <c r="AL23" s="46">
        <v>0</v>
      </c>
      <c r="AM23" s="46">
        <v>0</v>
      </c>
      <c r="AN23" s="46">
        <v>0</v>
      </c>
      <c r="AO23" s="46">
        <f t="shared" si="0"/>
        <v>0</v>
      </c>
      <c r="AP23" s="67">
        <f t="shared" si="1"/>
        <v>0</v>
      </c>
    </row>
    <row r="24" spans="1:42" x14ac:dyDescent="0.3">
      <c r="A24" s="5">
        <v>23</v>
      </c>
      <c r="B24" s="6" t="s">
        <v>49</v>
      </c>
      <c r="C24" s="6" t="s">
        <v>99</v>
      </c>
      <c r="D24" s="6" t="s">
        <v>128</v>
      </c>
      <c r="E24" s="6" t="s">
        <v>12</v>
      </c>
      <c r="F24" s="6" t="s">
        <v>13</v>
      </c>
      <c r="G24" s="6" t="s">
        <v>35</v>
      </c>
      <c r="H24" s="5">
        <v>10</v>
      </c>
      <c r="I24" s="5">
        <v>10</v>
      </c>
      <c r="J24" s="45">
        <v>69</v>
      </c>
      <c r="K24" s="45">
        <v>45.83</v>
      </c>
      <c r="L24" s="46">
        <v>119.09</v>
      </c>
      <c r="M24" s="46">
        <v>39.869999999999997</v>
      </c>
      <c r="N24" s="46">
        <v>69.319999999999993</v>
      </c>
      <c r="O24" s="46">
        <v>148.37</v>
      </c>
      <c r="P24" s="46">
        <v>111.48</v>
      </c>
      <c r="Q24" s="46">
        <v>77.42</v>
      </c>
      <c r="R24" s="46">
        <v>101.3</v>
      </c>
      <c r="S24" s="46">
        <v>94.27</v>
      </c>
      <c r="T24" s="46">
        <v>70.33</v>
      </c>
      <c r="U24" s="46">
        <v>95.41</v>
      </c>
      <c r="V24" s="46">
        <v>71.89</v>
      </c>
      <c r="W24" s="46">
        <v>76.67</v>
      </c>
      <c r="X24" s="46">
        <v>80.260000000000005</v>
      </c>
      <c r="Y24" s="46">
        <v>89.83</v>
      </c>
      <c r="Z24" s="46">
        <v>78.36</v>
      </c>
      <c r="AA24" s="46">
        <v>89.48</v>
      </c>
      <c r="AB24" s="53">
        <v>77.260000000000005</v>
      </c>
      <c r="AC24" s="60">
        <v>74</v>
      </c>
      <c r="AD24" s="60">
        <v>77.22</v>
      </c>
      <c r="AE24" s="60">
        <v>73.52</v>
      </c>
      <c r="AF24" s="60">
        <v>64.95</v>
      </c>
      <c r="AG24" s="54">
        <v>84.41</v>
      </c>
      <c r="AH24" s="46">
        <v>74.06</v>
      </c>
      <c r="AI24" s="46">
        <v>82.29</v>
      </c>
      <c r="AJ24" s="46">
        <v>66.78</v>
      </c>
      <c r="AK24" s="46">
        <v>52.96</v>
      </c>
      <c r="AL24" s="46">
        <v>84.3</v>
      </c>
      <c r="AM24" s="46">
        <v>64.599999999999994</v>
      </c>
      <c r="AN24" s="46">
        <v>73.23</v>
      </c>
      <c r="AO24" s="46">
        <f t="shared" si="0"/>
        <v>79.927741935483894</v>
      </c>
      <c r="AP24" s="67">
        <f t="shared" si="1"/>
        <v>7.9927741935483896</v>
      </c>
    </row>
    <row r="25" spans="1:42" x14ac:dyDescent="0.3">
      <c r="A25" s="5">
        <v>24</v>
      </c>
      <c r="B25" s="6" t="s">
        <v>52</v>
      </c>
      <c r="C25" s="6" t="s">
        <v>100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5</v>
      </c>
      <c r="I25" s="5"/>
      <c r="J25" s="45">
        <v>19.13</v>
      </c>
      <c r="K25" s="45">
        <v>11.42</v>
      </c>
      <c r="L25" s="46">
        <v>5.32</v>
      </c>
      <c r="M25" s="46">
        <v>17.48</v>
      </c>
      <c r="N25" s="46">
        <v>32.44</v>
      </c>
      <c r="O25" s="46">
        <v>33.47</v>
      </c>
      <c r="P25" s="46">
        <v>14.22</v>
      </c>
      <c r="Q25" s="46">
        <v>22.44</v>
      </c>
      <c r="R25" s="46">
        <v>12.18</v>
      </c>
      <c r="S25" s="46">
        <v>5.31</v>
      </c>
      <c r="T25" s="46">
        <v>15.67</v>
      </c>
      <c r="U25" s="46">
        <v>8.7799999999999994</v>
      </c>
      <c r="V25" s="46">
        <v>12.32</v>
      </c>
      <c r="W25" s="46">
        <v>15.25</v>
      </c>
      <c r="X25" s="46">
        <v>17.649999999999999</v>
      </c>
      <c r="Y25" s="46">
        <v>18.010000000000002</v>
      </c>
      <c r="Z25" s="46">
        <v>0</v>
      </c>
      <c r="AA25" s="46">
        <v>22.19</v>
      </c>
      <c r="AB25" s="53">
        <v>6.52</v>
      </c>
      <c r="AC25" s="60">
        <v>29.74</v>
      </c>
      <c r="AD25" s="60">
        <v>17.28</v>
      </c>
      <c r="AE25" s="60">
        <v>13.84</v>
      </c>
      <c r="AF25" s="60">
        <v>0</v>
      </c>
      <c r="AG25" s="54">
        <v>0</v>
      </c>
      <c r="AH25" s="46">
        <v>27.29</v>
      </c>
      <c r="AI25" s="46">
        <v>8.44</v>
      </c>
      <c r="AJ25" s="46">
        <v>9.49</v>
      </c>
      <c r="AK25" s="46">
        <v>12.52</v>
      </c>
      <c r="AL25" s="46">
        <v>15.13</v>
      </c>
      <c r="AM25" s="46">
        <v>14.52</v>
      </c>
      <c r="AN25" s="46">
        <v>0</v>
      </c>
      <c r="AO25" s="46">
        <f t="shared" si="0"/>
        <v>14.130645161290319</v>
      </c>
      <c r="AP25" s="67">
        <f t="shared" si="1"/>
        <v>2.8261290322580637</v>
      </c>
    </row>
    <row r="26" spans="1:42" x14ac:dyDescent="0.3">
      <c r="A26" s="5">
        <v>25</v>
      </c>
      <c r="B26" s="6" t="s">
        <v>52</v>
      </c>
      <c r="C26" s="6" t="s">
        <v>132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5</v>
      </c>
      <c r="I26" s="5"/>
      <c r="J26" s="45">
        <v>0</v>
      </c>
      <c r="K26" s="45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53">
        <v>0</v>
      </c>
      <c r="AC26" s="60">
        <v>0</v>
      </c>
      <c r="AD26" s="62">
        <v>0</v>
      </c>
      <c r="AE26" s="60">
        <v>0</v>
      </c>
      <c r="AF26" s="60">
        <v>0</v>
      </c>
      <c r="AG26" s="54">
        <v>0</v>
      </c>
      <c r="AH26" s="46">
        <v>0</v>
      </c>
      <c r="AI26" s="46">
        <v>0</v>
      </c>
      <c r="AJ26" s="46">
        <v>0</v>
      </c>
      <c r="AK26" s="46">
        <v>0</v>
      </c>
      <c r="AL26" s="46">
        <v>0</v>
      </c>
      <c r="AM26" s="46">
        <v>0</v>
      </c>
      <c r="AN26" s="46">
        <v>0</v>
      </c>
      <c r="AO26" s="46">
        <f t="shared" si="0"/>
        <v>0</v>
      </c>
      <c r="AP26" s="67">
        <f t="shared" si="1"/>
        <v>0</v>
      </c>
    </row>
    <row r="27" spans="1:42" x14ac:dyDescent="0.3">
      <c r="A27" s="5">
        <v>26</v>
      </c>
      <c r="B27" s="6" t="s">
        <v>134</v>
      </c>
      <c r="C27" s="6" t="s">
        <v>133</v>
      </c>
      <c r="D27" s="6" t="s">
        <v>128</v>
      </c>
      <c r="E27" s="6" t="s">
        <v>12</v>
      </c>
      <c r="F27" s="6" t="s">
        <v>13</v>
      </c>
      <c r="G27" s="6" t="s">
        <v>35</v>
      </c>
      <c r="H27" s="5">
        <v>5</v>
      </c>
      <c r="I27" s="5"/>
      <c r="J27" s="45">
        <v>22.09</v>
      </c>
      <c r="K27" s="45">
        <v>23.07</v>
      </c>
      <c r="L27" s="46">
        <v>26.97</v>
      </c>
      <c r="M27" s="46">
        <v>36.58</v>
      </c>
      <c r="N27" s="46">
        <v>6.58</v>
      </c>
      <c r="O27" s="46">
        <v>25.54</v>
      </c>
      <c r="P27" s="46">
        <v>59.2</v>
      </c>
      <c r="Q27" s="46">
        <v>24.6</v>
      </c>
      <c r="R27" s="46">
        <v>23.76</v>
      </c>
      <c r="S27" s="46">
        <v>29.22</v>
      </c>
      <c r="T27" s="46">
        <v>43.21</v>
      </c>
      <c r="U27" s="46">
        <v>21.32</v>
      </c>
      <c r="V27" s="46">
        <v>25.1</v>
      </c>
      <c r="W27" s="46">
        <v>25.95</v>
      </c>
      <c r="X27" s="46">
        <v>43.19</v>
      </c>
      <c r="Y27" s="46">
        <v>21.5</v>
      </c>
      <c r="Z27" s="46">
        <v>26.91</v>
      </c>
      <c r="AA27" s="46">
        <v>43.96</v>
      </c>
      <c r="AB27" s="53">
        <v>29.26</v>
      </c>
      <c r="AC27" s="60">
        <v>16.739999999999998</v>
      </c>
      <c r="AD27" s="60">
        <v>29.42</v>
      </c>
      <c r="AE27" s="60">
        <v>29.13</v>
      </c>
      <c r="AF27" s="60">
        <v>21.82</v>
      </c>
      <c r="AG27" s="54">
        <v>32.869999999999997</v>
      </c>
      <c r="AH27" s="46">
        <v>18.559999999999999</v>
      </c>
      <c r="AI27" s="46">
        <v>29.5</v>
      </c>
      <c r="AJ27" s="46">
        <v>16.850000000000001</v>
      </c>
      <c r="AK27" s="46">
        <v>38.1</v>
      </c>
      <c r="AL27" s="46">
        <v>29.43</v>
      </c>
      <c r="AM27" s="46">
        <v>12.25</v>
      </c>
      <c r="AN27" s="46">
        <v>25.4</v>
      </c>
      <c r="AO27" s="46">
        <f t="shared" si="0"/>
        <v>27.679999999999996</v>
      </c>
      <c r="AP27" s="67">
        <f t="shared" si="1"/>
        <v>5.5359999999999996</v>
      </c>
    </row>
    <row r="28" spans="1:42" x14ac:dyDescent="0.3">
      <c r="A28" s="5">
        <v>27</v>
      </c>
      <c r="B28" s="6" t="s">
        <v>55</v>
      </c>
      <c r="C28" s="6" t="s">
        <v>56</v>
      </c>
      <c r="D28" s="6" t="s">
        <v>57</v>
      </c>
      <c r="E28" s="6" t="s">
        <v>12</v>
      </c>
      <c r="F28" s="6" t="s">
        <v>13</v>
      </c>
      <c r="G28" s="6" t="s">
        <v>35</v>
      </c>
      <c r="H28" s="5">
        <v>40</v>
      </c>
      <c r="I28" s="5"/>
      <c r="J28" s="45">
        <v>408.54</v>
      </c>
      <c r="K28" s="45">
        <v>407.83</v>
      </c>
      <c r="L28" s="46">
        <v>498.7</v>
      </c>
      <c r="M28" s="46">
        <v>210.88</v>
      </c>
      <c r="N28" s="46">
        <v>259.24</v>
      </c>
      <c r="O28" s="46">
        <v>479.06</v>
      </c>
      <c r="P28" s="46">
        <v>373.64</v>
      </c>
      <c r="Q28" s="46">
        <v>354.59</v>
      </c>
      <c r="R28" s="46">
        <v>462.36</v>
      </c>
      <c r="S28" s="46">
        <v>564.57000000000005</v>
      </c>
      <c r="T28" s="46">
        <v>281.38</v>
      </c>
      <c r="U28" s="46">
        <v>220.39</v>
      </c>
      <c r="V28" s="46">
        <v>502.67</v>
      </c>
      <c r="W28" s="46">
        <v>486.35</v>
      </c>
      <c r="X28" s="46">
        <v>333.93</v>
      </c>
      <c r="Y28" s="46">
        <v>519.33000000000004</v>
      </c>
      <c r="Z28" s="46">
        <v>526.48</v>
      </c>
      <c r="AA28" s="46">
        <v>250.07</v>
      </c>
      <c r="AB28" s="53">
        <v>296.19</v>
      </c>
      <c r="AC28" s="60">
        <v>517.83000000000004</v>
      </c>
      <c r="AD28" s="60">
        <v>477.32</v>
      </c>
      <c r="AE28" s="60">
        <v>525.58000000000004</v>
      </c>
      <c r="AF28" s="60">
        <v>550.02</v>
      </c>
      <c r="AG28" s="54">
        <v>553.37</v>
      </c>
      <c r="AH28" s="46">
        <v>504.75</v>
      </c>
      <c r="AI28" s="46">
        <v>302.68</v>
      </c>
      <c r="AJ28" s="46">
        <v>246.15</v>
      </c>
      <c r="AK28" s="46">
        <v>588.59</v>
      </c>
      <c r="AL28" s="46">
        <v>521.01</v>
      </c>
      <c r="AM28" s="46">
        <v>579.29</v>
      </c>
      <c r="AN28" s="46">
        <v>450.06</v>
      </c>
      <c r="AO28" s="46">
        <f t="shared" si="0"/>
        <v>427.51129032258063</v>
      </c>
      <c r="AP28" s="67">
        <f t="shared" si="1"/>
        <v>10.687782258064516</v>
      </c>
    </row>
    <row r="29" spans="1:42" hidden="1" x14ac:dyDescent="0.3">
      <c r="A29" s="5">
        <v>28</v>
      </c>
      <c r="B29" s="6" t="s">
        <v>58</v>
      </c>
      <c r="C29" s="6" t="s">
        <v>59</v>
      </c>
      <c r="D29" s="6" t="s">
        <v>30</v>
      </c>
      <c r="E29" s="6" t="s">
        <v>19</v>
      </c>
      <c r="F29" s="6" t="s">
        <v>13</v>
      </c>
      <c r="G29" s="6" t="s">
        <v>14</v>
      </c>
      <c r="H29" s="5">
        <v>6</v>
      </c>
      <c r="I29" s="5">
        <v>2</v>
      </c>
      <c r="J29" s="45">
        <v>10.098000000000001</v>
      </c>
      <c r="K29" s="45">
        <v>0.5</v>
      </c>
      <c r="L29" s="46">
        <v>0</v>
      </c>
      <c r="M29" s="46">
        <v>9.32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0.27600000000000002</v>
      </c>
      <c r="T29" s="46">
        <v>10.3</v>
      </c>
      <c r="U29" s="46">
        <v>0</v>
      </c>
      <c r="V29" s="46">
        <v>0</v>
      </c>
      <c r="W29" s="46">
        <v>0</v>
      </c>
      <c r="X29" s="46">
        <v>0</v>
      </c>
      <c r="Y29" s="46">
        <v>4.0000000000000001E-3</v>
      </c>
      <c r="Z29" s="46">
        <v>0</v>
      </c>
      <c r="AA29" s="46">
        <v>0</v>
      </c>
      <c r="AB29" s="53">
        <v>0</v>
      </c>
      <c r="AC29" s="60">
        <v>0</v>
      </c>
      <c r="AD29" s="60">
        <v>0</v>
      </c>
      <c r="AE29" s="60">
        <v>10.275</v>
      </c>
      <c r="AF29" s="60">
        <v>2.6509999999999998</v>
      </c>
      <c r="AG29" s="54">
        <v>0</v>
      </c>
      <c r="AH29" s="46">
        <v>0</v>
      </c>
      <c r="AI29" s="46">
        <v>0.88</v>
      </c>
      <c r="AJ29" s="46">
        <v>7.5999999999999998E-2</v>
      </c>
      <c r="AK29" s="46">
        <v>0</v>
      </c>
      <c r="AL29" s="46">
        <v>0</v>
      </c>
      <c r="AM29" s="46">
        <v>0</v>
      </c>
      <c r="AN29" s="46">
        <v>0</v>
      </c>
      <c r="AO29" s="46">
        <f t="shared" si="0"/>
        <v>1.4316129032258067</v>
      </c>
      <c r="AP29" s="67">
        <f t="shared" si="1"/>
        <v>0.23860215053763445</v>
      </c>
    </row>
    <row r="30" spans="1:42" x14ac:dyDescent="0.3">
      <c r="A30" s="5">
        <v>29</v>
      </c>
      <c r="B30" s="6" t="s">
        <v>58</v>
      </c>
      <c r="C30" s="6" t="s">
        <v>101</v>
      </c>
      <c r="D30" s="6" t="s">
        <v>61</v>
      </c>
      <c r="E30" s="6" t="s">
        <v>12</v>
      </c>
      <c r="F30" s="6" t="s">
        <v>13</v>
      </c>
      <c r="G30" s="6" t="s">
        <v>35</v>
      </c>
      <c r="H30" s="5">
        <v>3</v>
      </c>
      <c r="I30" s="5">
        <v>36</v>
      </c>
      <c r="J30" s="45">
        <v>63.18</v>
      </c>
      <c r="K30" s="45">
        <v>65.45</v>
      </c>
      <c r="L30" s="46">
        <v>83.3</v>
      </c>
      <c r="M30" s="46">
        <v>75.56</v>
      </c>
      <c r="N30" s="46">
        <v>68.069999999999993</v>
      </c>
      <c r="O30" s="46">
        <v>64.89</v>
      </c>
      <c r="P30" s="46">
        <v>96.31</v>
      </c>
      <c r="Q30" s="46">
        <v>60.94</v>
      </c>
      <c r="R30" s="46">
        <v>61.96</v>
      </c>
      <c r="S30" s="46">
        <v>82.38</v>
      </c>
      <c r="T30" s="46">
        <v>76.3</v>
      </c>
      <c r="U30" s="46">
        <v>47.92</v>
      </c>
      <c r="V30" s="46">
        <v>90.35</v>
      </c>
      <c r="W30" s="46">
        <v>57.5</v>
      </c>
      <c r="X30" s="46">
        <v>89.41</v>
      </c>
      <c r="Y30" s="46">
        <v>81.75</v>
      </c>
      <c r="Z30" s="46">
        <v>64.739999999999995</v>
      </c>
      <c r="AA30" s="46">
        <v>81.99</v>
      </c>
      <c r="AB30" s="53">
        <v>56.09</v>
      </c>
      <c r="AC30" s="60">
        <v>62.95</v>
      </c>
      <c r="AD30" s="60">
        <v>70.33</v>
      </c>
      <c r="AE30" s="60">
        <v>84.3</v>
      </c>
      <c r="AF30" s="60">
        <v>65.25</v>
      </c>
      <c r="AG30" s="54">
        <v>56.28</v>
      </c>
      <c r="AH30" s="46">
        <v>62</v>
      </c>
      <c r="AI30" s="46">
        <v>70.12</v>
      </c>
      <c r="AJ30" s="46">
        <v>53.43</v>
      </c>
      <c r="AK30" s="46">
        <v>62.56</v>
      </c>
      <c r="AL30" s="46">
        <v>72.95</v>
      </c>
      <c r="AM30" s="46">
        <v>66.84</v>
      </c>
      <c r="AN30" s="46">
        <v>65.930000000000007</v>
      </c>
      <c r="AO30" s="46">
        <f t="shared" si="0"/>
        <v>69.710645161290316</v>
      </c>
      <c r="AP30" s="67">
        <f t="shared" si="1"/>
        <v>23.236881720430105</v>
      </c>
    </row>
    <row r="31" spans="1:42" x14ac:dyDescent="0.3">
      <c r="A31" s="5">
        <v>30</v>
      </c>
      <c r="B31" s="6" t="s">
        <v>58</v>
      </c>
      <c r="C31" s="6" t="s">
        <v>102</v>
      </c>
      <c r="D31" s="6" t="s">
        <v>61</v>
      </c>
      <c r="E31" s="6" t="s">
        <v>12</v>
      </c>
      <c r="F31" s="6" t="s">
        <v>13</v>
      </c>
      <c r="G31" s="6" t="s">
        <v>35</v>
      </c>
      <c r="H31" s="5">
        <v>9</v>
      </c>
      <c r="I31" s="5">
        <v>75</v>
      </c>
      <c r="J31" s="45">
        <v>207.25</v>
      </c>
      <c r="K31" s="45">
        <v>181.11</v>
      </c>
      <c r="L31" s="46">
        <v>204.84</v>
      </c>
      <c r="M31" s="46">
        <v>206.59</v>
      </c>
      <c r="N31" s="46">
        <v>132.99</v>
      </c>
      <c r="O31" s="46">
        <v>190.78</v>
      </c>
      <c r="P31" s="46">
        <v>162.26</v>
      </c>
      <c r="Q31" s="46">
        <v>157.71</v>
      </c>
      <c r="R31" s="46">
        <v>185.82</v>
      </c>
      <c r="S31" s="46">
        <v>171.21</v>
      </c>
      <c r="T31" s="46">
        <v>151.31</v>
      </c>
      <c r="U31" s="46">
        <v>158.31</v>
      </c>
      <c r="V31" s="46">
        <v>189.02</v>
      </c>
      <c r="W31" s="46">
        <v>136.32</v>
      </c>
      <c r="X31" s="46">
        <v>179.7</v>
      </c>
      <c r="Y31" s="46">
        <v>165.21</v>
      </c>
      <c r="Z31" s="46">
        <v>192.27</v>
      </c>
      <c r="AA31" s="46">
        <v>133.18</v>
      </c>
      <c r="AB31" s="53">
        <v>120.77</v>
      </c>
      <c r="AC31" s="60">
        <v>213.8</v>
      </c>
      <c r="AD31" s="60">
        <v>141.79</v>
      </c>
      <c r="AE31" s="60">
        <v>168.65</v>
      </c>
      <c r="AF31" s="60">
        <v>177.89</v>
      </c>
      <c r="AG31" s="54">
        <v>198.41</v>
      </c>
      <c r="AH31" s="46">
        <v>176.82</v>
      </c>
      <c r="AI31" s="46">
        <v>149.65</v>
      </c>
      <c r="AJ31" s="46">
        <v>145.19</v>
      </c>
      <c r="AK31" s="46">
        <v>126.51</v>
      </c>
      <c r="AL31" s="46">
        <v>104.94</v>
      </c>
      <c r="AM31" s="46">
        <v>111.03</v>
      </c>
      <c r="AN31" s="46">
        <v>153.08000000000001</v>
      </c>
      <c r="AO31" s="46">
        <f t="shared" si="0"/>
        <v>164.33580645161288</v>
      </c>
      <c r="AP31" s="67">
        <f t="shared" si="1"/>
        <v>18.259534050179209</v>
      </c>
    </row>
    <row r="32" spans="1:42" x14ac:dyDescent="0.3">
      <c r="A32" s="5">
        <v>31</v>
      </c>
      <c r="B32" s="6" t="s">
        <v>58</v>
      </c>
      <c r="C32" s="6" t="s">
        <v>103</v>
      </c>
      <c r="D32" s="6" t="s">
        <v>63</v>
      </c>
      <c r="E32" s="6" t="s">
        <v>19</v>
      </c>
      <c r="F32" s="6" t="s">
        <v>64</v>
      </c>
      <c r="G32" s="12" t="s">
        <v>35</v>
      </c>
      <c r="H32" s="5">
        <v>1</v>
      </c>
      <c r="I32" s="5"/>
      <c r="J32" s="45">
        <v>0</v>
      </c>
      <c r="K32" s="45">
        <v>0</v>
      </c>
      <c r="L32" s="45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6.37</v>
      </c>
      <c r="Z32" s="46">
        <v>7.56</v>
      </c>
      <c r="AA32" s="46">
        <v>3.01</v>
      </c>
      <c r="AB32" s="53">
        <v>0</v>
      </c>
      <c r="AC32" s="60">
        <v>2.2200000000000002</v>
      </c>
      <c r="AD32" s="60">
        <v>0</v>
      </c>
      <c r="AE32" s="60">
        <v>0</v>
      </c>
      <c r="AF32" s="60">
        <v>0</v>
      </c>
      <c r="AG32" s="54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f t="shared" si="0"/>
        <v>0.61806451612903213</v>
      </c>
      <c r="AP32" s="67">
        <f t="shared" si="1"/>
        <v>0.61806451612903213</v>
      </c>
    </row>
    <row r="33" spans="1:42" x14ac:dyDescent="0.3">
      <c r="A33" s="5">
        <v>32</v>
      </c>
      <c r="B33" s="6" t="s">
        <v>58</v>
      </c>
      <c r="C33" s="6" t="s">
        <v>149</v>
      </c>
      <c r="D33" s="6" t="s">
        <v>128</v>
      </c>
      <c r="E33" s="6" t="s">
        <v>12</v>
      </c>
      <c r="F33" s="6" t="s">
        <v>13</v>
      </c>
      <c r="G33" s="12" t="s">
        <v>35</v>
      </c>
      <c r="H33" s="5">
        <v>7</v>
      </c>
      <c r="I33" s="5">
        <v>45</v>
      </c>
      <c r="J33" s="45">
        <v>224.19</v>
      </c>
      <c r="K33" s="45">
        <v>220.46</v>
      </c>
      <c r="L33" s="46">
        <v>231.46</v>
      </c>
      <c r="M33" s="46">
        <v>248.37</v>
      </c>
      <c r="N33" s="46">
        <v>212.34</v>
      </c>
      <c r="O33" s="46">
        <v>150.52000000000001</v>
      </c>
      <c r="P33" s="46">
        <v>224.88</v>
      </c>
      <c r="Q33" s="46">
        <v>223.32</v>
      </c>
      <c r="R33" s="46">
        <v>227.05</v>
      </c>
      <c r="S33" s="46">
        <v>226.75</v>
      </c>
      <c r="T33" s="46">
        <v>185.41</v>
      </c>
      <c r="U33" s="46">
        <v>232.18</v>
      </c>
      <c r="V33" s="46">
        <v>180.37</v>
      </c>
      <c r="W33" s="46">
        <v>184.53</v>
      </c>
      <c r="X33" s="46">
        <v>202.59</v>
      </c>
      <c r="Y33" s="46">
        <v>208.84</v>
      </c>
      <c r="Z33" s="46">
        <v>162.66</v>
      </c>
      <c r="AA33" s="46">
        <v>213.17</v>
      </c>
      <c r="AB33" s="53">
        <f>155.42-1.21</f>
        <v>154.20999999999998</v>
      </c>
      <c r="AC33" s="60">
        <f>192.22-21.3</f>
        <v>170.92</v>
      </c>
      <c r="AD33" s="60">
        <v>109.32</v>
      </c>
      <c r="AE33" s="60">
        <v>161.83000000000001</v>
      </c>
      <c r="AF33" s="60">
        <v>207.88</v>
      </c>
      <c r="AG33" s="54">
        <v>131.4</v>
      </c>
      <c r="AH33" s="46">
        <v>211.25</v>
      </c>
      <c r="AI33" s="46">
        <v>200.63</v>
      </c>
      <c r="AJ33" s="46">
        <v>210.75</v>
      </c>
      <c r="AK33" s="46">
        <v>220.54</v>
      </c>
      <c r="AL33" s="46">
        <v>179.61</v>
      </c>
      <c r="AM33" s="46">
        <v>196.74</v>
      </c>
      <c r="AN33" s="46">
        <v>192.94</v>
      </c>
      <c r="AO33" s="46">
        <f t="shared" si="0"/>
        <v>197.00354838709674</v>
      </c>
      <c r="AP33" s="67">
        <f t="shared" si="1"/>
        <v>28.143364055299536</v>
      </c>
    </row>
    <row r="34" spans="1:42" hidden="1" x14ac:dyDescent="0.3">
      <c r="A34" s="5">
        <v>33</v>
      </c>
      <c r="B34" s="6" t="s">
        <v>65</v>
      </c>
      <c r="C34" s="6" t="s">
        <v>66</v>
      </c>
      <c r="D34" s="6" t="s">
        <v>67</v>
      </c>
      <c r="E34" s="6" t="s">
        <v>12</v>
      </c>
      <c r="F34" s="6" t="s">
        <v>13</v>
      </c>
      <c r="G34" s="6" t="s">
        <v>14</v>
      </c>
      <c r="H34" s="5">
        <f>111-6</f>
        <v>105</v>
      </c>
      <c r="I34" s="5"/>
      <c r="J34" s="45">
        <v>3.92</v>
      </c>
      <c r="K34" s="45">
        <v>4.2969999999999997</v>
      </c>
      <c r="L34" s="46">
        <v>4.3440000000000003</v>
      </c>
      <c r="M34" s="46">
        <v>1.4039999999999999</v>
      </c>
      <c r="N34" s="46">
        <v>3.5779999999999998</v>
      </c>
      <c r="O34" s="46">
        <v>2.456</v>
      </c>
      <c r="P34" s="59">
        <v>2.35</v>
      </c>
      <c r="Q34" s="46">
        <v>3.2759999999999998</v>
      </c>
      <c r="R34" s="46">
        <v>3.3660000000000001</v>
      </c>
      <c r="S34" s="46">
        <v>3.8889999999999998</v>
      </c>
      <c r="T34" s="46">
        <v>2.4990000000000001</v>
      </c>
      <c r="U34" s="46">
        <v>5.9790000000000001</v>
      </c>
      <c r="V34" s="46">
        <v>2.694</v>
      </c>
      <c r="W34" s="46">
        <v>0</v>
      </c>
      <c r="X34" s="46">
        <v>1.629</v>
      </c>
      <c r="Y34" s="46">
        <v>1.6379999999999999</v>
      </c>
      <c r="Z34" s="46">
        <v>3.3660000000000001</v>
      </c>
      <c r="AA34" s="46">
        <v>2.4740000000000002</v>
      </c>
      <c r="AB34" s="53">
        <v>1.4950000000000001</v>
      </c>
      <c r="AC34" s="60">
        <v>0</v>
      </c>
      <c r="AD34" s="60">
        <v>0</v>
      </c>
      <c r="AE34" s="60">
        <v>1.552</v>
      </c>
      <c r="AF34" s="60">
        <v>4.5060000000000002</v>
      </c>
      <c r="AG34" s="54">
        <v>2.0350000000000001</v>
      </c>
      <c r="AH34" s="46">
        <v>1.7749999999999999</v>
      </c>
      <c r="AI34" s="46">
        <v>3.1179999999999999</v>
      </c>
      <c r="AJ34" s="46">
        <v>0.53600000000000003</v>
      </c>
      <c r="AK34" s="46">
        <v>0</v>
      </c>
      <c r="AL34" s="46">
        <v>0</v>
      </c>
      <c r="AM34" s="46">
        <v>0</v>
      </c>
      <c r="AN34" s="46">
        <v>0</v>
      </c>
      <c r="AO34" s="46">
        <f t="shared" si="0"/>
        <v>2.1992258064516128</v>
      </c>
      <c r="AP34" s="67">
        <f t="shared" si="1"/>
        <v>2.094500768049155E-2</v>
      </c>
    </row>
    <row r="35" spans="1:42" x14ac:dyDescent="0.3">
      <c r="A35" s="5">
        <v>34</v>
      </c>
      <c r="B35" s="6" t="s">
        <v>65</v>
      </c>
      <c r="C35" s="6" t="s">
        <v>68</v>
      </c>
      <c r="D35" s="6" t="s">
        <v>69</v>
      </c>
      <c r="E35" s="6" t="s">
        <v>12</v>
      </c>
      <c r="F35" s="6" t="s">
        <v>40</v>
      </c>
      <c r="G35" s="6" t="s">
        <v>35</v>
      </c>
      <c r="H35" s="5">
        <v>2</v>
      </c>
      <c r="I35" s="5"/>
      <c r="J35" s="45">
        <v>0</v>
      </c>
      <c r="K35" s="45">
        <v>0</v>
      </c>
      <c r="L35" s="45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53">
        <v>0</v>
      </c>
      <c r="AC35" s="60">
        <v>0</v>
      </c>
      <c r="AD35" s="60">
        <v>0</v>
      </c>
      <c r="AE35" s="60">
        <v>0</v>
      </c>
      <c r="AF35" s="60">
        <v>0</v>
      </c>
      <c r="AG35" s="54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f t="shared" si="0"/>
        <v>0</v>
      </c>
      <c r="AP35" s="67">
        <f t="shared" si="1"/>
        <v>0</v>
      </c>
    </row>
    <row r="36" spans="1:42" hidden="1" x14ac:dyDescent="0.3">
      <c r="A36" s="5">
        <v>35</v>
      </c>
      <c r="B36" s="6" t="s">
        <v>65</v>
      </c>
      <c r="C36" s="6" t="s">
        <v>70</v>
      </c>
      <c r="D36" s="6"/>
      <c r="E36" s="6" t="s">
        <v>12</v>
      </c>
      <c r="F36" s="6" t="s">
        <v>13</v>
      </c>
      <c r="G36" s="6" t="s">
        <v>14</v>
      </c>
      <c r="H36" s="5">
        <v>82</v>
      </c>
      <c r="I36" s="5"/>
      <c r="J36" s="46">
        <v>5.0860000000000003</v>
      </c>
      <c r="K36" s="45">
        <v>4.9160000000000004</v>
      </c>
      <c r="L36" s="46">
        <v>2.1989999999999998</v>
      </c>
      <c r="M36" s="46">
        <v>8.1050000000000004</v>
      </c>
      <c r="N36" s="46">
        <v>6.9539999999999997</v>
      </c>
      <c r="O36" s="46">
        <v>17.417000000000002</v>
      </c>
      <c r="P36" s="46">
        <v>11.22</v>
      </c>
      <c r="Q36" s="46">
        <v>2.2250000000000001</v>
      </c>
      <c r="R36" s="46">
        <v>1.36</v>
      </c>
      <c r="S36" s="46">
        <v>2.4849999999999999</v>
      </c>
      <c r="T36" s="46">
        <v>20.995999999999999</v>
      </c>
      <c r="U36" s="46">
        <v>0</v>
      </c>
      <c r="V36" s="46">
        <v>6.3140000000000001</v>
      </c>
      <c r="W36" s="46">
        <v>0</v>
      </c>
      <c r="X36" s="46">
        <v>0</v>
      </c>
      <c r="Y36" s="46">
        <v>0</v>
      </c>
      <c r="Z36" s="46">
        <v>0</v>
      </c>
      <c r="AA36" s="46">
        <v>9.7940000000000005</v>
      </c>
      <c r="AB36" s="53">
        <v>11.478999999999999</v>
      </c>
      <c r="AC36" s="60">
        <v>5.5709999999999997</v>
      </c>
      <c r="AD36" s="60">
        <v>5.9459999999999997</v>
      </c>
      <c r="AE36" s="60">
        <v>6.0510000000000002</v>
      </c>
      <c r="AF36" s="60">
        <v>0</v>
      </c>
      <c r="AG36" s="54">
        <v>0</v>
      </c>
      <c r="AH36" s="46">
        <v>0</v>
      </c>
      <c r="AI36" s="46">
        <v>2.2730000000000001</v>
      </c>
      <c r="AJ36" s="46">
        <v>0.65900000000000003</v>
      </c>
      <c r="AK36" s="46">
        <v>0</v>
      </c>
      <c r="AL36" s="46">
        <v>0</v>
      </c>
      <c r="AM36" s="46">
        <v>0</v>
      </c>
      <c r="AN36" s="46">
        <v>0</v>
      </c>
      <c r="AO36" s="46">
        <f t="shared" si="0"/>
        <v>4.2274193548387089</v>
      </c>
      <c r="AP36" s="67">
        <f t="shared" si="1"/>
        <v>5.1553894571203768E-2</v>
      </c>
    </row>
    <row r="37" spans="1:42" x14ac:dyDescent="0.3">
      <c r="A37" s="5">
        <v>36</v>
      </c>
      <c r="B37" s="6" t="s">
        <v>65</v>
      </c>
      <c r="C37" s="6" t="s">
        <v>71</v>
      </c>
      <c r="D37" s="6" t="s">
        <v>30</v>
      </c>
      <c r="E37" s="6" t="s">
        <v>12</v>
      </c>
      <c r="F37" s="6" t="s">
        <v>13</v>
      </c>
      <c r="G37" s="6" t="s">
        <v>35</v>
      </c>
      <c r="H37" s="5">
        <v>5</v>
      </c>
      <c r="I37" s="5">
        <v>14</v>
      </c>
      <c r="J37" s="45">
        <v>37.46</v>
      </c>
      <c r="K37" s="45">
        <v>50.73</v>
      </c>
      <c r="L37" s="46">
        <v>46.99</v>
      </c>
      <c r="M37" s="46">
        <v>49.66</v>
      </c>
      <c r="N37" s="46">
        <v>60</v>
      </c>
      <c r="O37" s="46">
        <v>45.86</v>
      </c>
      <c r="P37" s="46">
        <v>53.83</v>
      </c>
      <c r="Q37" s="46">
        <v>32.25</v>
      </c>
      <c r="R37" s="46">
        <v>37.93</v>
      </c>
      <c r="S37" s="46">
        <v>38.04</v>
      </c>
      <c r="T37" s="46">
        <v>41.91</v>
      </c>
      <c r="U37" s="46">
        <v>58.82</v>
      </c>
      <c r="V37" s="46">
        <v>53.75</v>
      </c>
      <c r="W37" s="46">
        <v>52.37</v>
      </c>
      <c r="X37" s="46">
        <v>42.94</v>
      </c>
      <c r="Y37" s="46">
        <v>44.25</v>
      </c>
      <c r="Z37" s="46">
        <v>56.42</v>
      </c>
      <c r="AA37" s="46">
        <v>62.11</v>
      </c>
      <c r="AB37" s="53">
        <v>26.1</v>
      </c>
      <c r="AC37" s="60">
        <v>54.53</v>
      </c>
      <c r="AD37" s="60">
        <v>40.299999999999997</v>
      </c>
      <c r="AE37" s="60">
        <v>38.36</v>
      </c>
      <c r="AF37" s="60">
        <v>33.99</v>
      </c>
      <c r="AG37" s="54">
        <v>41.95</v>
      </c>
      <c r="AH37" s="46">
        <v>42.15</v>
      </c>
      <c r="AI37" s="46">
        <v>45.92</v>
      </c>
      <c r="AJ37" s="46">
        <v>35.92</v>
      </c>
      <c r="AK37" s="46">
        <v>50.7</v>
      </c>
      <c r="AL37" s="46">
        <v>30.47</v>
      </c>
      <c r="AM37" s="46">
        <v>60.47</v>
      </c>
      <c r="AN37" s="46">
        <v>53.12</v>
      </c>
      <c r="AO37" s="46">
        <f t="shared" si="0"/>
        <v>45.78387096774194</v>
      </c>
      <c r="AP37" s="67">
        <f t="shared" si="1"/>
        <v>9.1567741935483884</v>
      </c>
    </row>
    <row r="38" spans="1:42" hidden="1" x14ac:dyDescent="0.3">
      <c r="A38" s="5">
        <v>37</v>
      </c>
      <c r="B38" s="6" t="s">
        <v>65</v>
      </c>
      <c r="C38" s="6" t="s">
        <v>74</v>
      </c>
      <c r="D38" s="6" t="s">
        <v>30</v>
      </c>
      <c r="E38" s="6" t="s">
        <v>19</v>
      </c>
      <c r="F38" s="6" t="s">
        <v>13</v>
      </c>
      <c r="G38" s="6" t="s">
        <v>14</v>
      </c>
      <c r="H38" s="5">
        <v>2</v>
      </c>
      <c r="I38" s="5"/>
      <c r="J38" s="45">
        <v>0</v>
      </c>
      <c r="K38" s="45">
        <v>0</v>
      </c>
      <c r="L38" s="45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53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f t="shared" si="0"/>
        <v>0</v>
      </c>
      <c r="AP38" s="67">
        <f t="shared" si="1"/>
        <v>0</v>
      </c>
    </row>
    <row r="39" spans="1:42" x14ac:dyDescent="0.3">
      <c r="A39" s="5">
        <v>38</v>
      </c>
      <c r="B39" s="6" t="s">
        <v>65</v>
      </c>
      <c r="C39" s="6" t="s">
        <v>136</v>
      </c>
      <c r="D39" s="6" t="s">
        <v>30</v>
      </c>
      <c r="E39" s="6" t="s">
        <v>12</v>
      </c>
      <c r="F39" s="6" t="s">
        <v>13</v>
      </c>
      <c r="G39" s="6" t="s">
        <v>35</v>
      </c>
      <c r="H39" s="5">
        <v>16</v>
      </c>
      <c r="I39" s="5"/>
      <c r="J39" s="45">
        <v>11.59</v>
      </c>
      <c r="K39" s="45">
        <v>0.01</v>
      </c>
      <c r="L39" s="46">
        <v>0</v>
      </c>
      <c r="M39" s="46">
        <v>0.22</v>
      </c>
      <c r="N39" s="46">
        <v>26.24</v>
      </c>
      <c r="O39" s="46">
        <v>16.7</v>
      </c>
      <c r="P39" s="46">
        <v>17.16</v>
      </c>
      <c r="Q39" s="46">
        <v>24.69</v>
      </c>
      <c r="R39" s="46">
        <v>12.23</v>
      </c>
      <c r="S39" s="46">
        <v>36.69</v>
      </c>
      <c r="T39" s="46">
        <v>7.39</v>
      </c>
      <c r="U39" s="46">
        <v>14.86</v>
      </c>
      <c r="V39" s="46">
        <v>12.48</v>
      </c>
      <c r="W39" s="46">
        <v>30.34</v>
      </c>
      <c r="X39" s="46">
        <v>7.01</v>
      </c>
      <c r="Y39" s="46">
        <v>36.44</v>
      </c>
      <c r="Z39" s="46">
        <v>0</v>
      </c>
      <c r="AA39" s="46">
        <v>16.29</v>
      </c>
      <c r="AB39" s="53">
        <v>32.65</v>
      </c>
      <c r="AC39" s="60">
        <v>16.03</v>
      </c>
      <c r="AD39" s="60">
        <v>22.43</v>
      </c>
      <c r="AE39" s="60">
        <v>13.85</v>
      </c>
      <c r="AF39" s="60">
        <v>19</v>
      </c>
      <c r="AG39" s="54">
        <v>22.77</v>
      </c>
      <c r="AH39" s="46">
        <v>11.83</v>
      </c>
      <c r="AI39" s="46">
        <v>13.51</v>
      </c>
      <c r="AJ39" s="46">
        <v>16.510000000000002</v>
      </c>
      <c r="AK39" s="46">
        <v>3.92</v>
      </c>
      <c r="AL39" s="46">
        <v>29.31</v>
      </c>
      <c r="AM39" s="46">
        <v>27.28</v>
      </c>
      <c r="AN39" s="46">
        <v>13.19</v>
      </c>
      <c r="AO39" s="46">
        <f t="shared" si="0"/>
        <v>16.536129032258064</v>
      </c>
      <c r="AP39" s="67">
        <f t="shared" si="1"/>
        <v>1.033508064516129</v>
      </c>
    </row>
    <row r="40" spans="1:42" x14ac:dyDescent="0.3">
      <c r="A40" s="5">
        <v>39</v>
      </c>
      <c r="B40" s="6" t="s">
        <v>65</v>
      </c>
      <c r="C40" s="6" t="s">
        <v>76</v>
      </c>
      <c r="D40" s="6" t="s">
        <v>30</v>
      </c>
      <c r="E40" s="6" t="s">
        <v>12</v>
      </c>
      <c r="F40" s="6" t="s">
        <v>13</v>
      </c>
      <c r="G40" s="6" t="s">
        <v>35</v>
      </c>
      <c r="H40" s="5">
        <v>10</v>
      </c>
      <c r="I40" s="5">
        <v>15</v>
      </c>
      <c r="J40" s="45">
        <v>17.78</v>
      </c>
      <c r="K40" s="45">
        <v>24.85</v>
      </c>
      <c r="L40" s="46">
        <v>28.39</v>
      </c>
      <c r="M40" s="46">
        <v>12</v>
      </c>
      <c r="N40" s="46">
        <v>30.14</v>
      </c>
      <c r="O40" s="46">
        <v>31.48</v>
      </c>
      <c r="P40" s="46">
        <v>44.21</v>
      </c>
      <c r="Q40" s="46">
        <v>42.57</v>
      </c>
      <c r="R40" s="46">
        <v>45.95</v>
      </c>
      <c r="S40" s="46">
        <v>21.27</v>
      </c>
      <c r="T40" s="46">
        <v>10.73</v>
      </c>
      <c r="U40" s="46">
        <v>11.9</v>
      </c>
      <c r="V40" s="46">
        <v>19.32</v>
      </c>
      <c r="W40" s="46">
        <v>32.49</v>
      </c>
      <c r="X40" s="46">
        <v>33.450000000000003</v>
      </c>
      <c r="Y40" s="46">
        <v>45.1</v>
      </c>
      <c r="Z40" s="46">
        <v>31.25</v>
      </c>
      <c r="AA40" s="46">
        <v>18.73</v>
      </c>
      <c r="AB40" s="53">
        <v>58.85</v>
      </c>
      <c r="AC40" s="60">
        <v>40.28</v>
      </c>
      <c r="AD40" s="60">
        <v>42.69</v>
      </c>
      <c r="AE40" s="60">
        <v>59.91</v>
      </c>
      <c r="AF40" s="60">
        <v>39.07</v>
      </c>
      <c r="AG40" s="54">
        <v>55.14</v>
      </c>
      <c r="AH40" s="46">
        <v>16.47</v>
      </c>
      <c r="AI40" s="46">
        <v>58.34</v>
      </c>
      <c r="AJ40" s="46">
        <v>51.04</v>
      </c>
      <c r="AK40" s="46">
        <v>41.37</v>
      </c>
      <c r="AL40" s="46">
        <v>69.760000000000005</v>
      </c>
      <c r="AM40" s="46">
        <v>67.13</v>
      </c>
      <c r="AN40" s="46">
        <v>36.57</v>
      </c>
      <c r="AO40" s="46">
        <f t="shared" si="0"/>
        <v>36.717096774193557</v>
      </c>
      <c r="AP40" s="67">
        <f t="shared" si="1"/>
        <v>3.6717096774193556</v>
      </c>
    </row>
    <row r="41" spans="1:42" x14ac:dyDescent="0.3">
      <c r="A41" s="5">
        <v>40</v>
      </c>
      <c r="B41" s="6" t="s">
        <v>65</v>
      </c>
      <c r="C41" s="6" t="s">
        <v>105</v>
      </c>
      <c r="D41" s="6" t="s">
        <v>30</v>
      </c>
      <c r="E41" s="6" t="s">
        <v>12</v>
      </c>
      <c r="F41" s="6" t="s">
        <v>13</v>
      </c>
      <c r="G41" s="6" t="s">
        <v>35</v>
      </c>
      <c r="H41" s="5">
        <v>13</v>
      </c>
      <c r="I41" s="5">
        <v>23</v>
      </c>
      <c r="J41" s="45">
        <v>42.8</v>
      </c>
      <c r="K41" s="45">
        <v>54.26</v>
      </c>
      <c r="L41" s="46">
        <v>37.159999999999997</v>
      </c>
      <c r="M41" s="46">
        <v>56.43</v>
      </c>
      <c r="N41" s="46">
        <v>58.2</v>
      </c>
      <c r="O41" s="46">
        <v>47.12</v>
      </c>
      <c r="P41" s="46">
        <v>38.68</v>
      </c>
      <c r="Q41" s="46">
        <v>61.08</v>
      </c>
      <c r="R41" s="46">
        <v>43.49</v>
      </c>
      <c r="S41" s="46">
        <v>30.97</v>
      </c>
      <c r="T41" s="46">
        <v>38.31</v>
      </c>
      <c r="U41" s="46">
        <v>49.01</v>
      </c>
      <c r="V41" s="46">
        <v>58.96</v>
      </c>
      <c r="W41" s="46">
        <v>54.64</v>
      </c>
      <c r="X41" s="46">
        <v>63.68</v>
      </c>
      <c r="Y41" s="46">
        <v>59.56</v>
      </c>
      <c r="Z41" s="46">
        <v>53.84</v>
      </c>
      <c r="AA41" s="46">
        <v>43.37</v>
      </c>
      <c r="AB41" s="53">
        <v>58.23</v>
      </c>
      <c r="AC41" s="60">
        <v>42.58</v>
      </c>
      <c r="AD41" s="60">
        <v>41.1</v>
      </c>
      <c r="AE41" s="60">
        <v>33.15</v>
      </c>
      <c r="AF41" s="60">
        <v>54.5</v>
      </c>
      <c r="AG41" s="54">
        <v>42.04</v>
      </c>
      <c r="AH41" s="46">
        <v>29.42</v>
      </c>
      <c r="AI41" s="46">
        <v>38.04</v>
      </c>
      <c r="AJ41" s="46">
        <v>17.18</v>
      </c>
      <c r="AK41" s="46">
        <v>55.63</v>
      </c>
      <c r="AL41" s="46">
        <v>37.700000000000003</v>
      </c>
      <c r="AM41" s="46">
        <v>35.04</v>
      </c>
      <c r="AN41" s="46">
        <v>6.75</v>
      </c>
      <c r="AO41" s="46">
        <f t="shared" si="0"/>
        <v>44.610322580645182</v>
      </c>
      <c r="AP41" s="67">
        <f t="shared" si="1"/>
        <v>3.4315632754342449</v>
      </c>
    </row>
    <row r="42" spans="1:42" x14ac:dyDescent="0.3">
      <c r="A42" s="5">
        <v>41</v>
      </c>
      <c r="B42" s="6" t="s">
        <v>65</v>
      </c>
      <c r="C42" s="6" t="s">
        <v>106</v>
      </c>
      <c r="D42" s="6" t="s">
        <v>30</v>
      </c>
      <c r="E42" s="6" t="s">
        <v>12</v>
      </c>
      <c r="F42" s="6" t="s">
        <v>13</v>
      </c>
      <c r="G42" s="6" t="s">
        <v>35</v>
      </c>
      <c r="H42" s="5">
        <v>19</v>
      </c>
      <c r="I42" s="5">
        <v>39</v>
      </c>
      <c r="J42" s="45">
        <v>90.19</v>
      </c>
      <c r="K42" s="45">
        <v>67.77</v>
      </c>
      <c r="L42" s="46">
        <v>57.13</v>
      </c>
      <c r="M42" s="46">
        <v>44.42</v>
      </c>
      <c r="N42" s="46">
        <v>67.25</v>
      </c>
      <c r="O42" s="46">
        <v>64.25</v>
      </c>
      <c r="P42" s="46">
        <v>59.86</v>
      </c>
      <c r="Q42" s="46">
        <v>78</v>
      </c>
      <c r="R42" s="46">
        <v>61.57</v>
      </c>
      <c r="S42" s="46">
        <v>72.67</v>
      </c>
      <c r="T42" s="46">
        <v>62.58</v>
      </c>
      <c r="U42" s="46">
        <v>51.79</v>
      </c>
      <c r="V42" s="46">
        <v>66.11</v>
      </c>
      <c r="W42" s="46">
        <v>76.459999999999994</v>
      </c>
      <c r="X42" s="46">
        <v>89.09</v>
      </c>
      <c r="Y42" s="46">
        <v>49.87</v>
      </c>
      <c r="Z42" s="46">
        <v>59.62</v>
      </c>
      <c r="AA42" s="46">
        <v>57.36</v>
      </c>
      <c r="AB42" s="53">
        <v>74.61</v>
      </c>
      <c r="AC42" s="60">
        <v>63.83</v>
      </c>
      <c r="AD42" s="62">
        <v>55.61</v>
      </c>
      <c r="AE42" s="60">
        <v>65.92</v>
      </c>
      <c r="AF42" s="60">
        <v>66.319999999999993</v>
      </c>
      <c r="AG42" s="54">
        <v>68.650000000000006</v>
      </c>
      <c r="AH42" s="46">
        <v>71.39</v>
      </c>
      <c r="AI42" s="46">
        <v>58.6</v>
      </c>
      <c r="AJ42" s="46">
        <v>66.05</v>
      </c>
      <c r="AK42" s="46">
        <v>47.16</v>
      </c>
      <c r="AL42" s="46">
        <v>61.17</v>
      </c>
      <c r="AM42" s="46">
        <v>61.5</v>
      </c>
      <c r="AN42" s="46">
        <v>66.48</v>
      </c>
      <c r="AO42" s="46">
        <f t="shared" si="0"/>
        <v>64.621935483870956</v>
      </c>
      <c r="AP42" s="67">
        <f t="shared" si="1"/>
        <v>3.4011544991511031</v>
      </c>
    </row>
    <row r="43" spans="1:42" hidden="1" x14ac:dyDescent="0.3">
      <c r="A43" s="5">
        <v>42</v>
      </c>
      <c r="B43" s="6" t="s">
        <v>65</v>
      </c>
      <c r="C43" s="6" t="s">
        <v>107</v>
      </c>
      <c r="D43" s="6" t="s">
        <v>30</v>
      </c>
      <c r="E43" s="6" t="s">
        <v>19</v>
      </c>
      <c r="F43" s="6" t="s">
        <v>13</v>
      </c>
      <c r="G43" s="6" t="s">
        <v>14</v>
      </c>
      <c r="H43" s="5">
        <v>24</v>
      </c>
      <c r="I43" s="5"/>
      <c r="J43" s="45">
        <v>0</v>
      </c>
      <c r="K43" s="45">
        <v>0</v>
      </c>
      <c r="L43" s="45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53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f t="shared" si="0"/>
        <v>0</v>
      </c>
      <c r="AP43" s="67">
        <f t="shared" si="1"/>
        <v>0</v>
      </c>
    </row>
    <row r="44" spans="1:42" x14ac:dyDescent="0.3">
      <c r="A44" s="5">
        <v>43</v>
      </c>
      <c r="B44" s="6" t="s">
        <v>65</v>
      </c>
      <c r="C44" s="6" t="s">
        <v>108</v>
      </c>
      <c r="D44" s="6" t="s">
        <v>30</v>
      </c>
      <c r="E44" s="6" t="s">
        <v>19</v>
      </c>
      <c r="F44" s="6" t="s">
        <v>13</v>
      </c>
      <c r="G44" s="6" t="s">
        <v>35</v>
      </c>
      <c r="H44" s="5">
        <v>3</v>
      </c>
      <c r="I44" s="5"/>
      <c r="J44" s="45">
        <v>0</v>
      </c>
      <c r="K44" s="45">
        <v>0</v>
      </c>
      <c r="L44" s="45">
        <v>0</v>
      </c>
      <c r="M44" s="45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53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 t="shared" si="0"/>
        <v>0</v>
      </c>
      <c r="AP44" s="67">
        <f t="shared" si="1"/>
        <v>0</v>
      </c>
    </row>
    <row r="45" spans="1:42" x14ac:dyDescent="0.3">
      <c r="A45" s="5">
        <v>44</v>
      </c>
      <c r="B45" s="6" t="s">
        <v>65</v>
      </c>
      <c r="C45" s="6" t="s">
        <v>109</v>
      </c>
      <c r="D45" s="6" t="s">
        <v>30</v>
      </c>
      <c r="E45" s="6" t="s">
        <v>12</v>
      </c>
      <c r="F45" s="6" t="s">
        <v>13</v>
      </c>
      <c r="G45" s="6" t="s">
        <v>35</v>
      </c>
      <c r="H45" s="5">
        <v>1</v>
      </c>
      <c r="I45" s="5"/>
      <c r="J45" s="45">
        <v>0</v>
      </c>
      <c r="K45" s="45">
        <v>0</v>
      </c>
      <c r="L45" s="45">
        <v>0</v>
      </c>
      <c r="M45" s="45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53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f t="shared" si="0"/>
        <v>0</v>
      </c>
      <c r="AP45" s="67">
        <f t="shared" si="1"/>
        <v>0</v>
      </c>
    </row>
    <row r="46" spans="1:42" x14ac:dyDescent="0.3">
      <c r="A46" s="5">
        <v>45</v>
      </c>
      <c r="B46" s="6" t="s">
        <v>65</v>
      </c>
      <c r="C46" s="6" t="s">
        <v>110</v>
      </c>
      <c r="D46" s="6" t="s">
        <v>30</v>
      </c>
      <c r="E46" s="6" t="s">
        <v>12</v>
      </c>
      <c r="F46" s="6" t="s">
        <v>13</v>
      </c>
      <c r="G46" s="6" t="s">
        <v>35</v>
      </c>
      <c r="H46" s="5">
        <v>1</v>
      </c>
      <c r="I46" s="5"/>
      <c r="J46" s="45">
        <v>0</v>
      </c>
      <c r="K46" s="45">
        <v>0</v>
      </c>
      <c r="L46" s="45">
        <v>0</v>
      </c>
      <c r="M46" s="45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53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f t="shared" si="0"/>
        <v>0</v>
      </c>
      <c r="AP46" s="67">
        <f t="shared" si="1"/>
        <v>0</v>
      </c>
    </row>
    <row r="47" spans="1:42" x14ac:dyDescent="0.3">
      <c r="A47" s="5">
        <v>46</v>
      </c>
      <c r="B47" s="6" t="s">
        <v>65</v>
      </c>
      <c r="C47" s="6" t="s">
        <v>111</v>
      </c>
      <c r="D47" s="6" t="s">
        <v>128</v>
      </c>
      <c r="E47" s="6" t="s">
        <v>19</v>
      </c>
      <c r="F47" s="6" t="s">
        <v>13</v>
      </c>
      <c r="G47" s="6" t="s">
        <v>35</v>
      </c>
      <c r="H47" s="5">
        <v>6</v>
      </c>
      <c r="I47" s="5"/>
      <c r="J47" s="45">
        <v>49.27</v>
      </c>
      <c r="K47" s="46">
        <v>7.97</v>
      </c>
      <c r="L47" s="46">
        <v>17.54</v>
      </c>
      <c r="M47" s="46">
        <v>42.79</v>
      </c>
      <c r="N47" s="46">
        <v>44.92</v>
      </c>
      <c r="O47" s="46">
        <v>52.04</v>
      </c>
      <c r="P47" s="46">
        <v>27.49</v>
      </c>
      <c r="Q47" s="46">
        <v>63.79</v>
      </c>
      <c r="R47" s="46">
        <v>24.27</v>
      </c>
      <c r="S47" s="46">
        <v>0</v>
      </c>
      <c r="T47" s="46">
        <v>33.25</v>
      </c>
      <c r="U47" s="46">
        <v>48.76</v>
      </c>
      <c r="V47" s="46">
        <v>40.049999999999997</v>
      </c>
      <c r="W47" s="46">
        <v>59.6</v>
      </c>
      <c r="X47" s="46">
        <v>45.96</v>
      </c>
      <c r="Y47" s="46">
        <v>4.3</v>
      </c>
      <c r="Z47" s="46">
        <v>15.25</v>
      </c>
      <c r="AA47" s="46">
        <v>66.73</v>
      </c>
      <c r="AB47" s="53">
        <v>47.5</v>
      </c>
      <c r="AC47" s="60">
        <v>68.72</v>
      </c>
      <c r="AD47" s="60">
        <v>70.150000000000006</v>
      </c>
      <c r="AE47" s="60">
        <v>59.77</v>
      </c>
      <c r="AF47" s="60">
        <v>22.77</v>
      </c>
      <c r="AG47" s="54">
        <v>0</v>
      </c>
      <c r="AH47" s="46">
        <v>0</v>
      </c>
      <c r="AI47" s="46">
        <v>42.46</v>
      </c>
      <c r="AJ47" s="46">
        <v>67.19</v>
      </c>
      <c r="AK47" s="46">
        <v>20.28</v>
      </c>
      <c r="AL47" s="46">
        <v>28.72</v>
      </c>
      <c r="AM47" s="46">
        <v>0</v>
      </c>
      <c r="AN47" s="46">
        <v>0</v>
      </c>
      <c r="AO47" s="46">
        <f t="shared" si="0"/>
        <v>34.5658064516129</v>
      </c>
      <c r="AP47" s="67">
        <f t="shared" si="1"/>
        <v>5.7609677419354837</v>
      </c>
    </row>
    <row r="48" spans="1:42" x14ac:dyDescent="0.3">
      <c r="A48" s="5">
        <v>47</v>
      </c>
      <c r="B48" s="6" t="s">
        <v>65</v>
      </c>
      <c r="C48" s="6" t="s">
        <v>111</v>
      </c>
      <c r="D48" s="6" t="s">
        <v>128</v>
      </c>
      <c r="E48" s="6" t="s">
        <v>19</v>
      </c>
      <c r="F48" s="6" t="s">
        <v>40</v>
      </c>
      <c r="G48" s="6" t="s">
        <v>35</v>
      </c>
      <c r="H48" s="5">
        <v>1</v>
      </c>
      <c r="I48" s="5"/>
      <c r="J48" s="45">
        <v>0</v>
      </c>
      <c r="K48" s="45">
        <v>0</v>
      </c>
      <c r="L48" s="45">
        <v>0</v>
      </c>
      <c r="M48" s="45">
        <v>0</v>
      </c>
      <c r="N48" s="46">
        <v>0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53">
        <v>0</v>
      </c>
      <c r="AC48" s="60">
        <v>0</v>
      </c>
      <c r="AD48" s="60">
        <v>0.47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46">
        <v>0</v>
      </c>
      <c r="AK48" s="46">
        <v>13</v>
      </c>
      <c r="AL48" s="46">
        <v>21.86</v>
      </c>
      <c r="AM48" s="46">
        <v>9.84</v>
      </c>
      <c r="AN48" s="46">
        <v>0</v>
      </c>
      <c r="AO48" s="46">
        <f t="shared" si="0"/>
        <v>1.4570967741935485</v>
      </c>
      <c r="AP48" s="67">
        <f t="shared" si="1"/>
        <v>1.4570967741935485</v>
      </c>
    </row>
    <row r="49" spans="1:42" x14ac:dyDescent="0.3">
      <c r="A49" s="5">
        <v>48</v>
      </c>
      <c r="B49" s="6" t="s">
        <v>65</v>
      </c>
      <c r="C49" s="37" t="s">
        <v>112</v>
      </c>
      <c r="D49" s="6" t="s">
        <v>113</v>
      </c>
      <c r="E49" s="6" t="s">
        <v>19</v>
      </c>
      <c r="F49" s="6" t="s">
        <v>114</v>
      </c>
      <c r="G49" s="6" t="s">
        <v>80</v>
      </c>
      <c r="H49" s="5">
        <v>1</v>
      </c>
      <c r="I49" s="5"/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f t="shared" si="0"/>
        <v>0</v>
      </c>
      <c r="AP49" s="67">
        <f t="shared" si="1"/>
        <v>0</v>
      </c>
    </row>
    <row r="50" spans="1:42" x14ac:dyDescent="0.3">
      <c r="A50" s="5">
        <v>49</v>
      </c>
      <c r="B50" s="6" t="s">
        <v>65</v>
      </c>
      <c r="C50" s="39" t="s">
        <v>115</v>
      </c>
      <c r="D50" s="6" t="s">
        <v>113</v>
      </c>
      <c r="E50" s="6" t="s">
        <v>19</v>
      </c>
      <c r="F50" s="6" t="s">
        <v>116</v>
      </c>
      <c r="G50" s="6" t="s">
        <v>80</v>
      </c>
      <c r="H50" s="5">
        <v>1</v>
      </c>
      <c r="I50" s="5"/>
      <c r="J50" s="47">
        <v>83.55</v>
      </c>
      <c r="K50" s="47">
        <v>80.19</v>
      </c>
      <c r="L50" s="47">
        <v>81.33</v>
      </c>
      <c r="M50" s="47">
        <f>94.88-M51</f>
        <v>83.899999999999991</v>
      </c>
      <c r="N50" s="47">
        <f>95.23-N51</f>
        <v>84.14</v>
      </c>
      <c r="O50" s="47">
        <f>98.02-O51</f>
        <v>87.25</v>
      </c>
      <c r="P50" s="47">
        <f>93.55-P51</f>
        <v>80.87</v>
      </c>
      <c r="Q50" s="47">
        <f>92.85-Q51</f>
        <v>78.97999999999999</v>
      </c>
      <c r="R50" s="47">
        <f>90.08-R51</f>
        <v>77.12</v>
      </c>
      <c r="S50" s="47">
        <f>89.55-S51</f>
        <v>75.72</v>
      </c>
      <c r="T50" s="47">
        <f>92.89-T51</f>
        <v>81.260000000000005</v>
      </c>
      <c r="U50" s="47">
        <v>80.849999999999994</v>
      </c>
      <c r="V50" s="47">
        <v>78.959999999999994</v>
      </c>
      <c r="W50" s="47">
        <v>80.55</v>
      </c>
      <c r="X50" s="47">
        <v>83.98</v>
      </c>
      <c r="Y50" s="47">
        <v>82.67</v>
      </c>
      <c r="Z50" s="47">
        <v>80.650000000000006</v>
      </c>
      <c r="AA50" s="47">
        <v>81.290000000000006</v>
      </c>
      <c r="AB50" s="47">
        <v>80.33</v>
      </c>
      <c r="AC50" s="47">
        <v>83.23</v>
      </c>
      <c r="AD50" s="47">
        <v>78.38</v>
      </c>
      <c r="AE50" s="47">
        <v>80.87</v>
      </c>
      <c r="AF50" s="47">
        <v>82.56</v>
      </c>
      <c r="AG50" s="47">
        <v>80.11</v>
      </c>
      <c r="AH50" s="47">
        <v>79.319999999999993</v>
      </c>
      <c r="AI50" s="47">
        <v>78.55</v>
      </c>
      <c r="AJ50" s="47">
        <v>80.12</v>
      </c>
      <c r="AK50" s="47">
        <v>82.54</v>
      </c>
      <c r="AL50" s="46">
        <v>0</v>
      </c>
      <c r="AM50" s="46">
        <v>0</v>
      </c>
      <c r="AN50" s="46">
        <v>0</v>
      </c>
      <c r="AO50" s="46">
        <f t="shared" si="0"/>
        <v>73.20225806451613</v>
      </c>
      <c r="AP50" s="67">
        <f t="shared" si="1"/>
        <v>73.20225806451613</v>
      </c>
    </row>
    <row r="51" spans="1:42" x14ac:dyDescent="0.3">
      <c r="A51" s="5">
        <v>50</v>
      </c>
      <c r="B51" s="6" t="s">
        <v>65</v>
      </c>
      <c r="C51" s="39" t="s">
        <v>117</v>
      </c>
      <c r="D51" s="6" t="s">
        <v>113</v>
      </c>
      <c r="E51" s="6" t="s">
        <v>19</v>
      </c>
      <c r="F51" s="6" t="s">
        <v>116</v>
      </c>
      <c r="G51" s="6" t="s">
        <v>80</v>
      </c>
      <c r="H51" s="5">
        <v>1</v>
      </c>
      <c r="I51" s="5"/>
      <c r="J51" s="47">
        <v>13.98</v>
      </c>
      <c r="K51" s="47">
        <v>12.32</v>
      </c>
      <c r="L51" s="47">
        <v>10.55</v>
      </c>
      <c r="M51" s="47">
        <v>10.98</v>
      </c>
      <c r="N51" s="47">
        <v>11.09</v>
      </c>
      <c r="O51" s="47">
        <v>10.77</v>
      </c>
      <c r="P51" s="47">
        <v>12.68</v>
      </c>
      <c r="Q51" s="47">
        <v>13.87</v>
      </c>
      <c r="R51" s="47">
        <v>12.96</v>
      </c>
      <c r="S51" s="47">
        <v>13.83</v>
      </c>
      <c r="T51" s="47">
        <v>11.63</v>
      </c>
      <c r="U51" s="47">
        <v>10.49</v>
      </c>
      <c r="V51" s="47">
        <v>6.36</v>
      </c>
      <c r="W51" s="47">
        <v>10.98</v>
      </c>
      <c r="X51" s="47">
        <v>11.23</v>
      </c>
      <c r="Y51" s="47">
        <v>12.98</v>
      </c>
      <c r="Z51" s="47">
        <v>11.43</v>
      </c>
      <c r="AA51" s="47">
        <v>10.54</v>
      </c>
      <c r="AB51" s="47">
        <v>10.32</v>
      </c>
      <c r="AC51" s="47">
        <v>12.87</v>
      </c>
      <c r="AD51" s="47">
        <v>10.51</v>
      </c>
      <c r="AE51" s="47">
        <v>13.55</v>
      </c>
      <c r="AF51" s="47">
        <v>12.81</v>
      </c>
      <c r="AG51" s="47">
        <v>10.93</v>
      </c>
      <c r="AH51" s="47">
        <v>12.33</v>
      </c>
      <c r="AI51" s="47">
        <v>10.91</v>
      </c>
      <c r="AJ51" s="47">
        <v>11.23</v>
      </c>
      <c r="AK51" s="47">
        <v>9.5500000000000007</v>
      </c>
      <c r="AL51" s="46">
        <v>0</v>
      </c>
      <c r="AM51" s="46">
        <v>0</v>
      </c>
      <c r="AN51" s="46">
        <v>0</v>
      </c>
      <c r="AO51" s="46">
        <f t="shared" si="0"/>
        <v>10.441290322580647</v>
      </c>
      <c r="AP51" s="67">
        <f t="shared" si="1"/>
        <v>10.441290322580647</v>
      </c>
    </row>
    <row r="52" spans="1:42" x14ac:dyDescent="0.3">
      <c r="A52" s="5">
        <v>51</v>
      </c>
      <c r="B52" s="6" t="s">
        <v>119</v>
      </c>
      <c r="C52" s="39" t="s">
        <v>126</v>
      </c>
      <c r="D52" s="6" t="s">
        <v>30</v>
      </c>
      <c r="E52" s="6" t="s">
        <v>12</v>
      </c>
      <c r="F52" s="6" t="s">
        <v>121</v>
      </c>
      <c r="G52" s="6" t="s">
        <v>35</v>
      </c>
      <c r="H52" s="5">
        <v>20</v>
      </c>
      <c r="I52" s="5"/>
      <c r="J52" s="45">
        <v>142.53</v>
      </c>
      <c r="K52" s="46">
        <v>128.49</v>
      </c>
      <c r="L52" s="46">
        <v>130.52000000000001</v>
      </c>
      <c r="M52" s="46">
        <v>139.52000000000001</v>
      </c>
      <c r="N52" s="46">
        <v>218.71</v>
      </c>
      <c r="O52" s="46">
        <v>187.54</v>
      </c>
      <c r="P52" s="46">
        <f>154.18-8.34</f>
        <v>145.84</v>
      </c>
      <c r="Q52" s="46">
        <v>177.29</v>
      </c>
      <c r="R52" s="46">
        <v>141.55000000000001</v>
      </c>
      <c r="S52" s="46">
        <v>131.05000000000001</v>
      </c>
      <c r="T52" s="46">
        <v>115.59</v>
      </c>
      <c r="U52" s="46">
        <v>147.1</v>
      </c>
      <c r="V52" s="46">
        <v>133.93</v>
      </c>
      <c r="W52" s="46">
        <v>159.9</v>
      </c>
      <c r="X52" s="46">
        <v>163.85</v>
      </c>
      <c r="Y52" s="46">
        <v>125.25</v>
      </c>
      <c r="Z52" s="46">
        <v>107.85</v>
      </c>
      <c r="AA52" s="46">
        <v>103.17</v>
      </c>
      <c r="AB52" s="46">
        <v>141.44999999999999</v>
      </c>
      <c r="AC52" s="60">
        <v>137.19999999999999</v>
      </c>
      <c r="AD52" s="60">
        <v>109.97</v>
      </c>
      <c r="AE52" s="60">
        <v>129.04</v>
      </c>
      <c r="AF52" s="60">
        <v>105.33</v>
      </c>
      <c r="AG52" s="46">
        <v>88.97</v>
      </c>
      <c r="AH52" s="46">
        <v>87.2</v>
      </c>
      <c r="AI52" s="46">
        <v>126.53</v>
      </c>
      <c r="AJ52" s="46">
        <v>94</v>
      </c>
      <c r="AK52" s="46">
        <v>71.56</v>
      </c>
      <c r="AL52" s="46">
        <v>71.7</v>
      </c>
      <c r="AM52" s="46">
        <v>60.65</v>
      </c>
      <c r="AN52" s="46">
        <v>35.15</v>
      </c>
      <c r="AO52" s="46">
        <f t="shared" si="0"/>
        <v>124.46548387096769</v>
      </c>
      <c r="AP52" s="67">
        <f t="shared" si="1"/>
        <v>6.2232741935483844</v>
      </c>
    </row>
    <row r="53" spans="1:42" x14ac:dyDescent="0.3">
      <c r="A53" s="5">
        <v>52</v>
      </c>
      <c r="B53" s="6" t="s">
        <v>119</v>
      </c>
      <c r="C53" s="39" t="s">
        <v>138</v>
      </c>
      <c r="D53" s="6" t="s">
        <v>128</v>
      </c>
      <c r="E53" s="6" t="s">
        <v>12</v>
      </c>
      <c r="F53" s="6" t="s">
        <v>121</v>
      </c>
      <c r="G53" s="6" t="s">
        <v>35</v>
      </c>
      <c r="H53" s="5">
        <v>2</v>
      </c>
      <c r="I53" s="5"/>
      <c r="J53" s="45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11.78</v>
      </c>
      <c r="X53" s="46">
        <v>5.24</v>
      </c>
      <c r="Y53" s="46">
        <v>10.45</v>
      </c>
      <c r="Z53" s="46">
        <v>8.08</v>
      </c>
      <c r="AA53" s="46">
        <v>2.11</v>
      </c>
      <c r="AB53" s="46">
        <v>16.95</v>
      </c>
      <c r="AC53" s="60">
        <v>9.83</v>
      </c>
      <c r="AD53" s="60">
        <v>12.32</v>
      </c>
      <c r="AE53" s="60">
        <v>10.91</v>
      </c>
      <c r="AF53" s="60">
        <v>7.21</v>
      </c>
      <c r="AG53" s="46">
        <v>12.39</v>
      </c>
      <c r="AH53" s="46">
        <v>0.21</v>
      </c>
      <c r="AI53" s="46">
        <v>15.58</v>
      </c>
      <c r="AJ53" s="46">
        <v>8.16</v>
      </c>
      <c r="AK53" s="46">
        <v>12.17</v>
      </c>
      <c r="AL53" s="46">
        <v>14.17</v>
      </c>
      <c r="AM53" s="46">
        <v>28.31</v>
      </c>
      <c r="AN53" s="46">
        <v>6.37</v>
      </c>
      <c r="AO53" s="46">
        <f t="shared" si="0"/>
        <v>6.2012903225806433</v>
      </c>
      <c r="AP53" s="67">
        <f t="shared" si="1"/>
        <v>3.1006451612903216</v>
      </c>
    </row>
    <row r="54" spans="1:42" hidden="1" x14ac:dyDescent="0.3">
      <c r="A54" s="5">
        <v>53</v>
      </c>
      <c r="B54" s="6" t="s">
        <v>65</v>
      </c>
      <c r="C54" s="39" t="s">
        <v>122</v>
      </c>
      <c r="D54" s="6" t="s">
        <v>30</v>
      </c>
      <c r="E54" s="6" t="s">
        <v>19</v>
      </c>
      <c r="F54" s="6" t="s">
        <v>13</v>
      </c>
      <c r="G54" s="6" t="s">
        <v>14</v>
      </c>
      <c r="H54" s="5">
        <v>3</v>
      </c>
      <c r="I54" s="5">
        <v>17</v>
      </c>
      <c r="J54" s="45">
        <v>0</v>
      </c>
      <c r="K54" s="45">
        <v>0</v>
      </c>
      <c r="L54" s="45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f t="shared" si="0"/>
        <v>0</v>
      </c>
      <c r="AP54" s="67">
        <f t="shared" si="1"/>
        <v>0</v>
      </c>
    </row>
    <row r="55" spans="1:42" x14ac:dyDescent="0.3">
      <c r="A55" s="5">
        <v>54</v>
      </c>
      <c r="B55" s="6" t="s">
        <v>65</v>
      </c>
      <c r="C55" s="39" t="s">
        <v>127</v>
      </c>
      <c r="D55" s="6" t="s">
        <v>128</v>
      </c>
      <c r="E55" s="6" t="s">
        <v>12</v>
      </c>
      <c r="F55" s="6" t="s">
        <v>40</v>
      </c>
      <c r="G55" s="6" t="s">
        <v>35</v>
      </c>
      <c r="H55" s="5">
        <v>2</v>
      </c>
      <c r="I55" s="5"/>
      <c r="J55" s="45">
        <v>0</v>
      </c>
      <c r="K55" s="46">
        <v>0</v>
      </c>
      <c r="L55" s="46">
        <v>0</v>
      </c>
      <c r="M55" s="46">
        <v>43.62</v>
      </c>
      <c r="N55" s="46">
        <v>18.47</v>
      </c>
      <c r="O55" s="46">
        <v>0</v>
      </c>
      <c r="P55" s="46">
        <v>0</v>
      </c>
      <c r="Q55" s="46">
        <v>48.47</v>
      </c>
      <c r="R55" s="46">
        <v>14.22</v>
      </c>
      <c r="S55" s="46">
        <v>0</v>
      </c>
      <c r="T55" s="46">
        <v>0</v>
      </c>
      <c r="U55" s="46">
        <v>50.55</v>
      </c>
      <c r="V55" s="46">
        <v>0</v>
      </c>
      <c r="W55" s="46">
        <v>0</v>
      </c>
      <c r="X55" s="46">
        <v>0</v>
      </c>
      <c r="Y55" s="46">
        <v>71.62</v>
      </c>
      <c r="Z55" s="46">
        <v>0</v>
      </c>
      <c r="AA55" s="46">
        <v>0</v>
      </c>
      <c r="AB55" s="53">
        <v>0</v>
      </c>
      <c r="AC55" s="60">
        <v>0</v>
      </c>
      <c r="AD55" s="60">
        <v>0</v>
      </c>
      <c r="AE55" s="60">
        <v>16.57</v>
      </c>
      <c r="AF55" s="60">
        <v>47.43</v>
      </c>
      <c r="AG55" s="54">
        <v>0</v>
      </c>
      <c r="AH55" s="46">
        <v>0</v>
      </c>
      <c r="AI55" s="46">
        <v>0</v>
      </c>
      <c r="AJ55" s="46">
        <v>53.45</v>
      </c>
      <c r="AK55" s="46">
        <v>18.64</v>
      </c>
      <c r="AL55" s="46">
        <v>0</v>
      </c>
      <c r="AM55" s="46">
        <v>0</v>
      </c>
      <c r="AN55" s="46">
        <v>49.31</v>
      </c>
      <c r="AO55" s="46">
        <f t="shared" si="0"/>
        <v>13.946774193548386</v>
      </c>
      <c r="AP55" s="67">
        <f t="shared" si="1"/>
        <v>6.9733870967741929</v>
      </c>
    </row>
    <row r="56" spans="1:42" x14ac:dyDescent="0.3">
      <c r="A56" s="5">
        <v>55</v>
      </c>
      <c r="B56" s="6" t="s">
        <v>65</v>
      </c>
      <c r="C56" s="39" t="s">
        <v>129</v>
      </c>
      <c r="D56" s="6"/>
      <c r="E56" s="6" t="s">
        <v>130</v>
      </c>
      <c r="F56" s="6" t="s">
        <v>121</v>
      </c>
      <c r="G56" s="6" t="s">
        <v>35</v>
      </c>
      <c r="H56" s="5">
        <v>2</v>
      </c>
      <c r="I56" s="5"/>
      <c r="J56" s="45">
        <v>21.76</v>
      </c>
      <c r="K56" s="46">
        <v>0</v>
      </c>
      <c r="L56" s="46">
        <v>0</v>
      </c>
      <c r="M56" s="46">
        <v>28.06</v>
      </c>
      <c r="N56" s="46">
        <v>18.420000000000002</v>
      </c>
      <c r="O56" s="46">
        <v>30</v>
      </c>
      <c r="P56" s="46">
        <v>40.9</v>
      </c>
      <c r="Q56" s="46">
        <v>27.55</v>
      </c>
      <c r="R56" s="46">
        <v>5.98</v>
      </c>
      <c r="S56" s="46">
        <v>0</v>
      </c>
      <c r="T56" s="46">
        <v>31.29</v>
      </c>
      <c r="U56" s="46">
        <v>13.68</v>
      </c>
      <c r="V56" s="46">
        <v>11.87</v>
      </c>
      <c r="W56" s="46">
        <v>23.28</v>
      </c>
      <c r="X56" s="46">
        <v>9.6300000000000008</v>
      </c>
      <c r="Y56" s="46">
        <v>0.97</v>
      </c>
      <c r="Z56" s="46">
        <v>0</v>
      </c>
      <c r="AA56" s="46">
        <v>20.84</v>
      </c>
      <c r="AB56" s="53">
        <v>10.9</v>
      </c>
      <c r="AC56" s="60">
        <v>12.92</v>
      </c>
      <c r="AD56" s="60">
        <v>14.19</v>
      </c>
      <c r="AE56" s="60">
        <v>33.5</v>
      </c>
      <c r="AF56" s="60">
        <v>1.33</v>
      </c>
      <c r="AG56" s="54">
        <v>0</v>
      </c>
      <c r="AH56" s="46">
        <v>0.24</v>
      </c>
      <c r="AI56" s="46">
        <v>1.93</v>
      </c>
      <c r="AJ56" s="46">
        <v>19.04</v>
      </c>
      <c r="AK56" s="46">
        <v>27.06</v>
      </c>
      <c r="AL56" s="46">
        <v>31.34</v>
      </c>
      <c r="AM56" s="46">
        <v>8.68</v>
      </c>
      <c r="AN56" s="46">
        <v>7.65</v>
      </c>
      <c r="AO56" s="46">
        <f t="shared" si="0"/>
        <v>14.613225806451613</v>
      </c>
      <c r="AP56" s="67">
        <f t="shared" si="1"/>
        <v>7.3066129032258065</v>
      </c>
    </row>
    <row r="57" spans="1:42" x14ac:dyDescent="0.3">
      <c r="A57" s="5">
        <v>56</v>
      </c>
      <c r="B57" s="6" t="s">
        <v>65</v>
      </c>
      <c r="C57" s="39" t="s">
        <v>150</v>
      </c>
      <c r="D57" s="6" t="s">
        <v>128</v>
      </c>
      <c r="E57" s="6" t="s">
        <v>12</v>
      </c>
      <c r="F57" s="6" t="s">
        <v>121</v>
      </c>
      <c r="G57" s="6" t="s">
        <v>35</v>
      </c>
      <c r="H57" s="5">
        <v>20</v>
      </c>
      <c r="I57" s="5"/>
      <c r="J57" s="45">
        <v>54.18</v>
      </c>
      <c r="K57" s="46">
        <v>74.52</v>
      </c>
      <c r="L57" s="46">
        <v>36.53</v>
      </c>
      <c r="M57" s="46">
        <v>50.99</v>
      </c>
      <c r="N57" s="46">
        <v>49.22</v>
      </c>
      <c r="O57" s="46">
        <v>50.9</v>
      </c>
      <c r="P57" s="46">
        <v>25.48</v>
      </c>
      <c r="Q57" s="46">
        <v>13.81</v>
      </c>
      <c r="R57" s="46">
        <v>29.04</v>
      </c>
      <c r="S57" s="46">
        <v>36.29</v>
      </c>
      <c r="T57" s="46">
        <v>46.8</v>
      </c>
      <c r="U57" s="46">
        <v>18.47</v>
      </c>
      <c r="V57" s="46">
        <v>31.27</v>
      </c>
      <c r="W57" s="46">
        <v>32.06</v>
      </c>
      <c r="X57" s="46">
        <v>45.91</v>
      </c>
      <c r="Y57" s="46">
        <v>32.229999999999997</v>
      </c>
      <c r="Z57" s="46">
        <v>29.41</v>
      </c>
      <c r="AA57" s="46">
        <v>40.590000000000003</v>
      </c>
      <c r="AB57" s="53">
        <v>40.479999999999997</v>
      </c>
      <c r="AC57" s="61">
        <v>54.63</v>
      </c>
      <c r="AD57" s="61">
        <v>47.97</v>
      </c>
      <c r="AE57" s="61">
        <v>48.42</v>
      </c>
      <c r="AF57" s="61">
        <v>52.59</v>
      </c>
      <c r="AG57" s="54">
        <v>42.52</v>
      </c>
      <c r="AH57" s="46">
        <v>25.6</v>
      </c>
      <c r="AI57" s="46">
        <v>59.89</v>
      </c>
      <c r="AJ57" s="46">
        <v>76.34</v>
      </c>
      <c r="AK57" s="46">
        <v>67.12</v>
      </c>
      <c r="AL57" s="46">
        <v>52.54</v>
      </c>
      <c r="AM57" s="46">
        <v>58.09</v>
      </c>
      <c r="AN57" s="46">
        <v>35.479999999999997</v>
      </c>
      <c r="AO57" s="46">
        <f t="shared" si="0"/>
        <v>43.850645161290309</v>
      </c>
      <c r="AP57" s="67">
        <f t="shared" si="1"/>
        <v>2.1925322580645155</v>
      </c>
    </row>
    <row r="58" spans="1:42" x14ac:dyDescent="0.3">
      <c r="A58" s="5">
        <v>57</v>
      </c>
      <c r="B58" s="6" t="s">
        <v>65</v>
      </c>
      <c r="C58" s="39" t="s">
        <v>143</v>
      </c>
      <c r="D58" s="6" t="s">
        <v>128</v>
      </c>
      <c r="E58" s="6" t="s">
        <v>12</v>
      </c>
      <c r="F58" s="6" t="s">
        <v>121</v>
      </c>
      <c r="G58" s="6" t="s">
        <v>35</v>
      </c>
      <c r="H58" s="5">
        <v>2</v>
      </c>
      <c r="I58" s="5"/>
      <c r="J58" s="45">
        <v>0</v>
      </c>
      <c r="K58" s="45">
        <v>0</v>
      </c>
      <c r="L58" s="45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53">
        <v>0</v>
      </c>
      <c r="AC58" s="61">
        <v>0</v>
      </c>
      <c r="AD58" s="61">
        <v>0</v>
      </c>
      <c r="AE58" s="61">
        <v>0</v>
      </c>
      <c r="AF58" s="61">
        <v>0</v>
      </c>
      <c r="AG58" s="61">
        <v>0</v>
      </c>
      <c r="AH58" s="61">
        <v>0</v>
      </c>
      <c r="AI58" s="61">
        <v>0</v>
      </c>
      <c r="AJ58" s="46">
        <v>0</v>
      </c>
      <c r="AK58" s="46">
        <v>0</v>
      </c>
      <c r="AL58" s="46">
        <v>0</v>
      </c>
      <c r="AM58" s="46">
        <v>0</v>
      </c>
      <c r="AN58" s="46">
        <v>0</v>
      </c>
      <c r="AO58" s="46">
        <f t="shared" si="0"/>
        <v>0</v>
      </c>
      <c r="AP58" s="67">
        <f t="shared" si="1"/>
        <v>0</v>
      </c>
    </row>
    <row r="59" spans="1:42" x14ac:dyDescent="0.3">
      <c r="A59" s="5">
        <v>58</v>
      </c>
      <c r="B59" s="6" t="s">
        <v>65</v>
      </c>
      <c r="C59" s="39" t="s">
        <v>143</v>
      </c>
      <c r="D59" s="6" t="s">
        <v>128</v>
      </c>
      <c r="E59" s="6" t="s">
        <v>12</v>
      </c>
      <c r="F59" s="6" t="s">
        <v>40</v>
      </c>
      <c r="G59" s="6" t="s">
        <v>35</v>
      </c>
      <c r="H59" s="5">
        <v>2</v>
      </c>
      <c r="I59" s="5"/>
      <c r="J59" s="45">
        <v>0</v>
      </c>
      <c r="K59" s="45">
        <v>0</v>
      </c>
      <c r="L59" s="45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53">
        <v>0</v>
      </c>
      <c r="AC59" s="61">
        <v>0</v>
      </c>
      <c r="AD59" s="61">
        <v>0</v>
      </c>
      <c r="AE59" s="61">
        <v>0</v>
      </c>
      <c r="AF59" s="61">
        <v>0</v>
      </c>
      <c r="AG59" s="61">
        <v>0</v>
      </c>
      <c r="AH59" s="61">
        <v>0</v>
      </c>
      <c r="AI59" s="61">
        <v>0</v>
      </c>
      <c r="AJ59" s="46">
        <v>0</v>
      </c>
      <c r="AK59" s="46">
        <v>0</v>
      </c>
      <c r="AL59" s="46">
        <v>0</v>
      </c>
      <c r="AM59" s="46">
        <v>0</v>
      </c>
      <c r="AN59" s="46">
        <v>0</v>
      </c>
      <c r="AO59" s="46">
        <f t="shared" si="0"/>
        <v>0</v>
      </c>
      <c r="AP59" s="67">
        <f t="shared" si="1"/>
        <v>0</v>
      </c>
    </row>
    <row r="60" spans="1:42" hidden="1" x14ac:dyDescent="0.3">
      <c r="A60" s="5">
        <v>59</v>
      </c>
      <c r="B60" s="6" t="s">
        <v>65</v>
      </c>
      <c r="C60" s="39" t="s">
        <v>145</v>
      </c>
      <c r="D60" s="6" t="s">
        <v>128</v>
      </c>
      <c r="E60" s="6" t="s">
        <v>12</v>
      </c>
      <c r="F60" s="6" t="s">
        <v>121</v>
      </c>
      <c r="G60" s="6" t="s">
        <v>14</v>
      </c>
      <c r="H60" s="5">
        <v>2</v>
      </c>
      <c r="I60" s="5"/>
      <c r="J60" s="45"/>
      <c r="K60" s="45">
        <v>0</v>
      </c>
      <c r="L60" s="45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53">
        <v>0</v>
      </c>
      <c r="AC60" s="60">
        <v>0</v>
      </c>
      <c r="AD60" s="61">
        <v>0</v>
      </c>
      <c r="AE60" s="61">
        <v>0</v>
      </c>
      <c r="AF60" s="61">
        <v>0</v>
      </c>
      <c r="AG60" s="61">
        <v>0</v>
      </c>
      <c r="AH60" s="61">
        <v>0</v>
      </c>
      <c r="AI60" s="61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f>AVERAGE(J60:AN60)</f>
        <v>0</v>
      </c>
      <c r="AP60" s="67">
        <f t="shared" si="1"/>
        <v>0</v>
      </c>
    </row>
    <row r="61" spans="1:42" x14ac:dyDescent="0.3">
      <c r="A61" s="5"/>
      <c r="B61" s="6"/>
      <c r="C61" s="6"/>
      <c r="D61" s="6"/>
      <c r="E61" s="6"/>
      <c r="F61" s="6"/>
      <c r="G61" s="6"/>
      <c r="H61" s="5"/>
      <c r="I61" s="5"/>
      <c r="J61" s="45"/>
      <c r="K61" s="45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8"/>
      <c r="AD61" s="48"/>
      <c r="AE61" s="48"/>
      <c r="AF61" s="48"/>
      <c r="AG61" s="46"/>
      <c r="AH61" s="46"/>
      <c r="AI61" s="46"/>
      <c r="AJ61" s="46"/>
      <c r="AK61" s="46"/>
      <c r="AL61" s="46"/>
      <c r="AM61" s="46"/>
      <c r="AN61" s="48"/>
      <c r="AO61" s="48"/>
    </row>
    <row r="62" spans="1:42" x14ac:dyDescent="0.3">
      <c r="A62" s="5"/>
      <c r="B62" s="14"/>
      <c r="C62" s="14"/>
      <c r="D62" s="14"/>
      <c r="E62" s="13"/>
      <c r="F62" s="13"/>
      <c r="G62" s="13" t="s">
        <v>79</v>
      </c>
      <c r="H62" s="52">
        <f>SUM(H2:H61)</f>
        <v>533</v>
      </c>
      <c r="I62" s="52"/>
      <c r="J62" s="44">
        <f t="shared" ref="J62:AM62" si="2">SUM(J2:J61)</f>
        <v>2128.7240000000002</v>
      </c>
      <c r="K62" s="44">
        <f t="shared" si="2"/>
        <v>2081.0830000000001</v>
      </c>
      <c r="L62" s="44">
        <f t="shared" si="2"/>
        <v>2221.7530000000006</v>
      </c>
      <c r="M62" s="44">
        <f t="shared" si="2"/>
        <v>1976.1390000000001</v>
      </c>
      <c r="N62" s="44">
        <f t="shared" si="2"/>
        <v>2079.7800000000002</v>
      </c>
      <c r="O62" s="44">
        <f t="shared" si="2"/>
        <v>2285.5529999999999</v>
      </c>
      <c r="P62" s="44">
        <f t="shared" si="2"/>
        <v>2311.9</v>
      </c>
      <c r="Q62" s="44">
        <f t="shared" si="2"/>
        <v>2189.1309999999999</v>
      </c>
      <c r="R62" s="44">
        <f t="shared" si="2"/>
        <v>2156.2659999999996</v>
      </c>
      <c r="S62" s="44">
        <f t="shared" si="2"/>
        <v>2223.9500000000003</v>
      </c>
      <c r="T62" s="44">
        <f t="shared" si="2"/>
        <v>1914.7350000000001</v>
      </c>
      <c r="U62" s="44">
        <f t="shared" si="2"/>
        <v>1901.3989999999997</v>
      </c>
      <c r="V62" s="44">
        <f t="shared" si="2"/>
        <v>2206.3279999999995</v>
      </c>
      <c r="W62" s="44">
        <f t="shared" si="2"/>
        <v>2179.0260000000003</v>
      </c>
      <c r="X62" s="44">
        <f t="shared" si="2"/>
        <v>2092.4090000000001</v>
      </c>
      <c r="Y62" s="44">
        <f t="shared" si="2"/>
        <v>2221.8919999999989</v>
      </c>
      <c r="Z62" s="44">
        <f t="shared" si="2"/>
        <v>2016.856</v>
      </c>
      <c r="AA62" s="44">
        <f t="shared" si="2"/>
        <v>1876.2379999999996</v>
      </c>
      <c r="AB62" s="44">
        <f t="shared" si="2"/>
        <v>1968.7839999999997</v>
      </c>
      <c r="AC62" s="44">
        <f t="shared" si="2"/>
        <v>2271.6709999999998</v>
      </c>
      <c r="AD62" s="44">
        <f t="shared" si="2"/>
        <v>2144.2659999999996</v>
      </c>
      <c r="AE62" s="44">
        <f t="shared" si="2"/>
        <v>2300.0880000000002</v>
      </c>
      <c r="AF62" s="44">
        <f t="shared" si="2"/>
        <v>2231.895</v>
      </c>
      <c r="AG62" s="44">
        <f t="shared" si="2"/>
        <v>2103.1250000000005</v>
      </c>
      <c r="AH62" s="44">
        <f t="shared" si="2"/>
        <v>2068.0750000000003</v>
      </c>
      <c r="AI62" s="44">
        <f>SUM(AI2:AI61)</f>
        <v>2033.3410000000003</v>
      </c>
      <c r="AJ62" s="44">
        <f t="shared" si="2"/>
        <v>1970.4010000000005</v>
      </c>
      <c r="AK62" s="44">
        <f t="shared" si="2"/>
        <v>2284.35</v>
      </c>
      <c r="AL62" s="44">
        <f t="shared" si="2"/>
        <v>2123.02</v>
      </c>
      <c r="AM62" s="44">
        <f t="shared" si="2"/>
        <v>2166.0499999999993</v>
      </c>
      <c r="AN62" s="44">
        <f>SUM(AN2:AN61)</f>
        <v>1930.38</v>
      </c>
      <c r="AO62" s="44">
        <f>AVERAGE(J62:AN62)</f>
        <v>2118.0196129032256</v>
      </c>
    </row>
    <row r="63" spans="1:42" x14ac:dyDescent="0.3">
      <c r="AO63" s="50"/>
    </row>
    <row r="64" spans="1:42" x14ac:dyDescent="0.3">
      <c r="AO64" s="50"/>
    </row>
  </sheetData>
  <autoFilter ref="A1:H60" xr:uid="{00000000-0009-0000-0000-00000F000000}">
    <filterColumn colId="6">
      <filters>
        <filter val="DC Charger"/>
        <filter val="OCPP"/>
      </filters>
    </filterColumn>
  </autoFilter>
  <pageMargins left="0.7" right="0.7" top="0.75" bottom="0.75" header="0.3" footer="0.3"/>
  <pageSetup scale="1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3:I4"/>
  <sheetViews>
    <sheetView topLeftCell="A34" workbookViewId="0">
      <selection activeCell="F29" sqref="F29"/>
    </sheetView>
  </sheetViews>
  <sheetFormatPr defaultRowHeight="14.4" x14ac:dyDescent="0.3"/>
  <cols>
    <col min="1" max="8" width="15.5546875" bestFit="1" customWidth="1"/>
    <col min="9" max="9" width="10.77734375" bestFit="1" customWidth="1"/>
    <col min="10" max="10" width="11.33203125" bestFit="1" customWidth="1"/>
    <col min="11" max="16" width="16.5546875" bestFit="1" customWidth="1"/>
    <col min="17" max="17" width="20.109375" bestFit="1" customWidth="1"/>
    <col min="18" max="18" width="21.6640625" bestFit="1" customWidth="1"/>
  </cols>
  <sheetData>
    <row r="3" spans="1:9" x14ac:dyDescent="0.3">
      <c r="A3" s="29" t="s">
        <v>144</v>
      </c>
    </row>
    <row r="4" spans="1:9" x14ac:dyDescent="0.3">
      <c r="A4" t="s">
        <v>58</v>
      </c>
      <c r="B4" t="s">
        <v>65</v>
      </c>
      <c r="C4" t="s">
        <v>134</v>
      </c>
      <c r="D4" t="s">
        <v>9</v>
      </c>
      <c r="E4" t="s">
        <v>55</v>
      </c>
      <c r="F4" t="s">
        <v>119</v>
      </c>
      <c r="G4" t="s">
        <v>49</v>
      </c>
      <c r="H4" t="s">
        <v>52</v>
      </c>
      <c r="I4" t="s">
        <v>83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I70"/>
  <sheetViews>
    <sheetView topLeftCell="Z50" workbookViewId="0">
      <selection activeCell="F29" sqref="F29"/>
    </sheetView>
  </sheetViews>
  <sheetFormatPr defaultRowHeight="14.4" x14ac:dyDescent="0.3"/>
  <cols>
    <col min="1" max="1" width="45.44140625" customWidth="1"/>
    <col min="2" max="2" width="12.109375" customWidth="1"/>
    <col min="3" max="3" width="15.109375" customWidth="1"/>
    <col min="4" max="34" width="16.5546875" customWidth="1"/>
    <col min="35" max="81" width="31.33203125" bestFit="1" customWidth="1"/>
    <col min="82" max="82" width="26.5546875" bestFit="1" customWidth="1"/>
    <col min="83" max="84" width="20.109375" bestFit="1" customWidth="1"/>
    <col min="85" max="85" width="20" bestFit="1" customWidth="1"/>
    <col min="86" max="86" width="36.33203125" bestFit="1" customWidth="1"/>
  </cols>
  <sheetData>
    <row r="1" spans="1:35" x14ac:dyDescent="0.3">
      <c r="A1" s="30" t="s">
        <v>1</v>
      </c>
      <c r="B1" s="12" t="s">
        <v>82</v>
      </c>
    </row>
    <row r="3" spans="1:35" x14ac:dyDescent="0.3">
      <c r="A3" s="30" t="s">
        <v>2</v>
      </c>
      <c r="B3" s="12" t="s">
        <v>165</v>
      </c>
      <c r="C3" s="12" t="s">
        <v>153</v>
      </c>
      <c r="D3" s="12" t="s">
        <v>157</v>
      </c>
      <c r="E3" s="12" t="s">
        <v>164</v>
      </c>
      <c r="F3" s="12" t="s">
        <v>167</v>
      </c>
      <c r="G3" s="12" t="s">
        <v>168</v>
      </c>
      <c r="H3" s="12" t="s">
        <v>169</v>
      </c>
      <c r="I3" s="12" t="s">
        <v>170</v>
      </c>
      <c r="J3" s="12" t="s">
        <v>172</v>
      </c>
      <c r="K3" s="12" t="s">
        <v>173</v>
      </c>
      <c r="L3" s="12" t="s">
        <v>176</v>
      </c>
      <c r="M3" s="12" t="s">
        <v>177</v>
      </c>
      <c r="N3" s="12" t="s">
        <v>178</v>
      </c>
      <c r="O3" s="12" t="s">
        <v>179</v>
      </c>
      <c r="P3" s="12" t="s">
        <v>180</v>
      </c>
      <c r="Q3" s="12" t="s">
        <v>181</v>
      </c>
      <c r="R3" s="12" t="s">
        <v>182</v>
      </c>
      <c r="S3" s="12" t="s">
        <v>183</v>
      </c>
      <c r="T3" s="12" t="s">
        <v>184</v>
      </c>
      <c r="U3" s="12" t="s">
        <v>185</v>
      </c>
      <c r="V3" s="12" t="s">
        <v>186</v>
      </c>
      <c r="W3" s="12" t="s">
        <v>187</v>
      </c>
      <c r="X3" s="12" t="s">
        <v>188</v>
      </c>
      <c r="Y3" s="12" t="s">
        <v>189</v>
      </c>
      <c r="Z3" s="31" t="s">
        <v>190</v>
      </c>
      <c r="AA3" s="12" t="s">
        <v>191</v>
      </c>
      <c r="AB3" s="12" t="s">
        <v>192</v>
      </c>
      <c r="AC3" s="12" t="s">
        <v>193</v>
      </c>
      <c r="AD3" s="12" t="s">
        <v>194</v>
      </c>
      <c r="AE3" s="12" t="s">
        <v>195</v>
      </c>
      <c r="AF3" s="12" t="s">
        <v>197</v>
      </c>
      <c r="AG3" s="12" t="s">
        <v>198</v>
      </c>
      <c r="AH3" s="12" t="s">
        <v>85</v>
      </c>
      <c r="AI3" s="12" t="s">
        <v>155</v>
      </c>
    </row>
    <row r="4" spans="1:35" x14ac:dyDescent="0.3">
      <c r="A4" s="12" t="s">
        <v>126</v>
      </c>
      <c r="B4" s="12">
        <v>20</v>
      </c>
      <c r="C4" s="31">
        <v>38.54</v>
      </c>
      <c r="D4" s="31">
        <v>63.19</v>
      </c>
      <c r="E4" s="31">
        <v>78.59</v>
      </c>
      <c r="F4" s="31">
        <v>95.3</v>
      </c>
      <c r="G4" s="31">
        <v>75.75</v>
      </c>
      <c r="H4" s="31">
        <v>42.96</v>
      </c>
      <c r="I4" s="31">
        <v>33.51</v>
      </c>
      <c r="J4" s="31">
        <v>65.52</v>
      </c>
      <c r="K4" s="31">
        <v>57.14</v>
      </c>
      <c r="L4" s="31">
        <v>63.36</v>
      </c>
      <c r="M4" s="31">
        <v>70.48</v>
      </c>
      <c r="N4" s="31">
        <v>71.63</v>
      </c>
      <c r="O4" s="31">
        <v>56.16</v>
      </c>
      <c r="P4" s="31">
        <v>32.79</v>
      </c>
      <c r="Q4" s="31">
        <v>30.66</v>
      </c>
      <c r="R4" s="31">
        <v>43.27</v>
      </c>
      <c r="S4" s="31">
        <v>57.01</v>
      </c>
      <c r="T4" s="31">
        <v>62.79</v>
      </c>
      <c r="U4" s="31">
        <v>59.08</v>
      </c>
      <c r="V4" s="31">
        <v>56.8</v>
      </c>
      <c r="W4" s="31">
        <v>46.99</v>
      </c>
      <c r="X4" s="31">
        <v>19.41</v>
      </c>
      <c r="Y4" s="31">
        <v>44.25</v>
      </c>
      <c r="Z4" s="31">
        <v>64.87</v>
      </c>
      <c r="AA4" s="31">
        <v>83.54</v>
      </c>
      <c r="AB4" s="31">
        <v>32.450000000000003</v>
      </c>
      <c r="AC4" s="31">
        <v>36.119999999999997</v>
      </c>
      <c r="AD4" s="31">
        <v>23.21</v>
      </c>
      <c r="AE4" s="31">
        <v>45.78</v>
      </c>
      <c r="AF4" s="31">
        <v>36.299999999999997</v>
      </c>
      <c r="AG4" s="12">
        <v>30</v>
      </c>
      <c r="AH4" s="31">
        <v>52.175806451612893</v>
      </c>
      <c r="AI4" s="31">
        <v>2.6087903225806448</v>
      </c>
    </row>
    <row r="5" spans="1:35" x14ac:dyDescent="0.3">
      <c r="A5" s="12" t="s">
        <v>86</v>
      </c>
      <c r="B5" s="12">
        <v>6</v>
      </c>
      <c r="C5" s="31">
        <v>45.16</v>
      </c>
      <c r="D5" s="31">
        <v>50.69</v>
      </c>
      <c r="E5" s="31">
        <v>69.11</v>
      </c>
      <c r="F5" s="31">
        <v>73.7</v>
      </c>
      <c r="G5" s="31">
        <v>72.239999999999995</v>
      </c>
      <c r="H5" s="31">
        <v>91.47</v>
      </c>
      <c r="I5" s="31">
        <v>69.05</v>
      </c>
      <c r="J5" s="31">
        <v>68.260000000000005</v>
      </c>
      <c r="K5" s="31">
        <v>74.77</v>
      </c>
      <c r="L5" s="31">
        <v>65.36</v>
      </c>
      <c r="M5" s="31">
        <v>77.19</v>
      </c>
      <c r="N5" s="31">
        <v>81.489999999999995</v>
      </c>
      <c r="O5" s="31">
        <v>77.95</v>
      </c>
      <c r="P5" s="31">
        <v>56.04</v>
      </c>
      <c r="Q5" s="31">
        <v>50.41</v>
      </c>
      <c r="R5" s="31">
        <v>39.56</v>
      </c>
      <c r="S5" s="31">
        <v>60.5</v>
      </c>
      <c r="T5" s="31">
        <v>74.12</v>
      </c>
      <c r="U5" s="31">
        <v>42.74</v>
      </c>
      <c r="V5" s="31">
        <v>38.29</v>
      </c>
      <c r="W5" s="31">
        <v>49.87</v>
      </c>
      <c r="X5" s="31">
        <v>37.35</v>
      </c>
      <c r="Y5" s="31">
        <v>50.38</v>
      </c>
      <c r="Z5" s="31">
        <v>50.17</v>
      </c>
      <c r="AA5" s="31">
        <v>52.75</v>
      </c>
      <c r="AB5" s="31">
        <v>50.81</v>
      </c>
      <c r="AC5" s="31">
        <v>43.78</v>
      </c>
      <c r="AD5" s="31">
        <v>32.090000000000003</v>
      </c>
      <c r="AE5" s="31">
        <v>65.75</v>
      </c>
      <c r="AF5" s="31">
        <v>0</v>
      </c>
      <c r="AG5" s="12">
        <v>0</v>
      </c>
      <c r="AH5" s="31">
        <v>55.195161290322581</v>
      </c>
      <c r="AI5" s="31">
        <v>9.1991935483870968</v>
      </c>
    </row>
    <row r="6" spans="1:35" x14ac:dyDescent="0.3">
      <c r="A6" s="12" t="s">
        <v>87</v>
      </c>
      <c r="B6" s="12">
        <v>9</v>
      </c>
      <c r="C6" s="31">
        <v>102.02</v>
      </c>
      <c r="D6" s="31">
        <v>127.29</v>
      </c>
      <c r="E6" s="31">
        <v>145.41</v>
      </c>
      <c r="F6" s="31">
        <v>119.81</v>
      </c>
      <c r="G6" s="31">
        <v>150.97999999999999</v>
      </c>
      <c r="H6" s="31">
        <v>148.56</v>
      </c>
      <c r="I6" s="31">
        <v>139.99</v>
      </c>
      <c r="J6" s="31">
        <v>130.47</v>
      </c>
      <c r="K6" s="31">
        <v>148.75</v>
      </c>
      <c r="L6" s="31">
        <v>131.19</v>
      </c>
      <c r="M6" s="31">
        <v>135.77000000000001</v>
      </c>
      <c r="N6" s="31">
        <v>140.27000000000001</v>
      </c>
      <c r="O6" s="31">
        <v>122.13</v>
      </c>
      <c r="P6" s="31">
        <v>91.65</v>
      </c>
      <c r="Q6" s="31">
        <v>75.13</v>
      </c>
      <c r="R6" s="31">
        <v>90.42</v>
      </c>
      <c r="S6" s="31">
        <v>120.8</v>
      </c>
      <c r="T6" s="31">
        <v>96.24</v>
      </c>
      <c r="U6" s="31">
        <v>99.13</v>
      </c>
      <c r="V6" s="31">
        <v>133.71</v>
      </c>
      <c r="W6" s="31">
        <v>130.87</v>
      </c>
      <c r="X6" s="31">
        <v>123</v>
      </c>
      <c r="Y6" s="31">
        <v>145.37</v>
      </c>
      <c r="Z6" s="31">
        <v>98.15</v>
      </c>
      <c r="AA6" s="31">
        <v>129.38999999999999</v>
      </c>
      <c r="AB6" s="31">
        <v>137.13999999999999</v>
      </c>
      <c r="AC6" s="31">
        <v>79.760000000000005</v>
      </c>
      <c r="AD6" s="31">
        <v>111.44</v>
      </c>
      <c r="AE6" s="31">
        <v>119.75</v>
      </c>
      <c r="AF6" s="31">
        <v>107.35</v>
      </c>
      <c r="AG6" s="12">
        <v>125.67</v>
      </c>
      <c r="AH6" s="31">
        <v>121.21322580645162</v>
      </c>
      <c r="AI6" s="31">
        <v>13.468136200716847</v>
      </c>
    </row>
    <row r="7" spans="1:35" x14ac:dyDescent="0.3">
      <c r="A7" s="12" t="s">
        <v>88</v>
      </c>
      <c r="B7" s="12">
        <v>3</v>
      </c>
      <c r="C7" s="31">
        <v>27.91</v>
      </c>
      <c r="D7" s="31">
        <v>31.55</v>
      </c>
      <c r="E7" s="31">
        <v>46.18</v>
      </c>
      <c r="F7" s="31">
        <v>42.19</v>
      </c>
      <c r="G7" s="31">
        <v>40.36</v>
      </c>
      <c r="H7" s="31">
        <v>24.18</v>
      </c>
      <c r="I7" s="31">
        <v>47.67</v>
      </c>
      <c r="J7" s="31">
        <v>43.17</v>
      </c>
      <c r="K7" s="31">
        <v>47.09</v>
      </c>
      <c r="L7" s="31">
        <v>37.36</v>
      </c>
      <c r="M7" s="31">
        <v>29.73</v>
      </c>
      <c r="N7" s="31">
        <v>44.14</v>
      </c>
      <c r="O7" s="31">
        <v>30.06</v>
      </c>
      <c r="P7" s="31">
        <v>38.03</v>
      </c>
      <c r="Q7" s="31">
        <v>32.07</v>
      </c>
      <c r="R7" s="31">
        <v>17.88</v>
      </c>
      <c r="S7" s="31">
        <v>51.02</v>
      </c>
      <c r="T7" s="31">
        <v>37.29</v>
      </c>
      <c r="U7" s="31">
        <v>23.6</v>
      </c>
      <c r="V7" s="31">
        <v>35.630000000000003</v>
      </c>
      <c r="W7" s="31">
        <v>32.89</v>
      </c>
      <c r="X7" s="31">
        <v>47.35</v>
      </c>
      <c r="Y7" s="31">
        <v>35.25</v>
      </c>
      <c r="Z7" s="31">
        <v>40.47</v>
      </c>
      <c r="AA7" s="31">
        <v>16</v>
      </c>
      <c r="AB7" s="31">
        <v>32.979999999999997</v>
      </c>
      <c r="AC7" s="31">
        <v>12.12</v>
      </c>
      <c r="AD7" s="31">
        <v>30.16</v>
      </c>
      <c r="AE7" s="31">
        <v>36.15</v>
      </c>
      <c r="AF7" s="31">
        <v>24.02</v>
      </c>
      <c r="AG7" s="12">
        <v>30.96</v>
      </c>
      <c r="AH7" s="31">
        <v>34.369677419354851</v>
      </c>
      <c r="AI7" s="31">
        <v>11.45655913978495</v>
      </c>
    </row>
    <row r="8" spans="1:35" x14ac:dyDescent="0.3">
      <c r="A8" s="12" t="s">
        <v>133</v>
      </c>
      <c r="B8" s="12">
        <v>5</v>
      </c>
      <c r="C8" s="31">
        <v>40.619999999999997</v>
      </c>
      <c r="D8" s="31">
        <v>25.23</v>
      </c>
      <c r="E8" s="31">
        <v>42.99</v>
      </c>
      <c r="F8" s="31">
        <v>33.270000000000003</v>
      </c>
      <c r="G8" s="31">
        <v>34.39</v>
      </c>
      <c r="H8" s="31">
        <v>42.07</v>
      </c>
      <c r="I8" s="31">
        <v>29.81</v>
      </c>
      <c r="J8" s="31">
        <v>45.5</v>
      </c>
      <c r="K8" s="31">
        <v>22.7</v>
      </c>
      <c r="L8" s="31">
        <v>34.06</v>
      </c>
      <c r="M8" s="31">
        <v>20.74</v>
      </c>
      <c r="N8" s="31">
        <v>25.83</v>
      </c>
      <c r="O8" s="31">
        <v>17.489999999999998</v>
      </c>
      <c r="P8" s="31">
        <v>38.479999999999997</v>
      </c>
      <c r="Q8" s="31">
        <v>26.57</v>
      </c>
      <c r="R8" s="31">
        <v>31.43</v>
      </c>
      <c r="S8" s="31">
        <v>32.94</v>
      </c>
      <c r="T8" s="31">
        <v>31.14</v>
      </c>
      <c r="U8" s="31">
        <v>29.17</v>
      </c>
      <c r="V8" s="31">
        <v>16.920000000000002</v>
      </c>
      <c r="W8" s="31">
        <v>35.26</v>
      </c>
      <c r="X8" s="31">
        <v>28.53</v>
      </c>
      <c r="Y8" s="31">
        <v>17.34</v>
      </c>
      <c r="Z8" s="31">
        <v>22.7</v>
      </c>
      <c r="AA8" s="31">
        <v>26.66</v>
      </c>
      <c r="AB8" s="31">
        <v>44.92</v>
      </c>
      <c r="AC8" s="31">
        <v>24.37</v>
      </c>
      <c r="AD8" s="31">
        <v>44.61</v>
      </c>
      <c r="AE8" s="31">
        <v>25.59</v>
      </c>
      <c r="AF8" s="31">
        <v>30.57</v>
      </c>
      <c r="AG8" s="12">
        <v>34.76</v>
      </c>
      <c r="AH8" s="31">
        <v>30.86</v>
      </c>
      <c r="AI8" s="31">
        <v>6.1719999999999997</v>
      </c>
    </row>
    <row r="9" spans="1:35" x14ac:dyDescent="0.3">
      <c r="A9" s="12" t="s">
        <v>132</v>
      </c>
      <c r="B9" s="12">
        <v>5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12">
        <v>0</v>
      </c>
      <c r="AH9" s="31">
        <v>0</v>
      </c>
      <c r="AI9" s="31">
        <v>0</v>
      </c>
    </row>
    <row r="10" spans="1:35" x14ac:dyDescent="0.3">
      <c r="A10" s="12" t="s">
        <v>142</v>
      </c>
      <c r="B10" s="12">
        <v>5</v>
      </c>
      <c r="C10" s="31">
        <v>2.83</v>
      </c>
      <c r="D10" s="31">
        <v>16.88</v>
      </c>
      <c r="E10" s="31">
        <v>18.149999999999999</v>
      </c>
      <c r="F10" s="31">
        <v>9.81</v>
      </c>
      <c r="G10" s="31">
        <v>4.07</v>
      </c>
      <c r="H10" s="31">
        <v>23.29</v>
      </c>
      <c r="I10" s="31">
        <v>0</v>
      </c>
      <c r="J10" s="31">
        <v>18.54</v>
      </c>
      <c r="K10" s="31">
        <v>9.5500000000000007</v>
      </c>
      <c r="L10" s="31">
        <v>3.85</v>
      </c>
      <c r="M10" s="31">
        <v>25.91</v>
      </c>
      <c r="N10" s="31">
        <v>18.03</v>
      </c>
      <c r="O10" s="31">
        <v>13.13</v>
      </c>
      <c r="P10" s="31">
        <v>0</v>
      </c>
      <c r="Q10" s="31">
        <v>0</v>
      </c>
      <c r="R10" s="31">
        <v>11.13</v>
      </c>
      <c r="S10" s="31">
        <v>20.43</v>
      </c>
      <c r="T10" s="31">
        <v>7.79</v>
      </c>
      <c r="U10" s="31">
        <v>20.43</v>
      </c>
      <c r="V10" s="31">
        <v>8.52</v>
      </c>
      <c r="W10" s="31">
        <v>2.1800000000000002</v>
      </c>
      <c r="X10" s="31">
        <v>13.66</v>
      </c>
      <c r="Y10" s="31">
        <v>11.44</v>
      </c>
      <c r="Z10" s="31">
        <v>6.53</v>
      </c>
      <c r="AA10" s="31">
        <v>10.94</v>
      </c>
      <c r="AB10" s="31">
        <v>5.33</v>
      </c>
      <c r="AC10" s="31">
        <v>6.16</v>
      </c>
      <c r="AD10" s="31">
        <v>9.2200000000000006</v>
      </c>
      <c r="AE10" s="31">
        <v>10.37</v>
      </c>
      <c r="AF10" s="31">
        <v>12.65</v>
      </c>
      <c r="AG10" s="12">
        <v>10.07</v>
      </c>
      <c r="AH10" s="31">
        <v>10.673870967741935</v>
      </c>
      <c r="AI10" s="31">
        <v>2.1347741935483873</v>
      </c>
    </row>
    <row r="11" spans="1:35" x14ac:dyDescent="0.3">
      <c r="A11" s="12" t="s">
        <v>98</v>
      </c>
      <c r="B11" s="12">
        <v>5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12">
        <v>0</v>
      </c>
      <c r="AH11" s="31">
        <v>0</v>
      </c>
      <c r="AI11" s="31">
        <v>0</v>
      </c>
    </row>
    <row r="12" spans="1:35" x14ac:dyDescent="0.3">
      <c r="A12" s="12" t="s">
        <v>92</v>
      </c>
      <c r="B12" s="12">
        <v>3</v>
      </c>
      <c r="C12" s="31">
        <v>23.85</v>
      </c>
      <c r="D12" s="31">
        <v>34.99</v>
      </c>
      <c r="E12" s="31">
        <v>37.44</v>
      </c>
      <c r="F12" s="31">
        <v>48.62</v>
      </c>
      <c r="G12" s="31">
        <v>33.65</v>
      </c>
      <c r="H12" s="31">
        <v>35.369999999999997</v>
      </c>
      <c r="I12" s="31">
        <v>51.59</v>
      </c>
      <c r="J12" s="31">
        <v>49.3</v>
      </c>
      <c r="K12" s="31">
        <v>46.13</v>
      </c>
      <c r="L12" s="31">
        <v>44.32</v>
      </c>
      <c r="M12" s="31">
        <v>35.590000000000003</v>
      </c>
      <c r="N12" s="31">
        <v>30.27</v>
      </c>
      <c r="O12" s="31">
        <v>15.62</v>
      </c>
      <c r="P12" s="31">
        <v>22.79</v>
      </c>
      <c r="Q12" s="31">
        <v>35.68</v>
      </c>
      <c r="R12" s="31">
        <v>56.89</v>
      </c>
      <c r="S12" s="31">
        <v>60.25</v>
      </c>
      <c r="T12" s="31">
        <v>60.28</v>
      </c>
      <c r="U12" s="31">
        <v>50.98</v>
      </c>
      <c r="V12" s="31">
        <v>57.28</v>
      </c>
      <c r="W12" s="31">
        <v>48.94</v>
      </c>
      <c r="X12" s="31">
        <v>52.56</v>
      </c>
      <c r="Y12" s="31">
        <v>46.32</v>
      </c>
      <c r="Z12" s="31">
        <v>40.4</v>
      </c>
      <c r="AA12" s="31">
        <v>43.06</v>
      </c>
      <c r="AB12" s="31">
        <v>36.04</v>
      </c>
      <c r="AC12" s="31">
        <v>0</v>
      </c>
      <c r="AD12" s="31">
        <v>0</v>
      </c>
      <c r="AE12" s="31">
        <v>0</v>
      </c>
      <c r="AF12" s="31">
        <v>0</v>
      </c>
      <c r="AG12" s="12">
        <v>0</v>
      </c>
      <c r="AH12" s="31">
        <v>35.426129032258061</v>
      </c>
      <c r="AI12" s="31">
        <v>11.808709677419353</v>
      </c>
    </row>
    <row r="13" spans="1:35" x14ac:dyDescent="0.3">
      <c r="A13" s="12" t="s">
        <v>138</v>
      </c>
      <c r="B13" s="12">
        <v>2</v>
      </c>
      <c r="C13" s="31">
        <v>15.97</v>
      </c>
      <c r="D13" s="31">
        <v>18.98</v>
      </c>
      <c r="E13" s="31">
        <v>16.09</v>
      </c>
      <c r="F13" s="31">
        <v>21.72</v>
      </c>
      <c r="G13" s="31">
        <v>16.260000000000002</v>
      </c>
      <c r="H13" s="31">
        <v>19.34</v>
      </c>
      <c r="I13" s="31">
        <v>20.47</v>
      </c>
      <c r="J13" s="31">
        <v>12.13</v>
      </c>
      <c r="K13" s="31">
        <v>12.17</v>
      </c>
      <c r="L13" s="31">
        <v>10.210000000000001</v>
      </c>
      <c r="M13" s="31">
        <v>15.77</v>
      </c>
      <c r="N13" s="31">
        <v>18.809999999999999</v>
      </c>
      <c r="O13" s="31">
        <v>6.74</v>
      </c>
      <c r="P13" s="31">
        <v>7.13</v>
      </c>
      <c r="Q13" s="31">
        <v>10.9</v>
      </c>
      <c r="R13" s="31">
        <v>7.18</v>
      </c>
      <c r="S13" s="31">
        <v>1.05</v>
      </c>
      <c r="T13" s="31">
        <v>2.88</v>
      </c>
      <c r="U13" s="31">
        <v>10.63</v>
      </c>
      <c r="V13" s="31">
        <v>7.44</v>
      </c>
      <c r="W13" s="31">
        <v>0</v>
      </c>
      <c r="X13" s="31">
        <v>0</v>
      </c>
      <c r="Y13" s="31">
        <v>0</v>
      </c>
      <c r="Z13" s="31">
        <v>0</v>
      </c>
      <c r="AA13" s="31">
        <v>10.06</v>
      </c>
      <c r="AB13" s="31">
        <v>0</v>
      </c>
      <c r="AC13" s="31">
        <v>0</v>
      </c>
      <c r="AD13" s="31">
        <v>11</v>
      </c>
      <c r="AE13" s="31">
        <v>0</v>
      </c>
      <c r="AF13" s="31">
        <v>0</v>
      </c>
      <c r="AG13" s="12">
        <v>0.72</v>
      </c>
      <c r="AH13" s="31">
        <v>8.8274193548387103</v>
      </c>
      <c r="AI13" s="31">
        <v>4.4137096774193552</v>
      </c>
    </row>
    <row r="14" spans="1:35" x14ac:dyDescent="0.3">
      <c r="A14" s="12" t="s">
        <v>96</v>
      </c>
      <c r="B14" s="12">
        <v>1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12">
        <v>0</v>
      </c>
      <c r="AH14" s="31">
        <v>0</v>
      </c>
      <c r="AI14" s="31">
        <v>0</v>
      </c>
    </row>
    <row r="15" spans="1:35" x14ac:dyDescent="0.3">
      <c r="A15" s="12" t="s">
        <v>70</v>
      </c>
      <c r="B15" s="12">
        <v>82</v>
      </c>
      <c r="C15" s="31">
        <v>16.259</v>
      </c>
      <c r="D15" s="31">
        <v>0</v>
      </c>
      <c r="E15" s="31">
        <v>0.315</v>
      </c>
      <c r="F15" s="31">
        <v>11.356999999999999</v>
      </c>
      <c r="G15" s="31">
        <v>5.867</v>
      </c>
      <c r="H15" s="31">
        <v>0</v>
      </c>
      <c r="I15" s="31">
        <v>0</v>
      </c>
      <c r="J15" s="31">
        <v>13.06</v>
      </c>
      <c r="K15" s="31">
        <v>0</v>
      </c>
      <c r="L15" s="31">
        <v>6.2560000000000002</v>
      </c>
      <c r="M15" s="31">
        <v>19.07</v>
      </c>
      <c r="N15" s="31">
        <v>6.1440000000000001</v>
      </c>
      <c r="O15" s="31">
        <v>0</v>
      </c>
      <c r="P15" s="31">
        <v>0</v>
      </c>
      <c r="Q15" s="31">
        <v>0</v>
      </c>
      <c r="R15" s="31">
        <v>23.817</v>
      </c>
      <c r="S15" s="31">
        <v>4.5999999999999999E-2</v>
      </c>
      <c r="T15" s="31">
        <v>0</v>
      </c>
      <c r="U15" s="31">
        <v>0.255</v>
      </c>
      <c r="V15" s="31">
        <v>0</v>
      </c>
      <c r="W15" s="31">
        <v>0</v>
      </c>
      <c r="X15" s="31">
        <v>13.897</v>
      </c>
      <c r="Y15" s="31">
        <v>11.92</v>
      </c>
      <c r="Z15" s="31">
        <v>7.12</v>
      </c>
      <c r="AA15" s="31">
        <v>3.3000000000000002E-2</v>
      </c>
      <c r="AB15" s="31">
        <v>0</v>
      </c>
      <c r="AC15" s="31">
        <v>7.9000000000000001E-2</v>
      </c>
      <c r="AD15" s="31">
        <v>0</v>
      </c>
      <c r="AE15" s="31">
        <v>11.321999999999999</v>
      </c>
      <c r="AF15" s="31">
        <v>13.773999999999999</v>
      </c>
      <c r="AG15" s="12">
        <v>0</v>
      </c>
      <c r="AH15" s="31">
        <v>5.1803548387096781</v>
      </c>
      <c r="AI15" s="31">
        <v>6.317505900865461E-2</v>
      </c>
    </row>
    <row r="16" spans="1:35" x14ac:dyDescent="0.3">
      <c r="A16" s="12" t="s">
        <v>93</v>
      </c>
      <c r="B16" s="12">
        <v>1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12">
        <v>0</v>
      </c>
      <c r="AH16" s="31">
        <v>0</v>
      </c>
      <c r="AI16" s="31">
        <v>0</v>
      </c>
    </row>
    <row r="17" spans="1:35" x14ac:dyDescent="0.3">
      <c r="A17" s="12" t="s">
        <v>125</v>
      </c>
      <c r="B17" s="12">
        <v>1</v>
      </c>
      <c r="C17" s="31">
        <v>0</v>
      </c>
      <c r="D17" s="31">
        <v>2.1909999999999998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1.9590000000000001</v>
      </c>
      <c r="L17" s="31">
        <v>2.1999999999999999E-2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1.353</v>
      </c>
      <c r="S17" s="31">
        <v>0.151</v>
      </c>
      <c r="T17" s="31">
        <v>0</v>
      </c>
      <c r="U17" s="31">
        <v>1E-3</v>
      </c>
      <c r="V17" s="31">
        <v>0</v>
      </c>
      <c r="W17" s="31">
        <v>1.792</v>
      </c>
      <c r="X17" s="31">
        <v>0</v>
      </c>
      <c r="Y17" s="31">
        <v>2.8159999999999998</v>
      </c>
      <c r="Z17" s="31">
        <v>0</v>
      </c>
      <c r="AA17" s="31">
        <v>0</v>
      </c>
      <c r="AB17" s="31">
        <v>0</v>
      </c>
      <c r="AC17" s="31">
        <v>3.036</v>
      </c>
      <c r="AD17" s="31">
        <v>0</v>
      </c>
      <c r="AE17" s="31">
        <v>0.48499999999999999</v>
      </c>
      <c r="AF17" s="31">
        <v>0</v>
      </c>
      <c r="AG17" s="12">
        <v>0</v>
      </c>
      <c r="AH17" s="31">
        <v>0.4453548387096774</v>
      </c>
      <c r="AI17" s="31">
        <v>0.4453548387096774</v>
      </c>
    </row>
    <row r="18" spans="1:35" x14ac:dyDescent="0.3">
      <c r="A18" s="12" t="s">
        <v>103</v>
      </c>
      <c r="B18" s="12">
        <v>1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5.46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12">
        <v>0.73</v>
      </c>
      <c r="AH18" s="31">
        <v>0.19967741935483868</v>
      </c>
      <c r="AI18" s="31">
        <v>0.19967741935483868</v>
      </c>
    </row>
    <row r="19" spans="1:35" x14ac:dyDescent="0.3">
      <c r="A19" s="12" t="s">
        <v>140</v>
      </c>
      <c r="B19" s="12">
        <v>1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5.99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12">
        <v>0</v>
      </c>
      <c r="AH19" s="31">
        <v>0.19322580645161291</v>
      </c>
      <c r="AI19" s="31">
        <v>0.19322580645161291</v>
      </c>
    </row>
    <row r="20" spans="1:35" x14ac:dyDescent="0.3">
      <c r="A20" s="12" t="s">
        <v>36</v>
      </c>
      <c r="B20" s="12">
        <v>6</v>
      </c>
      <c r="C20" s="31">
        <v>15.03</v>
      </c>
      <c r="D20" s="31">
        <v>6.1</v>
      </c>
      <c r="E20" s="31">
        <v>22.13</v>
      </c>
      <c r="F20" s="31">
        <v>26.9</v>
      </c>
      <c r="G20" s="31">
        <v>19.59</v>
      </c>
      <c r="H20" s="31">
        <v>22.95</v>
      </c>
      <c r="I20" s="31">
        <v>28.6</v>
      </c>
      <c r="J20" s="31">
        <v>16.89</v>
      </c>
      <c r="K20" s="31">
        <v>17.07</v>
      </c>
      <c r="L20" s="31">
        <v>25.48</v>
      </c>
      <c r="M20" s="31">
        <v>9.56</v>
      </c>
      <c r="N20" s="31">
        <v>13.4</v>
      </c>
      <c r="O20" s="31">
        <v>15.65</v>
      </c>
      <c r="P20" s="31">
        <v>10.63</v>
      </c>
      <c r="Q20" s="31">
        <v>5.05</v>
      </c>
      <c r="R20" s="31">
        <v>19.96</v>
      </c>
      <c r="S20" s="31">
        <v>4.9400000000000004</v>
      </c>
      <c r="T20" s="31">
        <v>13.19</v>
      </c>
      <c r="U20" s="31">
        <v>39.369999999999997</v>
      </c>
      <c r="V20" s="31">
        <v>20.6</v>
      </c>
      <c r="W20" s="31">
        <v>14.25</v>
      </c>
      <c r="X20" s="31">
        <v>11.6</v>
      </c>
      <c r="Y20" s="31">
        <v>13.34</v>
      </c>
      <c r="Z20" s="31">
        <v>11.75</v>
      </c>
      <c r="AA20" s="31">
        <v>22</v>
      </c>
      <c r="AB20" s="31">
        <v>14.99</v>
      </c>
      <c r="AC20" s="31">
        <v>17.04</v>
      </c>
      <c r="AD20" s="31">
        <v>8.93</v>
      </c>
      <c r="AE20" s="31">
        <v>10.28</v>
      </c>
      <c r="AF20" s="31">
        <v>35.380000000000003</v>
      </c>
      <c r="AG20" s="12">
        <v>0</v>
      </c>
      <c r="AH20" s="31">
        <v>16.53709677419355</v>
      </c>
      <c r="AI20" s="31">
        <v>2.7561827956989249</v>
      </c>
    </row>
    <row r="21" spans="1:35" x14ac:dyDescent="0.3">
      <c r="A21" s="12" t="s">
        <v>105</v>
      </c>
      <c r="B21" s="12">
        <v>13</v>
      </c>
      <c r="C21" s="31">
        <v>0</v>
      </c>
      <c r="D21" s="31">
        <v>0.53</v>
      </c>
      <c r="E21" s="31">
        <v>0.22</v>
      </c>
      <c r="F21" s="31">
        <v>18.78</v>
      </c>
      <c r="G21" s="31">
        <v>24.92</v>
      </c>
      <c r="H21" s="31">
        <v>20.89</v>
      </c>
      <c r="I21" s="31">
        <v>4.6500000000000004</v>
      </c>
      <c r="J21" s="31">
        <v>20.100000000000001</v>
      </c>
      <c r="K21" s="31">
        <v>11.53</v>
      </c>
      <c r="L21" s="31">
        <v>9.01</v>
      </c>
      <c r="M21" s="31">
        <v>16.53</v>
      </c>
      <c r="N21" s="31">
        <v>0</v>
      </c>
      <c r="O21" s="31">
        <v>0</v>
      </c>
      <c r="P21" s="31">
        <v>0</v>
      </c>
      <c r="Q21" s="31">
        <v>0</v>
      </c>
      <c r="R21" s="31">
        <v>9.8000000000000007</v>
      </c>
      <c r="S21" s="31">
        <v>5.31</v>
      </c>
      <c r="T21" s="31">
        <v>10.53</v>
      </c>
      <c r="U21" s="31">
        <v>7.45</v>
      </c>
      <c r="V21" s="31">
        <v>8.5299999999999994</v>
      </c>
      <c r="W21" s="31">
        <v>0</v>
      </c>
      <c r="X21" s="31">
        <v>1.04</v>
      </c>
      <c r="Y21" s="31">
        <v>7.87</v>
      </c>
      <c r="Z21" s="31">
        <v>4.33</v>
      </c>
      <c r="AA21" s="31">
        <v>7.68</v>
      </c>
      <c r="AB21" s="31">
        <v>0</v>
      </c>
      <c r="AC21" s="31">
        <v>6.93</v>
      </c>
      <c r="AD21" s="31">
        <v>5.53</v>
      </c>
      <c r="AE21" s="31">
        <v>7.52</v>
      </c>
      <c r="AF21" s="31">
        <v>18.88</v>
      </c>
      <c r="AG21" s="12">
        <v>21.03</v>
      </c>
      <c r="AH21" s="31">
        <v>8.0512903225806465</v>
      </c>
      <c r="AI21" s="31">
        <v>0.61933002481389587</v>
      </c>
    </row>
    <row r="22" spans="1:35" x14ac:dyDescent="0.3">
      <c r="A22" s="12" t="s">
        <v>66</v>
      </c>
      <c r="B22" s="12">
        <v>105</v>
      </c>
      <c r="C22" s="31">
        <v>0</v>
      </c>
      <c r="D22" s="31">
        <v>0</v>
      </c>
      <c r="E22" s="31">
        <v>0</v>
      </c>
      <c r="F22" s="31">
        <v>7.0999999999999994E-2</v>
      </c>
      <c r="G22" s="31">
        <v>1.776</v>
      </c>
      <c r="H22" s="31">
        <v>1.0999999999999999E-2</v>
      </c>
      <c r="I22" s="31">
        <v>0</v>
      </c>
      <c r="J22" s="31">
        <v>0</v>
      </c>
      <c r="K22" s="31">
        <v>0</v>
      </c>
      <c r="L22" s="31">
        <v>5.4509999999999996</v>
      </c>
      <c r="M22" s="31">
        <v>0.86199999999999999</v>
      </c>
      <c r="N22" s="31">
        <v>0</v>
      </c>
      <c r="O22" s="31">
        <v>0</v>
      </c>
      <c r="P22" s="31">
        <v>0</v>
      </c>
      <c r="Q22" s="31">
        <v>2.1640000000000001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31">
        <v>0</v>
      </c>
      <c r="Y22" s="31">
        <v>1E-3</v>
      </c>
      <c r="Z22" s="31">
        <v>7.1959999999999997</v>
      </c>
      <c r="AA22" s="31">
        <v>0</v>
      </c>
      <c r="AB22" s="31">
        <v>0</v>
      </c>
      <c r="AC22" s="31">
        <v>4.2839999999999998</v>
      </c>
      <c r="AD22" s="31">
        <v>0</v>
      </c>
      <c r="AE22" s="31">
        <v>4.1749999999999998</v>
      </c>
      <c r="AF22" s="31">
        <v>8.7929999999999993</v>
      </c>
      <c r="AG22" s="12">
        <v>0</v>
      </c>
      <c r="AH22" s="31">
        <v>1.1220645161290319</v>
      </c>
      <c r="AI22" s="31">
        <v>1.0686328725038399E-2</v>
      </c>
    </row>
    <row r="23" spans="1:35" x14ac:dyDescent="0.3">
      <c r="A23" s="12" t="s">
        <v>74</v>
      </c>
      <c r="B23" s="12">
        <v>2</v>
      </c>
      <c r="C23" s="31">
        <v>0</v>
      </c>
      <c r="D23" s="31">
        <v>0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  <c r="AC23" s="31">
        <v>0</v>
      </c>
      <c r="AD23" s="31">
        <v>0</v>
      </c>
      <c r="AE23" s="31">
        <v>0</v>
      </c>
      <c r="AF23" s="31">
        <v>0</v>
      </c>
      <c r="AG23" s="12">
        <v>0</v>
      </c>
      <c r="AH23" s="31">
        <v>0</v>
      </c>
      <c r="AI23" s="31">
        <v>0</v>
      </c>
    </row>
    <row r="24" spans="1:35" x14ac:dyDescent="0.3">
      <c r="A24" s="12" t="s">
        <v>136</v>
      </c>
      <c r="B24" s="12">
        <v>16</v>
      </c>
      <c r="C24" s="31">
        <v>7.19</v>
      </c>
      <c r="D24" s="31">
        <v>22.7</v>
      </c>
      <c r="E24" s="31">
        <v>17.260000000000002</v>
      </c>
      <c r="F24" s="31">
        <v>29.79</v>
      </c>
      <c r="G24" s="31">
        <v>24.58</v>
      </c>
      <c r="H24" s="31">
        <v>19.91</v>
      </c>
      <c r="I24" s="31">
        <v>1.7</v>
      </c>
      <c r="J24" s="31">
        <v>10.59</v>
      </c>
      <c r="K24" s="31">
        <v>14.39</v>
      </c>
      <c r="L24" s="31">
        <v>13.15</v>
      </c>
      <c r="M24" s="31">
        <v>12.73</v>
      </c>
      <c r="N24" s="31">
        <v>17.91</v>
      </c>
      <c r="O24" s="31">
        <v>4.1100000000000003</v>
      </c>
      <c r="P24" s="31">
        <v>13.28</v>
      </c>
      <c r="Q24" s="31">
        <v>7.67</v>
      </c>
      <c r="R24" s="31">
        <v>18.829999999999998</v>
      </c>
      <c r="S24" s="31">
        <v>12.55</v>
      </c>
      <c r="T24" s="31">
        <v>17.73</v>
      </c>
      <c r="U24" s="31">
        <v>12.76</v>
      </c>
      <c r="V24" s="31">
        <v>17.95</v>
      </c>
      <c r="W24" s="31">
        <v>0.33</v>
      </c>
      <c r="X24" s="31">
        <v>18.489999999999998</v>
      </c>
      <c r="Y24" s="31">
        <v>7.45</v>
      </c>
      <c r="Z24" s="31">
        <v>11.01</v>
      </c>
      <c r="AA24" s="31">
        <v>15.58</v>
      </c>
      <c r="AB24" s="31">
        <v>12.18</v>
      </c>
      <c r="AC24" s="31">
        <v>7.52</v>
      </c>
      <c r="AD24" s="31">
        <v>22</v>
      </c>
      <c r="AE24" s="31">
        <v>11.99</v>
      </c>
      <c r="AF24" s="31">
        <v>31.97</v>
      </c>
      <c r="AG24" s="12">
        <v>24.55</v>
      </c>
      <c r="AH24" s="31">
        <v>14.833870967741934</v>
      </c>
      <c r="AI24" s="31">
        <v>0.92711693548387086</v>
      </c>
    </row>
    <row r="25" spans="1:35" x14ac:dyDescent="0.3">
      <c r="A25" s="12" t="s">
        <v>106</v>
      </c>
      <c r="B25" s="12">
        <v>19</v>
      </c>
      <c r="C25" s="31">
        <v>62.15</v>
      </c>
      <c r="D25" s="31">
        <v>59.21</v>
      </c>
      <c r="E25" s="31">
        <v>61.13</v>
      </c>
      <c r="F25" s="31">
        <v>55.43</v>
      </c>
      <c r="G25" s="31">
        <v>42.75</v>
      </c>
      <c r="H25" s="31">
        <v>70.8</v>
      </c>
      <c r="I25" s="31">
        <v>58.23</v>
      </c>
      <c r="J25" s="31">
        <v>64.69</v>
      </c>
      <c r="K25" s="31">
        <v>63.32</v>
      </c>
      <c r="L25" s="31">
        <v>57.9</v>
      </c>
      <c r="M25" s="31">
        <v>76.06</v>
      </c>
      <c r="N25" s="31">
        <v>66.42</v>
      </c>
      <c r="O25" s="31">
        <v>25.77</v>
      </c>
      <c r="P25" s="31">
        <v>4.1100000000000003</v>
      </c>
      <c r="Q25" s="31">
        <v>0</v>
      </c>
      <c r="R25" s="31">
        <v>4.1399999999999997</v>
      </c>
      <c r="S25" s="31">
        <v>4.63</v>
      </c>
      <c r="T25" s="31">
        <v>4.51</v>
      </c>
      <c r="U25" s="31">
        <v>0</v>
      </c>
      <c r="V25" s="31">
        <v>2.65</v>
      </c>
      <c r="W25" s="31">
        <v>4.0999999999999996</v>
      </c>
      <c r="X25" s="31">
        <v>4.68</v>
      </c>
      <c r="Y25" s="31">
        <v>4.2</v>
      </c>
      <c r="Z25" s="31">
        <v>3.79</v>
      </c>
      <c r="AA25" s="31">
        <v>4.5199999999999996</v>
      </c>
      <c r="AB25" s="31">
        <v>4.91</v>
      </c>
      <c r="AC25" s="31">
        <v>3.82</v>
      </c>
      <c r="AD25" s="31">
        <v>3.25</v>
      </c>
      <c r="AE25" s="31">
        <v>4.1100000000000003</v>
      </c>
      <c r="AF25" s="31">
        <v>0</v>
      </c>
      <c r="AG25" s="12">
        <v>4.4400000000000004</v>
      </c>
      <c r="AH25" s="31">
        <v>26.636129032258065</v>
      </c>
      <c r="AI25" s="31">
        <v>1.4019015280135825</v>
      </c>
    </row>
    <row r="26" spans="1:35" x14ac:dyDescent="0.3">
      <c r="A26" s="12" t="s">
        <v>107</v>
      </c>
      <c r="B26" s="12">
        <v>24</v>
      </c>
      <c r="C26" s="31">
        <v>0</v>
      </c>
      <c r="D26" s="31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0</v>
      </c>
      <c r="W26" s="31">
        <v>0</v>
      </c>
      <c r="X26" s="31">
        <v>0</v>
      </c>
      <c r="Y26" s="31">
        <v>0</v>
      </c>
      <c r="Z26" s="31">
        <v>0</v>
      </c>
      <c r="AA26" s="31">
        <v>0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12">
        <v>0</v>
      </c>
      <c r="AH26" s="31">
        <v>0</v>
      </c>
      <c r="AI26" s="31">
        <v>0</v>
      </c>
    </row>
    <row r="27" spans="1:35" x14ac:dyDescent="0.3">
      <c r="A27" s="12" t="s">
        <v>29</v>
      </c>
      <c r="B27" s="12">
        <v>8</v>
      </c>
      <c r="C27" s="31">
        <v>49.86</v>
      </c>
      <c r="D27" s="31">
        <v>43.39</v>
      </c>
      <c r="E27" s="31">
        <v>36.700000000000003</v>
      </c>
      <c r="F27" s="31">
        <v>32.340000000000003</v>
      </c>
      <c r="G27" s="31">
        <v>38.619999999999997</v>
      </c>
      <c r="H27" s="31">
        <v>52.51</v>
      </c>
      <c r="I27" s="31">
        <v>43.74</v>
      </c>
      <c r="J27" s="31">
        <v>34.64</v>
      </c>
      <c r="K27" s="31">
        <v>49.09</v>
      </c>
      <c r="L27" s="31">
        <v>48.2</v>
      </c>
      <c r="M27" s="31">
        <v>39.07</v>
      </c>
      <c r="N27" s="31">
        <v>58.26</v>
      </c>
      <c r="O27" s="31">
        <v>50.06</v>
      </c>
      <c r="P27" s="31">
        <v>24.71</v>
      </c>
      <c r="Q27" s="31">
        <v>8.09</v>
      </c>
      <c r="R27" s="31">
        <v>47.47</v>
      </c>
      <c r="S27" s="31">
        <v>56.7</v>
      </c>
      <c r="T27" s="31">
        <v>43.46</v>
      </c>
      <c r="U27" s="31">
        <v>57.05</v>
      </c>
      <c r="V27" s="31">
        <v>50</v>
      </c>
      <c r="W27" s="31">
        <v>47.22</v>
      </c>
      <c r="X27" s="31">
        <v>41.98</v>
      </c>
      <c r="Y27" s="31">
        <v>14.97</v>
      </c>
      <c r="Z27" s="31">
        <v>25.76</v>
      </c>
      <c r="AA27" s="31">
        <v>50.57</v>
      </c>
      <c r="AB27" s="31">
        <v>33.409999999999997</v>
      </c>
      <c r="AC27" s="31">
        <v>37.79</v>
      </c>
      <c r="AD27" s="31">
        <v>30.54</v>
      </c>
      <c r="AE27" s="31">
        <v>29.89</v>
      </c>
      <c r="AF27" s="31">
        <v>81.19</v>
      </c>
      <c r="AG27" s="12">
        <v>28.98</v>
      </c>
      <c r="AH27" s="31">
        <v>41.492258064516143</v>
      </c>
      <c r="AI27" s="31">
        <v>5.1865322580645179</v>
      </c>
    </row>
    <row r="28" spans="1:35" x14ac:dyDescent="0.3">
      <c r="A28" s="12" t="s">
        <v>108</v>
      </c>
      <c r="B28" s="12">
        <v>3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  <c r="AC28" s="31">
        <v>0</v>
      </c>
      <c r="AD28" s="31">
        <v>0</v>
      </c>
      <c r="AE28" s="31">
        <v>0</v>
      </c>
      <c r="AF28" s="31">
        <v>0</v>
      </c>
      <c r="AG28" s="12">
        <v>0</v>
      </c>
      <c r="AH28" s="31">
        <v>0</v>
      </c>
      <c r="AI28" s="31">
        <v>0</v>
      </c>
    </row>
    <row r="29" spans="1:35" x14ac:dyDescent="0.3">
      <c r="A29" s="12" t="s">
        <v>38</v>
      </c>
      <c r="B29" s="12">
        <v>3</v>
      </c>
      <c r="C29" s="31">
        <v>50.29</v>
      </c>
      <c r="D29" s="31">
        <v>44.6</v>
      </c>
      <c r="E29" s="31">
        <v>39.770000000000003</v>
      </c>
      <c r="F29" s="31">
        <v>33.049999999999997</v>
      </c>
      <c r="G29" s="31">
        <v>50.86</v>
      </c>
      <c r="H29" s="31">
        <v>46.67</v>
      </c>
      <c r="I29" s="31">
        <v>43.93</v>
      </c>
      <c r="J29" s="31">
        <v>56.43</v>
      </c>
      <c r="K29" s="31">
        <v>62.7</v>
      </c>
      <c r="L29" s="31">
        <v>62.29</v>
      </c>
      <c r="M29" s="31">
        <v>37.6</v>
      </c>
      <c r="N29" s="31">
        <v>56.5</v>
      </c>
      <c r="O29" s="31">
        <v>41.05</v>
      </c>
      <c r="P29" s="31">
        <v>47.83</v>
      </c>
      <c r="Q29" s="31">
        <v>30.57</v>
      </c>
      <c r="R29" s="31">
        <v>38.53</v>
      </c>
      <c r="S29" s="31">
        <v>42.8</v>
      </c>
      <c r="T29" s="31">
        <v>73.55</v>
      </c>
      <c r="U29" s="31">
        <v>45.59</v>
      </c>
      <c r="V29" s="31">
        <v>36.14</v>
      </c>
      <c r="W29" s="31">
        <v>41.72</v>
      </c>
      <c r="X29" s="31">
        <v>58.53</v>
      </c>
      <c r="Y29" s="31">
        <v>20.49</v>
      </c>
      <c r="Z29" s="31">
        <v>47.72</v>
      </c>
      <c r="AA29" s="31">
        <v>54.6</v>
      </c>
      <c r="AB29" s="31">
        <v>51.3</v>
      </c>
      <c r="AC29" s="31">
        <v>55.1</v>
      </c>
      <c r="AD29" s="31">
        <v>36.69</v>
      </c>
      <c r="AE29" s="31">
        <v>50.9</v>
      </c>
      <c r="AF29" s="31">
        <v>63.04</v>
      </c>
      <c r="AG29" s="12">
        <v>55.88</v>
      </c>
      <c r="AH29" s="31">
        <v>47.636129032258069</v>
      </c>
      <c r="AI29" s="31">
        <v>15.878709677419357</v>
      </c>
    </row>
    <row r="30" spans="1:35" x14ac:dyDescent="0.3">
      <c r="A30" s="12" t="s">
        <v>39</v>
      </c>
      <c r="B30" s="12">
        <v>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12">
        <v>0</v>
      </c>
      <c r="AH30" s="31">
        <v>0</v>
      </c>
      <c r="AI30" s="31">
        <v>0</v>
      </c>
    </row>
    <row r="31" spans="1:35" x14ac:dyDescent="0.3">
      <c r="A31" s="12" t="s">
        <v>71</v>
      </c>
      <c r="B31" s="12">
        <v>5</v>
      </c>
      <c r="C31" s="31">
        <v>30.48</v>
      </c>
      <c r="D31" s="31">
        <v>71.900000000000006</v>
      </c>
      <c r="E31" s="31">
        <v>84.4</v>
      </c>
      <c r="F31" s="31">
        <v>65.55</v>
      </c>
      <c r="G31" s="31">
        <v>60.82</v>
      </c>
      <c r="H31" s="31">
        <v>45.59</v>
      </c>
      <c r="I31" s="31">
        <v>40.520000000000003</v>
      </c>
      <c r="J31" s="31">
        <v>73.489999999999995</v>
      </c>
      <c r="K31" s="31">
        <v>55.18</v>
      </c>
      <c r="L31" s="31">
        <v>62.96</v>
      </c>
      <c r="M31" s="31">
        <v>50.26</v>
      </c>
      <c r="N31" s="31">
        <v>50.67</v>
      </c>
      <c r="O31" s="31">
        <v>46.81</v>
      </c>
      <c r="P31" s="31">
        <v>60.62</v>
      </c>
      <c r="Q31" s="31">
        <v>49.26</v>
      </c>
      <c r="R31" s="31">
        <v>58.96</v>
      </c>
      <c r="S31" s="31">
        <v>58.5</v>
      </c>
      <c r="T31" s="31">
        <v>77.03</v>
      </c>
      <c r="U31" s="31">
        <v>66.73</v>
      </c>
      <c r="V31" s="31">
        <v>59.09</v>
      </c>
      <c r="W31" s="31">
        <v>53.88</v>
      </c>
      <c r="X31" s="31">
        <v>74.45</v>
      </c>
      <c r="Y31" s="31">
        <v>54.78</v>
      </c>
      <c r="Z31" s="31">
        <v>56.6</v>
      </c>
      <c r="AA31" s="31">
        <v>63.42</v>
      </c>
      <c r="AB31" s="31">
        <v>33.86</v>
      </c>
      <c r="AC31" s="31">
        <v>52.12</v>
      </c>
      <c r="AD31" s="31">
        <v>70.62</v>
      </c>
      <c r="AE31" s="31">
        <v>91.04</v>
      </c>
      <c r="AF31" s="31">
        <v>73.31</v>
      </c>
      <c r="AG31" s="12">
        <v>54.34</v>
      </c>
      <c r="AH31" s="31">
        <v>59.588387096774177</v>
      </c>
      <c r="AI31" s="31">
        <v>11.917677419354835</v>
      </c>
    </row>
    <row r="32" spans="1:35" x14ac:dyDescent="0.3">
      <c r="A32" s="12" t="s">
        <v>59</v>
      </c>
      <c r="B32" s="12">
        <v>6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1E-3</v>
      </c>
      <c r="AA32" s="31">
        <v>0</v>
      </c>
      <c r="AB32" s="31">
        <v>0</v>
      </c>
      <c r="AC32" s="31">
        <v>0</v>
      </c>
      <c r="AD32" s="31">
        <v>0</v>
      </c>
      <c r="AE32" s="31">
        <v>0</v>
      </c>
      <c r="AF32" s="31">
        <v>0</v>
      </c>
      <c r="AG32" s="12">
        <v>0</v>
      </c>
      <c r="AH32" s="31">
        <v>3.2258064516129034E-5</v>
      </c>
      <c r="AI32" s="31">
        <v>5.3763440860215059E-6</v>
      </c>
    </row>
    <row r="33" spans="1:35" x14ac:dyDescent="0.3">
      <c r="A33" s="12" t="s">
        <v>76</v>
      </c>
      <c r="B33" s="12">
        <v>10</v>
      </c>
      <c r="C33" s="31">
        <v>0.13</v>
      </c>
      <c r="D33" s="31">
        <v>29.61</v>
      </c>
      <c r="E33" s="31">
        <v>40.76</v>
      </c>
      <c r="F33" s="31">
        <v>68.52</v>
      </c>
      <c r="G33" s="31">
        <v>40.340000000000003</v>
      </c>
      <c r="H33" s="31">
        <v>45.42</v>
      </c>
      <c r="I33" s="31">
        <v>33.69</v>
      </c>
      <c r="J33" s="31">
        <v>22.76</v>
      </c>
      <c r="K33" s="31">
        <v>26.89</v>
      </c>
      <c r="L33" s="31">
        <v>75.959999999999994</v>
      </c>
      <c r="M33" s="31">
        <v>60.86</v>
      </c>
      <c r="N33" s="31">
        <v>55.28</v>
      </c>
      <c r="O33" s="31">
        <v>37.33</v>
      </c>
      <c r="P33" s="31">
        <v>30.74</v>
      </c>
      <c r="Q33" s="31">
        <v>7.59</v>
      </c>
      <c r="R33" s="31">
        <v>29.92</v>
      </c>
      <c r="S33" s="31">
        <v>39.14</v>
      </c>
      <c r="T33" s="31">
        <v>21.93</v>
      </c>
      <c r="U33" s="31">
        <v>15.76</v>
      </c>
      <c r="V33" s="31">
        <v>18.71</v>
      </c>
      <c r="W33" s="31">
        <v>16.41</v>
      </c>
      <c r="X33" s="31">
        <v>8.08</v>
      </c>
      <c r="Y33" s="31">
        <v>0</v>
      </c>
      <c r="Z33" s="31">
        <v>14.03</v>
      </c>
      <c r="AA33" s="31">
        <v>30.93</v>
      </c>
      <c r="AB33" s="31">
        <v>26.22</v>
      </c>
      <c r="AC33" s="31">
        <v>0.02</v>
      </c>
      <c r="AD33" s="31">
        <v>18.190000000000001</v>
      </c>
      <c r="AE33" s="31">
        <v>21.8</v>
      </c>
      <c r="AF33" s="31">
        <v>43.79</v>
      </c>
      <c r="AG33" s="12">
        <v>37.729999999999997</v>
      </c>
      <c r="AH33" s="31">
        <v>29.630322580645156</v>
      </c>
      <c r="AI33" s="31">
        <v>2.9630322580645156</v>
      </c>
    </row>
    <row r="34" spans="1:35" x14ac:dyDescent="0.3">
      <c r="A34" s="12" t="s">
        <v>27</v>
      </c>
      <c r="B34" s="12">
        <v>5</v>
      </c>
      <c r="C34" s="31">
        <v>0</v>
      </c>
      <c r="D34" s="31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12">
        <v>0</v>
      </c>
      <c r="AH34" s="31">
        <v>0</v>
      </c>
      <c r="AI34" s="31">
        <v>0</v>
      </c>
    </row>
    <row r="35" spans="1:35" x14ac:dyDescent="0.3">
      <c r="A35" s="12" t="s">
        <v>101</v>
      </c>
      <c r="B35" s="12">
        <v>3</v>
      </c>
      <c r="C35" s="31">
        <v>57.64</v>
      </c>
      <c r="D35" s="31">
        <v>69.599999999999994</v>
      </c>
      <c r="E35" s="31">
        <v>59.19</v>
      </c>
      <c r="F35" s="31">
        <v>68.2</v>
      </c>
      <c r="G35" s="31">
        <v>57.71</v>
      </c>
      <c r="H35" s="31">
        <v>80.430000000000007</v>
      </c>
      <c r="I35" s="31">
        <v>66.459999999999994</v>
      </c>
      <c r="J35" s="31">
        <v>72.23</v>
      </c>
      <c r="K35" s="31">
        <v>76.31</v>
      </c>
      <c r="L35" s="31">
        <v>68.33</v>
      </c>
      <c r="M35" s="31">
        <v>84.43</v>
      </c>
      <c r="N35" s="31">
        <v>59.66</v>
      </c>
      <c r="O35" s="31">
        <v>68.59</v>
      </c>
      <c r="P35" s="31">
        <v>69.989999999999995</v>
      </c>
      <c r="Q35" s="31">
        <v>59.12</v>
      </c>
      <c r="R35" s="31">
        <v>54.13</v>
      </c>
      <c r="S35" s="31">
        <v>54.85</v>
      </c>
      <c r="T35" s="31">
        <v>74.61</v>
      </c>
      <c r="U35" s="31">
        <v>73.16</v>
      </c>
      <c r="V35" s="31">
        <v>62.27</v>
      </c>
      <c r="W35" s="31">
        <v>60.09</v>
      </c>
      <c r="X35" s="31">
        <v>74.56</v>
      </c>
      <c r="Y35" s="31">
        <v>58.66</v>
      </c>
      <c r="Z35" s="31">
        <v>63.7</v>
      </c>
      <c r="AA35" s="31">
        <v>55.34</v>
      </c>
      <c r="AB35" s="31">
        <v>72.91</v>
      </c>
      <c r="AC35" s="31">
        <v>79.81</v>
      </c>
      <c r="AD35" s="31">
        <v>75.760000000000005</v>
      </c>
      <c r="AE35" s="31">
        <v>56.14</v>
      </c>
      <c r="AF35" s="31">
        <v>56.22</v>
      </c>
      <c r="AG35" s="12">
        <v>60.44</v>
      </c>
      <c r="AH35" s="31">
        <v>66.146451612903221</v>
      </c>
      <c r="AI35" s="31">
        <v>22.048817204301074</v>
      </c>
    </row>
    <row r="36" spans="1:35" x14ac:dyDescent="0.3">
      <c r="A36" s="12" t="s">
        <v>99</v>
      </c>
      <c r="B36" s="12">
        <v>10</v>
      </c>
      <c r="C36" s="31">
        <v>67.91</v>
      </c>
      <c r="D36" s="31">
        <v>56.22</v>
      </c>
      <c r="E36" s="31">
        <v>96.37</v>
      </c>
      <c r="F36" s="31">
        <v>86.16</v>
      </c>
      <c r="G36" s="31">
        <v>84.85</v>
      </c>
      <c r="H36" s="31">
        <v>77.709999999999994</v>
      </c>
      <c r="I36" s="31">
        <v>78.040000000000006</v>
      </c>
      <c r="J36" s="31">
        <v>75.260000000000005</v>
      </c>
      <c r="K36" s="31">
        <v>76.900000000000006</v>
      </c>
      <c r="L36" s="31">
        <v>54.47</v>
      </c>
      <c r="M36" s="31">
        <v>60.85</v>
      </c>
      <c r="N36" s="31">
        <v>66.22</v>
      </c>
      <c r="O36" s="31">
        <v>73.38</v>
      </c>
      <c r="P36" s="31">
        <v>63.48</v>
      </c>
      <c r="Q36" s="31">
        <v>73.569999999999993</v>
      </c>
      <c r="R36" s="31">
        <v>80.010000000000005</v>
      </c>
      <c r="S36" s="31">
        <v>66.150000000000006</v>
      </c>
      <c r="T36" s="31">
        <v>62.55</v>
      </c>
      <c r="U36" s="31">
        <v>76.13</v>
      </c>
      <c r="V36" s="31">
        <v>69.349999999999994</v>
      </c>
      <c r="W36" s="31">
        <v>79.63</v>
      </c>
      <c r="X36" s="31">
        <v>67.98</v>
      </c>
      <c r="Y36" s="31">
        <v>63.79</v>
      </c>
      <c r="Z36" s="31">
        <v>42.26</v>
      </c>
      <c r="AA36" s="31">
        <v>111</v>
      </c>
      <c r="AB36" s="31">
        <v>102.32</v>
      </c>
      <c r="AC36" s="31">
        <v>85.12</v>
      </c>
      <c r="AD36" s="31">
        <v>77.63</v>
      </c>
      <c r="AE36" s="31">
        <v>82.03</v>
      </c>
      <c r="AF36" s="31">
        <v>80.540000000000006</v>
      </c>
      <c r="AG36" s="12">
        <v>82.38</v>
      </c>
      <c r="AH36" s="31">
        <v>74.84709677419356</v>
      </c>
      <c r="AI36" s="31">
        <v>7.4847096774193558</v>
      </c>
    </row>
    <row r="37" spans="1:35" x14ac:dyDescent="0.3">
      <c r="A37" s="12" t="s">
        <v>102</v>
      </c>
      <c r="B37" s="12">
        <v>9</v>
      </c>
      <c r="C37" s="31">
        <v>141.80000000000001</v>
      </c>
      <c r="D37" s="31">
        <v>187.2</v>
      </c>
      <c r="E37" s="31">
        <v>185.43</v>
      </c>
      <c r="F37" s="31">
        <v>175.71</v>
      </c>
      <c r="G37" s="31">
        <v>140.13</v>
      </c>
      <c r="H37" s="31">
        <v>132.58000000000001</v>
      </c>
      <c r="I37" s="31">
        <v>214.57</v>
      </c>
      <c r="J37" s="31">
        <v>154.5</v>
      </c>
      <c r="K37" s="31">
        <v>190.36</v>
      </c>
      <c r="L37" s="31">
        <v>174.99</v>
      </c>
      <c r="M37" s="31">
        <v>175.21</v>
      </c>
      <c r="N37" s="31">
        <v>229.43</v>
      </c>
      <c r="O37" s="31">
        <v>238.89</v>
      </c>
      <c r="P37" s="31">
        <v>216.83</v>
      </c>
      <c r="Q37" s="31">
        <v>222</v>
      </c>
      <c r="R37" s="31">
        <v>124.6</v>
      </c>
      <c r="S37" s="31">
        <v>165.66</v>
      </c>
      <c r="T37" s="31">
        <v>161.19</v>
      </c>
      <c r="U37" s="31">
        <v>157.43</v>
      </c>
      <c r="V37" s="31">
        <v>118.49</v>
      </c>
      <c r="W37" s="31">
        <v>165.72</v>
      </c>
      <c r="X37" s="31">
        <v>163.94</v>
      </c>
      <c r="Y37" s="31">
        <v>148.43</v>
      </c>
      <c r="Z37" s="31">
        <v>139.57</v>
      </c>
      <c r="AA37" s="31">
        <v>179.14</v>
      </c>
      <c r="AB37" s="31">
        <v>149.80000000000001</v>
      </c>
      <c r="AC37" s="31">
        <v>140.19</v>
      </c>
      <c r="AD37" s="31">
        <v>213.45</v>
      </c>
      <c r="AE37" s="31">
        <v>170.92</v>
      </c>
      <c r="AF37" s="31">
        <v>121.15</v>
      </c>
      <c r="AG37" s="12">
        <v>162.5</v>
      </c>
      <c r="AH37" s="31">
        <v>169.73580645161286</v>
      </c>
      <c r="AI37" s="31">
        <v>18.859534050179207</v>
      </c>
    </row>
    <row r="38" spans="1:35" x14ac:dyDescent="0.3">
      <c r="A38" s="12" t="s">
        <v>100</v>
      </c>
      <c r="B38" s="12">
        <v>5</v>
      </c>
      <c r="C38" s="31">
        <v>13.67</v>
      </c>
      <c r="D38" s="31">
        <v>14.83</v>
      </c>
      <c r="E38" s="31">
        <v>8.93</v>
      </c>
      <c r="F38" s="31">
        <v>24.63</v>
      </c>
      <c r="G38" s="31">
        <v>21.97</v>
      </c>
      <c r="H38" s="31">
        <v>17.239999999999998</v>
      </c>
      <c r="I38" s="31">
        <v>0</v>
      </c>
      <c r="J38" s="31">
        <v>20.43</v>
      </c>
      <c r="K38" s="31">
        <v>26.93</v>
      </c>
      <c r="L38" s="31">
        <v>11.7</v>
      </c>
      <c r="M38" s="31">
        <v>20.58</v>
      </c>
      <c r="N38" s="31">
        <v>10.17</v>
      </c>
      <c r="O38" s="31">
        <v>11</v>
      </c>
      <c r="P38" s="31">
        <v>8.02</v>
      </c>
      <c r="Q38" s="31">
        <v>0</v>
      </c>
      <c r="R38" s="31">
        <v>6.36</v>
      </c>
      <c r="S38" s="31">
        <v>0</v>
      </c>
      <c r="T38" s="31">
        <v>18.829999999999998</v>
      </c>
      <c r="U38" s="31">
        <v>13.06</v>
      </c>
      <c r="V38" s="31">
        <v>7.87</v>
      </c>
      <c r="W38" s="31">
        <v>0</v>
      </c>
      <c r="X38" s="31">
        <v>14.03</v>
      </c>
      <c r="Y38" s="31">
        <v>13.11</v>
      </c>
      <c r="Z38" s="31">
        <v>7.73</v>
      </c>
      <c r="AA38" s="31">
        <v>13.66</v>
      </c>
      <c r="AB38" s="31">
        <v>0</v>
      </c>
      <c r="AC38" s="31">
        <v>17.07</v>
      </c>
      <c r="AD38" s="31">
        <v>0</v>
      </c>
      <c r="AE38" s="31">
        <v>19.57</v>
      </c>
      <c r="AF38" s="31">
        <v>22.64</v>
      </c>
      <c r="AG38" s="12">
        <v>12.46</v>
      </c>
      <c r="AH38" s="31">
        <v>12.144838709677417</v>
      </c>
      <c r="AI38" s="31">
        <v>2.4289677419354834</v>
      </c>
    </row>
    <row r="39" spans="1:35" x14ac:dyDescent="0.3">
      <c r="A39" s="12" t="s">
        <v>109</v>
      </c>
      <c r="B39" s="12">
        <v>1</v>
      </c>
      <c r="C39" s="31">
        <v>0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12">
        <v>0</v>
      </c>
      <c r="AH39" s="31">
        <v>0</v>
      </c>
      <c r="AI39" s="31">
        <v>0</v>
      </c>
    </row>
    <row r="40" spans="1:35" x14ac:dyDescent="0.3">
      <c r="A40" s="12" t="s">
        <v>94</v>
      </c>
      <c r="B40" s="12">
        <v>2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12">
        <v>0</v>
      </c>
      <c r="AH40" s="31">
        <v>0</v>
      </c>
      <c r="AI40" s="31">
        <v>0</v>
      </c>
    </row>
    <row r="41" spans="1:35" x14ac:dyDescent="0.3">
      <c r="A41" s="12" t="s">
        <v>117</v>
      </c>
      <c r="B41" s="12">
        <v>1</v>
      </c>
      <c r="C41" s="31">
        <v>10.119999999999999</v>
      </c>
      <c r="D41" s="31">
        <v>11.67</v>
      </c>
      <c r="E41" s="31">
        <v>10.48</v>
      </c>
      <c r="F41" s="31">
        <v>9.69</v>
      </c>
      <c r="G41" s="31">
        <v>11.29</v>
      </c>
      <c r="H41" s="31">
        <v>10.84</v>
      </c>
      <c r="I41" s="31">
        <v>9.98</v>
      </c>
      <c r="J41" s="31">
        <v>14.69</v>
      </c>
      <c r="K41" s="31">
        <v>16.55</v>
      </c>
      <c r="L41" s="31">
        <v>15.92</v>
      </c>
      <c r="M41" s="31">
        <v>14.77</v>
      </c>
      <c r="N41" s="31">
        <v>15.98</v>
      </c>
      <c r="O41" s="31">
        <v>14.37</v>
      </c>
      <c r="P41" s="31">
        <v>15.22</v>
      </c>
      <c r="Q41" s="31">
        <v>17.73</v>
      </c>
      <c r="R41" s="31">
        <v>15.55</v>
      </c>
      <c r="S41" s="31">
        <v>16.48</v>
      </c>
      <c r="T41" s="31">
        <v>14.69</v>
      </c>
      <c r="U41" s="31">
        <v>15.78</v>
      </c>
      <c r="V41" s="31">
        <v>18.43</v>
      </c>
      <c r="W41" s="31">
        <v>17.59</v>
      </c>
      <c r="X41" s="31">
        <v>18.920000000000002</v>
      </c>
      <c r="Y41" s="31">
        <v>17.329999999999998</v>
      </c>
      <c r="Z41" s="31">
        <v>16.79</v>
      </c>
      <c r="AA41" s="31">
        <v>18.46</v>
      </c>
      <c r="AB41" s="31">
        <v>10.62</v>
      </c>
      <c r="AC41" s="31">
        <v>17.89</v>
      </c>
      <c r="AD41" s="31">
        <v>16.78</v>
      </c>
      <c r="AE41" s="31">
        <v>0</v>
      </c>
      <c r="AF41" s="31">
        <v>0</v>
      </c>
      <c r="AG41" s="12">
        <v>0</v>
      </c>
      <c r="AH41" s="31">
        <v>13.374516129032255</v>
      </c>
      <c r="AI41" s="31">
        <v>13.374516129032255</v>
      </c>
    </row>
    <row r="42" spans="1:35" x14ac:dyDescent="0.3">
      <c r="A42" s="12" t="s">
        <v>115</v>
      </c>
      <c r="B42" s="12">
        <v>1</v>
      </c>
      <c r="C42" s="31">
        <v>84.98</v>
      </c>
      <c r="D42" s="31">
        <v>82.43</v>
      </c>
      <c r="E42" s="31">
        <v>85.23</v>
      </c>
      <c r="F42" s="31">
        <v>80.41</v>
      </c>
      <c r="G42" s="31">
        <v>79.48</v>
      </c>
      <c r="H42" s="31">
        <v>81.37</v>
      </c>
      <c r="I42" s="31">
        <v>80.180000000000007</v>
      </c>
      <c r="J42" s="31">
        <v>85.98</v>
      </c>
      <c r="K42" s="31">
        <v>87.45</v>
      </c>
      <c r="L42" s="31">
        <v>84.51</v>
      </c>
      <c r="M42" s="31">
        <v>88.69</v>
      </c>
      <c r="N42" s="31">
        <v>85.41</v>
      </c>
      <c r="O42" s="31">
        <v>86.49</v>
      </c>
      <c r="P42" s="31">
        <v>85.92</v>
      </c>
      <c r="Q42" s="31">
        <v>84.18</v>
      </c>
      <c r="R42" s="31">
        <v>88.63</v>
      </c>
      <c r="S42" s="31">
        <v>85.84</v>
      </c>
      <c r="T42" s="31">
        <v>87.75</v>
      </c>
      <c r="U42" s="31">
        <v>83.62</v>
      </c>
      <c r="V42" s="31">
        <v>85.98</v>
      </c>
      <c r="W42" s="31">
        <v>88.18</v>
      </c>
      <c r="X42" s="31">
        <v>86.22</v>
      </c>
      <c r="Y42" s="31">
        <v>87.76</v>
      </c>
      <c r="Z42" s="31">
        <v>88.19</v>
      </c>
      <c r="AA42" s="31">
        <v>83.67</v>
      </c>
      <c r="AB42" s="31">
        <v>72.87</v>
      </c>
      <c r="AC42" s="31">
        <v>84.78</v>
      </c>
      <c r="AD42" s="31">
        <v>79.34</v>
      </c>
      <c r="AE42" s="31">
        <v>0</v>
      </c>
      <c r="AF42" s="31">
        <v>0</v>
      </c>
      <c r="AG42" s="12">
        <v>0</v>
      </c>
      <c r="AH42" s="31">
        <v>76.30774193548389</v>
      </c>
      <c r="AI42" s="31">
        <v>76.30774193548389</v>
      </c>
    </row>
    <row r="43" spans="1:35" x14ac:dyDescent="0.3">
      <c r="A43" s="12" t="s">
        <v>112</v>
      </c>
      <c r="B43" s="12">
        <v>1</v>
      </c>
      <c r="C43" s="31">
        <v>0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31">
        <v>0</v>
      </c>
      <c r="AD43" s="31">
        <v>0</v>
      </c>
      <c r="AE43" s="31">
        <v>0</v>
      </c>
      <c r="AF43" s="31">
        <v>0</v>
      </c>
      <c r="AG43" s="12">
        <v>0</v>
      </c>
      <c r="AH43" s="31">
        <v>0</v>
      </c>
      <c r="AI43" s="31">
        <v>0</v>
      </c>
    </row>
    <row r="44" spans="1:35" x14ac:dyDescent="0.3">
      <c r="A44" s="12" t="s">
        <v>122</v>
      </c>
      <c r="B44" s="12">
        <v>3</v>
      </c>
      <c r="C44" s="31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31">
        <v>0</v>
      </c>
      <c r="AF44" s="31">
        <v>0</v>
      </c>
      <c r="AG44" s="12">
        <v>0</v>
      </c>
      <c r="AH44" s="31">
        <v>0</v>
      </c>
      <c r="AI44" s="31">
        <v>0</v>
      </c>
    </row>
    <row r="45" spans="1:35" x14ac:dyDescent="0.3">
      <c r="A45" s="12" t="s">
        <v>127</v>
      </c>
      <c r="B45" s="12">
        <v>2</v>
      </c>
      <c r="C45" s="31">
        <v>17.52</v>
      </c>
      <c r="D45" s="31">
        <v>49.73</v>
      </c>
      <c r="E45" s="31">
        <v>0</v>
      </c>
      <c r="F45" s="31">
        <v>0</v>
      </c>
      <c r="G45" s="31">
        <v>50.65</v>
      </c>
      <c r="H45" s="31">
        <v>0</v>
      </c>
      <c r="I45" s="31">
        <v>0</v>
      </c>
      <c r="J45" s="31">
        <v>0</v>
      </c>
      <c r="K45" s="31">
        <v>0</v>
      </c>
      <c r="L45" s="31">
        <v>19.79</v>
      </c>
      <c r="M45" s="31">
        <v>0</v>
      </c>
      <c r="N45" s="31">
        <v>0</v>
      </c>
      <c r="O45" s="31">
        <v>0</v>
      </c>
      <c r="P45" s="31">
        <v>44.83</v>
      </c>
      <c r="Q45" s="31">
        <v>13.32</v>
      </c>
      <c r="R45" s="31">
        <v>0</v>
      </c>
      <c r="S45" s="31">
        <v>42.59</v>
      </c>
      <c r="T45" s="31">
        <v>0</v>
      </c>
      <c r="U45" s="31">
        <v>48.64</v>
      </c>
      <c r="V45" s="31">
        <v>0</v>
      </c>
      <c r="W45" s="31">
        <v>0</v>
      </c>
      <c r="X45" s="31">
        <v>0</v>
      </c>
      <c r="Y45" s="31">
        <v>3.62</v>
      </c>
      <c r="Z45" s="31">
        <v>4.0199999999999996</v>
      </c>
      <c r="AA45" s="31">
        <v>0</v>
      </c>
      <c r="AB45" s="31">
        <v>33.22</v>
      </c>
      <c r="AC45" s="31">
        <v>14.93</v>
      </c>
      <c r="AD45" s="31">
        <v>0</v>
      </c>
      <c r="AE45" s="31">
        <v>42.07</v>
      </c>
      <c r="AF45" s="31">
        <v>0</v>
      </c>
      <c r="AG45" s="12">
        <v>0</v>
      </c>
      <c r="AH45" s="31">
        <v>12.417096774193547</v>
      </c>
      <c r="AI45" s="31">
        <v>6.2085483870967737</v>
      </c>
    </row>
    <row r="46" spans="1:35" x14ac:dyDescent="0.3">
      <c r="A46" s="12" t="s">
        <v>143</v>
      </c>
      <c r="B46" s="12">
        <v>6</v>
      </c>
      <c r="C46" s="31">
        <v>0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0.97799999999999998</v>
      </c>
      <c r="M46" s="31">
        <v>0</v>
      </c>
      <c r="N46" s="31">
        <v>0</v>
      </c>
      <c r="O46" s="31">
        <v>0</v>
      </c>
      <c r="P46" s="31">
        <v>0.157</v>
      </c>
      <c r="Q46" s="31">
        <v>0</v>
      </c>
      <c r="R46" s="31">
        <v>0</v>
      </c>
      <c r="S46" s="31">
        <v>1.2E-2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12">
        <v>0</v>
      </c>
      <c r="AH46" s="31">
        <v>3.6999999999999998E-2</v>
      </c>
      <c r="AI46" s="31">
        <v>1.8499999999999999E-2</v>
      </c>
    </row>
    <row r="47" spans="1:35" x14ac:dyDescent="0.3">
      <c r="A47" s="12" t="s">
        <v>56</v>
      </c>
      <c r="B47" s="12">
        <v>40</v>
      </c>
      <c r="C47" s="31">
        <v>270.33999999999997</v>
      </c>
      <c r="D47" s="31">
        <v>364.5</v>
      </c>
      <c r="E47" s="31">
        <v>538.82000000000005</v>
      </c>
      <c r="F47" s="31">
        <v>537.36</v>
      </c>
      <c r="G47" s="31">
        <v>501.22</v>
      </c>
      <c r="H47" s="31">
        <v>514.70000000000005</v>
      </c>
      <c r="I47" s="31">
        <v>540.13</v>
      </c>
      <c r="J47" s="31">
        <v>379.31</v>
      </c>
      <c r="K47" s="31">
        <v>171.21</v>
      </c>
      <c r="L47" s="31">
        <v>478.4</v>
      </c>
      <c r="M47" s="31">
        <v>498.15</v>
      </c>
      <c r="N47" s="31">
        <v>467.71</v>
      </c>
      <c r="O47" s="31">
        <v>548.26</v>
      </c>
      <c r="P47" s="31">
        <v>504.88</v>
      </c>
      <c r="Q47" s="31">
        <v>195.85</v>
      </c>
      <c r="R47" s="31">
        <v>364.75</v>
      </c>
      <c r="S47" s="31">
        <v>530.98</v>
      </c>
      <c r="T47" s="31">
        <v>485.39</v>
      </c>
      <c r="U47" s="31">
        <v>418.34</v>
      </c>
      <c r="V47" s="31">
        <v>491.2</v>
      </c>
      <c r="W47" s="31">
        <v>361.57</v>
      </c>
      <c r="X47" s="31">
        <v>530.82000000000005</v>
      </c>
      <c r="Y47" s="31">
        <v>161.81</v>
      </c>
      <c r="Z47" s="31">
        <v>509.65</v>
      </c>
      <c r="AA47" s="31">
        <v>495.03</v>
      </c>
      <c r="AB47" s="31">
        <v>528.30999999999995</v>
      </c>
      <c r="AC47" s="31">
        <v>610.86</v>
      </c>
      <c r="AD47" s="31">
        <v>597.49</v>
      </c>
      <c r="AE47" s="31">
        <v>234.19</v>
      </c>
      <c r="AF47" s="31">
        <v>278.01</v>
      </c>
      <c r="AG47" s="12">
        <v>490.85</v>
      </c>
      <c r="AH47" s="31">
        <v>438.71258064516127</v>
      </c>
      <c r="AI47" s="31">
        <v>10.967814516129032</v>
      </c>
    </row>
    <row r="48" spans="1:35" x14ac:dyDescent="0.3">
      <c r="A48" s="12" t="s">
        <v>129</v>
      </c>
      <c r="B48" s="12">
        <v>2</v>
      </c>
      <c r="C48" s="31">
        <v>18.34</v>
      </c>
      <c r="D48" s="31">
        <v>26.96</v>
      </c>
      <c r="E48" s="31">
        <v>32.01</v>
      </c>
      <c r="F48" s="31">
        <v>36.11</v>
      </c>
      <c r="G48" s="31">
        <v>41.37</v>
      </c>
      <c r="H48" s="31">
        <v>3.03</v>
      </c>
      <c r="I48" s="31">
        <v>0</v>
      </c>
      <c r="J48" s="31">
        <v>23.92</v>
      </c>
      <c r="K48" s="31">
        <v>24.59</v>
      </c>
      <c r="L48" s="31">
        <v>32.68</v>
      </c>
      <c r="M48" s="31">
        <v>22.12</v>
      </c>
      <c r="N48" s="31">
        <v>14.48</v>
      </c>
      <c r="O48" s="31">
        <v>0</v>
      </c>
      <c r="P48" s="31">
        <v>0</v>
      </c>
      <c r="Q48" s="31">
        <v>19.47</v>
      </c>
      <c r="R48" s="31">
        <v>53.28</v>
      </c>
      <c r="S48" s="31">
        <v>17.72</v>
      </c>
      <c r="T48" s="31">
        <v>23.43</v>
      </c>
      <c r="U48" s="31">
        <v>15.22</v>
      </c>
      <c r="V48" s="31">
        <v>21.71</v>
      </c>
      <c r="W48" s="31">
        <v>3.41</v>
      </c>
      <c r="X48" s="31">
        <v>27.08</v>
      </c>
      <c r="Y48" s="31">
        <v>24.89</v>
      </c>
      <c r="Z48" s="31">
        <v>30.44</v>
      </c>
      <c r="AA48" s="31">
        <v>10.89</v>
      </c>
      <c r="AB48" s="31">
        <v>0.03</v>
      </c>
      <c r="AC48" s="31">
        <v>14.93</v>
      </c>
      <c r="AD48" s="31">
        <v>0</v>
      </c>
      <c r="AE48" s="31">
        <v>22.94</v>
      </c>
      <c r="AF48" s="31">
        <v>42.78</v>
      </c>
      <c r="AG48" s="12">
        <v>31.28</v>
      </c>
      <c r="AH48" s="31">
        <v>20.48741935483871</v>
      </c>
      <c r="AI48" s="31">
        <v>10.243709677419355</v>
      </c>
    </row>
    <row r="49" spans="1:35" x14ac:dyDescent="0.3">
      <c r="A49" s="12" t="s">
        <v>111</v>
      </c>
      <c r="B49" s="12">
        <v>7</v>
      </c>
      <c r="C49" s="31">
        <v>82.94</v>
      </c>
      <c r="D49" s="31">
        <v>46.74</v>
      </c>
      <c r="E49" s="31">
        <v>49.18</v>
      </c>
      <c r="F49" s="31">
        <v>62.93</v>
      </c>
      <c r="G49" s="31">
        <v>56.27</v>
      </c>
      <c r="H49" s="31">
        <v>0</v>
      </c>
      <c r="I49" s="31">
        <v>8.1300000000000008</v>
      </c>
      <c r="J49" s="31">
        <v>58.18</v>
      </c>
      <c r="K49" s="31">
        <v>66.489999999999995</v>
      </c>
      <c r="L49" s="31">
        <v>57.39</v>
      </c>
      <c r="M49" s="31">
        <v>44.46</v>
      </c>
      <c r="N49" s="31">
        <v>55.33</v>
      </c>
      <c r="O49" s="31">
        <v>15.31</v>
      </c>
      <c r="P49" s="31">
        <v>29.25</v>
      </c>
      <c r="Q49" s="31">
        <v>29.79</v>
      </c>
      <c r="R49" s="31">
        <v>53.64</v>
      </c>
      <c r="S49" s="31">
        <v>48.830000000000005</v>
      </c>
      <c r="T49" s="31">
        <v>68.650000000000006</v>
      </c>
      <c r="U49" s="31">
        <v>70.72</v>
      </c>
      <c r="V49" s="31">
        <v>0</v>
      </c>
      <c r="W49" s="31">
        <v>0</v>
      </c>
      <c r="X49" s="31">
        <v>40.36</v>
      </c>
      <c r="Y49" s="31">
        <v>75.66</v>
      </c>
      <c r="Z49" s="31">
        <v>67.180000000000007</v>
      </c>
      <c r="AA49" s="31">
        <v>74.38</v>
      </c>
      <c r="AB49" s="31">
        <v>0</v>
      </c>
      <c r="AC49" s="31">
        <v>17.440000000000001</v>
      </c>
      <c r="AD49" s="31">
        <v>0</v>
      </c>
      <c r="AE49" s="31">
        <v>76.94</v>
      </c>
      <c r="AF49" s="31">
        <v>57.47</v>
      </c>
      <c r="AG49" s="12">
        <v>64.45</v>
      </c>
      <c r="AH49" s="31">
        <v>44.455161290322593</v>
      </c>
      <c r="AI49" s="31">
        <v>15.360000000000003</v>
      </c>
    </row>
    <row r="50" spans="1:35" x14ac:dyDescent="0.3">
      <c r="A50" s="12" t="s">
        <v>148</v>
      </c>
      <c r="B50" s="12">
        <v>6</v>
      </c>
      <c r="C50" s="31">
        <v>32.72</v>
      </c>
      <c r="D50" s="31">
        <v>14.78</v>
      </c>
      <c r="E50" s="31">
        <v>28.1</v>
      </c>
      <c r="F50" s="31">
        <v>35.450000000000003</v>
      </c>
      <c r="G50" s="31">
        <v>30.94</v>
      </c>
      <c r="H50" s="31">
        <v>32.39</v>
      </c>
      <c r="I50" s="31">
        <v>26.36</v>
      </c>
      <c r="J50" s="31">
        <v>41.44</v>
      </c>
      <c r="K50" s="31">
        <v>25.39</v>
      </c>
      <c r="L50" s="31">
        <v>37.19</v>
      </c>
      <c r="M50" s="31">
        <v>32.159999999999997</v>
      </c>
      <c r="N50" s="31">
        <v>28.07</v>
      </c>
      <c r="O50" s="31">
        <v>20.12</v>
      </c>
      <c r="P50" s="31">
        <v>12.88</v>
      </c>
      <c r="Q50" s="31">
        <v>23.03</v>
      </c>
      <c r="R50" s="31">
        <v>31.89</v>
      </c>
      <c r="S50" s="31">
        <v>20.66</v>
      </c>
      <c r="T50" s="31">
        <v>37.94</v>
      </c>
      <c r="U50" s="31">
        <v>25.63</v>
      </c>
      <c r="V50" s="31">
        <v>31.24</v>
      </c>
      <c r="W50" s="31">
        <v>25.42</v>
      </c>
      <c r="X50" s="31">
        <v>31.65</v>
      </c>
      <c r="Y50" s="31">
        <v>36.869999999999997</v>
      </c>
      <c r="Z50" s="31">
        <v>37.369999999999997</v>
      </c>
      <c r="AA50" s="31">
        <v>25.34</v>
      </c>
      <c r="AB50" s="31">
        <v>24.67</v>
      </c>
      <c r="AC50" s="31">
        <v>40.33</v>
      </c>
      <c r="AD50" s="31">
        <v>25.46</v>
      </c>
      <c r="AE50" s="31">
        <v>32.79</v>
      </c>
      <c r="AF50" s="31">
        <v>36.93</v>
      </c>
      <c r="AG50" s="12">
        <v>24.82</v>
      </c>
      <c r="AH50" s="31">
        <v>29.355806451612903</v>
      </c>
      <c r="AI50" s="31">
        <v>4.8926344086021505</v>
      </c>
    </row>
    <row r="51" spans="1:35" x14ac:dyDescent="0.3">
      <c r="A51" s="12" t="s">
        <v>150</v>
      </c>
      <c r="B51" s="12">
        <v>20</v>
      </c>
      <c r="C51" s="31">
        <v>40.98</v>
      </c>
      <c r="D51" s="31">
        <v>57.38</v>
      </c>
      <c r="E51" s="31">
        <v>60.81</v>
      </c>
      <c r="F51" s="31">
        <v>27.46</v>
      </c>
      <c r="G51" s="31">
        <v>29.16</v>
      </c>
      <c r="H51" s="31">
        <v>27.67</v>
      </c>
      <c r="I51" s="31">
        <v>27.46</v>
      </c>
      <c r="J51" s="31">
        <v>37.409999999999997</v>
      </c>
      <c r="K51" s="31">
        <v>64.19</v>
      </c>
      <c r="L51" s="31">
        <v>68.06</v>
      </c>
      <c r="M51" s="31">
        <v>24.05</v>
      </c>
      <c r="N51" s="31">
        <v>49.6</v>
      </c>
      <c r="O51" s="31">
        <v>40.92</v>
      </c>
      <c r="P51" s="31">
        <v>24.47</v>
      </c>
      <c r="Q51" s="31">
        <v>51.9</v>
      </c>
      <c r="R51" s="31">
        <v>43.51</v>
      </c>
      <c r="S51" s="31">
        <v>43</v>
      </c>
      <c r="T51" s="31">
        <v>35.08</v>
      </c>
      <c r="U51" s="31">
        <v>38.950000000000003</v>
      </c>
      <c r="V51" s="31">
        <v>40.31</v>
      </c>
      <c r="W51" s="31">
        <v>7.72</v>
      </c>
      <c r="X51" s="31">
        <v>27.11</v>
      </c>
      <c r="Y51" s="31">
        <v>37.32</v>
      </c>
      <c r="Z51" s="31">
        <v>44.9</v>
      </c>
      <c r="AA51" s="31">
        <v>41.9</v>
      </c>
      <c r="AB51" s="31">
        <v>37.020000000000003</v>
      </c>
      <c r="AC51" s="31">
        <v>35.28</v>
      </c>
      <c r="AD51" s="31">
        <v>32.130000000000003</v>
      </c>
      <c r="AE51" s="31">
        <v>42.56</v>
      </c>
      <c r="AF51" s="31">
        <v>48.93</v>
      </c>
      <c r="AG51" s="12">
        <v>62.52</v>
      </c>
      <c r="AH51" s="31">
        <v>40.314838709677424</v>
      </c>
      <c r="AI51" s="31">
        <v>2.015741935483871</v>
      </c>
    </row>
    <row r="52" spans="1:35" x14ac:dyDescent="0.3">
      <c r="A52" s="12" t="s">
        <v>147</v>
      </c>
      <c r="B52" s="12">
        <v>19</v>
      </c>
      <c r="C52" s="31">
        <v>110.22</v>
      </c>
      <c r="D52" s="31">
        <v>88.929999999999993</v>
      </c>
      <c r="E52" s="31">
        <v>129.22</v>
      </c>
      <c r="F52" s="31">
        <v>99.929999999999993</v>
      </c>
      <c r="G52" s="31">
        <v>121.96000000000001</v>
      </c>
      <c r="H52" s="31">
        <v>109.33999999999999</v>
      </c>
      <c r="I52" s="31">
        <v>131.06</v>
      </c>
      <c r="J52" s="31">
        <v>169.65</v>
      </c>
      <c r="K52" s="31">
        <v>93.54</v>
      </c>
      <c r="L52" s="31">
        <v>110.88999999999999</v>
      </c>
      <c r="M52" s="31">
        <v>119.19999999999999</v>
      </c>
      <c r="N52" s="31">
        <v>149.9</v>
      </c>
      <c r="O52" s="31">
        <v>89.06</v>
      </c>
      <c r="P52" s="31">
        <v>114.67</v>
      </c>
      <c r="Q52" s="31">
        <v>88.87</v>
      </c>
      <c r="R52" s="31">
        <v>88.24</v>
      </c>
      <c r="S52" s="31">
        <v>136</v>
      </c>
      <c r="T52" s="31">
        <v>111.9</v>
      </c>
      <c r="U52" s="31">
        <v>82.84</v>
      </c>
      <c r="V52" s="31">
        <v>97.84</v>
      </c>
      <c r="W52" s="31">
        <v>97.47999999999999</v>
      </c>
      <c r="X52" s="31">
        <v>84.29</v>
      </c>
      <c r="Y52" s="31">
        <v>71.5</v>
      </c>
      <c r="Z52" s="31">
        <v>89.259999999999991</v>
      </c>
      <c r="AA52" s="31">
        <v>114.63</v>
      </c>
      <c r="AB52" s="31">
        <v>79.34</v>
      </c>
      <c r="AC52" s="31">
        <v>112.53</v>
      </c>
      <c r="AD52" s="31">
        <v>76.28</v>
      </c>
      <c r="AE52" s="31">
        <v>130.66999999999999</v>
      </c>
      <c r="AF52" s="31">
        <v>98.899999999999991</v>
      </c>
      <c r="AG52" s="12">
        <v>126.5</v>
      </c>
      <c r="AH52" s="31">
        <v>107.24645161290321</v>
      </c>
      <c r="AI52" s="31">
        <v>15.155673624288426</v>
      </c>
    </row>
    <row r="53" spans="1:35" x14ac:dyDescent="0.3">
      <c r="A53" s="12" t="s">
        <v>149</v>
      </c>
      <c r="B53" s="12">
        <v>7</v>
      </c>
      <c r="C53" s="31">
        <v>215.96</v>
      </c>
      <c r="D53" s="31">
        <v>176.84</v>
      </c>
      <c r="E53" s="31">
        <v>217.42</v>
      </c>
      <c r="F53" s="31">
        <v>211.87</v>
      </c>
      <c r="G53" s="31">
        <v>217.88</v>
      </c>
      <c r="H53" s="31">
        <v>183.55</v>
      </c>
      <c r="I53" s="31">
        <v>180.63</v>
      </c>
      <c r="J53" s="31">
        <v>193.43</v>
      </c>
      <c r="K53" s="31">
        <v>190.74</v>
      </c>
      <c r="L53" s="31">
        <v>190.17</v>
      </c>
      <c r="M53" s="31">
        <v>162.28</v>
      </c>
      <c r="N53" s="31">
        <v>177.18</v>
      </c>
      <c r="O53" s="31">
        <v>149.85</v>
      </c>
      <c r="P53" s="31">
        <v>191.96</v>
      </c>
      <c r="Q53" s="31">
        <v>203.95</v>
      </c>
      <c r="R53" s="31">
        <v>208.23</v>
      </c>
      <c r="S53" s="31">
        <v>149.74</v>
      </c>
      <c r="T53" s="31">
        <v>150.09</v>
      </c>
      <c r="U53" s="31">
        <v>166.26</v>
      </c>
      <c r="V53" s="31">
        <v>186.99</v>
      </c>
      <c r="W53" s="31">
        <v>182.32</v>
      </c>
      <c r="X53" s="31">
        <v>120.62</v>
      </c>
      <c r="Y53" s="31">
        <v>164.56</v>
      </c>
      <c r="Z53" s="31">
        <v>149.05000000000001</v>
      </c>
      <c r="AA53" s="31">
        <v>118.96</v>
      </c>
      <c r="AB53" s="31">
        <v>130.83000000000001</v>
      </c>
      <c r="AC53" s="31">
        <v>128.54</v>
      </c>
      <c r="AD53" s="31">
        <v>144.57</v>
      </c>
      <c r="AE53" s="31">
        <v>151.97</v>
      </c>
      <c r="AF53" s="31">
        <v>177.06</v>
      </c>
      <c r="AG53" s="12">
        <v>165.15</v>
      </c>
      <c r="AH53" s="31">
        <v>172.85967741935485</v>
      </c>
      <c r="AI53" s="31">
        <v>24.694239631336409</v>
      </c>
    </row>
    <row r="54" spans="1:35" x14ac:dyDescent="0.3">
      <c r="A54" s="12" t="s">
        <v>151</v>
      </c>
      <c r="B54" s="12">
        <v>10</v>
      </c>
      <c r="C54" s="31">
        <v>28.96</v>
      </c>
      <c r="D54" s="31">
        <v>53</v>
      </c>
      <c r="E54" s="31">
        <v>92.98</v>
      </c>
      <c r="F54" s="31">
        <v>72.27</v>
      </c>
      <c r="G54" s="31">
        <v>69.98</v>
      </c>
      <c r="H54" s="31">
        <v>45.9</v>
      </c>
      <c r="I54" s="31">
        <v>55.46</v>
      </c>
      <c r="J54" s="31">
        <v>53.72</v>
      </c>
      <c r="K54" s="31">
        <v>79.34</v>
      </c>
      <c r="L54" s="31">
        <v>87.73</v>
      </c>
      <c r="M54" s="31">
        <v>55.37</v>
      </c>
      <c r="N54" s="31">
        <v>72.62</v>
      </c>
      <c r="O54" s="31">
        <v>62.56</v>
      </c>
      <c r="P54" s="31">
        <v>74.3</v>
      </c>
      <c r="Q54" s="31">
        <v>36.29</v>
      </c>
      <c r="R54" s="31">
        <v>21.27</v>
      </c>
      <c r="S54" s="31">
        <v>40.14</v>
      </c>
      <c r="T54" s="31">
        <v>68.010000000000005</v>
      </c>
      <c r="U54" s="31">
        <v>65.88</v>
      </c>
      <c r="V54" s="31">
        <v>52.75</v>
      </c>
      <c r="W54" s="31">
        <v>83.25</v>
      </c>
      <c r="X54" s="31">
        <v>52.32</v>
      </c>
      <c r="Y54" s="31">
        <v>46.23</v>
      </c>
      <c r="Z54" s="31">
        <v>59.31</v>
      </c>
      <c r="AA54" s="31">
        <v>57.81</v>
      </c>
      <c r="AB54" s="31">
        <v>38.979999999999997</v>
      </c>
      <c r="AC54" s="31">
        <v>60.82</v>
      </c>
      <c r="AD54" s="31">
        <v>49.91</v>
      </c>
      <c r="AE54" s="31">
        <v>43.77</v>
      </c>
      <c r="AF54" s="31">
        <v>62.96</v>
      </c>
      <c r="AG54" s="12">
        <v>56.45</v>
      </c>
      <c r="AH54" s="31">
        <v>58.075483870967744</v>
      </c>
      <c r="AI54" s="31">
        <v>5.8075483870967748</v>
      </c>
    </row>
    <row r="55" spans="1:35" x14ac:dyDescent="0.3">
      <c r="A55" s="12" t="s">
        <v>141</v>
      </c>
      <c r="B55" s="12">
        <v>2</v>
      </c>
      <c r="C55" s="31">
        <v>0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12">
        <v>0</v>
      </c>
      <c r="AH55" s="31">
        <v>0</v>
      </c>
      <c r="AI55" s="31">
        <v>0</v>
      </c>
    </row>
    <row r="56" spans="1:35" x14ac:dyDescent="0.3">
      <c r="A56" s="12" t="s">
        <v>110</v>
      </c>
      <c r="B56" s="12">
        <v>1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12">
        <v>0</v>
      </c>
      <c r="AH56" s="31">
        <v>0</v>
      </c>
      <c r="AI56" s="31">
        <v>0</v>
      </c>
    </row>
    <row r="57" spans="1:35" x14ac:dyDescent="0.3">
      <c r="A57" s="12" t="s">
        <v>166</v>
      </c>
      <c r="B57" s="12">
        <v>2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12">
        <v>0</v>
      </c>
      <c r="AH57" s="31">
        <v>0</v>
      </c>
      <c r="AI57" s="31">
        <v>0</v>
      </c>
    </row>
    <row r="58" spans="1:35" x14ac:dyDescent="0.3">
      <c r="A58" s="12" t="s">
        <v>171</v>
      </c>
      <c r="B58" s="12">
        <v>8</v>
      </c>
      <c r="C58" s="31"/>
      <c r="D58" s="31"/>
      <c r="E58" s="31"/>
      <c r="F58" s="31"/>
      <c r="G58" s="31"/>
      <c r="H58" s="31"/>
      <c r="I58" s="31"/>
      <c r="J58" s="31">
        <v>90.74</v>
      </c>
      <c r="K58" s="31">
        <v>48.25</v>
      </c>
      <c r="L58" s="31">
        <v>111.42</v>
      </c>
      <c r="M58" s="31">
        <v>114.74</v>
      </c>
      <c r="N58" s="31">
        <v>60.97</v>
      </c>
      <c r="O58" s="31">
        <v>72.400000000000006</v>
      </c>
      <c r="P58" s="31">
        <v>32.53</v>
      </c>
      <c r="Q58" s="31">
        <v>76.430000000000007</v>
      </c>
      <c r="R58" s="31">
        <v>111.05</v>
      </c>
      <c r="S58" s="31">
        <v>87.15</v>
      </c>
      <c r="T58" s="31">
        <v>145.09</v>
      </c>
      <c r="U58" s="31">
        <v>124.46</v>
      </c>
      <c r="V58" s="31">
        <v>120.49</v>
      </c>
      <c r="W58" s="31">
        <v>101.34</v>
      </c>
      <c r="X58" s="31">
        <v>99.17</v>
      </c>
      <c r="Y58" s="31">
        <v>83.63</v>
      </c>
      <c r="Z58" s="31">
        <v>105.57</v>
      </c>
      <c r="AA58" s="31">
        <v>95.92</v>
      </c>
      <c r="AB58" s="31">
        <v>105.23</v>
      </c>
      <c r="AC58" s="31">
        <v>46.58</v>
      </c>
      <c r="AD58" s="31">
        <v>46.29</v>
      </c>
      <c r="AE58" s="31">
        <v>149.66</v>
      </c>
      <c r="AF58" s="31">
        <v>114.07</v>
      </c>
      <c r="AG58" s="12">
        <v>56.74</v>
      </c>
      <c r="AH58" s="31">
        <v>91.663333333333341</v>
      </c>
      <c r="AI58" s="31">
        <v>11.457916666666668</v>
      </c>
    </row>
    <row r="59" spans="1:35" x14ac:dyDescent="0.3">
      <c r="A59" s="12" t="s">
        <v>174</v>
      </c>
      <c r="B59" s="12">
        <v>10</v>
      </c>
      <c r="C59" s="31"/>
      <c r="D59" s="31"/>
      <c r="E59" s="31"/>
      <c r="F59" s="31"/>
      <c r="G59" s="31"/>
      <c r="H59" s="31"/>
      <c r="I59" s="31"/>
      <c r="J59" s="31"/>
      <c r="K59" s="31"/>
      <c r="L59" s="31">
        <v>0.78</v>
      </c>
      <c r="M59" s="31">
        <v>0.39</v>
      </c>
      <c r="N59" s="31">
        <v>3.7600000000000002</v>
      </c>
      <c r="O59" s="31">
        <v>1.1399999999999997</v>
      </c>
      <c r="P59" s="31">
        <v>14.18</v>
      </c>
      <c r="Q59" s="31">
        <v>50.019999999999996</v>
      </c>
      <c r="R59" s="31">
        <v>79.25</v>
      </c>
      <c r="S59" s="31">
        <v>140.51</v>
      </c>
      <c r="T59" s="31">
        <v>100.55</v>
      </c>
      <c r="U59" s="31">
        <v>144.85</v>
      </c>
      <c r="V59" s="31">
        <v>139.59</v>
      </c>
      <c r="W59" s="31">
        <v>66.900000000000006</v>
      </c>
      <c r="X59" s="31">
        <v>0</v>
      </c>
      <c r="Y59" s="31">
        <v>40.25</v>
      </c>
      <c r="Z59" s="31">
        <v>73.8</v>
      </c>
      <c r="AA59" s="31">
        <v>46.39</v>
      </c>
      <c r="AB59" s="31">
        <v>25.98</v>
      </c>
      <c r="AC59" s="31">
        <v>41.98</v>
      </c>
      <c r="AD59" s="31">
        <v>40.39</v>
      </c>
      <c r="AE59" s="31">
        <v>64.13</v>
      </c>
      <c r="AF59" s="31">
        <v>51.92</v>
      </c>
      <c r="AG59" s="12">
        <v>29.83</v>
      </c>
      <c r="AH59" s="31">
        <v>52.572272727272725</v>
      </c>
      <c r="AI59" s="31">
        <v>5.2572272727272722</v>
      </c>
    </row>
    <row r="60" spans="1:35" x14ac:dyDescent="0.3">
      <c r="A60" s="12" t="s">
        <v>196</v>
      </c>
      <c r="B60" s="12">
        <v>10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>
        <v>27.57</v>
      </c>
      <c r="AG60" s="12">
        <v>95.41</v>
      </c>
      <c r="AH60" s="31">
        <v>61.489999999999995</v>
      </c>
      <c r="AI60" s="31">
        <v>6.1489999999999991</v>
      </c>
    </row>
    <row r="61" spans="1:35" x14ac:dyDescent="0.3">
      <c r="A61" s="12" t="s">
        <v>83</v>
      </c>
      <c r="B61" s="12">
        <v>566</v>
      </c>
      <c r="C61" s="31">
        <v>1722.3889999999999</v>
      </c>
      <c r="D61" s="31">
        <v>1949.8410000000001</v>
      </c>
      <c r="E61" s="31">
        <v>2350.8150000000001</v>
      </c>
      <c r="F61" s="31">
        <v>2314.3879999999999</v>
      </c>
      <c r="G61" s="31">
        <v>2252.6830000000004</v>
      </c>
      <c r="H61" s="31">
        <v>2068.741</v>
      </c>
      <c r="I61" s="31">
        <v>2065.6099999999997</v>
      </c>
      <c r="J61" s="31">
        <v>2221.89</v>
      </c>
      <c r="K61" s="31">
        <v>1958.6690000000001</v>
      </c>
      <c r="L61" s="31">
        <v>2361.7870000000007</v>
      </c>
      <c r="M61" s="31">
        <v>2251.2319999999995</v>
      </c>
      <c r="N61" s="31">
        <v>2301.5439999999999</v>
      </c>
      <c r="O61" s="31">
        <v>2052.3999999999996</v>
      </c>
      <c r="P61" s="31">
        <v>1982.3970000000004</v>
      </c>
      <c r="Q61" s="31">
        <v>1617.3340000000003</v>
      </c>
      <c r="R61" s="31">
        <v>1974.93</v>
      </c>
      <c r="S61" s="31">
        <v>2275.0789999999997</v>
      </c>
      <c r="T61" s="31">
        <v>2280.21</v>
      </c>
      <c r="U61" s="31">
        <v>2201.6959999999999</v>
      </c>
      <c r="V61" s="31">
        <v>2118.7599999999998</v>
      </c>
      <c r="W61" s="31">
        <v>1867.3220000000001</v>
      </c>
      <c r="X61" s="31">
        <v>1993.6769999999999</v>
      </c>
      <c r="Y61" s="31">
        <v>1623.607</v>
      </c>
      <c r="Z61" s="31">
        <v>2041.3869999999999</v>
      </c>
      <c r="AA61" s="31">
        <v>2164.2529999999997</v>
      </c>
      <c r="AB61" s="31">
        <v>1928.6699999999998</v>
      </c>
      <c r="AC61" s="31">
        <v>1939.1289999999999</v>
      </c>
      <c r="AD61" s="31">
        <v>1932.96</v>
      </c>
      <c r="AE61" s="31">
        <v>1867.252</v>
      </c>
      <c r="AF61" s="31">
        <v>1858.1670000000001</v>
      </c>
      <c r="AG61" s="12">
        <v>1981.64</v>
      </c>
      <c r="AH61" s="31">
        <v>2142.5310576735092</v>
      </c>
      <c r="AI61" s="31">
        <v>362.55732173056202</v>
      </c>
    </row>
    <row r="64" spans="1:35" x14ac:dyDescent="0.3">
      <c r="A64" s="68" t="s">
        <v>158</v>
      </c>
      <c r="B64" s="68" t="s">
        <v>2</v>
      </c>
      <c r="C64" s="31" t="s">
        <v>165</v>
      </c>
      <c r="D64" s="31" t="s">
        <v>153</v>
      </c>
      <c r="E64" s="31" t="s">
        <v>157</v>
      </c>
      <c r="F64" s="31" t="s">
        <v>164</v>
      </c>
      <c r="G64" s="31" t="s">
        <v>167</v>
      </c>
      <c r="H64" s="31" t="s">
        <v>168</v>
      </c>
      <c r="I64" s="31" t="s">
        <v>169</v>
      </c>
      <c r="J64" s="31" t="s">
        <v>170</v>
      </c>
      <c r="K64" s="31" t="s">
        <v>172</v>
      </c>
      <c r="L64" s="31" t="s">
        <v>173</v>
      </c>
      <c r="M64" s="31" t="s">
        <v>176</v>
      </c>
      <c r="N64" s="31" t="s">
        <v>177</v>
      </c>
      <c r="O64" s="31" t="s">
        <v>178</v>
      </c>
      <c r="P64" s="31" t="s">
        <v>179</v>
      </c>
      <c r="Q64" s="31" t="s">
        <v>180</v>
      </c>
      <c r="R64" s="31" t="s">
        <v>181</v>
      </c>
      <c r="S64" s="31" t="s">
        <v>182</v>
      </c>
      <c r="T64" s="31" t="s">
        <v>183</v>
      </c>
      <c r="U64" s="31" t="s">
        <v>184</v>
      </c>
      <c r="V64" s="31" t="s">
        <v>185</v>
      </c>
      <c r="W64" s="31" t="s">
        <v>186</v>
      </c>
      <c r="X64" s="31" t="s">
        <v>187</v>
      </c>
      <c r="Y64" s="31" t="s">
        <v>188</v>
      </c>
      <c r="Z64" s="31" t="s">
        <v>189</v>
      </c>
      <c r="AA64" s="31" t="s">
        <v>190</v>
      </c>
      <c r="AB64" s="31" t="s">
        <v>191</v>
      </c>
      <c r="AC64" s="31" t="s">
        <v>192</v>
      </c>
      <c r="AD64" s="31" t="s">
        <v>193</v>
      </c>
      <c r="AE64" s="31" t="s">
        <v>194</v>
      </c>
      <c r="AF64" s="31" t="s">
        <v>195</v>
      </c>
      <c r="AG64" s="31" t="s">
        <v>197</v>
      </c>
      <c r="AH64" s="31" t="s">
        <v>198</v>
      </c>
    </row>
    <row r="65" spans="1:34" x14ac:dyDescent="0.3">
      <c r="A65" s="31" t="s">
        <v>163</v>
      </c>
      <c r="B65" s="31"/>
      <c r="C65" s="69">
        <v>337</v>
      </c>
      <c r="D65" s="31">
        <v>1412.2400000000002</v>
      </c>
      <c r="E65" s="31">
        <v>1614.6900000000003</v>
      </c>
      <c r="F65" s="31">
        <v>2008.6100000000001</v>
      </c>
      <c r="G65" s="31">
        <v>1968.2200000000003</v>
      </c>
      <c r="H65" s="31">
        <v>1833.17</v>
      </c>
      <c r="I65" s="31">
        <v>1801.4900000000002</v>
      </c>
      <c r="J65" s="31">
        <v>1800.7700000000004</v>
      </c>
      <c r="K65" s="31">
        <v>1884.8300000000002</v>
      </c>
      <c r="L65" s="31">
        <v>1595.0200000000004</v>
      </c>
      <c r="M65" s="31">
        <v>2005.3100000000002</v>
      </c>
      <c r="N65" s="31">
        <v>1922.03</v>
      </c>
      <c r="O65" s="31">
        <v>1959.6900000000003</v>
      </c>
      <c r="P65" s="31">
        <v>1806.9499999999996</v>
      </c>
      <c r="Q65" s="31">
        <v>1722.44</v>
      </c>
      <c r="R65" s="31">
        <v>1394.9800000000002</v>
      </c>
      <c r="S65" s="31">
        <v>1694.9799999999998</v>
      </c>
      <c r="T65" s="31">
        <v>1933.41</v>
      </c>
      <c r="U65" s="31">
        <v>1980.4799999999998</v>
      </c>
      <c r="V65" s="31">
        <v>1901.3899999999999</v>
      </c>
      <c r="W65" s="31">
        <v>1889.4199999999998</v>
      </c>
      <c r="X65" s="31">
        <v>1648.49</v>
      </c>
      <c r="Y65" s="31">
        <v>1704.6399999999999</v>
      </c>
      <c r="Z65" s="31">
        <v>1273.6999999999998</v>
      </c>
      <c r="AA65" s="31">
        <v>1736.6409999999998</v>
      </c>
      <c r="AB65" s="31">
        <v>1880.8100000000002</v>
      </c>
      <c r="AC65" s="31">
        <v>1674.49</v>
      </c>
      <c r="AD65" s="31">
        <v>1748.7699999999998</v>
      </c>
      <c r="AE65" s="31">
        <v>1759.2700000000004</v>
      </c>
      <c r="AF65" s="31">
        <v>1487.6699999999996</v>
      </c>
      <c r="AG65" s="31">
        <v>1603.98</v>
      </c>
      <c r="AH65" s="31">
        <v>1729.2800000000002</v>
      </c>
    </row>
    <row r="66" spans="1:34" x14ac:dyDescent="0.3">
      <c r="A66" s="31" t="s">
        <v>161</v>
      </c>
      <c r="B66" s="31"/>
      <c r="C66" s="69">
        <v>10</v>
      </c>
      <c r="D66" s="31">
        <v>101.28</v>
      </c>
      <c r="E66" s="31">
        <v>75.890999999999991</v>
      </c>
      <c r="F66" s="31">
        <v>81.19</v>
      </c>
      <c r="G66" s="31">
        <v>99.039999999999992</v>
      </c>
      <c r="H66" s="31">
        <v>97.64</v>
      </c>
      <c r="I66" s="31">
        <v>3.03</v>
      </c>
      <c r="J66" s="31">
        <v>8.1300000000000008</v>
      </c>
      <c r="K66" s="31">
        <v>82.1</v>
      </c>
      <c r="L66" s="31">
        <v>93.039000000000001</v>
      </c>
      <c r="M66" s="31">
        <v>90.091999999999999</v>
      </c>
      <c r="N66" s="31">
        <v>66.58</v>
      </c>
      <c r="O66" s="31">
        <v>69.81</v>
      </c>
      <c r="P66" s="31">
        <v>15.31</v>
      </c>
      <c r="Q66" s="31">
        <v>29.25</v>
      </c>
      <c r="R66" s="31">
        <v>49.26</v>
      </c>
      <c r="S66" s="31">
        <v>108.273</v>
      </c>
      <c r="T66" s="31">
        <v>66.701000000000008</v>
      </c>
      <c r="U66" s="31">
        <v>92.080000000000013</v>
      </c>
      <c r="V66" s="31">
        <v>85.941000000000003</v>
      </c>
      <c r="W66" s="31">
        <v>21.71</v>
      </c>
      <c r="X66" s="31">
        <v>5.202</v>
      </c>
      <c r="Y66" s="31">
        <v>67.44</v>
      </c>
      <c r="Z66" s="31">
        <v>103.366</v>
      </c>
      <c r="AA66" s="31">
        <v>97.62</v>
      </c>
      <c r="AB66" s="31">
        <v>85.27</v>
      </c>
      <c r="AC66" s="31">
        <v>0.03</v>
      </c>
      <c r="AD66" s="31">
        <v>35.406000000000006</v>
      </c>
      <c r="AE66" s="31">
        <v>0</v>
      </c>
      <c r="AF66" s="31">
        <v>100.36499999999999</v>
      </c>
      <c r="AG66" s="31">
        <v>100.25</v>
      </c>
      <c r="AH66" s="31">
        <v>95.73</v>
      </c>
    </row>
    <row r="67" spans="1:34" x14ac:dyDescent="0.3">
      <c r="A67" s="31" t="s">
        <v>160</v>
      </c>
      <c r="B67" s="31"/>
      <c r="C67" s="69">
        <v>193</v>
      </c>
      <c r="D67" s="31">
        <v>16.259</v>
      </c>
      <c r="E67" s="31">
        <v>0</v>
      </c>
      <c r="F67" s="31">
        <v>0.315</v>
      </c>
      <c r="G67" s="31">
        <v>11.427999999999999</v>
      </c>
      <c r="H67" s="31">
        <v>7.6429999999999998</v>
      </c>
      <c r="I67" s="31">
        <v>1.0999999999999999E-2</v>
      </c>
      <c r="J67" s="31">
        <v>0</v>
      </c>
      <c r="K67" s="31">
        <v>13.06</v>
      </c>
      <c r="L67" s="31">
        <v>0</v>
      </c>
      <c r="M67" s="31">
        <v>11.707000000000001</v>
      </c>
      <c r="N67" s="31">
        <v>19.931999999999999</v>
      </c>
      <c r="O67" s="31">
        <v>6.1440000000000001</v>
      </c>
      <c r="P67" s="31">
        <v>0</v>
      </c>
      <c r="Q67" s="31">
        <v>0</v>
      </c>
      <c r="R67" s="31">
        <v>2.1640000000000001</v>
      </c>
      <c r="S67" s="31">
        <v>23.817</v>
      </c>
      <c r="T67" s="31">
        <v>4.5999999999999999E-2</v>
      </c>
      <c r="U67" s="31">
        <v>0</v>
      </c>
      <c r="V67" s="31">
        <v>0.255</v>
      </c>
      <c r="W67" s="31">
        <v>0</v>
      </c>
      <c r="X67" s="31">
        <v>0</v>
      </c>
      <c r="Y67" s="31">
        <v>13.897</v>
      </c>
      <c r="Z67" s="31">
        <v>11.920999999999999</v>
      </c>
      <c r="AA67" s="31">
        <v>14.315999999999999</v>
      </c>
      <c r="AB67" s="31">
        <v>3.3000000000000002E-2</v>
      </c>
      <c r="AC67" s="31">
        <v>0</v>
      </c>
      <c r="AD67" s="31">
        <v>4.3629999999999995</v>
      </c>
      <c r="AE67" s="31">
        <v>0</v>
      </c>
      <c r="AF67" s="31">
        <v>15.497</v>
      </c>
      <c r="AG67" s="31">
        <v>22.567</v>
      </c>
      <c r="AH67" s="31">
        <v>0</v>
      </c>
    </row>
    <row r="68" spans="1:34" x14ac:dyDescent="0.3">
      <c r="A68" s="31" t="s">
        <v>159</v>
      </c>
      <c r="B68" s="31"/>
      <c r="C68" s="69">
        <v>18</v>
      </c>
      <c r="D68" s="31">
        <v>175.09</v>
      </c>
      <c r="E68" s="31">
        <v>209.53000000000003</v>
      </c>
      <c r="F68" s="31">
        <v>260.7</v>
      </c>
      <c r="G68" s="31">
        <v>235.7</v>
      </c>
      <c r="H68" s="31">
        <v>263.58</v>
      </c>
      <c r="I68" s="31">
        <v>264.20999999999998</v>
      </c>
      <c r="J68" s="31">
        <v>256.71000000000004</v>
      </c>
      <c r="K68" s="31">
        <v>241.90000000000003</v>
      </c>
      <c r="L68" s="31">
        <v>270.61</v>
      </c>
      <c r="M68" s="31">
        <v>233.91000000000003</v>
      </c>
      <c r="N68" s="31">
        <v>242.69</v>
      </c>
      <c r="O68" s="31">
        <v>265.89999999999998</v>
      </c>
      <c r="P68" s="31">
        <v>230.14</v>
      </c>
      <c r="Q68" s="31">
        <v>185.72</v>
      </c>
      <c r="R68" s="31">
        <v>157.60999999999999</v>
      </c>
      <c r="S68" s="31">
        <v>147.86000000000001</v>
      </c>
      <c r="T68" s="31">
        <v>232.32000000000002</v>
      </c>
      <c r="U68" s="31">
        <v>207.65</v>
      </c>
      <c r="V68" s="31">
        <v>165.47</v>
      </c>
      <c r="W68" s="31">
        <v>207.63</v>
      </c>
      <c r="X68" s="31">
        <v>213.63</v>
      </c>
      <c r="Y68" s="31">
        <v>207.7</v>
      </c>
      <c r="Z68" s="31">
        <v>231</v>
      </c>
      <c r="AA68" s="31">
        <v>188.79</v>
      </c>
      <c r="AB68" s="31">
        <v>198.14</v>
      </c>
      <c r="AC68" s="31">
        <v>220.92999999999998</v>
      </c>
      <c r="AD68" s="31">
        <v>135.66</v>
      </c>
      <c r="AE68" s="31">
        <v>173.69</v>
      </c>
      <c r="AF68" s="31">
        <v>221.65</v>
      </c>
      <c r="AG68" s="31">
        <v>131.37</v>
      </c>
      <c r="AH68" s="31">
        <v>156.63</v>
      </c>
    </row>
    <row r="69" spans="1:34" x14ac:dyDescent="0.3">
      <c r="A69" s="31" t="s">
        <v>162</v>
      </c>
      <c r="B69" s="31"/>
      <c r="C69" s="69">
        <v>8</v>
      </c>
      <c r="D69" s="31">
        <v>17.52</v>
      </c>
      <c r="E69" s="31">
        <v>49.73</v>
      </c>
      <c r="F69" s="31">
        <v>0</v>
      </c>
      <c r="G69" s="31">
        <v>0</v>
      </c>
      <c r="H69" s="31">
        <v>50.65</v>
      </c>
      <c r="I69" s="31">
        <v>0</v>
      </c>
      <c r="J69" s="31">
        <v>0</v>
      </c>
      <c r="K69" s="31">
        <v>0</v>
      </c>
      <c r="L69" s="31">
        <v>0</v>
      </c>
      <c r="M69" s="31">
        <v>20.768000000000001</v>
      </c>
      <c r="N69" s="31">
        <v>0</v>
      </c>
      <c r="O69" s="31">
        <v>0</v>
      </c>
      <c r="P69" s="31">
        <v>0</v>
      </c>
      <c r="Q69" s="31">
        <v>44.986999999999995</v>
      </c>
      <c r="R69" s="31">
        <v>13.32</v>
      </c>
      <c r="S69" s="31">
        <v>0</v>
      </c>
      <c r="T69" s="31">
        <v>42.602000000000004</v>
      </c>
      <c r="U69" s="31">
        <v>0</v>
      </c>
      <c r="V69" s="31">
        <v>48.64</v>
      </c>
      <c r="W69" s="31">
        <v>0</v>
      </c>
      <c r="X69" s="31">
        <v>0</v>
      </c>
      <c r="Y69" s="31">
        <v>0</v>
      </c>
      <c r="Z69" s="31">
        <v>3.62</v>
      </c>
      <c r="AA69" s="31">
        <v>4.0199999999999996</v>
      </c>
      <c r="AB69" s="31">
        <v>0</v>
      </c>
      <c r="AC69" s="31">
        <v>33.22</v>
      </c>
      <c r="AD69" s="31">
        <v>14.93</v>
      </c>
      <c r="AE69" s="31">
        <v>0</v>
      </c>
      <c r="AF69" s="31">
        <v>42.07</v>
      </c>
      <c r="AG69" s="31">
        <v>0</v>
      </c>
      <c r="AH69" s="31">
        <v>0</v>
      </c>
    </row>
    <row r="70" spans="1:34" x14ac:dyDescent="0.3">
      <c r="A70" s="31" t="s">
        <v>83</v>
      </c>
      <c r="B70" s="31"/>
      <c r="C70" s="69">
        <v>566</v>
      </c>
      <c r="D70" s="31">
        <v>1722.3890000000001</v>
      </c>
      <c r="E70" s="31">
        <v>1949.8410000000003</v>
      </c>
      <c r="F70" s="31">
        <v>2350.8150000000001</v>
      </c>
      <c r="G70" s="31">
        <v>2314.3879999999999</v>
      </c>
      <c r="H70" s="31">
        <v>2252.6830000000004</v>
      </c>
      <c r="I70" s="31">
        <v>2068.741</v>
      </c>
      <c r="J70" s="31">
        <v>2065.6100000000006</v>
      </c>
      <c r="K70" s="31">
        <v>2221.89</v>
      </c>
      <c r="L70" s="31">
        <v>1958.6690000000003</v>
      </c>
      <c r="M70" s="31">
        <v>2361.7869999999998</v>
      </c>
      <c r="N70" s="31">
        <v>2251.232</v>
      </c>
      <c r="O70" s="31">
        <v>2301.5440000000003</v>
      </c>
      <c r="P70" s="31">
        <v>2052.3999999999996</v>
      </c>
      <c r="Q70" s="31">
        <v>1982.3970000000002</v>
      </c>
      <c r="R70" s="31">
        <v>1617.3340000000001</v>
      </c>
      <c r="S70" s="31">
        <v>1974.9299999999998</v>
      </c>
      <c r="T70" s="31">
        <v>2275.0790000000002</v>
      </c>
      <c r="U70" s="31">
        <v>2280.21</v>
      </c>
      <c r="V70" s="31">
        <v>2201.6959999999999</v>
      </c>
      <c r="W70" s="31">
        <v>2118.7599999999998</v>
      </c>
      <c r="X70" s="31">
        <v>1867.3220000000001</v>
      </c>
      <c r="Y70" s="31">
        <v>1993.6769999999999</v>
      </c>
      <c r="Z70" s="31">
        <v>1623.6069999999997</v>
      </c>
      <c r="AA70" s="31">
        <v>2041.3869999999999</v>
      </c>
      <c r="AB70" s="31">
        <v>2164.2530000000002</v>
      </c>
      <c r="AC70" s="31">
        <v>1928.67</v>
      </c>
      <c r="AD70" s="31">
        <v>1939.1289999999999</v>
      </c>
      <c r="AE70" s="31">
        <v>1932.9600000000005</v>
      </c>
      <c r="AF70" s="31">
        <v>1867.2519999999997</v>
      </c>
      <c r="AG70" s="31">
        <v>1858.1669999999999</v>
      </c>
      <c r="AH70" s="31">
        <v>1981.6400000000003</v>
      </c>
    </row>
  </sheetData>
  <pageMargins left="0.7" right="0.7" top="0.75" bottom="0.75" header="0.3" footer="0.3"/>
  <pageSetup orientation="portrait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R67"/>
  <sheetViews>
    <sheetView zoomScaleNormal="100" workbookViewId="0">
      <pane xSplit="8" topLeftCell="AG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9" width="10.44140625" bestFit="1" customWidth="1"/>
    <col min="40" max="42" width="10.44140625" customWidth="1"/>
    <col min="44" max="44" width="10.33203125" customWidth="1"/>
  </cols>
  <sheetData>
    <row r="1" spans="1:44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45292</v>
      </c>
      <c r="K1" s="16">
        <v>45293</v>
      </c>
      <c r="L1" s="16">
        <v>45294</v>
      </c>
      <c r="M1" s="16">
        <v>45295</v>
      </c>
      <c r="N1" s="16">
        <v>45296</v>
      </c>
      <c r="O1" s="16">
        <v>45297</v>
      </c>
      <c r="P1" s="16">
        <v>45298</v>
      </c>
      <c r="Q1" s="16">
        <v>45299</v>
      </c>
      <c r="R1" s="16">
        <v>45300</v>
      </c>
      <c r="S1" s="16">
        <v>45301</v>
      </c>
      <c r="T1" s="16">
        <v>45302</v>
      </c>
      <c r="U1" s="16">
        <v>45303</v>
      </c>
      <c r="V1" s="16">
        <v>45304</v>
      </c>
      <c r="W1" s="16">
        <v>45305</v>
      </c>
      <c r="X1" s="16">
        <v>45306</v>
      </c>
      <c r="Y1" s="16">
        <v>45307</v>
      </c>
      <c r="Z1" s="16">
        <v>45308</v>
      </c>
      <c r="AA1" s="16">
        <v>45309</v>
      </c>
      <c r="AB1" s="16">
        <v>45310</v>
      </c>
      <c r="AC1" s="55">
        <v>45311</v>
      </c>
      <c r="AD1" s="55">
        <v>45312</v>
      </c>
      <c r="AE1" s="55">
        <v>45313</v>
      </c>
      <c r="AF1" s="55">
        <v>45314</v>
      </c>
      <c r="AG1" s="16">
        <v>45315</v>
      </c>
      <c r="AH1" s="16">
        <v>45316</v>
      </c>
      <c r="AI1" s="16">
        <v>45317</v>
      </c>
      <c r="AJ1" s="16">
        <v>45318</v>
      </c>
      <c r="AK1" s="16">
        <v>45319</v>
      </c>
      <c r="AL1" s="16">
        <v>45320</v>
      </c>
      <c r="AM1" s="16">
        <v>45321</v>
      </c>
      <c r="AN1" s="16">
        <v>45322</v>
      </c>
      <c r="AO1" s="16"/>
      <c r="AP1" s="16" t="s">
        <v>79</v>
      </c>
      <c r="AQ1" s="13" t="s">
        <v>8</v>
      </c>
      <c r="AR1" s="66" t="s">
        <v>154</v>
      </c>
    </row>
    <row r="2" spans="1:44" x14ac:dyDescent="0.3">
      <c r="A2" s="5">
        <v>1</v>
      </c>
      <c r="B2" s="6" t="s">
        <v>9</v>
      </c>
      <c r="C2" s="6" t="s">
        <v>86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159</v>
      </c>
      <c r="J2" s="46">
        <v>45.16</v>
      </c>
      <c r="K2" s="45">
        <v>50.69</v>
      </c>
      <c r="L2" s="46">
        <v>69.11</v>
      </c>
      <c r="M2" s="46">
        <v>73.7</v>
      </c>
      <c r="N2" s="46">
        <v>72.239999999999995</v>
      </c>
      <c r="O2" s="46">
        <v>91.47</v>
      </c>
      <c r="P2" s="46">
        <v>69.05</v>
      </c>
      <c r="Q2" s="46">
        <v>68.260000000000005</v>
      </c>
      <c r="R2" s="46">
        <v>74.77</v>
      </c>
      <c r="S2" s="46">
        <v>65.36</v>
      </c>
      <c r="T2" s="46">
        <v>77.19</v>
      </c>
      <c r="U2" s="46">
        <v>81.489999999999995</v>
      </c>
      <c r="V2" s="46">
        <v>77.95</v>
      </c>
      <c r="W2" s="46">
        <v>56.04</v>
      </c>
      <c r="X2" s="46">
        <v>50.41</v>
      </c>
      <c r="Y2" s="46">
        <v>39.56</v>
      </c>
      <c r="Z2" s="46">
        <v>60.5</v>
      </c>
      <c r="AA2" s="46">
        <v>74.12</v>
      </c>
      <c r="AB2" s="53">
        <v>42.74</v>
      </c>
      <c r="AC2" s="60">
        <v>38.29</v>
      </c>
      <c r="AD2" s="60">
        <v>49.87</v>
      </c>
      <c r="AE2" s="60">
        <v>37.35</v>
      </c>
      <c r="AF2" s="60">
        <v>50.38</v>
      </c>
      <c r="AG2" s="54">
        <v>50.17</v>
      </c>
      <c r="AH2" s="46">
        <v>52.75</v>
      </c>
      <c r="AI2" s="46">
        <v>50.81</v>
      </c>
      <c r="AJ2" s="46">
        <v>43.78</v>
      </c>
      <c r="AK2" s="46">
        <v>32.090000000000003</v>
      </c>
      <c r="AL2" s="46">
        <v>65.75</v>
      </c>
      <c r="AM2" s="46">
        <v>0</v>
      </c>
      <c r="AN2" s="46">
        <v>0</v>
      </c>
      <c r="AO2" s="46"/>
      <c r="AP2" s="46">
        <f>SUM(J2:AN2)</f>
        <v>1711.05</v>
      </c>
      <c r="AQ2" s="46">
        <f>AVERAGE(J2:AN2)</f>
        <v>55.195161290322581</v>
      </c>
      <c r="AR2" s="67">
        <f>AQ2/H2</f>
        <v>9.1991935483870968</v>
      </c>
    </row>
    <row r="3" spans="1:44" x14ac:dyDescent="0.3">
      <c r="A3" s="5">
        <v>2</v>
      </c>
      <c r="B3" s="6" t="s">
        <v>9</v>
      </c>
      <c r="C3" s="6" t="s">
        <v>87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159</v>
      </c>
      <c r="J3" s="46">
        <v>102.02</v>
      </c>
      <c r="K3" s="45">
        <v>127.29</v>
      </c>
      <c r="L3" s="46">
        <v>145.41</v>
      </c>
      <c r="M3" s="46">
        <v>119.81</v>
      </c>
      <c r="N3" s="46">
        <v>150.97999999999999</v>
      </c>
      <c r="O3" s="46">
        <v>148.56</v>
      </c>
      <c r="P3" s="46">
        <v>139.99</v>
      </c>
      <c r="Q3" s="46">
        <v>130.47</v>
      </c>
      <c r="R3" s="46">
        <v>148.75</v>
      </c>
      <c r="S3" s="46">
        <v>131.19</v>
      </c>
      <c r="T3" s="46">
        <v>135.77000000000001</v>
      </c>
      <c r="U3" s="46">
        <v>140.27000000000001</v>
      </c>
      <c r="V3" s="46">
        <v>122.13</v>
      </c>
      <c r="W3" s="46">
        <v>91.65</v>
      </c>
      <c r="X3" s="46">
        <v>75.13</v>
      </c>
      <c r="Y3" s="46">
        <v>90.42</v>
      </c>
      <c r="Z3" s="46">
        <v>120.8</v>
      </c>
      <c r="AA3" s="46">
        <v>96.24</v>
      </c>
      <c r="AB3" s="53">
        <v>99.13</v>
      </c>
      <c r="AC3" s="60">
        <v>133.71</v>
      </c>
      <c r="AD3" s="60">
        <v>130.87</v>
      </c>
      <c r="AE3" s="60">
        <v>123</v>
      </c>
      <c r="AF3" s="60">
        <v>145.37</v>
      </c>
      <c r="AG3" s="54">
        <v>98.15</v>
      </c>
      <c r="AH3" s="46">
        <v>129.38999999999999</v>
      </c>
      <c r="AI3" s="46">
        <v>137.13999999999999</v>
      </c>
      <c r="AJ3" s="46">
        <v>79.760000000000005</v>
      </c>
      <c r="AK3" s="46">
        <v>111.44</v>
      </c>
      <c r="AL3" s="46">
        <v>119.75</v>
      </c>
      <c r="AM3" s="46">
        <v>107.35</v>
      </c>
      <c r="AN3" s="46">
        <v>125.67</v>
      </c>
      <c r="AP3" s="46">
        <f t="shared" ref="AP3:AP63" si="0">SUM(J3:AN3)</f>
        <v>3757.61</v>
      </c>
      <c r="AQ3" s="46">
        <f t="shared" ref="AQ3:AQ63" si="1">AVERAGE(J3:AN3)</f>
        <v>121.21322580645162</v>
      </c>
      <c r="AR3" s="67">
        <f t="shared" ref="AR3:AR63" si="2">AQ3/H3</f>
        <v>13.468136200716847</v>
      </c>
    </row>
    <row r="4" spans="1:44" x14ac:dyDescent="0.3">
      <c r="A4" s="5">
        <v>3</v>
      </c>
      <c r="B4" s="6" t="s">
        <v>9</v>
      </c>
      <c r="C4" s="6" t="s">
        <v>88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159</v>
      </c>
      <c r="J4" s="46">
        <v>27.91</v>
      </c>
      <c r="K4" s="45">
        <v>31.55</v>
      </c>
      <c r="L4" s="46">
        <v>46.18</v>
      </c>
      <c r="M4" s="46">
        <v>42.19</v>
      </c>
      <c r="N4" s="46">
        <v>40.36</v>
      </c>
      <c r="O4" s="46">
        <v>24.18</v>
      </c>
      <c r="P4" s="46">
        <v>47.67</v>
      </c>
      <c r="Q4" s="46">
        <v>43.17</v>
      </c>
      <c r="R4" s="46">
        <v>47.09</v>
      </c>
      <c r="S4" s="46">
        <v>37.36</v>
      </c>
      <c r="T4" s="46">
        <v>29.73</v>
      </c>
      <c r="U4" s="46">
        <v>44.14</v>
      </c>
      <c r="V4" s="46">
        <v>30.06</v>
      </c>
      <c r="W4" s="46">
        <v>38.03</v>
      </c>
      <c r="X4" s="46">
        <v>32.07</v>
      </c>
      <c r="Y4" s="46">
        <v>17.88</v>
      </c>
      <c r="Z4" s="46">
        <v>51.02</v>
      </c>
      <c r="AA4" s="46">
        <v>37.29</v>
      </c>
      <c r="AB4" s="53">
        <v>23.6</v>
      </c>
      <c r="AC4" s="60">
        <v>35.630000000000003</v>
      </c>
      <c r="AD4" s="60">
        <v>32.89</v>
      </c>
      <c r="AE4" s="60">
        <v>47.35</v>
      </c>
      <c r="AF4" s="60">
        <v>35.25</v>
      </c>
      <c r="AG4" s="54">
        <v>40.47</v>
      </c>
      <c r="AH4" s="46">
        <v>16</v>
      </c>
      <c r="AI4" s="46">
        <v>32.979999999999997</v>
      </c>
      <c r="AJ4" s="46">
        <v>12.12</v>
      </c>
      <c r="AK4" s="46">
        <v>30.16</v>
      </c>
      <c r="AL4" s="46">
        <v>36.15</v>
      </c>
      <c r="AM4" s="46">
        <v>24.02</v>
      </c>
      <c r="AN4" s="46">
        <v>30.96</v>
      </c>
      <c r="AO4" s="46"/>
      <c r="AP4" s="46">
        <f t="shared" si="0"/>
        <v>1065.4600000000003</v>
      </c>
      <c r="AQ4" s="46">
        <f t="shared" si="1"/>
        <v>34.369677419354851</v>
      </c>
      <c r="AR4" s="67">
        <f t="shared" si="2"/>
        <v>11.45655913978495</v>
      </c>
    </row>
    <row r="5" spans="1:44" x14ac:dyDescent="0.3">
      <c r="A5" s="5">
        <v>4</v>
      </c>
      <c r="B5" s="6" t="s">
        <v>9</v>
      </c>
      <c r="C5" s="6" t="s">
        <v>92</v>
      </c>
      <c r="D5" s="6" t="s">
        <v>18</v>
      </c>
      <c r="E5" s="6" t="s">
        <v>12</v>
      </c>
      <c r="F5" s="6" t="s">
        <v>13</v>
      </c>
      <c r="G5" s="6" t="s">
        <v>35</v>
      </c>
      <c r="H5" s="13">
        <v>3</v>
      </c>
      <c r="I5" s="67" t="s">
        <v>163</v>
      </c>
      <c r="J5" s="45">
        <v>23.85</v>
      </c>
      <c r="K5" s="45">
        <v>34.99</v>
      </c>
      <c r="L5" s="46">
        <v>37.44</v>
      </c>
      <c r="M5" s="46">
        <v>48.62</v>
      </c>
      <c r="N5" s="46">
        <v>33.65</v>
      </c>
      <c r="O5" s="46">
        <v>35.369999999999997</v>
      </c>
      <c r="P5" s="46">
        <v>51.59</v>
      </c>
      <c r="Q5" s="46">
        <v>49.3</v>
      </c>
      <c r="R5" s="46">
        <v>46.13</v>
      </c>
      <c r="S5" s="46">
        <v>44.32</v>
      </c>
      <c r="T5" s="46">
        <v>35.590000000000003</v>
      </c>
      <c r="U5" s="46">
        <v>30.27</v>
      </c>
      <c r="V5" s="46">
        <v>15.62</v>
      </c>
      <c r="W5" s="46">
        <v>22.79</v>
      </c>
      <c r="X5" s="46">
        <v>35.68</v>
      </c>
      <c r="Y5" s="46">
        <v>56.89</v>
      </c>
      <c r="Z5" s="46">
        <v>60.25</v>
      </c>
      <c r="AA5" s="46">
        <v>60.28</v>
      </c>
      <c r="AB5" s="53">
        <v>50.98</v>
      </c>
      <c r="AC5" s="60">
        <v>57.28</v>
      </c>
      <c r="AD5" s="60">
        <v>48.94</v>
      </c>
      <c r="AE5" s="60">
        <v>52.56</v>
      </c>
      <c r="AF5" s="60">
        <v>46.32</v>
      </c>
      <c r="AG5" s="54">
        <v>40.4</v>
      </c>
      <c r="AH5" s="46">
        <v>43.06</v>
      </c>
      <c r="AI5" s="46">
        <v>36.04</v>
      </c>
      <c r="AJ5" s="46">
        <v>0</v>
      </c>
      <c r="AK5" s="46">
        <v>0</v>
      </c>
      <c r="AL5" s="46">
        <v>0</v>
      </c>
      <c r="AM5" s="46">
        <v>0</v>
      </c>
      <c r="AN5" s="46">
        <v>0</v>
      </c>
      <c r="AO5" s="46"/>
      <c r="AP5" s="46">
        <f t="shared" si="0"/>
        <v>1098.2099999999998</v>
      </c>
      <c r="AQ5" s="46">
        <f t="shared" si="1"/>
        <v>35.426129032258061</v>
      </c>
      <c r="AR5" s="67">
        <f t="shared" si="2"/>
        <v>11.808709677419353</v>
      </c>
    </row>
    <row r="6" spans="1:44" x14ac:dyDescent="0.3">
      <c r="A6" s="5">
        <v>5</v>
      </c>
      <c r="B6" s="6" t="s">
        <v>9</v>
      </c>
      <c r="C6" s="6" t="s">
        <v>93</v>
      </c>
      <c r="D6" s="6" t="s">
        <v>26</v>
      </c>
      <c r="E6" s="6" t="s">
        <v>19</v>
      </c>
      <c r="F6" s="6" t="s">
        <v>13</v>
      </c>
      <c r="G6" s="6" t="s">
        <v>14</v>
      </c>
      <c r="H6" s="5">
        <v>1</v>
      </c>
      <c r="I6" s="67" t="s">
        <v>163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45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/>
      <c r="AP6" s="46">
        <f t="shared" si="0"/>
        <v>0</v>
      </c>
      <c r="AQ6" s="46">
        <f t="shared" si="1"/>
        <v>0</v>
      </c>
      <c r="AR6" s="67">
        <f t="shared" si="2"/>
        <v>0</v>
      </c>
    </row>
    <row r="7" spans="1:44" x14ac:dyDescent="0.3">
      <c r="A7" s="5">
        <v>6</v>
      </c>
      <c r="B7" s="6" t="s">
        <v>9</v>
      </c>
      <c r="C7" s="6" t="s">
        <v>27</v>
      </c>
      <c r="D7" s="6" t="s">
        <v>28</v>
      </c>
      <c r="E7" s="6" t="s">
        <v>19</v>
      </c>
      <c r="F7" s="6" t="s">
        <v>13</v>
      </c>
      <c r="G7" s="6" t="s">
        <v>14</v>
      </c>
      <c r="H7" s="5">
        <v>5</v>
      </c>
      <c r="I7" s="67" t="s">
        <v>163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/>
      <c r="AP7" s="46">
        <f t="shared" si="0"/>
        <v>0</v>
      </c>
      <c r="AQ7" s="46">
        <f t="shared" si="1"/>
        <v>0</v>
      </c>
      <c r="AR7" s="67">
        <f t="shared" si="2"/>
        <v>0</v>
      </c>
    </row>
    <row r="8" spans="1:44" x14ac:dyDescent="0.3">
      <c r="A8" s="5">
        <v>7</v>
      </c>
      <c r="B8" s="6" t="s">
        <v>9</v>
      </c>
      <c r="C8" s="6" t="s">
        <v>29</v>
      </c>
      <c r="D8" s="6" t="s">
        <v>30</v>
      </c>
      <c r="E8" s="6" t="s">
        <v>12</v>
      </c>
      <c r="F8" s="6" t="s">
        <v>13</v>
      </c>
      <c r="G8" s="6" t="s">
        <v>35</v>
      </c>
      <c r="H8" s="5">
        <v>8</v>
      </c>
      <c r="I8" s="67" t="s">
        <v>163</v>
      </c>
      <c r="J8" s="45">
        <v>49.86</v>
      </c>
      <c r="K8" s="45">
        <v>43.39</v>
      </c>
      <c r="L8" s="46">
        <v>36.700000000000003</v>
      </c>
      <c r="M8" s="46">
        <v>32.340000000000003</v>
      </c>
      <c r="N8" s="46">
        <v>38.619999999999997</v>
      </c>
      <c r="O8" s="46">
        <v>52.51</v>
      </c>
      <c r="P8" s="46">
        <v>43.74</v>
      </c>
      <c r="Q8" s="46">
        <v>34.64</v>
      </c>
      <c r="R8" s="46">
        <v>49.09</v>
      </c>
      <c r="S8" s="46">
        <v>48.2</v>
      </c>
      <c r="T8" s="46">
        <v>39.07</v>
      </c>
      <c r="U8" s="46">
        <v>58.26</v>
      </c>
      <c r="V8" s="46">
        <v>50.06</v>
      </c>
      <c r="W8" s="46">
        <v>24.71</v>
      </c>
      <c r="X8" s="46">
        <v>8.09</v>
      </c>
      <c r="Y8" s="46">
        <v>47.47</v>
      </c>
      <c r="Z8" s="46">
        <v>56.7</v>
      </c>
      <c r="AA8" s="46">
        <v>43.46</v>
      </c>
      <c r="AB8" s="53">
        <v>57.05</v>
      </c>
      <c r="AC8" s="60">
        <v>50</v>
      </c>
      <c r="AD8" s="60">
        <v>47.22</v>
      </c>
      <c r="AE8" s="60">
        <v>41.98</v>
      </c>
      <c r="AF8" s="60">
        <v>14.97</v>
      </c>
      <c r="AG8" s="54">
        <v>25.76</v>
      </c>
      <c r="AH8" s="46">
        <v>50.57</v>
      </c>
      <c r="AI8" s="46">
        <v>33.409999999999997</v>
      </c>
      <c r="AJ8" s="46">
        <v>37.79</v>
      </c>
      <c r="AK8" s="46">
        <v>30.54</v>
      </c>
      <c r="AL8" s="46">
        <v>29.89</v>
      </c>
      <c r="AM8" s="46">
        <v>81.19</v>
      </c>
      <c r="AN8" s="46">
        <v>28.98</v>
      </c>
      <c r="AO8" s="46"/>
      <c r="AP8" s="46">
        <f t="shared" si="0"/>
        <v>1286.2600000000004</v>
      </c>
      <c r="AQ8" s="46">
        <f t="shared" si="1"/>
        <v>41.492258064516143</v>
      </c>
      <c r="AR8" s="67">
        <f t="shared" si="2"/>
        <v>5.1865322580645179</v>
      </c>
    </row>
    <row r="9" spans="1:44" x14ac:dyDescent="0.3">
      <c r="A9" s="5">
        <v>8</v>
      </c>
      <c r="B9" s="6" t="s">
        <v>9</v>
      </c>
      <c r="C9" s="6" t="s">
        <v>94</v>
      </c>
      <c r="D9" s="6" t="s">
        <v>32</v>
      </c>
      <c r="E9" s="6" t="s">
        <v>19</v>
      </c>
      <c r="F9" s="6" t="s">
        <v>13</v>
      </c>
      <c r="G9" s="6" t="s">
        <v>14</v>
      </c>
      <c r="H9" s="5">
        <v>2</v>
      </c>
      <c r="I9" s="67" t="s">
        <v>160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/>
      <c r="AP9" s="46">
        <f t="shared" si="0"/>
        <v>0</v>
      </c>
      <c r="AQ9" s="46">
        <f t="shared" si="1"/>
        <v>0</v>
      </c>
      <c r="AR9" s="67">
        <f t="shared" si="2"/>
        <v>0</v>
      </c>
    </row>
    <row r="10" spans="1:44" x14ac:dyDescent="0.3">
      <c r="A10" s="5">
        <v>9</v>
      </c>
      <c r="B10" s="6" t="s">
        <v>9</v>
      </c>
      <c r="C10" s="6" t="s">
        <v>147</v>
      </c>
      <c r="D10" s="6" t="s">
        <v>128</v>
      </c>
      <c r="E10" s="6" t="s">
        <v>12</v>
      </c>
      <c r="F10" s="6" t="s">
        <v>13</v>
      </c>
      <c r="G10" s="6" t="s">
        <v>35</v>
      </c>
      <c r="H10" s="5">
        <v>17</v>
      </c>
      <c r="I10" s="67" t="s">
        <v>163</v>
      </c>
      <c r="J10" s="45">
        <v>110.22</v>
      </c>
      <c r="K10" s="45">
        <v>79.27</v>
      </c>
      <c r="L10" s="46">
        <v>128.22999999999999</v>
      </c>
      <c r="M10" s="46">
        <v>90.38</v>
      </c>
      <c r="N10" s="46">
        <v>116.45</v>
      </c>
      <c r="O10" s="46">
        <v>103.1</v>
      </c>
      <c r="P10" s="46">
        <v>123.87</v>
      </c>
      <c r="Q10" s="46">
        <v>153.41</v>
      </c>
      <c r="R10" s="46">
        <v>70.7</v>
      </c>
      <c r="S10" s="46">
        <v>102.96</v>
      </c>
      <c r="T10" s="46">
        <v>104.35</v>
      </c>
      <c r="U10" s="46">
        <v>139.96</v>
      </c>
      <c r="V10" s="46">
        <v>80.33</v>
      </c>
      <c r="W10" s="46">
        <v>114.67</v>
      </c>
      <c r="X10" s="46">
        <v>88.87</v>
      </c>
      <c r="Y10" s="46">
        <v>88.24</v>
      </c>
      <c r="Z10" s="46">
        <v>119.24</v>
      </c>
      <c r="AA10" s="46">
        <v>93.7</v>
      </c>
      <c r="AB10" s="53">
        <v>75.78</v>
      </c>
      <c r="AC10" s="60">
        <v>91.47</v>
      </c>
      <c r="AD10" s="60">
        <v>83.6</v>
      </c>
      <c r="AE10" s="60">
        <v>69.34</v>
      </c>
      <c r="AF10" s="60">
        <v>56.29</v>
      </c>
      <c r="AG10" s="54">
        <v>78.209999999999994</v>
      </c>
      <c r="AH10" s="46">
        <v>107.38</v>
      </c>
      <c r="AI10" s="46">
        <v>63.22</v>
      </c>
      <c r="AJ10" s="46">
        <v>99.38</v>
      </c>
      <c r="AK10" s="46">
        <v>72.010000000000005</v>
      </c>
      <c r="AL10" s="46">
        <v>114.56</v>
      </c>
      <c r="AM10" s="46">
        <v>97.08</v>
      </c>
      <c r="AN10" s="46">
        <v>116.97</v>
      </c>
      <c r="AO10" s="46"/>
      <c r="AP10" s="46">
        <f t="shared" si="0"/>
        <v>3033.24</v>
      </c>
      <c r="AQ10" s="46">
        <f t="shared" si="1"/>
        <v>97.846451612903223</v>
      </c>
      <c r="AR10" s="67">
        <f t="shared" si="2"/>
        <v>5.7556736242884252</v>
      </c>
    </row>
    <row r="11" spans="1:44" x14ac:dyDescent="0.3">
      <c r="A11" s="5">
        <v>10</v>
      </c>
      <c r="B11" s="6" t="s">
        <v>9</v>
      </c>
      <c r="C11" s="6" t="s">
        <v>147</v>
      </c>
      <c r="D11" s="6" t="s">
        <v>128</v>
      </c>
      <c r="E11" s="6" t="s">
        <v>12</v>
      </c>
      <c r="F11" s="6" t="s">
        <v>13</v>
      </c>
      <c r="G11" s="6" t="s">
        <v>80</v>
      </c>
      <c r="H11" s="5">
        <v>1</v>
      </c>
      <c r="I11" s="67" t="s">
        <v>163</v>
      </c>
      <c r="J11" s="45">
        <v>0</v>
      </c>
      <c r="K11" s="45">
        <v>3.75</v>
      </c>
      <c r="L11" s="46">
        <v>0.99</v>
      </c>
      <c r="M11" s="46">
        <v>9.5399999999999991</v>
      </c>
      <c r="N11" s="46">
        <v>5.51</v>
      </c>
      <c r="O11" s="46">
        <v>6.24</v>
      </c>
      <c r="P11" s="46">
        <v>7.19</v>
      </c>
      <c r="Q11" s="46">
        <v>16.239999999999998</v>
      </c>
      <c r="R11" s="46">
        <v>22.84</v>
      </c>
      <c r="S11" s="46">
        <v>7.93</v>
      </c>
      <c r="T11" s="46">
        <v>14.85</v>
      </c>
      <c r="U11" s="46">
        <v>9.94</v>
      </c>
      <c r="V11" s="46">
        <v>8.73</v>
      </c>
      <c r="W11" s="46">
        <v>0</v>
      </c>
      <c r="X11" s="46">
        <v>0</v>
      </c>
      <c r="Y11" s="46">
        <v>0</v>
      </c>
      <c r="Z11" s="46">
        <v>16.760000000000002</v>
      </c>
      <c r="AA11" s="46">
        <v>18.2</v>
      </c>
      <c r="AB11" s="53">
        <v>0</v>
      </c>
      <c r="AC11" s="60">
        <v>0</v>
      </c>
      <c r="AD11" s="60">
        <v>9.25</v>
      </c>
      <c r="AE11" s="60">
        <v>14.95</v>
      </c>
      <c r="AF11" s="60">
        <v>15.21</v>
      </c>
      <c r="AG11" s="54">
        <v>11.05</v>
      </c>
      <c r="AH11" s="46">
        <v>7.25</v>
      </c>
      <c r="AI11" s="46">
        <v>16.12</v>
      </c>
      <c r="AJ11" s="46">
        <v>13.15</v>
      </c>
      <c r="AK11" s="46">
        <v>4.2699999999999996</v>
      </c>
      <c r="AL11" s="46">
        <v>8.44</v>
      </c>
      <c r="AM11" s="46">
        <v>1.82</v>
      </c>
      <c r="AN11" s="46">
        <v>9.5299999999999994</v>
      </c>
      <c r="AO11" s="46"/>
      <c r="AP11" s="46">
        <f t="shared" si="0"/>
        <v>259.75</v>
      </c>
      <c r="AQ11" s="46">
        <f t="shared" si="1"/>
        <v>8.379032258064516</v>
      </c>
      <c r="AR11" s="67">
        <f t="shared" si="2"/>
        <v>8.379032258064516</v>
      </c>
    </row>
    <row r="12" spans="1:44" x14ac:dyDescent="0.3">
      <c r="A12" s="5">
        <v>11</v>
      </c>
      <c r="B12" s="6" t="s">
        <v>9</v>
      </c>
      <c r="C12" s="6" t="s">
        <v>147</v>
      </c>
      <c r="D12" s="6" t="s">
        <v>128</v>
      </c>
      <c r="E12" s="6" t="s">
        <v>12</v>
      </c>
      <c r="F12" s="6" t="s">
        <v>124</v>
      </c>
      <c r="G12" s="6" t="s">
        <v>80</v>
      </c>
      <c r="H12" s="5">
        <v>1</v>
      </c>
      <c r="I12" s="67" t="s">
        <v>163</v>
      </c>
      <c r="J12" s="45">
        <v>0</v>
      </c>
      <c r="K12" s="45">
        <v>5.91</v>
      </c>
      <c r="L12" s="46">
        <v>0</v>
      </c>
      <c r="M12" s="46">
        <v>0.01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53">
        <v>7.06</v>
      </c>
      <c r="AC12" s="60">
        <v>6.37</v>
      </c>
      <c r="AD12" s="60">
        <v>4.63</v>
      </c>
      <c r="AE12" s="60">
        <v>0</v>
      </c>
      <c r="AF12" s="60">
        <v>0</v>
      </c>
      <c r="AG12" s="54">
        <v>0</v>
      </c>
      <c r="AH12" s="54">
        <v>0</v>
      </c>
      <c r="AI12" s="54">
        <v>0</v>
      </c>
      <c r="AJ12" s="54">
        <v>0</v>
      </c>
      <c r="AK12" s="54">
        <v>0</v>
      </c>
      <c r="AL12" s="46">
        <v>7.67</v>
      </c>
      <c r="AM12" s="46">
        <v>0</v>
      </c>
      <c r="AN12" s="46">
        <v>0</v>
      </c>
      <c r="AO12" s="46"/>
      <c r="AP12" s="46">
        <f t="shared" si="0"/>
        <v>31.65</v>
      </c>
      <c r="AQ12" s="46">
        <f t="shared" si="1"/>
        <v>1.0209677419354839</v>
      </c>
      <c r="AR12" s="67">
        <f t="shared" si="2"/>
        <v>1.0209677419354839</v>
      </c>
    </row>
    <row r="13" spans="1:44" x14ac:dyDescent="0.3">
      <c r="A13" s="5">
        <v>12</v>
      </c>
      <c r="B13" s="6" t="s">
        <v>9</v>
      </c>
      <c r="C13" s="6" t="s">
        <v>36</v>
      </c>
      <c r="D13" s="6" t="s">
        <v>30</v>
      </c>
      <c r="E13" s="6" t="s">
        <v>12</v>
      </c>
      <c r="F13" s="6" t="s">
        <v>13</v>
      </c>
      <c r="G13" s="6" t="s">
        <v>35</v>
      </c>
      <c r="H13" s="13">
        <v>6</v>
      </c>
      <c r="I13" s="67" t="s">
        <v>163</v>
      </c>
      <c r="J13" s="45">
        <v>15.03</v>
      </c>
      <c r="K13" s="45">
        <v>6.1</v>
      </c>
      <c r="L13" s="46">
        <v>22.13</v>
      </c>
      <c r="M13" s="46">
        <v>26.9</v>
      </c>
      <c r="N13" s="46">
        <v>19.59</v>
      </c>
      <c r="O13" s="46">
        <v>22.95</v>
      </c>
      <c r="P13" s="46">
        <v>28.6</v>
      </c>
      <c r="Q13" s="46">
        <v>16.89</v>
      </c>
      <c r="R13" s="46">
        <v>17.07</v>
      </c>
      <c r="S13" s="46">
        <v>25.48</v>
      </c>
      <c r="T13" s="46">
        <v>9.56</v>
      </c>
      <c r="U13" s="46">
        <v>13.4</v>
      </c>
      <c r="V13" s="46">
        <v>15.65</v>
      </c>
      <c r="W13" s="46">
        <v>10.63</v>
      </c>
      <c r="X13" s="46">
        <v>5.05</v>
      </c>
      <c r="Y13" s="46">
        <v>19.96</v>
      </c>
      <c r="Z13" s="46">
        <v>4.9400000000000004</v>
      </c>
      <c r="AA13" s="46">
        <v>13.19</v>
      </c>
      <c r="AB13" s="53">
        <v>39.369999999999997</v>
      </c>
      <c r="AC13" s="60">
        <v>20.6</v>
      </c>
      <c r="AD13" s="60">
        <v>14.25</v>
      </c>
      <c r="AE13" s="60">
        <v>11.6</v>
      </c>
      <c r="AF13" s="60">
        <v>13.34</v>
      </c>
      <c r="AG13" s="54">
        <v>11.75</v>
      </c>
      <c r="AH13" s="46">
        <v>22</v>
      </c>
      <c r="AI13" s="46">
        <v>14.99</v>
      </c>
      <c r="AJ13" s="46">
        <v>17.04</v>
      </c>
      <c r="AK13" s="46">
        <v>8.93</v>
      </c>
      <c r="AL13" s="46">
        <v>10.28</v>
      </c>
      <c r="AM13" s="46">
        <v>35.380000000000003</v>
      </c>
      <c r="AN13" s="46">
        <v>0</v>
      </c>
      <c r="AO13" s="46"/>
      <c r="AP13" s="46">
        <f t="shared" si="0"/>
        <v>512.65000000000009</v>
      </c>
      <c r="AQ13" s="46">
        <f t="shared" si="1"/>
        <v>16.53709677419355</v>
      </c>
      <c r="AR13" s="67">
        <f t="shared" si="2"/>
        <v>2.7561827956989249</v>
      </c>
    </row>
    <row r="14" spans="1:44" x14ac:dyDescent="0.3">
      <c r="A14" s="5">
        <v>13</v>
      </c>
      <c r="B14" s="6" t="s">
        <v>9</v>
      </c>
      <c r="C14" s="6" t="s">
        <v>148</v>
      </c>
      <c r="D14" s="6" t="s">
        <v>128</v>
      </c>
      <c r="E14" s="6" t="s">
        <v>12</v>
      </c>
      <c r="F14" s="6" t="s">
        <v>13</v>
      </c>
      <c r="G14" s="6" t="s">
        <v>35</v>
      </c>
      <c r="H14" s="5">
        <v>6</v>
      </c>
      <c r="I14" s="67" t="s">
        <v>163</v>
      </c>
      <c r="J14" s="45">
        <v>32.72</v>
      </c>
      <c r="K14" s="45">
        <v>14.78</v>
      </c>
      <c r="L14" s="46">
        <v>28.1</v>
      </c>
      <c r="M14" s="46">
        <v>35.450000000000003</v>
      </c>
      <c r="N14" s="46">
        <v>30.94</v>
      </c>
      <c r="O14" s="46">
        <v>32.39</v>
      </c>
      <c r="P14" s="46">
        <v>26.36</v>
      </c>
      <c r="Q14" s="46">
        <v>41.44</v>
      </c>
      <c r="R14" s="46">
        <v>25.39</v>
      </c>
      <c r="S14" s="46">
        <v>37.19</v>
      </c>
      <c r="T14" s="46">
        <v>32.159999999999997</v>
      </c>
      <c r="U14" s="46">
        <v>28.07</v>
      </c>
      <c r="V14" s="46">
        <v>20.12</v>
      </c>
      <c r="W14" s="46">
        <v>12.88</v>
      </c>
      <c r="X14" s="46">
        <v>23.03</v>
      </c>
      <c r="Y14" s="46">
        <v>31.89</v>
      </c>
      <c r="Z14" s="46">
        <v>20.66</v>
      </c>
      <c r="AA14" s="46">
        <v>37.94</v>
      </c>
      <c r="AB14" s="53">
        <v>25.63</v>
      </c>
      <c r="AC14" s="60">
        <v>31.24</v>
      </c>
      <c r="AD14" s="60">
        <v>25.42</v>
      </c>
      <c r="AE14" s="60">
        <v>31.65</v>
      </c>
      <c r="AF14" s="60">
        <v>36.869999999999997</v>
      </c>
      <c r="AG14" s="54">
        <v>37.369999999999997</v>
      </c>
      <c r="AH14" s="46">
        <v>25.34</v>
      </c>
      <c r="AI14" s="46">
        <v>24.67</v>
      </c>
      <c r="AJ14" s="46">
        <v>40.33</v>
      </c>
      <c r="AK14" s="46">
        <v>25.46</v>
      </c>
      <c r="AL14" s="46">
        <v>32.79</v>
      </c>
      <c r="AM14" s="46">
        <v>36.93</v>
      </c>
      <c r="AN14" s="46">
        <v>24.82</v>
      </c>
      <c r="AO14" s="46"/>
      <c r="AP14" s="46">
        <f t="shared" si="0"/>
        <v>910.03</v>
      </c>
      <c r="AQ14" s="46">
        <f t="shared" si="1"/>
        <v>29.355806451612903</v>
      </c>
      <c r="AR14" s="67">
        <f t="shared" si="2"/>
        <v>4.8926344086021505</v>
      </c>
    </row>
    <row r="15" spans="1:44" x14ac:dyDescent="0.3">
      <c r="A15" s="5">
        <v>14</v>
      </c>
      <c r="B15" s="6" t="s">
        <v>9</v>
      </c>
      <c r="C15" s="6" t="s">
        <v>38</v>
      </c>
      <c r="D15" s="6" t="s">
        <v>30</v>
      </c>
      <c r="E15" s="6" t="s">
        <v>12</v>
      </c>
      <c r="F15" s="6" t="s">
        <v>13</v>
      </c>
      <c r="G15" s="6" t="s">
        <v>35</v>
      </c>
      <c r="H15" s="5">
        <v>3</v>
      </c>
      <c r="I15" s="67" t="s">
        <v>163</v>
      </c>
      <c r="J15" s="45">
        <v>50.29</v>
      </c>
      <c r="K15" s="45">
        <v>44.6</v>
      </c>
      <c r="L15" s="46">
        <v>39.770000000000003</v>
      </c>
      <c r="M15" s="46">
        <v>33.049999999999997</v>
      </c>
      <c r="N15" s="46">
        <v>50.86</v>
      </c>
      <c r="O15" s="46">
        <v>46.67</v>
      </c>
      <c r="P15" s="46">
        <v>43.93</v>
      </c>
      <c r="Q15" s="46">
        <v>56.43</v>
      </c>
      <c r="R15" s="46">
        <v>62.7</v>
      </c>
      <c r="S15" s="46">
        <v>62.29</v>
      </c>
      <c r="T15" s="46">
        <v>37.6</v>
      </c>
      <c r="U15" s="46">
        <v>56.5</v>
      </c>
      <c r="V15" s="46">
        <v>41.05</v>
      </c>
      <c r="W15" s="46">
        <v>47.83</v>
      </c>
      <c r="X15" s="46">
        <v>30.57</v>
      </c>
      <c r="Y15" s="46">
        <v>38.53</v>
      </c>
      <c r="Z15" s="46">
        <v>42.8</v>
      </c>
      <c r="AA15" s="46">
        <v>73.55</v>
      </c>
      <c r="AB15" s="53">
        <v>45.59</v>
      </c>
      <c r="AC15" s="60">
        <v>36.14</v>
      </c>
      <c r="AD15" s="60">
        <v>41.72</v>
      </c>
      <c r="AE15" s="60">
        <v>58.53</v>
      </c>
      <c r="AF15" s="60">
        <v>20.49</v>
      </c>
      <c r="AG15" s="54">
        <v>47.72</v>
      </c>
      <c r="AH15" s="46">
        <v>54.6</v>
      </c>
      <c r="AI15" s="46">
        <v>51.3</v>
      </c>
      <c r="AJ15" s="46">
        <v>55.1</v>
      </c>
      <c r="AK15" s="46">
        <v>36.69</v>
      </c>
      <c r="AL15" s="46">
        <v>50.9</v>
      </c>
      <c r="AM15" s="46">
        <v>63.04</v>
      </c>
      <c r="AN15" s="46">
        <v>55.88</v>
      </c>
      <c r="AO15" s="46"/>
      <c r="AP15" s="46">
        <f t="shared" si="0"/>
        <v>1476.72</v>
      </c>
      <c r="AQ15" s="46">
        <f t="shared" si="1"/>
        <v>47.636129032258069</v>
      </c>
      <c r="AR15" s="67">
        <f t="shared" si="2"/>
        <v>15.878709677419357</v>
      </c>
    </row>
    <row r="16" spans="1:44" x14ac:dyDescent="0.3">
      <c r="A16" s="5">
        <v>15</v>
      </c>
      <c r="B16" s="6" t="s">
        <v>9</v>
      </c>
      <c r="C16" s="6" t="s">
        <v>39</v>
      </c>
      <c r="D16" s="6" t="s">
        <v>30</v>
      </c>
      <c r="E16" s="6" t="s">
        <v>19</v>
      </c>
      <c r="F16" s="6" t="s">
        <v>13</v>
      </c>
      <c r="G16" s="6" t="s">
        <v>14</v>
      </c>
      <c r="H16" s="5">
        <v>3</v>
      </c>
      <c r="I16" s="67" t="s">
        <v>163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6">
        <v>0</v>
      </c>
      <c r="AN16" s="46">
        <v>0</v>
      </c>
      <c r="AO16" s="46"/>
      <c r="AP16" s="46">
        <f t="shared" si="0"/>
        <v>0</v>
      </c>
      <c r="AQ16" s="46">
        <f t="shared" si="1"/>
        <v>0</v>
      </c>
      <c r="AR16" s="67">
        <f t="shared" si="2"/>
        <v>0</v>
      </c>
    </row>
    <row r="17" spans="1:44" x14ac:dyDescent="0.3">
      <c r="A17" s="5">
        <v>16</v>
      </c>
      <c r="B17" s="6" t="s">
        <v>9</v>
      </c>
      <c r="C17" s="6" t="s">
        <v>96</v>
      </c>
      <c r="D17" s="6" t="s">
        <v>43</v>
      </c>
      <c r="E17" s="6" t="s">
        <v>19</v>
      </c>
      <c r="F17" s="6" t="s">
        <v>13</v>
      </c>
      <c r="G17" s="6" t="s">
        <v>14</v>
      </c>
      <c r="H17" s="5">
        <v>1</v>
      </c>
      <c r="I17" s="67" t="s">
        <v>163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/>
      <c r="AP17" s="46">
        <f t="shared" si="0"/>
        <v>0</v>
      </c>
      <c r="AQ17" s="46">
        <f t="shared" si="1"/>
        <v>0</v>
      </c>
      <c r="AR17" s="67">
        <f t="shared" si="2"/>
        <v>0</v>
      </c>
    </row>
    <row r="18" spans="1:44" x14ac:dyDescent="0.3">
      <c r="A18" s="5">
        <v>17</v>
      </c>
      <c r="B18" s="6" t="s">
        <v>9</v>
      </c>
      <c r="C18" s="6" t="s">
        <v>125</v>
      </c>
      <c r="D18" s="6" t="s">
        <v>48</v>
      </c>
      <c r="E18" s="6" t="s">
        <v>19</v>
      </c>
      <c r="F18" s="6" t="s">
        <v>13</v>
      </c>
      <c r="G18" s="6" t="s">
        <v>14</v>
      </c>
      <c r="H18" s="5">
        <v>1</v>
      </c>
      <c r="I18" s="67" t="s">
        <v>161</v>
      </c>
      <c r="J18" s="45">
        <v>0</v>
      </c>
      <c r="K18" s="45">
        <v>2.1909999999999998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6">
        <v>1.9590000000000001</v>
      </c>
      <c r="S18" s="46">
        <v>2.1999999999999999E-2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1.353</v>
      </c>
      <c r="Z18" s="46">
        <v>0.151</v>
      </c>
      <c r="AA18" s="46">
        <v>0</v>
      </c>
      <c r="AB18" s="46">
        <v>1E-3</v>
      </c>
      <c r="AC18" s="46">
        <v>0</v>
      </c>
      <c r="AD18" s="46">
        <v>1.792</v>
      </c>
      <c r="AE18" s="60">
        <v>0</v>
      </c>
      <c r="AF18" s="60">
        <v>2.8159999999999998</v>
      </c>
      <c r="AG18" s="54">
        <v>0</v>
      </c>
      <c r="AH18" s="46">
        <v>0</v>
      </c>
      <c r="AI18" s="46">
        <v>0</v>
      </c>
      <c r="AJ18" s="46">
        <v>3.036</v>
      </c>
      <c r="AK18" s="46">
        <v>0</v>
      </c>
      <c r="AL18" s="46">
        <v>0.48499999999999999</v>
      </c>
      <c r="AM18" s="46">
        <v>0</v>
      </c>
      <c r="AN18" s="46">
        <v>0</v>
      </c>
      <c r="AO18" s="46"/>
      <c r="AP18" s="46">
        <f t="shared" si="0"/>
        <v>13.805999999999999</v>
      </c>
      <c r="AQ18" s="46">
        <f t="shared" si="1"/>
        <v>0.4453548387096774</v>
      </c>
      <c r="AR18" s="67">
        <f t="shared" si="2"/>
        <v>0.4453548387096774</v>
      </c>
    </row>
    <row r="19" spans="1:44" x14ac:dyDescent="0.3">
      <c r="A19" s="5">
        <v>18</v>
      </c>
      <c r="B19" s="6" t="s">
        <v>9</v>
      </c>
      <c r="C19" s="6" t="s">
        <v>140</v>
      </c>
      <c r="D19" s="6" t="s">
        <v>63</v>
      </c>
      <c r="E19" s="6" t="s">
        <v>12</v>
      </c>
      <c r="F19" s="6" t="s">
        <v>95</v>
      </c>
      <c r="G19" s="6" t="s">
        <v>35</v>
      </c>
      <c r="H19" s="5">
        <v>1</v>
      </c>
      <c r="I19" s="67" t="s">
        <v>163</v>
      </c>
      <c r="J19" s="45">
        <v>0</v>
      </c>
      <c r="K19" s="45">
        <v>0</v>
      </c>
      <c r="L19" s="45">
        <v>0</v>
      </c>
      <c r="M19" s="46">
        <v>0</v>
      </c>
      <c r="N19" s="46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53">
        <v>0</v>
      </c>
      <c r="AC19" s="60">
        <v>5.99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46">
        <v>0</v>
      </c>
      <c r="AM19" s="46">
        <v>0</v>
      </c>
      <c r="AN19" s="46">
        <v>0</v>
      </c>
      <c r="AO19" s="46"/>
      <c r="AP19" s="46">
        <f t="shared" si="0"/>
        <v>5.99</v>
      </c>
      <c r="AQ19" s="46">
        <f t="shared" si="1"/>
        <v>0.19322580645161291</v>
      </c>
      <c r="AR19" s="67">
        <f t="shared" si="2"/>
        <v>0.19322580645161291</v>
      </c>
    </row>
    <row r="20" spans="1:44" x14ac:dyDescent="0.3">
      <c r="A20" s="5">
        <v>19</v>
      </c>
      <c r="B20" s="6" t="s">
        <v>9</v>
      </c>
      <c r="C20" s="6" t="s">
        <v>141</v>
      </c>
      <c r="D20" s="6" t="s">
        <v>128</v>
      </c>
      <c r="E20" s="6" t="s">
        <v>12</v>
      </c>
      <c r="F20" s="6" t="s">
        <v>13</v>
      </c>
      <c r="G20" s="6" t="s">
        <v>35</v>
      </c>
      <c r="H20" s="5">
        <v>2</v>
      </c>
      <c r="I20" s="67" t="s">
        <v>163</v>
      </c>
      <c r="J20" s="45">
        <v>0</v>
      </c>
      <c r="K20" s="45">
        <v>0</v>
      </c>
      <c r="L20" s="45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53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46">
        <v>0</v>
      </c>
      <c r="AM20" s="46">
        <v>0</v>
      </c>
      <c r="AN20" s="46">
        <v>0</v>
      </c>
      <c r="AO20" s="46"/>
      <c r="AP20" s="46">
        <f t="shared" si="0"/>
        <v>0</v>
      </c>
      <c r="AQ20" s="46">
        <f t="shared" si="1"/>
        <v>0</v>
      </c>
      <c r="AR20" s="67">
        <f t="shared" si="2"/>
        <v>0</v>
      </c>
    </row>
    <row r="21" spans="1:44" x14ac:dyDescent="0.3">
      <c r="A21" s="5">
        <v>20</v>
      </c>
      <c r="B21" s="6" t="s">
        <v>9</v>
      </c>
      <c r="C21" s="6" t="s">
        <v>151</v>
      </c>
      <c r="D21" s="6" t="s">
        <v>128</v>
      </c>
      <c r="E21" s="6" t="s">
        <v>12</v>
      </c>
      <c r="F21" s="6" t="s">
        <v>13</v>
      </c>
      <c r="G21" s="6" t="s">
        <v>35</v>
      </c>
      <c r="H21" s="5">
        <v>10</v>
      </c>
      <c r="I21" s="67" t="s">
        <v>163</v>
      </c>
      <c r="J21" s="45">
        <v>28.96</v>
      </c>
      <c r="K21" s="45">
        <v>53</v>
      </c>
      <c r="L21" s="45">
        <v>92.98</v>
      </c>
      <c r="M21" s="46">
        <v>72.27</v>
      </c>
      <c r="N21" s="46">
        <v>69.98</v>
      </c>
      <c r="O21" s="46">
        <v>45.9</v>
      </c>
      <c r="P21" s="46">
        <v>55.46</v>
      </c>
      <c r="Q21" s="46">
        <v>53.72</v>
      </c>
      <c r="R21" s="46">
        <v>79.34</v>
      </c>
      <c r="S21" s="46">
        <v>87.73</v>
      </c>
      <c r="T21" s="46">
        <v>55.37</v>
      </c>
      <c r="U21" s="46">
        <v>72.62</v>
      </c>
      <c r="V21" s="46">
        <v>62.56</v>
      </c>
      <c r="W21" s="46">
        <v>74.3</v>
      </c>
      <c r="X21" s="46">
        <v>36.29</v>
      </c>
      <c r="Y21" s="46">
        <v>21.27</v>
      </c>
      <c r="Z21" s="46">
        <v>40.14</v>
      </c>
      <c r="AA21" s="46">
        <v>68.010000000000005</v>
      </c>
      <c r="AB21" s="53">
        <v>65.88</v>
      </c>
      <c r="AC21" s="60">
        <v>52.75</v>
      </c>
      <c r="AD21" s="60">
        <v>83.25</v>
      </c>
      <c r="AE21" s="60">
        <v>52.32</v>
      </c>
      <c r="AF21" s="60">
        <v>46.23</v>
      </c>
      <c r="AG21" s="54">
        <v>59.31</v>
      </c>
      <c r="AH21" s="46">
        <v>57.81</v>
      </c>
      <c r="AI21" s="46">
        <v>38.979999999999997</v>
      </c>
      <c r="AJ21" s="46">
        <v>60.82</v>
      </c>
      <c r="AK21" s="46">
        <v>49.91</v>
      </c>
      <c r="AL21" s="46">
        <v>43.77</v>
      </c>
      <c r="AM21" s="46">
        <v>62.96</v>
      </c>
      <c r="AN21" s="46">
        <v>56.45</v>
      </c>
      <c r="AO21" s="46"/>
      <c r="AP21" s="46">
        <f t="shared" si="0"/>
        <v>1800.3400000000001</v>
      </c>
      <c r="AQ21" s="46">
        <f t="shared" si="1"/>
        <v>58.075483870967744</v>
      </c>
      <c r="AR21" s="67">
        <f t="shared" si="2"/>
        <v>5.8075483870967748</v>
      </c>
    </row>
    <row r="22" spans="1:44" x14ac:dyDescent="0.3">
      <c r="A22" s="5">
        <v>21</v>
      </c>
      <c r="B22" s="6" t="s">
        <v>9</v>
      </c>
      <c r="C22" s="6" t="s">
        <v>171</v>
      </c>
      <c r="D22" s="6" t="s">
        <v>128</v>
      </c>
      <c r="E22" s="6" t="s">
        <v>12</v>
      </c>
      <c r="F22" s="6" t="s">
        <v>13</v>
      </c>
      <c r="G22" s="6" t="s">
        <v>35</v>
      </c>
      <c r="H22" s="5">
        <v>8</v>
      </c>
      <c r="I22" s="67" t="s">
        <v>163</v>
      </c>
      <c r="J22" s="45"/>
      <c r="K22" s="45"/>
      <c r="L22" s="45"/>
      <c r="M22" s="46"/>
      <c r="N22" s="46"/>
      <c r="O22" s="46"/>
      <c r="P22" s="46"/>
      <c r="Q22" s="46">
        <v>90.74</v>
      </c>
      <c r="R22" s="46">
        <v>48.25</v>
      </c>
      <c r="S22" s="46">
        <v>111.42</v>
      </c>
      <c r="T22" s="46">
        <v>114.74</v>
      </c>
      <c r="U22" s="46">
        <v>60.97</v>
      </c>
      <c r="V22" s="46">
        <v>72.400000000000006</v>
      </c>
      <c r="W22" s="46">
        <v>32.53</v>
      </c>
      <c r="X22" s="46">
        <v>76.430000000000007</v>
      </c>
      <c r="Y22" s="46">
        <v>111.05</v>
      </c>
      <c r="Z22" s="46">
        <v>87.15</v>
      </c>
      <c r="AA22" s="46">
        <v>145.09</v>
      </c>
      <c r="AB22" s="53">
        <v>124.46</v>
      </c>
      <c r="AC22" s="60">
        <v>120.49</v>
      </c>
      <c r="AD22" s="60">
        <v>101.34</v>
      </c>
      <c r="AE22" s="60">
        <v>99.17</v>
      </c>
      <c r="AF22" s="60">
        <v>83.63</v>
      </c>
      <c r="AG22" s="54">
        <v>105.57</v>
      </c>
      <c r="AH22" s="46">
        <v>95.92</v>
      </c>
      <c r="AI22" s="46">
        <v>105.23</v>
      </c>
      <c r="AJ22" s="46">
        <v>46.58</v>
      </c>
      <c r="AK22" s="46">
        <v>46.29</v>
      </c>
      <c r="AL22" s="46">
        <v>149.66</v>
      </c>
      <c r="AM22" s="46">
        <v>114.07</v>
      </c>
      <c r="AN22" s="46">
        <v>56.74</v>
      </c>
      <c r="AO22" s="46"/>
      <c r="AP22" s="46">
        <f t="shared" si="0"/>
        <v>2199.92</v>
      </c>
      <c r="AQ22" s="46">
        <f t="shared" si="1"/>
        <v>91.663333333333341</v>
      </c>
      <c r="AR22" s="67">
        <f t="shared" si="2"/>
        <v>11.457916666666668</v>
      </c>
    </row>
    <row r="23" spans="1:44" x14ac:dyDescent="0.3">
      <c r="A23" s="5">
        <v>22</v>
      </c>
      <c r="B23" s="6" t="s">
        <v>9</v>
      </c>
      <c r="C23" s="6" t="s">
        <v>196</v>
      </c>
      <c r="D23" s="6" t="s">
        <v>128</v>
      </c>
      <c r="E23" s="6" t="s">
        <v>12</v>
      </c>
      <c r="F23" s="6" t="s">
        <v>13</v>
      </c>
      <c r="G23" s="6" t="s">
        <v>35</v>
      </c>
      <c r="H23" s="5">
        <v>10</v>
      </c>
      <c r="I23" s="67" t="s">
        <v>163</v>
      </c>
      <c r="J23" s="45"/>
      <c r="K23" s="45"/>
      <c r="L23" s="45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53"/>
      <c r="AC23" s="60"/>
      <c r="AD23" s="60"/>
      <c r="AE23" s="60"/>
      <c r="AF23" s="60"/>
      <c r="AG23" s="54"/>
      <c r="AH23" s="46"/>
      <c r="AI23" s="46"/>
      <c r="AJ23" s="46"/>
      <c r="AK23" s="46"/>
      <c r="AL23" s="46"/>
      <c r="AM23" s="46">
        <v>27.57</v>
      </c>
      <c r="AN23" s="46">
        <v>95.41</v>
      </c>
      <c r="AO23" s="46"/>
      <c r="AP23" s="46">
        <f t="shared" si="0"/>
        <v>122.97999999999999</v>
      </c>
      <c r="AQ23" s="46">
        <f t="shared" si="1"/>
        <v>61.489999999999995</v>
      </c>
      <c r="AR23" s="67">
        <f t="shared" ref="AR23" si="3">AQ23/H23</f>
        <v>6.1489999999999991</v>
      </c>
    </row>
    <row r="24" spans="1:44" x14ac:dyDescent="0.3">
      <c r="A24" s="5">
        <v>23</v>
      </c>
      <c r="B24" s="6" t="s">
        <v>49</v>
      </c>
      <c r="C24" s="6" t="s">
        <v>142</v>
      </c>
      <c r="D24" s="6" t="s">
        <v>128</v>
      </c>
      <c r="E24" s="6" t="s">
        <v>12</v>
      </c>
      <c r="F24" s="6" t="s">
        <v>13</v>
      </c>
      <c r="G24" s="6" t="s">
        <v>35</v>
      </c>
      <c r="H24" s="5">
        <v>5</v>
      </c>
      <c r="I24" s="67" t="s">
        <v>163</v>
      </c>
      <c r="J24" s="45">
        <v>2.83</v>
      </c>
      <c r="K24" s="45">
        <v>16.88</v>
      </c>
      <c r="L24" s="46">
        <v>18.149999999999999</v>
      </c>
      <c r="M24" s="46">
        <v>9.81</v>
      </c>
      <c r="N24" s="46">
        <v>4.07</v>
      </c>
      <c r="O24" s="46">
        <v>23.29</v>
      </c>
      <c r="P24" s="46">
        <v>0</v>
      </c>
      <c r="Q24" s="46">
        <v>18.54</v>
      </c>
      <c r="R24" s="46">
        <v>9.5500000000000007</v>
      </c>
      <c r="S24" s="46">
        <v>3.85</v>
      </c>
      <c r="T24" s="46">
        <v>25.91</v>
      </c>
      <c r="U24" s="46">
        <v>18.03</v>
      </c>
      <c r="V24" s="46">
        <v>13.13</v>
      </c>
      <c r="W24" s="46">
        <v>0</v>
      </c>
      <c r="X24" s="46">
        <v>0</v>
      </c>
      <c r="Y24" s="46">
        <v>11.13</v>
      </c>
      <c r="Z24" s="46">
        <v>20.43</v>
      </c>
      <c r="AA24" s="46">
        <v>7.79</v>
      </c>
      <c r="AB24" s="53">
        <v>20.43</v>
      </c>
      <c r="AC24" s="60">
        <v>8.52</v>
      </c>
      <c r="AD24" s="60">
        <v>2.1800000000000002</v>
      </c>
      <c r="AE24" s="60">
        <v>13.66</v>
      </c>
      <c r="AF24" s="60">
        <v>11.44</v>
      </c>
      <c r="AG24" s="54">
        <v>6.53</v>
      </c>
      <c r="AH24" s="46">
        <v>10.94</v>
      </c>
      <c r="AI24" s="46">
        <v>5.33</v>
      </c>
      <c r="AJ24" s="46">
        <v>6.16</v>
      </c>
      <c r="AK24" s="46">
        <v>9.2200000000000006</v>
      </c>
      <c r="AL24" s="46">
        <v>10.37</v>
      </c>
      <c r="AM24" s="46">
        <v>12.65</v>
      </c>
      <c r="AN24" s="46">
        <v>10.07</v>
      </c>
      <c r="AO24" s="46"/>
      <c r="AP24" s="46">
        <f t="shared" si="0"/>
        <v>330.89</v>
      </c>
      <c r="AQ24" s="46">
        <f t="shared" si="1"/>
        <v>10.673870967741935</v>
      </c>
      <c r="AR24" s="67">
        <f t="shared" si="2"/>
        <v>2.1347741935483873</v>
      </c>
    </row>
    <row r="25" spans="1:44" x14ac:dyDescent="0.3">
      <c r="A25" s="5">
        <v>24</v>
      </c>
      <c r="B25" s="6" t="s">
        <v>49</v>
      </c>
      <c r="C25" s="6" t="s">
        <v>98</v>
      </c>
      <c r="D25" s="6" t="s">
        <v>18</v>
      </c>
      <c r="E25" s="6" t="s">
        <v>19</v>
      </c>
      <c r="F25" s="6" t="s">
        <v>13</v>
      </c>
      <c r="G25" s="6" t="s">
        <v>14</v>
      </c>
      <c r="H25" s="5">
        <v>5</v>
      </c>
      <c r="I25" s="67" t="s">
        <v>163</v>
      </c>
      <c r="J25" s="45">
        <v>0</v>
      </c>
      <c r="K25" s="45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0</v>
      </c>
      <c r="AA25" s="46">
        <v>0</v>
      </c>
      <c r="AB25" s="46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46">
        <v>0</v>
      </c>
      <c r="AK25" s="46">
        <v>0</v>
      </c>
      <c r="AL25" s="46">
        <v>0</v>
      </c>
      <c r="AM25" s="46">
        <v>0</v>
      </c>
      <c r="AN25" s="46">
        <v>0</v>
      </c>
      <c r="AO25" s="46"/>
      <c r="AP25" s="46">
        <f t="shared" si="0"/>
        <v>0</v>
      </c>
      <c r="AQ25" s="46">
        <f t="shared" si="1"/>
        <v>0</v>
      </c>
      <c r="AR25" s="67">
        <f t="shared" si="2"/>
        <v>0</v>
      </c>
    </row>
    <row r="26" spans="1:44" x14ac:dyDescent="0.3">
      <c r="A26" s="5">
        <v>25</v>
      </c>
      <c r="B26" s="6" t="s">
        <v>49</v>
      </c>
      <c r="C26" s="6" t="s">
        <v>99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10</v>
      </c>
      <c r="I26" s="67" t="s">
        <v>163</v>
      </c>
      <c r="J26" s="45">
        <v>67.91</v>
      </c>
      <c r="K26" s="45">
        <v>56.22</v>
      </c>
      <c r="L26" s="46">
        <v>96.37</v>
      </c>
      <c r="M26" s="46">
        <v>86.16</v>
      </c>
      <c r="N26" s="46">
        <v>84.85</v>
      </c>
      <c r="O26" s="46">
        <v>77.709999999999994</v>
      </c>
      <c r="P26" s="46">
        <v>78.040000000000006</v>
      </c>
      <c r="Q26" s="46">
        <v>75.260000000000005</v>
      </c>
      <c r="R26" s="46">
        <v>76.900000000000006</v>
      </c>
      <c r="S26" s="46">
        <v>54.47</v>
      </c>
      <c r="T26" s="46">
        <v>60.85</v>
      </c>
      <c r="U26" s="46">
        <v>66.22</v>
      </c>
      <c r="V26" s="46">
        <v>73.38</v>
      </c>
      <c r="W26" s="46">
        <v>63.48</v>
      </c>
      <c r="X26" s="46">
        <v>73.569999999999993</v>
      </c>
      <c r="Y26" s="46">
        <v>80.010000000000005</v>
      </c>
      <c r="Z26" s="46">
        <v>66.150000000000006</v>
      </c>
      <c r="AA26" s="46">
        <v>62.55</v>
      </c>
      <c r="AB26" s="53">
        <v>76.13</v>
      </c>
      <c r="AC26" s="60">
        <v>69.349999999999994</v>
      </c>
      <c r="AD26" s="60">
        <v>79.63</v>
      </c>
      <c r="AE26" s="60">
        <v>67.98</v>
      </c>
      <c r="AF26" s="60">
        <v>63.79</v>
      </c>
      <c r="AG26" s="54">
        <v>42.26</v>
      </c>
      <c r="AH26" s="46">
        <v>111</v>
      </c>
      <c r="AI26" s="46">
        <v>102.32</v>
      </c>
      <c r="AJ26" s="46">
        <v>85.12</v>
      </c>
      <c r="AK26" s="46">
        <v>77.63</v>
      </c>
      <c r="AL26" s="46">
        <v>82.03</v>
      </c>
      <c r="AM26" s="46">
        <v>80.540000000000006</v>
      </c>
      <c r="AN26" s="46">
        <v>82.38</v>
      </c>
      <c r="AO26" s="46"/>
      <c r="AP26" s="46">
        <f t="shared" si="0"/>
        <v>2320.2600000000002</v>
      </c>
      <c r="AQ26" s="46">
        <f t="shared" si="1"/>
        <v>74.84709677419356</v>
      </c>
      <c r="AR26" s="67">
        <f t="shared" si="2"/>
        <v>7.4847096774193558</v>
      </c>
    </row>
    <row r="27" spans="1:44" x14ac:dyDescent="0.3">
      <c r="A27" s="5">
        <v>26</v>
      </c>
      <c r="B27" s="6" t="s">
        <v>52</v>
      </c>
      <c r="C27" s="6" t="s">
        <v>100</v>
      </c>
      <c r="D27" s="6" t="s">
        <v>128</v>
      </c>
      <c r="E27" s="6" t="s">
        <v>12</v>
      </c>
      <c r="F27" s="6" t="s">
        <v>13</v>
      </c>
      <c r="G27" s="6" t="s">
        <v>35</v>
      </c>
      <c r="H27" s="5">
        <v>5</v>
      </c>
      <c r="I27" s="67" t="s">
        <v>163</v>
      </c>
      <c r="J27" s="45">
        <v>13.67</v>
      </c>
      <c r="K27" s="45">
        <v>14.83</v>
      </c>
      <c r="L27" s="46">
        <v>8.93</v>
      </c>
      <c r="M27" s="46">
        <v>24.63</v>
      </c>
      <c r="N27" s="46">
        <v>21.97</v>
      </c>
      <c r="O27" s="46">
        <v>17.239999999999998</v>
      </c>
      <c r="P27" s="46">
        <v>0</v>
      </c>
      <c r="Q27" s="46">
        <v>20.43</v>
      </c>
      <c r="R27" s="46">
        <v>26.93</v>
      </c>
      <c r="S27" s="46">
        <v>11.7</v>
      </c>
      <c r="T27" s="46">
        <v>20.58</v>
      </c>
      <c r="U27" s="46">
        <v>10.17</v>
      </c>
      <c r="V27" s="46">
        <v>11</v>
      </c>
      <c r="W27" s="46">
        <v>8.02</v>
      </c>
      <c r="X27" s="46">
        <v>0</v>
      </c>
      <c r="Y27" s="46">
        <v>6.36</v>
      </c>
      <c r="Z27" s="46">
        <v>0</v>
      </c>
      <c r="AA27" s="46">
        <v>18.829999999999998</v>
      </c>
      <c r="AB27" s="53">
        <v>13.06</v>
      </c>
      <c r="AC27" s="60">
        <v>7.87</v>
      </c>
      <c r="AD27" s="60">
        <v>0</v>
      </c>
      <c r="AE27" s="60">
        <v>14.03</v>
      </c>
      <c r="AF27" s="60">
        <v>13.11</v>
      </c>
      <c r="AG27" s="54">
        <v>7.73</v>
      </c>
      <c r="AH27" s="46">
        <v>13.66</v>
      </c>
      <c r="AI27" s="46">
        <v>0</v>
      </c>
      <c r="AJ27" s="46">
        <v>17.07</v>
      </c>
      <c r="AK27" s="46">
        <v>0</v>
      </c>
      <c r="AL27" s="46">
        <v>19.57</v>
      </c>
      <c r="AM27" s="46">
        <v>22.64</v>
      </c>
      <c r="AN27" s="46">
        <v>12.46</v>
      </c>
      <c r="AO27" s="46"/>
      <c r="AP27" s="46">
        <f t="shared" si="0"/>
        <v>376.48999999999995</v>
      </c>
      <c r="AQ27" s="46">
        <f t="shared" si="1"/>
        <v>12.144838709677417</v>
      </c>
      <c r="AR27" s="67">
        <f t="shared" si="2"/>
        <v>2.4289677419354834</v>
      </c>
    </row>
    <row r="28" spans="1:44" x14ac:dyDescent="0.3">
      <c r="A28" s="5">
        <v>27</v>
      </c>
      <c r="B28" s="6" t="s">
        <v>52</v>
      </c>
      <c r="C28" s="6" t="s">
        <v>132</v>
      </c>
      <c r="D28" s="6" t="s">
        <v>128</v>
      </c>
      <c r="E28" s="6" t="s">
        <v>12</v>
      </c>
      <c r="F28" s="6" t="s">
        <v>13</v>
      </c>
      <c r="G28" s="6" t="s">
        <v>35</v>
      </c>
      <c r="H28" s="5">
        <v>5</v>
      </c>
      <c r="I28" s="67" t="s">
        <v>163</v>
      </c>
      <c r="J28" s="45">
        <v>0</v>
      </c>
      <c r="K28" s="45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53">
        <v>0</v>
      </c>
      <c r="AC28" s="60">
        <v>0</v>
      </c>
      <c r="AD28" s="62">
        <v>0</v>
      </c>
      <c r="AE28" s="60">
        <v>0</v>
      </c>
      <c r="AF28" s="60">
        <v>0</v>
      </c>
      <c r="AG28" s="54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v>0</v>
      </c>
      <c r="AO28" s="46"/>
      <c r="AP28" s="46">
        <f t="shared" si="0"/>
        <v>0</v>
      </c>
      <c r="AQ28" s="46">
        <f t="shared" si="1"/>
        <v>0</v>
      </c>
      <c r="AR28" s="67">
        <f t="shared" si="2"/>
        <v>0</v>
      </c>
    </row>
    <row r="29" spans="1:44" x14ac:dyDescent="0.3">
      <c r="A29" s="5">
        <v>28</v>
      </c>
      <c r="B29" s="6" t="s">
        <v>134</v>
      </c>
      <c r="C29" s="6" t="s">
        <v>133</v>
      </c>
      <c r="D29" s="6" t="s">
        <v>128</v>
      </c>
      <c r="E29" s="6" t="s">
        <v>12</v>
      </c>
      <c r="F29" s="6" t="s">
        <v>13</v>
      </c>
      <c r="G29" s="6" t="s">
        <v>35</v>
      </c>
      <c r="H29" s="5">
        <v>5</v>
      </c>
      <c r="I29" s="67" t="s">
        <v>163</v>
      </c>
      <c r="J29" s="45">
        <v>40.619999999999997</v>
      </c>
      <c r="K29" s="45">
        <v>25.23</v>
      </c>
      <c r="L29" s="46">
        <v>42.99</v>
      </c>
      <c r="M29" s="46">
        <v>33.270000000000003</v>
      </c>
      <c r="N29" s="46">
        <v>34.39</v>
      </c>
      <c r="O29" s="46">
        <v>42.07</v>
      </c>
      <c r="P29" s="46">
        <v>29.81</v>
      </c>
      <c r="Q29" s="46">
        <v>45.5</v>
      </c>
      <c r="R29" s="46">
        <v>22.7</v>
      </c>
      <c r="S29" s="46">
        <v>34.06</v>
      </c>
      <c r="T29" s="46">
        <v>20.74</v>
      </c>
      <c r="U29" s="46">
        <v>25.83</v>
      </c>
      <c r="V29" s="46">
        <v>17.489999999999998</v>
      </c>
      <c r="W29" s="46">
        <v>38.479999999999997</v>
      </c>
      <c r="X29" s="46">
        <v>26.57</v>
      </c>
      <c r="Y29" s="46">
        <v>31.43</v>
      </c>
      <c r="Z29" s="46">
        <v>32.94</v>
      </c>
      <c r="AA29" s="46">
        <v>31.14</v>
      </c>
      <c r="AB29" s="53">
        <v>29.17</v>
      </c>
      <c r="AC29" s="60">
        <v>16.920000000000002</v>
      </c>
      <c r="AD29" s="60">
        <v>35.26</v>
      </c>
      <c r="AE29" s="60">
        <v>28.53</v>
      </c>
      <c r="AF29" s="60">
        <v>17.34</v>
      </c>
      <c r="AG29" s="54">
        <v>22.7</v>
      </c>
      <c r="AH29" s="46">
        <v>26.66</v>
      </c>
      <c r="AI29" s="46">
        <v>44.92</v>
      </c>
      <c r="AJ29" s="46">
        <v>24.37</v>
      </c>
      <c r="AK29" s="46">
        <v>44.61</v>
      </c>
      <c r="AL29" s="46">
        <v>25.59</v>
      </c>
      <c r="AM29" s="46">
        <v>30.57</v>
      </c>
      <c r="AN29" s="46">
        <v>34.76</v>
      </c>
      <c r="AO29" s="46"/>
      <c r="AP29" s="46">
        <f t="shared" si="0"/>
        <v>956.66</v>
      </c>
      <c r="AQ29" s="46">
        <f t="shared" si="1"/>
        <v>30.86</v>
      </c>
      <c r="AR29" s="67">
        <f t="shared" si="2"/>
        <v>6.1719999999999997</v>
      </c>
    </row>
    <row r="30" spans="1:44" x14ac:dyDescent="0.3">
      <c r="A30" s="5">
        <v>29</v>
      </c>
      <c r="B30" s="6" t="s">
        <v>55</v>
      </c>
      <c r="C30" s="6" t="s">
        <v>56</v>
      </c>
      <c r="D30" s="6" t="s">
        <v>57</v>
      </c>
      <c r="E30" s="6" t="s">
        <v>12</v>
      </c>
      <c r="F30" s="6" t="s">
        <v>13</v>
      </c>
      <c r="G30" s="6" t="s">
        <v>35</v>
      </c>
      <c r="H30" s="5">
        <v>40</v>
      </c>
      <c r="I30" s="67" t="s">
        <v>163</v>
      </c>
      <c r="J30" s="45">
        <v>270.33999999999997</v>
      </c>
      <c r="K30" s="45">
        <v>364.5</v>
      </c>
      <c r="L30" s="46">
        <v>538.82000000000005</v>
      </c>
      <c r="M30" s="46">
        <v>537.36</v>
      </c>
      <c r="N30" s="46">
        <v>501.22</v>
      </c>
      <c r="O30" s="46">
        <v>514.70000000000005</v>
      </c>
      <c r="P30" s="46">
        <v>540.13</v>
      </c>
      <c r="Q30" s="46">
        <v>379.31</v>
      </c>
      <c r="R30" s="46">
        <v>171.21</v>
      </c>
      <c r="S30" s="46">
        <v>478.4</v>
      </c>
      <c r="T30" s="46">
        <v>498.15</v>
      </c>
      <c r="U30" s="46">
        <v>467.71</v>
      </c>
      <c r="V30" s="46">
        <v>548.26</v>
      </c>
      <c r="W30" s="46">
        <v>504.88</v>
      </c>
      <c r="X30" s="46">
        <v>195.85</v>
      </c>
      <c r="Y30" s="46">
        <v>364.75</v>
      </c>
      <c r="Z30" s="46">
        <v>530.98</v>
      </c>
      <c r="AA30" s="46">
        <v>485.39</v>
      </c>
      <c r="AB30" s="53">
        <v>418.34</v>
      </c>
      <c r="AC30" s="60">
        <v>491.2</v>
      </c>
      <c r="AD30" s="60">
        <v>361.57</v>
      </c>
      <c r="AE30" s="60">
        <v>530.82000000000005</v>
      </c>
      <c r="AF30" s="60">
        <v>161.81</v>
      </c>
      <c r="AG30" s="54">
        <v>509.65</v>
      </c>
      <c r="AH30" s="46">
        <v>495.03</v>
      </c>
      <c r="AI30" s="46">
        <v>528.30999999999995</v>
      </c>
      <c r="AJ30" s="46">
        <v>610.86</v>
      </c>
      <c r="AK30" s="46">
        <v>597.49</v>
      </c>
      <c r="AL30" s="46">
        <v>234.19</v>
      </c>
      <c r="AM30" s="46">
        <v>278.01</v>
      </c>
      <c r="AN30" s="46">
        <v>490.85</v>
      </c>
      <c r="AO30" s="46"/>
      <c r="AP30" s="46">
        <f t="shared" si="0"/>
        <v>13600.09</v>
      </c>
      <c r="AQ30" s="46">
        <f t="shared" si="1"/>
        <v>438.71258064516127</v>
      </c>
      <c r="AR30" s="67">
        <f t="shared" si="2"/>
        <v>10.967814516129032</v>
      </c>
    </row>
    <row r="31" spans="1:44" x14ac:dyDescent="0.3">
      <c r="A31" s="5">
        <v>30</v>
      </c>
      <c r="B31" s="6" t="s">
        <v>58</v>
      </c>
      <c r="C31" s="6" t="s">
        <v>59</v>
      </c>
      <c r="D31" s="6" t="s">
        <v>30</v>
      </c>
      <c r="E31" s="6" t="s">
        <v>19</v>
      </c>
      <c r="F31" s="6" t="s">
        <v>13</v>
      </c>
      <c r="G31" s="6" t="s">
        <v>14</v>
      </c>
      <c r="H31" s="5">
        <v>6</v>
      </c>
      <c r="I31" s="67" t="s">
        <v>163</v>
      </c>
      <c r="J31" s="45">
        <v>0</v>
      </c>
      <c r="K31" s="45">
        <v>0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53">
        <v>0</v>
      </c>
      <c r="AC31" s="60">
        <v>0</v>
      </c>
      <c r="AD31" s="60">
        <v>0</v>
      </c>
      <c r="AE31" s="60">
        <v>0</v>
      </c>
      <c r="AF31" s="60">
        <v>0</v>
      </c>
      <c r="AG31" s="54">
        <v>1E-3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>
        <v>0</v>
      </c>
      <c r="AO31" s="46"/>
      <c r="AP31" s="46">
        <f t="shared" si="0"/>
        <v>1E-3</v>
      </c>
      <c r="AQ31" s="46">
        <f t="shared" si="1"/>
        <v>3.2258064516129034E-5</v>
      </c>
      <c r="AR31" s="67">
        <f t="shared" si="2"/>
        <v>5.3763440860215059E-6</v>
      </c>
    </row>
    <row r="32" spans="1:44" x14ac:dyDescent="0.3">
      <c r="A32" s="5">
        <v>31</v>
      </c>
      <c r="B32" s="6" t="s">
        <v>58</v>
      </c>
      <c r="C32" s="6" t="s">
        <v>101</v>
      </c>
      <c r="D32" s="6" t="s">
        <v>61</v>
      </c>
      <c r="E32" s="6" t="s">
        <v>12</v>
      </c>
      <c r="F32" s="6" t="s">
        <v>13</v>
      </c>
      <c r="G32" s="6" t="s">
        <v>35</v>
      </c>
      <c r="H32" s="5">
        <v>3</v>
      </c>
      <c r="I32" s="67" t="s">
        <v>163</v>
      </c>
      <c r="J32" s="45">
        <v>57.64</v>
      </c>
      <c r="K32" s="45">
        <v>69.599999999999994</v>
      </c>
      <c r="L32" s="46">
        <v>59.19</v>
      </c>
      <c r="M32" s="46">
        <v>68.2</v>
      </c>
      <c r="N32" s="46">
        <v>57.71</v>
      </c>
      <c r="O32" s="46">
        <v>80.430000000000007</v>
      </c>
      <c r="P32" s="46">
        <v>66.459999999999994</v>
      </c>
      <c r="Q32" s="46">
        <v>72.23</v>
      </c>
      <c r="R32" s="46">
        <v>76.31</v>
      </c>
      <c r="S32" s="46">
        <v>68.33</v>
      </c>
      <c r="T32" s="46">
        <v>84.43</v>
      </c>
      <c r="U32" s="46">
        <v>59.66</v>
      </c>
      <c r="V32" s="46">
        <v>68.59</v>
      </c>
      <c r="W32" s="46">
        <v>69.989999999999995</v>
      </c>
      <c r="X32" s="46">
        <v>59.12</v>
      </c>
      <c r="Y32" s="46">
        <v>54.13</v>
      </c>
      <c r="Z32" s="46">
        <v>54.85</v>
      </c>
      <c r="AA32" s="46">
        <v>74.61</v>
      </c>
      <c r="AB32" s="53">
        <v>73.16</v>
      </c>
      <c r="AC32" s="60">
        <v>62.27</v>
      </c>
      <c r="AD32" s="60">
        <v>60.09</v>
      </c>
      <c r="AE32" s="60">
        <v>74.56</v>
      </c>
      <c r="AF32" s="60">
        <v>58.66</v>
      </c>
      <c r="AG32" s="54">
        <v>63.7</v>
      </c>
      <c r="AH32" s="46">
        <v>55.34</v>
      </c>
      <c r="AI32" s="46">
        <v>72.91</v>
      </c>
      <c r="AJ32" s="46">
        <v>79.81</v>
      </c>
      <c r="AK32" s="46">
        <v>75.760000000000005</v>
      </c>
      <c r="AL32" s="46">
        <v>56.14</v>
      </c>
      <c r="AM32" s="46">
        <v>56.22</v>
      </c>
      <c r="AN32" s="46">
        <v>60.44</v>
      </c>
      <c r="AO32" s="46"/>
      <c r="AP32" s="46">
        <f t="shared" si="0"/>
        <v>2050.54</v>
      </c>
      <c r="AQ32" s="46">
        <f t="shared" si="1"/>
        <v>66.146451612903221</v>
      </c>
      <c r="AR32" s="67">
        <f t="shared" si="2"/>
        <v>22.048817204301074</v>
      </c>
    </row>
    <row r="33" spans="1:44" x14ac:dyDescent="0.3">
      <c r="A33" s="5">
        <v>32</v>
      </c>
      <c r="B33" s="6" t="s">
        <v>58</v>
      </c>
      <c r="C33" s="6" t="s">
        <v>102</v>
      </c>
      <c r="D33" s="6" t="s">
        <v>61</v>
      </c>
      <c r="E33" s="6" t="s">
        <v>12</v>
      </c>
      <c r="F33" s="6" t="s">
        <v>13</v>
      </c>
      <c r="G33" s="6" t="s">
        <v>35</v>
      </c>
      <c r="H33" s="5">
        <v>9</v>
      </c>
      <c r="I33" s="67" t="s">
        <v>163</v>
      </c>
      <c r="J33" s="45">
        <v>141.80000000000001</v>
      </c>
      <c r="K33" s="45">
        <v>187.2</v>
      </c>
      <c r="L33" s="46">
        <v>185.43</v>
      </c>
      <c r="M33" s="46">
        <v>175.71</v>
      </c>
      <c r="N33" s="46">
        <v>140.13</v>
      </c>
      <c r="O33" s="46">
        <v>132.58000000000001</v>
      </c>
      <c r="P33" s="46">
        <v>214.57</v>
      </c>
      <c r="Q33" s="46">
        <v>154.5</v>
      </c>
      <c r="R33" s="46">
        <v>190.36</v>
      </c>
      <c r="S33" s="46">
        <v>174.99</v>
      </c>
      <c r="T33" s="46">
        <v>175.21</v>
      </c>
      <c r="U33" s="46">
        <v>229.43</v>
      </c>
      <c r="V33" s="46">
        <v>238.89</v>
      </c>
      <c r="W33" s="46">
        <v>216.83</v>
      </c>
      <c r="X33" s="46">
        <v>222</v>
      </c>
      <c r="Y33" s="46">
        <v>124.6</v>
      </c>
      <c r="Z33" s="46">
        <v>165.66</v>
      </c>
      <c r="AA33" s="46">
        <v>161.19</v>
      </c>
      <c r="AB33" s="53">
        <v>157.43</v>
      </c>
      <c r="AC33" s="60">
        <v>118.49</v>
      </c>
      <c r="AD33" s="60">
        <v>165.72</v>
      </c>
      <c r="AE33" s="60">
        <v>163.94</v>
      </c>
      <c r="AF33" s="60">
        <v>148.43</v>
      </c>
      <c r="AG33" s="54">
        <v>139.57</v>
      </c>
      <c r="AH33" s="46">
        <v>179.14</v>
      </c>
      <c r="AI33" s="46">
        <v>149.80000000000001</v>
      </c>
      <c r="AJ33" s="46">
        <v>140.19</v>
      </c>
      <c r="AK33" s="46">
        <v>213.45</v>
      </c>
      <c r="AL33" s="46">
        <v>170.92</v>
      </c>
      <c r="AM33" s="46">
        <v>121.15</v>
      </c>
      <c r="AN33" s="46">
        <v>162.5</v>
      </c>
      <c r="AO33" s="46"/>
      <c r="AP33" s="46">
        <f t="shared" si="0"/>
        <v>5261.8099999999986</v>
      </c>
      <c r="AQ33" s="46">
        <f t="shared" si="1"/>
        <v>169.73580645161286</v>
      </c>
      <c r="AR33" s="67">
        <f t="shared" si="2"/>
        <v>18.859534050179207</v>
      </c>
    </row>
    <row r="34" spans="1:44" x14ac:dyDescent="0.3">
      <c r="A34" s="5">
        <v>33</v>
      </c>
      <c r="B34" s="6" t="s">
        <v>58</v>
      </c>
      <c r="C34" s="6" t="s">
        <v>103</v>
      </c>
      <c r="D34" s="6" t="s">
        <v>63</v>
      </c>
      <c r="E34" s="6" t="s">
        <v>19</v>
      </c>
      <c r="F34" s="6" t="s">
        <v>64</v>
      </c>
      <c r="G34" s="12" t="s">
        <v>35</v>
      </c>
      <c r="H34" s="5">
        <v>1</v>
      </c>
      <c r="I34" s="67" t="s">
        <v>163</v>
      </c>
      <c r="J34" s="45">
        <v>0</v>
      </c>
      <c r="K34" s="45">
        <v>0</v>
      </c>
      <c r="L34" s="45">
        <v>0</v>
      </c>
      <c r="M34" s="46">
        <v>0</v>
      </c>
      <c r="N34" s="46">
        <v>0</v>
      </c>
      <c r="O34" s="46">
        <v>0</v>
      </c>
      <c r="P34" s="46">
        <v>0</v>
      </c>
      <c r="Q34" s="46">
        <v>5.46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53">
        <v>0</v>
      </c>
      <c r="AC34" s="60">
        <v>0</v>
      </c>
      <c r="AD34" s="60">
        <v>0</v>
      </c>
      <c r="AE34" s="60">
        <v>0</v>
      </c>
      <c r="AF34" s="60">
        <v>0</v>
      </c>
      <c r="AG34" s="54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>
        <v>0.73</v>
      </c>
      <c r="AO34" s="46"/>
      <c r="AP34" s="46">
        <f t="shared" si="0"/>
        <v>6.1899999999999995</v>
      </c>
      <c r="AQ34" s="46">
        <f t="shared" si="1"/>
        <v>0.19967741935483868</v>
      </c>
      <c r="AR34" s="67">
        <f t="shared" si="2"/>
        <v>0.19967741935483868</v>
      </c>
    </row>
    <row r="35" spans="1:44" x14ac:dyDescent="0.3">
      <c r="A35" s="5">
        <v>34</v>
      </c>
      <c r="B35" s="6" t="s">
        <v>58</v>
      </c>
      <c r="C35" s="6" t="s">
        <v>149</v>
      </c>
      <c r="D35" s="6" t="s">
        <v>128</v>
      </c>
      <c r="E35" s="6" t="s">
        <v>12</v>
      </c>
      <c r="F35" s="6" t="s">
        <v>13</v>
      </c>
      <c r="G35" s="12" t="s">
        <v>35</v>
      </c>
      <c r="H35" s="5">
        <v>7</v>
      </c>
      <c r="I35" s="67" t="s">
        <v>163</v>
      </c>
      <c r="J35" s="45">
        <v>215.96</v>
      </c>
      <c r="K35" s="45">
        <v>176.84</v>
      </c>
      <c r="L35" s="46">
        <v>217.42</v>
      </c>
      <c r="M35" s="46">
        <v>211.87</v>
      </c>
      <c r="N35" s="46">
        <v>217.88</v>
      </c>
      <c r="O35" s="46">
        <v>183.55</v>
      </c>
      <c r="P35" s="46">
        <v>180.63</v>
      </c>
      <c r="Q35" s="46">
        <v>193.43</v>
      </c>
      <c r="R35" s="46">
        <v>190.74</v>
      </c>
      <c r="S35" s="46">
        <v>190.17</v>
      </c>
      <c r="T35" s="46">
        <v>162.28</v>
      </c>
      <c r="U35" s="46">
        <v>177.18</v>
      </c>
      <c r="V35" s="46">
        <v>149.85</v>
      </c>
      <c r="W35" s="46">
        <v>191.96</v>
      </c>
      <c r="X35" s="46">
        <v>203.95</v>
      </c>
      <c r="Y35" s="46">
        <v>208.23</v>
      </c>
      <c r="Z35" s="46">
        <v>149.74</v>
      </c>
      <c r="AA35" s="46">
        <v>150.09</v>
      </c>
      <c r="AB35" s="53">
        <v>166.26</v>
      </c>
      <c r="AC35" s="60">
        <v>186.99</v>
      </c>
      <c r="AD35" s="60">
        <v>182.32</v>
      </c>
      <c r="AE35" s="60">
        <v>120.62</v>
      </c>
      <c r="AF35" s="60">
        <v>164.56</v>
      </c>
      <c r="AG35" s="54">
        <v>149.05000000000001</v>
      </c>
      <c r="AH35" s="46">
        <v>118.96</v>
      </c>
      <c r="AI35" s="46">
        <v>130.83000000000001</v>
      </c>
      <c r="AJ35" s="46">
        <v>128.54</v>
      </c>
      <c r="AK35" s="46">
        <v>144.57</v>
      </c>
      <c r="AL35" s="46">
        <v>151.97</v>
      </c>
      <c r="AM35" s="46">
        <v>177.06</v>
      </c>
      <c r="AN35" s="46">
        <v>165.15</v>
      </c>
      <c r="AO35" s="46"/>
      <c r="AP35" s="46">
        <f t="shared" si="0"/>
        <v>5358.6500000000005</v>
      </c>
      <c r="AQ35" s="46">
        <f t="shared" si="1"/>
        <v>172.85967741935485</v>
      </c>
      <c r="AR35" s="67">
        <f t="shared" si="2"/>
        <v>24.694239631336409</v>
      </c>
    </row>
    <row r="36" spans="1:44" x14ac:dyDescent="0.3">
      <c r="A36" s="5">
        <v>35</v>
      </c>
      <c r="B36" s="6" t="s">
        <v>65</v>
      </c>
      <c r="C36" s="6" t="s">
        <v>66</v>
      </c>
      <c r="D36" s="6" t="s">
        <v>67</v>
      </c>
      <c r="E36" s="6" t="s">
        <v>12</v>
      </c>
      <c r="F36" s="6" t="s">
        <v>13</v>
      </c>
      <c r="G36" s="6" t="s">
        <v>14</v>
      </c>
      <c r="H36" s="5">
        <f>111-6</f>
        <v>105</v>
      </c>
      <c r="I36" s="67" t="s">
        <v>160</v>
      </c>
      <c r="J36" s="45">
        <v>0</v>
      </c>
      <c r="K36" s="45">
        <v>0</v>
      </c>
      <c r="L36" s="46">
        <v>0</v>
      </c>
      <c r="M36" s="46">
        <v>7.0999999999999994E-2</v>
      </c>
      <c r="N36" s="46">
        <v>1.776</v>
      </c>
      <c r="O36" s="46">
        <v>1.0999999999999999E-2</v>
      </c>
      <c r="P36" s="59">
        <v>0</v>
      </c>
      <c r="Q36" s="46">
        <v>0</v>
      </c>
      <c r="R36" s="46">
        <v>0</v>
      </c>
      <c r="S36" s="46">
        <v>5.4509999999999996</v>
      </c>
      <c r="T36" s="46">
        <v>0.86199999999999999</v>
      </c>
      <c r="U36" s="46">
        <v>0</v>
      </c>
      <c r="V36" s="46">
        <v>0</v>
      </c>
      <c r="W36" s="46">
        <v>0</v>
      </c>
      <c r="X36" s="46">
        <v>2.1640000000000001</v>
      </c>
      <c r="Y36" s="46">
        <v>0</v>
      </c>
      <c r="Z36" s="46">
        <v>0</v>
      </c>
      <c r="AA36" s="46">
        <v>0</v>
      </c>
      <c r="AB36" s="53">
        <v>0</v>
      </c>
      <c r="AC36" s="60">
        <v>0</v>
      </c>
      <c r="AD36" s="60">
        <v>0</v>
      </c>
      <c r="AE36" s="60">
        <v>0</v>
      </c>
      <c r="AF36" s="60">
        <v>1E-3</v>
      </c>
      <c r="AG36" s="54">
        <v>7.1959999999999997</v>
      </c>
      <c r="AH36" s="46">
        <v>0</v>
      </c>
      <c r="AI36" s="46">
        <v>0</v>
      </c>
      <c r="AJ36" s="46">
        <v>4.2839999999999998</v>
      </c>
      <c r="AK36" s="46">
        <v>0</v>
      </c>
      <c r="AL36" s="46">
        <v>4.1749999999999998</v>
      </c>
      <c r="AM36" s="46">
        <v>8.7929999999999993</v>
      </c>
      <c r="AN36" s="46">
        <v>0</v>
      </c>
      <c r="AO36" s="46"/>
      <c r="AP36" s="46">
        <f t="shared" si="0"/>
        <v>34.783999999999992</v>
      </c>
      <c r="AQ36" s="46">
        <f t="shared" si="1"/>
        <v>1.1220645161290319</v>
      </c>
      <c r="AR36" s="67">
        <f t="shared" si="2"/>
        <v>1.0686328725038399E-2</v>
      </c>
    </row>
    <row r="37" spans="1:44" x14ac:dyDescent="0.3">
      <c r="A37" s="5">
        <v>36</v>
      </c>
      <c r="B37" s="6" t="s">
        <v>65</v>
      </c>
      <c r="C37" s="6" t="s">
        <v>166</v>
      </c>
      <c r="D37" s="6" t="s">
        <v>69</v>
      </c>
      <c r="E37" s="6" t="s">
        <v>12</v>
      </c>
      <c r="F37" s="6" t="s">
        <v>40</v>
      </c>
      <c r="G37" s="6" t="s">
        <v>35</v>
      </c>
      <c r="H37" s="5">
        <v>2</v>
      </c>
      <c r="I37" s="67" t="s">
        <v>160</v>
      </c>
      <c r="J37" s="45">
        <v>0</v>
      </c>
      <c r="K37" s="45">
        <v>0</v>
      </c>
      <c r="L37" s="45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53">
        <v>0</v>
      </c>
      <c r="AC37" s="60">
        <v>0</v>
      </c>
      <c r="AD37" s="60">
        <v>0</v>
      </c>
      <c r="AE37" s="60">
        <v>0</v>
      </c>
      <c r="AF37" s="60">
        <v>0</v>
      </c>
      <c r="AG37" s="54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/>
      <c r="AP37" s="46">
        <f t="shared" si="0"/>
        <v>0</v>
      </c>
      <c r="AQ37" s="46">
        <f t="shared" si="1"/>
        <v>0</v>
      </c>
      <c r="AR37" s="67">
        <f t="shared" si="2"/>
        <v>0</v>
      </c>
    </row>
    <row r="38" spans="1:44" x14ac:dyDescent="0.3">
      <c r="A38" s="5">
        <v>37</v>
      </c>
      <c r="B38" s="6" t="s">
        <v>65</v>
      </c>
      <c r="C38" s="6" t="s">
        <v>70</v>
      </c>
      <c r="D38" s="6"/>
      <c r="E38" s="6" t="s">
        <v>12</v>
      </c>
      <c r="F38" s="6" t="s">
        <v>13</v>
      </c>
      <c r="G38" s="6" t="s">
        <v>14</v>
      </c>
      <c r="H38" s="5">
        <v>82</v>
      </c>
      <c r="I38" s="67" t="s">
        <v>160</v>
      </c>
      <c r="J38" s="45">
        <v>16.259</v>
      </c>
      <c r="K38" s="45">
        <v>0</v>
      </c>
      <c r="L38" s="46">
        <v>0.315</v>
      </c>
      <c r="M38" s="46">
        <v>11.356999999999999</v>
      </c>
      <c r="N38" s="46">
        <v>5.867</v>
      </c>
      <c r="O38" s="46">
        <v>0</v>
      </c>
      <c r="P38" s="46">
        <v>0</v>
      </c>
      <c r="Q38" s="46">
        <v>13.06</v>
      </c>
      <c r="R38" s="46">
        <v>0</v>
      </c>
      <c r="S38" s="46">
        <v>6.2560000000000002</v>
      </c>
      <c r="T38" s="46">
        <v>19.07</v>
      </c>
      <c r="U38" s="46">
        <v>6.1440000000000001</v>
      </c>
      <c r="V38" s="46">
        <v>0</v>
      </c>
      <c r="W38" s="46">
        <v>0</v>
      </c>
      <c r="X38" s="46">
        <v>0</v>
      </c>
      <c r="Y38" s="46">
        <v>23.817</v>
      </c>
      <c r="Z38" s="46">
        <v>4.5999999999999999E-2</v>
      </c>
      <c r="AA38" s="46">
        <v>0</v>
      </c>
      <c r="AB38" s="53">
        <v>0.255</v>
      </c>
      <c r="AC38" s="60">
        <v>0</v>
      </c>
      <c r="AD38" s="60">
        <v>0</v>
      </c>
      <c r="AE38" s="60">
        <v>13.897</v>
      </c>
      <c r="AF38" s="60">
        <v>11.92</v>
      </c>
      <c r="AG38" s="54">
        <v>7.12</v>
      </c>
      <c r="AH38" s="46">
        <v>3.3000000000000002E-2</v>
      </c>
      <c r="AI38" s="46">
        <v>0</v>
      </c>
      <c r="AJ38" s="46">
        <v>7.9000000000000001E-2</v>
      </c>
      <c r="AK38" s="46">
        <v>0</v>
      </c>
      <c r="AL38" s="46">
        <v>11.321999999999999</v>
      </c>
      <c r="AM38" s="46">
        <v>13.773999999999999</v>
      </c>
      <c r="AN38" s="46">
        <v>0</v>
      </c>
      <c r="AO38" s="46"/>
      <c r="AP38" s="46">
        <f t="shared" si="0"/>
        <v>160.59100000000001</v>
      </c>
      <c r="AQ38" s="46">
        <f t="shared" si="1"/>
        <v>5.1803548387096781</v>
      </c>
      <c r="AR38" s="67">
        <f t="shared" si="2"/>
        <v>6.317505900865461E-2</v>
      </c>
    </row>
    <row r="39" spans="1:44" x14ac:dyDescent="0.3">
      <c r="A39" s="5">
        <v>38</v>
      </c>
      <c r="B39" s="6" t="s">
        <v>65</v>
      </c>
      <c r="C39" s="6" t="s">
        <v>71</v>
      </c>
      <c r="D39" s="6" t="s">
        <v>30</v>
      </c>
      <c r="E39" s="6" t="s">
        <v>12</v>
      </c>
      <c r="F39" s="6" t="s">
        <v>13</v>
      </c>
      <c r="G39" s="6" t="s">
        <v>35</v>
      </c>
      <c r="H39" s="5">
        <v>5</v>
      </c>
      <c r="I39" s="67" t="s">
        <v>163</v>
      </c>
      <c r="J39" s="45">
        <v>30.48</v>
      </c>
      <c r="K39" s="45">
        <v>71.900000000000006</v>
      </c>
      <c r="L39" s="46">
        <v>84.4</v>
      </c>
      <c r="M39" s="46">
        <v>65.55</v>
      </c>
      <c r="N39" s="46">
        <v>60.82</v>
      </c>
      <c r="O39" s="46">
        <v>45.59</v>
      </c>
      <c r="P39" s="46">
        <v>40.520000000000003</v>
      </c>
      <c r="Q39" s="46">
        <v>73.489999999999995</v>
      </c>
      <c r="R39" s="46">
        <v>55.18</v>
      </c>
      <c r="S39" s="46">
        <v>62.96</v>
      </c>
      <c r="T39" s="46">
        <v>50.26</v>
      </c>
      <c r="U39" s="46">
        <v>50.67</v>
      </c>
      <c r="V39" s="46">
        <v>46.81</v>
      </c>
      <c r="W39" s="46">
        <v>60.62</v>
      </c>
      <c r="X39" s="46">
        <v>49.26</v>
      </c>
      <c r="Y39" s="46">
        <v>58.96</v>
      </c>
      <c r="Z39" s="46">
        <v>58.5</v>
      </c>
      <c r="AA39" s="46">
        <v>77.03</v>
      </c>
      <c r="AB39" s="53">
        <v>66.73</v>
      </c>
      <c r="AC39" s="60">
        <v>59.09</v>
      </c>
      <c r="AD39" s="60">
        <v>53.88</v>
      </c>
      <c r="AE39" s="60">
        <v>74.45</v>
      </c>
      <c r="AF39" s="60">
        <v>54.78</v>
      </c>
      <c r="AG39" s="54">
        <v>56.6</v>
      </c>
      <c r="AH39" s="46">
        <v>63.42</v>
      </c>
      <c r="AI39" s="46">
        <v>33.86</v>
      </c>
      <c r="AJ39" s="46">
        <v>52.12</v>
      </c>
      <c r="AK39" s="46">
        <v>70.62</v>
      </c>
      <c r="AL39" s="46">
        <v>91.04</v>
      </c>
      <c r="AM39" s="46">
        <v>73.31</v>
      </c>
      <c r="AN39" s="46">
        <v>54.34</v>
      </c>
      <c r="AO39" s="46"/>
      <c r="AP39" s="46">
        <f t="shared" si="0"/>
        <v>1847.2399999999996</v>
      </c>
      <c r="AQ39" s="46">
        <f t="shared" si="1"/>
        <v>59.588387096774177</v>
      </c>
      <c r="AR39" s="67">
        <f t="shared" si="2"/>
        <v>11.917677419354835</v>
      </c>
    </row>
    <row r="40" spans="1:44" x14ac:dyDescent="0.3">
      <c r="A40" s="5">
        <v>39</v>
      </c>
      <c r="B40" s="6" t="s">
        <v>65</v>
      </c>
      <c r="C40" s="6" t="s">
        <v>74</v>
      </c>
      <c r="D40" s="6" t="s">
        <v>30</v>
      </c>
      <c r="E40" s="6" t="s">
        <v>19</v>
      </c>
      <c r="F40" s="6" t="s">
        <v>13</v>
      </c>
      <c r="G40" s="6" t="s">
        <v>14</v>
      </c>
      <c r="H40" s="5">
        <v>2</v>
      </c>
      <c r="I40" s="67" t="s">
        <v>163</v>
      </c>
      <c r="J40" s="45">
        <v>0</v>
      </c>
      <c r="K40" s="45">
        <v>0</v>
      </c>
      <c r="L40" s="45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53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46">
        <v>0</v>
      </c>
      <c r="AK40" s="46">
        <v>0</v>
      </c>
      <c r="AL40" s="46">
        <v>0</v>
      </c>
      <c r="AM40" s="46">
        <v>0</v>
      </c>
      <c r="AN40" s="46">
        <v>0</v>
      </c>
      <c r="AO40" s="46"/>
      <c r="AP40" s="46">
        <f t="shared" si="0"/>
        <v>0</v>
      </c>
      <c r="AQ40" s="46">
        <f t="shared" si="1"/>
        <v>0</v>
      </c>
      <c r="AR40" s="67">
        <f t="shared" si="2"/>
        <v>0</v>
      </c>
    </row>
    <row r="41" spans="1:44" x14ac:dyDescent="0.3">
      <c r="A41" s="5">
        <v>40</v>
      </c>
      <c r="B41" s="6" t="s">
        <v>65</v>
      </c>
      <c r="C41" s="6" t="s">
        <v>136</v>
      </c>
      <c r="D41" s="6" t="s">
        <v>30</v>
      </c>
      <c r="E41" s="6" t="s">
        <v>12</v>
      </c>
      <c r="F41" s="6" t="s">
        <v>13</v>
      </c>
      <c r="G41" s="6" t="s">
        <v>35</v>
      </c>
      <c r="H41" s="5">
        <v>16</v>
      </c>
      <c r="I41" s="67" t="s">
        <v>163</v>
      </c>
      <c r="J41" s="45">
        <v>7.19</v>
      </c>
      <c r="K41" s="45">
        <v>22.7</v>
      </c>
      <c r="L41" s="46">
        <v>17.260000000000002</v>
      </c>
      <c r="M41" s="46">
        <v>29.79</v>
      </c>
      <c r="N41" s="46">
        <v>24.58</v>
      </c>
      <c r="O41" s="46">
        <v>19.91</v>
      </c>
      <c r="P41" s="46">
        <v>1.7</v>
      </c>
      <c r="Q41" s="46">
        <v>10.59</v>
      </c>
      <c r="R41" s="46">
        <v>14.39</v>
      </c>
      <c r="S41" s="46">
        <v>13.15</v>
      </c>
      <c r="T41" s="46">
        <v>12.73</v>
      </c>
      <c r="U41" s="46">
        <v>17.91</v>
      </c>
      <c r="V41" s="46">
        <v>4.1100000000000003</v>
      </c>
      <c r="W41" s="46">
        <v>13.28</v>
      </c>
      <c r="X41" s="46">
        <v>7.67</v>
      </c>
      <c r="Y41" s="46">
        <v>18.829999999999998</v>
      </c>
      <c r="Z41" s="46">
        <v>12.55</v>
      </c>
      <c r="AA41" s="46">
        <v>17.73</v>
      </c>
      <c r="AB41" s="53">
        <v>12.76</v>
      </c>
      <c r="AC41" s="60">
        <v>17.95</v>
      </c>
      <c r="AD41" s="60">
        <v>0.33</v>
      </c>
      <c r="AE41" s="60">
        <v>18.489999999999998</v>
      </c>
      <c r="AF41" s="60">
        <v>7.45</v>
      </c>
      <c r="AG41" s="54">
        <v>11.01</v>
      </c>
      <c r="AH41" s="46">
        <v>15.58</v>
      </c>
      <c r="AI41" s="46">
        <v>12.18</v>
      </c>
      <c r="AJ41" s="46">
        <v>7.52</v>
      </c>
      <c r="AK41" s="46">
        <v>22</v>
      </c>
      <c r="AL41" s="46">
        <v>11.99</v>
      </c>
      <c r="AM41" s="46">
        <v>31.97</v>
      </c>
      <c r="AN41" s="46">
        <v>24.55</v>
      </c>
      <c r="AO41" s="46"/>
      <c r="AP41" s="46">
        <f t="shared" si="0"/>
        <v>459.84999999999997</v>
      </c>
      <c r="AQ41" s="46">
        <f t="shared" si="1"/>
        <v>14.833870967741934</v>
      </c>
      <c r="AR41" s="67">
        <f t="shared" si="2"/>
        <v>0.92711693548387086</v>
      </c>
    </row>
    <row r="42" spans="1:44" x14ac:dyDescent="0.3">
      <c r="A42" s="5">
        <v>41</v>
      </c>
      <c r="B42" s="6" t="s">
        <v>65</v>
      </c>
      <c r="C42" s="6" t="s">
        <v>76</v>
      </c>
      <c r="D42" s="6" t="s">
        <v>30</v>
      </c>
      <c r="E42" s="6" t="s">
        <v>12</v>
      </c>
      <c r="F42" s="6" t="s">
        <v>13</v>
      </c>
      <c r="G42" s="6" t="s">
        <v>35</v>
      </c>
      <c r="H42" s="5">
        <v>10</v>
      </c>
      <c r="I42" s="67" t="s">
        <v>163</v>
      </c>
      <c r="J42" s="45">
        <v>0.13</v>
      </c>
      <c r="K42" s="45">
        <v>29.61</v>
      </c>
      <c r="L42" s="46">
        <v>40.76</v>
      </c>
      <c r="M42" s="46">
        <v>68.52</v>
      </c>
      <c r="N42" s="46">
        <v>40.340000000000003</v>
      </c>
      <c r="O42" s="46">
        <v>45.42</v>
      </c>
      <c r="P42" s="46">
        <v>33.69</v>
      </c>
      <c r="Q42" s="46">
        <v>22.76</v>
      </c>
      <c r="R42" s="46">
        <v>26.89</v>
      </c>
      <c r="S42" s="46">
        <v>75.959999999999994</v>
      </c>
      <c r="T42" s="46">
        <v>60.86</v>
      </c>
      <c r="U42" s="46">
        <v>55.28</v>
      </c>
      <c r="V42" s="46">
        <v>37.33</v>
      </c>
      <c r="W42" s="46">
        <v>30.74</v>
      </c>
      <c r="X42" s="46">
        <v>7.59</v>
      </c>
      <c r="Y42" s="46">
        <v>29.92</v>
      </c>
      <c r="Z42" s="46">
        <v>39.14</v>
      </c>
      <c r="AA42" s="46">
        <v>21.93</v>
      </c>
      <c r="AB42" s="53">
        <v>15.76</v>
      </c>
      <c r="AC42" s="60">
        <v>18.71</v>
      </c>
      <c r="AD42" s="60">
        <v>16.41</v>
      </c>
      <c r="AE42" s="60">
        <v>8.08</v>
      </c>
      <c r="AF42" s="60">
        <v>0</v>
      </c>
      <c r="AG42" s="54">
        <v>14.03</v>
      </c>
      <c r="AH42" s="46">
        <v>30.93</v>
      </c>
      <c r="AI42" s="46">
        <v>26.22</v>
      </c>
      <c r="AJ42" s="46">
        <v>0.02</v>
      </c>
      <c r="AK42" s="46">
        <v>18.190000000000001</v>
      </c>
      <c r="AL42" s="46">
        <v>21.8</v>
      </c>
      <c r="AM42" s="46">
        <v>43.79</v>
      </c>
      <c r="AN42" s="46">
        <v>37.729999999999997</v>
      </c>
      <c r="AO42" s="46"/>
      <c r="AP42" s="46">
        <f t="shared" si="0"/>
        <v>918.53999999999985</v>
      </c>
      <c r="AQ42" s="46">
        <f t="shared" si="1"/>
        <v>29.630322580645156</v>
      </c>
      <c r="AR42" s="67">
        <f t="shared" si="2"/>
        <v>2.9630322580645156</v>
      </c>
    </row>
    <row r="43" spans="1:44" x14ac:dyDescent="0.3">
      <c r="A43" s="5">
        <v>42</v>
      </c>
      <c r="B43" s="6" t="s">
        <v>65</v>
      </c>
      <c r="C43" s="6" t="s">
        <v>105</v>
      </c>
      <c r="D43" s="6" t="s">
        <v>30</v>
      </c>
      <c r="E43" s="6" t="s">
        <v>12</v>
      </c>
      <c r="F43" s="6" t="s">
        <v>13</v>
      </c>
      <c r="G43" s="6" t="s">
        <v>35</v>
      </c>
      <c r="H43" s="5">
        <v>13</v>
      </c>
      <c r="I43" s="67" t="s">
        <v>163</v>
      </c>
      <c r="J43" s="45">
        <v>0</v>
      </c>
      <c r="K43" s="45">
        <v>0.53</v>
      </c>
      <c r="L43" s="46">
        <v>0.22</v>
      </c>
      <c r="M43" s="46">
        <v>18.78</v>
      </c>
      <c r="N43" s="46">
        <v>24.92</v>
      </c>
      <c r="O43" s="46">
        <v>20.89</v>
      </c>
      <c r="P43" s="46">
        <v>4.6500000000000004</v>
      </c>
      <c r="Q43" s="46">
        <v>20.100000000000001</v>
      </c>
      <c r="R43" s="46">
        <v>11.53</v>
      </c>
      <c r="S43" s="46">
        <v>9.01</v>
      </c>
      <c r="T43" s="46">
        <v>16.53</v>
      </c>
      <c r="U43" s="46">
        <v>0</v>
      </c>
      <c r="V43" s="46">
        <v>0</v>
      </c>
      <c r="W43" s="46">
        <v>0</v>
      </c>
      <c r="X43" s="46">
        <v>0</v>
      </c>
      <c r="Y43" s="46">
        <v>9.8000000000000007</v>
      </c>
      <c r="Z43" s="46">
        <v>5.31</v>
      </c>
      <c r="AA43" s="46">
        <v>10.53</v>
      </c>
      <c r="AB43" s="53">
        <v>7.45</v>
      </c>
      <c r="AC43" s="60">
        <v>8.5299999999999994</v>
      </c>
      <c r="AD43" s="60">
        <v>0</v>
      </c>
      <c r="AE43" s="60">
        <v>1.04</v>
      </c>
      <c r="AF43" s="60">
        <v>7.87</v>
      </c>
      <c r="AG43" s="54">
        <v>4.33</v>
      </c>
      <c r="AH43" s="46">
        <v>7.68</v>
      </c>
      <c r="AI43" s="46">
        <v>0</v>
      </c>
      <c r="AJ43" s="46">
        <v>6.93</v>
      </c>
      <c r="AK43" s="46">
        <v>5.53</v>
      </c>
      <c r="AL43" s="46">
        <v>7.52</v>
      </c>
      <c r="AM43" s="46">
        <v>18.88</v>
      </c>
      <c r="AN43" s="46">
        <v>21.03</v>
      </c>
      <c r="AO43" s="46"/>
      <c r="AP43" s="46">
        <f t="shared" si="0"/>
        <v>249.59000000000003</v>
      </c>
      <c r="AQ43" s="46">
        <f t="shared" si="1"/>
        <v>8.0512903225806465</v>
      </c>
      <c r="AR43" s="67">
        <f t="shared" si="2"/>
        <v>0.61933002481389587</v>
      </c>
    </row>
    <row r="44" spans="1:44" x14ac:dyDescent="0.3">
      <c r="A44" s="5">
        <v>43</v>
      </c>
      <c r="B44" s="6" t="s">
        <v>65</v>
      </c>
      <c r="C44" s="6" t="s">
        <v>106</v>
      </c>
      <c r="D44" s="6" t="s">
        <v>30</v>
      </c>
      <c r="E44" s="6" t="s">
        <v>12</v>
      </c>
      <c r="F44" s="6" t="s">
        <v>13</v>
      </c>
      <c r="G44" s="6" t="s">
        <v>35</v>
      </c>
      <c r="H44" s="5">
        <v>19</v>
      </c>
      <c r="I44" s="67" t="s">
        <v>163</v>
      </c>
      <c r="J44" s="45">
        <v>62.15</v>
      </c>
      <c r="K44" s="45">
        <v>59.21</v>
      </c>
      <c r="L44" s="46">
        <v>61.13</v>
      </c>
      <c r="M44" s="46">
        <v>55.43</v>
      </c>
      <c r="N44" s="46">
        <v>42.75</v>
      </c>
      <c r="O44" s="46">
        <v>70.8</v>
      </c>
      <c r="P44" s="46">
        <v>58.23</v>
      </c>
      <c r="Q44" s="46">
        <v>64.69</v>
      </c>
      <c r="R44" s="46">
        <v>63.32</v>
      </c>
      <c r="S44" s="46">
        <v>57.9</v>
      </c>
      <c r="T44" s="46">
        <v>76.06</v>
      </c>
      <c r="U44" s="46">
        <v>66.42</v>
      </c>
      <c r="V44" s="46">
        <v>25.77</v>
      </c>
      <c r="W44" s="46">
        <v>4.1100000000000003</v>
      </c>
      <c r="X44" s="46">
        <v>0</v>
      </c>
      <c r="Y44" s="46">
        <v>4.1399999999999997</v>
      </c>
      <c r="Z44" s="46">
        <v>4.63</v>
      </c>
      <c r="AA44" s="46">
        <v>4.51</v>
      </c>
      <c r="AB44" s="53">
        <v>0</v>
      </c>
      <c r="AC44" s="60">
        <v>2.65</v>
      </c>
      <c r="AD44" s="62">
        <v>4.0999999999999996</v>
      </c>
      <c r="AE44" s="60">
        <v>4.68</v>
      </c>
      <c r="AF44" s="60">
        <v>4.2</v>
      </c>
      <c r="AG44" s="54">
        <v>3.79</v>
      </c>
      <c r="AH44" s="46">
        <v>4.5199999999999996</v>
      </c>
      <c r="AI44" s="46">
        <v>4.91</v>
      </c>
      <c r="AJ44" s="46">
        <v>3.82</v>
      </c>
      <c r="AK44" s="46">
        <v>3.25</v>
      </c>
      <c r="AL44" s="46">
        <v>4.1100000000000003</v>
      </c>
      <c r="AM44" s="46">
        <v>0</v>
      </c>
      <c r="AN44" s="46">
        <v>4.4400000000000004</v>
      </c>
      <c r="AO44" s="46"/>
      <c r="AP44" s="46">
        <f t="shared" si="0"/>
        <v>825.72</v>
      </c>
      <c r="AQ44" s="46">
        <f t="shared" si="1"/>
        <v>26.636129032258065</v>
      </c>
      <c r="AR44" s="67">
        <f t="shared" si="2"/>
        <v>1.4019015280135825</v>
      </c>
    </row>
    <row r="45" spans="1:44" x14ac:dyDescent="0.3">
      <c r="A45" s="5">
        <v>44</v>
      </c>
      <c r="B45" s="6" t="s">
        <v>65</v>
      </c>
      <c r="C45" s="6" t="s">
        <v>107</v>
      </c>
      <c r="D45" s="6" t="s">
        <v>30</v>
      </c>
      <c r="E45" s="6" t="s">
        <v>19</v>
      </c>
      <c r="F45" s="6" t="s">
        <v>13</v>
      </c>
      <c r="G45" s="6" t="s">
        <v>14</v>
      </c>
      <c r="H45" s="5">
        <v>24</v>
      </c>
      <c r="I45" s="67" t="s">
        <v>163</v>
      </c>
      <c r="J45" s="45">
        <v>0</v>
      </c>
      <c r="K45" s="45">
        <v>0</v>
      </c>
      <c r="L45" s="45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53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/>
      <c r="AP45" s="46">
        <f t="shared" si="0"/>
        <v>0</v>
      </c>
      <c r="AQ45" s="46">
        <f t="shared" si="1"/>
        <v>0</v>
      </c>
      <c r="AR45" s="67">
        <f t="shared" si="2"/>
        <v>0</v>
      </c>
    </row>
    <row r="46" spans="1:44" x14ac:dyDescent="0.3">
      <c r="A46" s="5">
        <v>45</v>
      </c>
      <c r="B46" s="6" t="s">
        <v>65</v>
      </c>
      <c r="C46" s="6" t="s">
        <v>108</v>
      </c>
      <c r="D46" s="6" t="s">
        <v>30</v>
      </c>
      <c r="E46" s="6" t="s">
        <v>19</v>
      </c>
      <c r="F46" s="6" t="s">
        <v>13</v>
      </c>
      <c r="G46" s="6" t="s">
        <v>35</v>
      </c>
      <c r="H46" s="5">
        <v>3</v>
      </c>
      <c r="I46" s="67" t="s">
        <v>163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53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46">
        <v>0</v>
      </c>
      <c r="AM46" s="46">
        <v>0</v>
      </c>
      <c r="AN46" s="46">
        <v>0</v>
      </c>
      <c r="AO46" s="46"/>
      <c r="AP46" s="46">
        <f t="shared" si="0"/>
        <v>0</v>
      </c>
      <c r="AQ46" s="46">
        <f t="shared" si="1"/>
        <v>0</v>
      </c>
      <c r="AR46" s="67">
        <f t="shared" si="2"/>
        <v>0</v>
      </c>
    </row>
    <row r="47" spans="1:44" x14ac:dyDescent="0.3">
      <c r="A47" s="5">
        <v>46</v>
      </c>
      <c r="B47" s="6" t="s">
        <v>65</v>
      </c>
      <c r="C47" s="6" t="s">
        <v>109</v>
      </c>
      <c r="D47" s="6" t="s">
        <v>30</v>
      </c>
      <c r="E47" s="6" t="s">
        <v>12</v>
      </c>
      <c r="F47" s="6" t="s">
        <v>13</v>
      </c>
      <c r="G47" s="6" t="s">
        <v>35</v>
      </c>
      <c r="H47" s="5">
        <v>1</v>
      </c>
      <c r="I47" s="67" t="s">
        <v>160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53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0</v>
      </c>
      <c r="AK47" s="60">
        <v>0</v>
      </c>
      <c r="AL47" s="46">
        <v>0</v>
      </c>
      <c r="AM47" s="46">
        <v>0</v>
      </c>
      <c r="AN47" s="46">
        <v>0</v>
      </c>
      <c r="AO47" s="46"/>
      <c r="AP47" s="46">
        <f t="shared" si="0"/>
        <v>0</v>
      </c>
      <c r="AQ47" s="46">
        <f t="shared" si="1"/>
        <v>0</v>
      </c>
      <c r="AR47" s="67">
        <f t="shared" si="2"/>
        <v>0</v>
      </c>
    </row>
    <row r="48" spans="1:44" x14ac:dyDescent="0.3">
      <c r="A48" s="5">
        <v>47</v>
      </c>
      <c r="B48" s="6" t="s">
        <v>65</v>
      </c>
      <c r="C48" s="6" t="s">
        <v>110</v>
      </c>
      <c r="D48" s="6" t="s">
        <v>30</v>
      </c>
      <c r="E48" s="6" t="s">
        <v>12</v>
      </c>
      <c r="F48" s="6" t="s">
        <v>13</v>
      </c>
      <c r="G48" s="6" t="s">
        <v>35</v>
      </c>
      <c r="H48" s="5">
        <v>1</v>
      </c>
      <c r="I48" s="67" t="s">
        <v>160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53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46">
        <v>0</v>
      </c>
      <c r="AM48" s="46">
        <v>0</v>
      </c>
      <c r="AN48" s="46">
        <v>0</v>
      </c>
      <c r="AO48" s="46"/>
      <c r="AP48" s="46">
        <f t="shared" si="0"/>
        <v>0</v>
      </c>
      <c r="AQ48" s="46">
        <f t="shared" si="1"/>
        <v>0</v>
      </c>
      <c r="AR48" s="67">
        <f t="shared" si="2"/>
        <v>0</v>
      </c>
    </row>
    <row r="49" spans="1:44" x14ac:dyDescent="0.3">
      <c r="A49" s="5">
        <v>48</v>
      </c>
      <c r="B49" s="6" t="s">
        <v>65</v>
      </c>
      <c r="C49" s="6" t="s">
        <v>111</v>
      </c>
      <c r="D49" s="6" t="s">
        <v>128</v>
      </c>
      <c r="E49" s="6" t="s">
        <v>19</v>
      </c>
      <c r="F49" s="6" t="s">
        <v>13</v>
      </c>
      <c r="G49" s="6" t="s">
        <v>35</v>
      </c>
      <c r="H49" s="5">
        <v>6</v>
      </c>
      <c r="I49" s="67" t="s">
        <v>161</v>
      </c>
      <c r="J49" s="28">
        <v>59.64</v>
      </c>
      <c r="K49" s="46">
        <v>23.94</v>
      </c>
      <c r="L49" s="46">
        <v>39.299999999999997</v>
      </c>
      <c r="M49" s="46">
        <v>62.93</v>
      </c>
      <c r="N49" s="46">
        <v>56.27</v>
      </c>
      <c r="O49" s="46">
        <v>0</v>
      </c>
      <c r="P49" s="46">
        <v>8.1300000000000008</v>
      </c>
      <c r="Q49" s="46">
        <v>58.18</v>
      </c>
      <c r="R49" s="46">
        <v>66.489999999999995</v>
      </c>
      <c r="S49" s="46">
        <v>57.39</v>
      </c>
      <c r="T49" s="46">
        <v>44.36</v>
      </c>
      <c r="U49" s="46">
        <v>45.81</v>
      </c>
      <c r="V49" s="46">
        <v>15.31</v>
      </c>
      <c r="W49" s="46">
        <v>29.25</v>
      </c>
      <c r="X49" s="46">
        <v>20.5</v>
      </c>
      <c r="Y49" s="46">
        <v>41.55</v>
      </c>
      <c r="Z49" s="46">
        <v>44.38</v>
      </c>
      <c r="AA49" s="46">
        <v>54.85</v>
      </c>
      <c r="AB49" s="53">
        <v>53.95</v>
      </c>
      <c r="AC49" s="60">
        <v>0</v>
      </c>
      <c r="AD49" s="60">
        <v>0</v>
      </c>
      <c r="AE49" s="60">
        <v>33.479999999999997</v>
      </c>
      <c r="AF49" s="60">
        <v>49.92</v>
      </c>
      <c r="AG49" s="54">
        <v>48.5</v>
      </c>
      <c r="AH49" s="46">
        <v>51.45</v>
      </c>
      <c r="AI49" s="46">
        <v>0</v>
      </c>
      <c r="AJ49" s="46">
        <v>0</v>
      </c>
      <c r="AK49" s="46">
        <v>0</v>
      </c>
      <c r="AL49" s="46">
        <v>49.92</v>
      </c>
      <c r="AM49" s="46">
        <v>33.909999999999997</v>
      </c>
      <c r="AN49" s="46">
        <v>32.93</v>
      </c>
      <c r="AO49" s="46"/>
      <c r="AP49" s="46">
        <f t="shared" si="0"/>
        <v>1082.3400000000001</v>
      </c>
      <c r="AQ49" s="46">
        <f t="shared" si="1"/>
        <v>34.914193548387104</v>
      </c>
      <c r="AR49" s="67">
        <f t="shared" si="2"/>
        <v>5.8190322580645173</v>
      </c>
    </row>
    <row r="50" spans="1:44" x14ac:dyDescent="0.3">
      <c r="A50" s="5">
        <v>49</v>
      </c>
      <c r="B50" s="6" t="s">
        <v>65</v>
      </c>
      <c r="C50" s="6" t="s">
        <v>111</v>
      </c>
      <c r="D50" s="6" t="s">
        <v>128</v>
      </c>
      <c r="E50" s="6" t="s">
        <v>19</v>
      </c>
      <c r="F50" s="6" t="s">
        <v>40</v>
      </c>
      <c r="G50" s="6" t="s">
        <v>35</v>
      </c>
      <c r="H50" s="5">
        <v>1</v>
      </c>
      <c r="I50" s="67" t="s">
        <v>161</v>
      </c>
      <c r="J50" s="45">
        <v>23.3</v>
      </c>
      <c r="K50" s="45">
        <v>22.8</v>
      </c>
      <c r="L50" s="45">
        <v>9.8800000000000008</v>
      </c>
      <c r="M50" s="45">
        <v>0</v>
      </c>
      <c r="N50" s="45">
        <v>0</v>
      </c>
      <c r="O50" s="45">
        <v>0</v>
      </c>
      <c r="P50" s="45">
        <v>0</v>
      </c>
      <c r="Q50" s="46">
        <v>0</v>
      </c>
      <c r="R50" s="46">
        <v>0</v>
      </c>
      <c r="S50" s="46">
        <v>0</v>
      </c>
      <c r="T50" s="46">
        <v>0.1</v>
      </c>
      <c r="U50" s="46">
        <v>9.52</v>
      </c>
      <c r="V50" s="46">
        <v>0</v>
      </c>
      <c r="W50" s="46">
        <v>0</v>
      </c>
      <c r="X50" s="46">
        <v>9.2899999999999991</v>
      </c>
      <c r="Y50" s="46">
        <v>12.09</v>
      </c>
      <c r="Z50" s="46">
        <v>4.45</v>
      </c>
      <c r="AA50" s="46">
        <v>13.8</v>
      </c>
      <c r="AB50" s="53">
        <v>16.77</v>
      </c>
      <c r="AC50" s="60">
        <v>0</v>
      </c>
      <c r="AD50" s="60">
        <v>0</v>
      </c>
      <c r="AE50" s="60">
        <v>6.88</v>
      </c>
      <c r="AF50" s="60">
        <v>25.74</v>
      </c>
      <c r="AG50" s="60">
        <v>18.68</v>
      </c>
      <c r="AH50" s="60">
        <v>22.93</v>
      </c>
      <c r="AI50" s="60">
        <v>0</v>
      </c>
      <c r="AJ50" s="46">
        <v>17.440000000000001</v>
      </c>
      <c r="AK50" s="46">
        <v>0</v>
      </c>
      <c r="AL50" s="46">
        <v>27.02</v>
      </c>
      <c r="AM50" s="46">
        <v>23.56</v>
      </c>
      <c r="AN50" s="46">
        <v>31.52</v>
      </c>
      <c r="AO50" s="46"/>
      <c r="AP50" s="46">
        <f t="shared" si="0"/>
        <v>295.77000000000004</v>
      </c>
      <c r="AQ50" s="46">
        <f t="shared" si="1"/>
        <v>9.5409677419354857</v>
      </c>
      <c r="AR50" s="67">
        <f t="shared" si="2"/>
        <v>9.5409677419354857</v>
      </c>
    </row>
    <row r="51" spans="1:44" x14ac:dyDescent="0.3">
      <c r="A51" s="5">
        <v>50</v>
      </c>
      <c r="B51" s="6" t="s">
        <v>65</v>
      </c>
      <c r="C51" s="37" t="s">
        <v>112</v>
      </c>
      <c r="D51" s="6" t="s">
        <v>113</v>
      </c>
      <c r="E51" s="6" t="s">
        <v>19</v>
      </c>
      <c r="F51" s="6" t="s">
        <v>114</v>
      </c>
      <c r="G51" s="6" t="s">
        <v>80</v>
      </c>
      <c r="H51" s="5">
        <v>1</v>
      </c>
      <c r="I51" s="67" t="s">
        <v>163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  <c r="Z51" s="51">
        <v>0</v>
      </c>
      <c r="AA51" s="51">
        <v>0</v>
      </c>
      <c r="AB51" s="51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46">
        <v>0</v>
      </c>
      <c r="AM51" s="46">
        <v>0</v>
      </c>
      <c r="AN51" s="46">
        <v>0</v>
      </c>
      <c r="AO51" s="46"/>
      <c r="AP51" s="46">
        <f t="shared" si="0"/>
        <v>0</v>
      </c>
      <c r="AQ51" s="46">
        <f t="shared" si="1"/>
        <v>0</v>
      </c>
      <c r="AR51" s="67">
        <f t="shared" si="2"/>
        <v>0</v>
      </c>
    </row>
    <row r="52" spans="1:44" x14ac:dyDescent="0.3">
      <c r="A52" s="5">
        <v>51</v>
      </c>
      <c r="B52" s="6" t="s">
        <v>65</v>
      </c>
      <c r="C52" s="39" t="s">
        <v>115</v>
      </c>
      <c r="D52" s="6" t="s">
        <v>113</v>
      </c>
      <c r="E52" s="6" t="s">
        <v>19</v>
      </c>
      <c r="F52" s="6" t="s">
        <v>116</v>
      </c>
      <c r="G52" s="6" t="s">
        <v>80</v>
      </c>
      <c r="H52" s="5">
        <v>1</v>
      </c>
      <c r="I52" s="67" t="s">
        <v>163</v>
      </c>
      <c r="J52" s="47">
        <v>84.98</v>
      </c>
      <c r="K52" s="47">
        <v>82.43</v>
      </c>
      <c r="L52" s="47">
        <v>85.23</v>
      </c>
      <c r="M52" s="47">
        <v>80.41</v>
      </c>
      <c r="N52" s="47">
        <v>79.48</v>
      </c>
      <c r="O52" s="47">
        <v>81.37</v>
      </c>
      <c r="P52" s="47">
        <v>80.180000000000007</v>
      </c>
      <c r="Q52" s="47">
        <v>85.98</v>
      </c>
      <c r="R52" s="47">
        <v>87.45</v>
      </c>
      <c r="S52" s="47">
        <v>84.51</v>
      </c>
      <c r="T52" s="47">
        <v>88.69</v>
      </c>
      <c r="U52" s="47">
        <v>85.41</v>
      </c>
      <c r="V52" s="47">
        <v>86.49</v>
      </c>
      <c r="W52" s="47">
        <v>85.92</v>
      </c>
      <c r="X52" s="47">
        <v>84.18</v>
      </c>
      <c r="Y52" s="47">
        <v>88.63</v>
      </c>
      <c r="Z52" s="47">
        <v>85.84</v>
      </c>
      <c r="AA52" s="47">
        <v>87.75</v>
      </c>
      <c r="AB52" s="47">
        <v>83.62</v>
      </c>
      <c r="AC52" s="47">
        <v>85.98</v>
      </c>
      <c r="AD52" s="47">
        <v>88.18</v>
      </c>
      <c r="AE52" s="47">
        <v>86.22</v>
      </c>
      <c r="AF52" s="47">
        <v>87.76</v>
      </c>
      <c r="AG52" s="47">
        <v>88.19</v>
      </c>
      <c r="AH52" s="47">
        <v>83.67</v>
      </c>
      <c r="AI52" s="47">
        <v>72.87</v>
      </c>
      <c r="AJ52" s="47">
        <v>84.78</v>
      </c>
      <c r="AK52" s="47">
        <v>79.34</v>
      </c>
      <c r="AL52" s="47">
        <v>85.72</v>
      </c>
      <c r="AM52" s="47">
        <v>83.28</v>
      </c>
      <c r="AN52" s="47">
        <v>84.98</v>
      </c>
      <c r="AO52" s="46"/>
      <c r="AP52" s="46">
        <f t="shared" si="0"/>
        <v>2619.5200000000004</v>
      </c>
      <c r="AQ52" s="46">
        <f t="shared" si="1"/>
        <v>84.500645161290336</v>
      </c>
      <c r="AR52" s="67">
        <f t="shared" si="2"/>
        <v>84.500645161290336</v>
      </c>
    </row>
    <row r="53" spans="1:44" x14ac:dyDescent="0.3">
      <c r="A53" s="5">
        <v>52</v>
      </c>
      <c r="B53" s="6" t="s">
        <v>65</v>
      </c>
      <c r="C53" s="39" t="s">
        <v>117</v>
      </c>
      <c r="D53" s="6" t="s">
        <v>113</v>
      </c>
      <c r="E53" s="6" t="s">
        <v>19</v>
      </c>
      <c r="F53" s="6" t="s">
        <v>116</v>
      </c>
      <c r="G53" s="6" t="s">
        <v>80</v>
      </c>
      <c r="H53" s="5">
        <v>1</v>
      </c>
      <c r="I53" s="67" t="s">
        <v>163</v>
      </c>
      <c r="J53" s="47">
        <v>10.119999999999999</v>
      </c>
      <c r="K53" s="47">
        <v>11.67</v>
      </c>
      <c r="L53" s="47">
        <v>10.48</v>
      </c>
      <c r="M53" s="47">
        <v>9.69</v>
      </c>
      <c r="N53" s="47">
        <v>11.29</v>
      </c>
      <c r="O53" s="47">
        <v>10.84</v>
      </c>
      <c r="P53" s="47">
        <v>9.98</v>
      </c>
      <c r="Q53" s="47">
        <v>14.69</v>
      </c>
      <c r="R53" s="47">
        <v>16.55</v>
      </c>
      <c r="S53" s="47">
        <v>15.92</v>
      </c>
      <c r="T53" s="47">
        <v>14.77</v>
      </c>
      <c r="U53" s="47">
        <v>15.98</v>
      </c>
      <c r="V53" s="47">
        <v>14.37</v>
      </c>
      <c r="W53" s="47">
        <v>15.22</v>
      </c>
      <c r="X53" s="47">
        <v>17.73</v>
      </c>
      <c r="Y53" s="47">
        <v>15.55</v>
      </c>
      <c r="Z53" s="47">
        <v>16.48</v>
      </c>
      <c r="AA53" s="47">
        <v>14.69</v>
      </c>
      <c r="AB53" s="47">
        <v>15.78</v>
      </c>
      <c r="AC53" s="47">
        <v>18.43</v>
      </c>
      <c r="AD53" s="47">
        <v>17.59</v>
      </c>
      <c r="AE53" s="47">
        <v>18.920000000000002</v>
      </c>
      <c r="AF53" s="47">
        <v>17.329999999999998</v>
      </c>
      <c r="AG53" s="47">
        <v>16.79</v>
      </c>
      <c r="AH53" s="47">
        <v>18.46</v>
      </c>
      <c r="AI53" s="47">
        <v>10.62</v>
      </c>
      <c r="AJ53" s="47">
        <v>17.89</v>
      </c>
      <c r="AK53" s="47">
        <v>16.78</v>
      </c>
      <c r="AL53" s="47">
        <v>16.89</v>
      </c>
      <c r="AM53" s="47">
        <v>15.72</v>
      </c>
      <c r="AN53" s="47">
        <v>17.37</v>
      </c>
      <c r="AO53" s="46"/>
      <c r="AP53" s="46">
        <f t="shared" si="0"/>
        <v>464.58999999999992</v>
      </c>
      <c r="AQ53" s="46">
        <f t="shared" si="1"/>
        <v>14.986774193548385</v>
      </c>
      <c r="AR53" s="67">
        <f t="shared" si="2"/>
        <v>14.986774193548385</v>
      </c>
    </row>
    <row r="54" spans="1:44" x14ac:dyDescent="0.3">
      <c r="A54" s="5">
        <v>53</v>
      </c>
      <c r="B54" s="6" t="s">
        <v>119</v>
      </c>
      <c r="C54" s="39" t="s">
        <v>126</v>
      </c>
      <c r="D54" s="6" t="s">
        <v>30</v>
      </c>
      <c r="E54" s="6" t="s">
        <v>12</v>
      </c>
      <c r="F54" s="6" t="s">
        <v>121</v>
      </c>
      <c r="G54" s="6" t="s">
        <v>35</v>
      </c>
      <c r="H54" s="5">
        <v>20</v>
      </c>
      <c r="I54" s="67" t="s">
        <v>163</v>
      </c>
      <c r="J54" s="45">
        <v>38.54</v>
      </c>
      <c r="K54" s="46">
        <v>63.19</v>
      </c>
      <c r="L54" s="46">
        <v>78.59</v>
      </c>
      <c r="M54" s="46">
        <v>95.3</v>
      </c>
      <c r="N54" s="46">
        <v>75.75</v>
      </c>
      <c r="O54" s="46">
        <v>42.96</v>
      </c>
      <c r="P54" s="46">
        <v>33.51</v>
      </c>
      <c r="Q54" s="46">
        <v>65.52</v>
      </c>
      <c r="R54" s="46">
        <v>57.14</v>
      </c>
      <c r="S54" s="46">
        <v>63.36</v>
      </c>
      <c r="T54" s="46">
        <v>70.48</v>
      </c>
      <c r="U54" s="46">
        <v>71.63</v>
      </c>
      <c r="V54" s="46">
        <v>56.16</v>
      </c>
      <c r="W54" s="46">
        <v>32.79</v>
      </c>
      <c r="X54" s="46">
        <v>30.66</v>
      </c>
      <c r="Y54" s="46">
        <v>43.27</v>
      </c>
      <c r="Z54" s="46">
        <v>57.01</v>
      </c>
      <c r="AA54" s="46">
        <v>62.79</v>
      </c>
      <c r="AB54" s="46">
        <v>59.08</v>
      </c>
      <c r="AC54" s="60">
        <v>56.8</v>
      </c>
      <c r="AD54" s="60">
        <v>46.99</v>
      </c>
      <c r="AE54" s="60">
        <v>19.41</v>
      </c>
      <c r="AF54" s="60">
        <v>44.25</v>
      </c>
      <c r="AG54" s="46">
        <v>64.87</v>
      </c>
      <c r="AH54" s="46">
        <v>83.54</v>
      </c>
      <c r="AI54" s="46">
        <v>32.450000000000003</v>
      </c>
      <c r="AJ54" s="46">
        <v>36.119999999999997</v>
      </c>
      <c r="AK54" s="46">
        <v>23.21</v>
      </c>
      <c r="AL54" s="46">
        <v>45.78</v>
      </c>
      <c r="AM54" s="46">
        <v>36.299999999999997</v>
      </c>
      <c r="AN54" s="46">
        <v>30</v>
      </c>
      <c r="AO54" s="46"/>
      <c r="AP54" s="46">
        <f t="shared" si="0"/>
        <v>1617.4499999999996</v>
      </c>
      <c r="AQ54" s="46">
        <f t="shared" si="1"/>
        <v>52.175806451612893</v>
      </c>
      <c r="AR54" s="67">
        <f t="shared" si="2"/>
        <v>2.6087903225806448</v>
      </c>
    </row>
    <row r="55" spans="1:44" x14ac:dyDescent="0.3">
      <c r="A55" s="5">
        <v>54</v>
      </c>
      <c r="B55" s="6" t="s">
        <v>119</v>
      </c>
      <c r="C55" s="39" t="s">
        <v>138</v>
      </c>
      <c r="D55" s="6" t="s">
        <v>128</v>
      </c>
      <c r="E55" s="6" t="s">
        <v>12</v>
      </c>
      <c r="F55" s="6" t="s">
        <v>121</v>
      </c>
      <c r="G55" s="6" t="s">
        <v>35</v>
      </c>
      <c r="H55" s="5">
        <v>2</v>
      </c>
      <c r="I55" s="67" t="s">
        <v>163</v>
      </c>
      <c r="J55" s="45">
        <v>15.97</v>
      </c>
      <c r="K55" s="46">
        <v>18.98</v>
      </c>
      <c r="L55" s="46">
        <v>16.09</v>
      </c>
      <c r="M55" s="46">
        <v>21.72</v>
      </c>
      <c r="N55" s="46">
        <v>16.260000000000002</v>
      </c>
      <c r="O55" s="46">
        <v>19.34</v>
      </c>
      <c r="P55" s="46">
        <v>20.47</v>
      </c>
      <c r="Q55" s="46">
        <v>12.13</v>
      </c>
      <c r="R55" s="46">
        <v>12.17</v>
      </c>
      <c r="S55" s="46">
        <v>10.210000000000001</v>
      </c>
      <c r="T55" s="46">
        <v>15.77</v>
      </c>
      <c r="U55" s="46">
        <v>18.809999999999999</v>
      </c>
      <c r="V55" s="46">
        <v>6.74</v>
      </c>
      <c r="W55" s="46">
        <v>7.13</v>
      </c>
      <c r="X55" s="46">
        <v>10.9</v>
      </c>
      <c r="Y55" s="46">
        <v>7.18</v>
      </c>
      <c r="Z55" s="46">
        <v>1.05</v>
      </c>
      <c r="AA55" s="46">
        <v>2.88</v>
      </c>
      <c r="AB55" s="46">
        <v>10.63</v>
      </c>
      <c r="AC55" s="60">
        <v>7.44</v>
      </c>
      <c r="AD55" s="60">
        <v>0</v>
      </c>
      <c r="AE55" s="60">
        <v>0</v>
      </c>
      <c r="AF55" s="60">
        <v>0</v>
      </c>
      <c r="AG55" s="46">
        <v>0</v>
      </c>
      <c r="AH55" s="46">
        <v>10.06</v>
      </c>
      <c r="AI55" s="46">
        <v>0</v>
      </c>
      <c r="AJ55" s="46">
        <v>0</v>
      </c>
      <c r="AK55" s="46">
        <v>11</v>
      </c>
      <c r="AL55" s="46">
        <v>0</v>
      </c>
      <c r="AM55" s="46">
        <v>0</v>
      </c>
      <c r="AN55" s="46">
        <v>0.72</v>
      </c>
      <c r="AO55" s="46"/>
      <c r="AP55" s="46">
        <f t="shared" si="0"/>
        <v>273.65000000000003</v>
      </c>
      <c r="AQ55" s="46">
        <f t="shared" si="1"/>
        <v>8.8274193548387103</v>
      </c>
      <c r="AR55" s="67">
        <f t="shared" si="2"/>
        <v>4.4137096774193552</v>
      </c>
    </row>
    <row r="56" spans="1:44" x14ac:dyDescent="0.3">
      <c r="A56" s="5">
        <v>55</v>
      </c>
      <c r="B56" s="6" t="s">
        <v>65</v>
      </c>
      <c r="C56" s="39" t="s">
        <v>122</v>
      </c>
      <c r="D56" s="6" t="s">
        <v>30</v>
      </c>
      <c r="E56" s="6" t="s">
        <v>19</v>
      </c>
      <c r="F56" s="6" t="s">
        <v>13</v>
      </c>
      <c r="G56" s="6" t="s">
        <v>14</v>
      </c>
      <c r="H56" s="5">
        <v>3</v>
      </c>
      <c r="I56" s="67" t="s">
        <v>163</v>
      </c>
      <c r="J56" s="45">
        <v>0</v>
      </c>
      <c r="K56" s="45">
        <v>0</v>
      </c>
      <c r="L56" s="45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53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/>
      <c r="AP56" s="46">
        <f t="shared" si="0"/>
        <v>0</v>
      </c>
      <c r="AQ56" s="46">
        <f t="shared" si="1"/>
        <v>0</v>
      </c>
      <c r="AR56" s="67">
        <f t="shared" si="2"/>
        <v>0</v>
      </c>
    </row>
    <row r="57" spans="1:44" x14ac:dyDescent="0.3">
      <c r="A57" s="5">
        <v>56</v>
      </c>
      <c r="B57" s="6" t="s">
        <v>65</v>
      </c>
      <c r="C57" s="39" t="s">
        <v>127</v>
      </c>
      <c r="D57" s="6" t="s">
        <v>128</v>
      </c>
      <c r="E57" s="6" t="s">
        <v>12</v>
      </c>
      <c r="F57" s="6" t="s">
        <v>40</v>
      </c>
      <c r="G57" s="6" t="s">
        <v>35</v>
      </c>
      <c r="H57" s="5">
        <v>2</v>
      </c>
      <c r="I57" s="67" t="s">
        <v>162</v>
      </c>
      <c r="J57" s="45">
        <v>17.52</v>
      </c>
      <c r="K57" s="46">
        <v>49.73</v>
      </c>
      <c r="L57" s="46">
        <v>0</v>
      </c>
      <c r="M57" s="46">
        <v>0</v>
      </c>
      <c r="N57" s="46">
        <v>50.65</v>
      </c>
      <c r="O57" s="46">
        <v>0</v>
      </c>
      <c r="P57" s="46">
        <v>0</v>
      </c>
      <c r="Q57" s="46">
        <v>0</v>
      </c>
      <c r="R57" s="46">
        <v>0</v>
      </c>
      <c r="S57" s="46">
        <v>19.79</v>
      </c>
      <c r="T57" s="46">
        <v>0</v>
      </c>
      <c r="U57" s="46">
        <v>0</v>
      </c>
      <c r="V57" s="46">
        <v>0</v>
      </c>
      <c r="W57" s="46">
        <v>44.83</v>
      </c>
      <c r="X57" s="46">
        <v>13.32</v>
      </c>
      <c r="Y57" s="46">
        <v>0</v>
      </c>
      <c r="Z57" s="46">
        <v>42.59</v>
      </c>
      <c r="AA57" s="46">
        <v>0</v>
      </c>
      <c r="AB57" s="53">
        <v>48.64</v>
      </c>
      <c r="AC57" s="62">
        <v>0</v>
      </c>
      <c r="AD57" s="62">
        <v>0</v>
      </c>
      <c r="AE57" s="60">
        <v>0</v>
      </c>
      <c r="AF57" s="60">
        <v>3.62</v>
      </c>
      <c r="AG57" s="54">
        <v>4.0199999999999996</v>
      </c>
      <c r="AH57" s="46">
        <v>0</v>
      </c>
      <c r="AI57" s="46">
        <v>33.22</v>
      </c>
      <c r="AJ57" s="46">
        <v>14.93</v>
      </c>
      <c r="AK57" s="46">
        <v>0</v>
      </c>
      <c r="AL57" s="46">
        <v>42.07</v>
      </c>
      <c r="AM57" s="46">
        <v>0</v>
      </c>
      <c r="AN57" s="46">
        <v>0</v>
      </c>
      <c r="AO57" s="46"/>
      <c r="AP57" s="46">
        <f t="shared" si="0"/>
        <v>384.92999999999995</v>
      </c>
      <c r="AQ57" s="46">
        <f t="shared" si="1"/>
        <v>12.417096774193547</v>
      </c>
      <c r="AR57" s="67">
        <f t="shared" si="2"/>
        <v>6.2085483870967737</v>
      </c>
    </row>
    <row r="58" spans="1:44" x14ac:dyDescent="0.3">
      <c r="A58" s="5">
        <v>57</v>
      </c>
      <c r="B58" s="6" t="s">
        <v>65</v>
      </c>
      <c r="C58" s="39" t="s">
        <v>129</v>
      </c>
      <c r="D58" s="6"/>
      <c r="E58" s="6" t="s">
        <v>130</v>
      </c>
      <c r="F58" s="6" t="s">
        <v>121</v>
      </c>
      <c r="G58" s="6" t="s">
        <v>35</v>
      </c>
      <c r="H58" s="5">
        <v>2</v>
      </c>
      <c r="I58" s="67" t="s">
        <v>161</v>
      </c>
      <c r="J58" s="45">
        <v>18.34</v>
      </c>
      <c r="K58" s="46">
        <v>26.96</v>
      </c>
      <c r="L58" s="46">
        <v>32.01</v>
      </c>
      <c r="M58" s="46">
        <v>36.11</v>
      </c>
      <c r="N58" s="46">
        <v>41.37</v>
      </c>
      <c r="O58" s="46">
        <v>3.03</v>
      </c>
      <c r="P58" s="46">
        <v>0</v>
      </c>
      <c r="Q58" s="46">
        <v>23.92</v>
      </c>
      <c r="R58" s="46">
        <v>24.59</v>
      </c>
      <c r="S58" s="46">
        <v>32.68</v>
      </c>
      <c r="T58" s="46">
        <v>22.12</v>
      </c>
      <c r="U58" s="46">
        <v>14.48</v>
      </c>
      <c r="V58" s="46">
        <v>0</v>
      </c>
      <c r="W58" s="46">
        <v>0</v>
      </c>
      <c r="X58" s="46">
        <v>19.47</v>
      </c>
      <c r="Y58" s="46">
        <v>53.28</v>
      </c>
      <c r="Z58" s="46">
        <v>17.72</v>
      </c>
      <c r="AA58" s="46">
        <v>23.43</v>
      </c>
      <c r="AB58" s="53">
        <v>15.22</v>
      </c>
      <c r="AC58" s="60">
        <v>21.71</v>
      </c>
      <c r="AD58" s="60">
        <v>3.41</v>
      </c>
      <c r="AE58" s="60">
        <v>27.08</v>
      </c>
      <c r="AF58" s="60">
        <v>24.89</v>
      </c>
      <c r="AG58" s="54">
        <v>30.44</v>
      </c>
      <c r="AH58" s="46">
        <v>10.89</v>
      </c>
      <c r="AI58" s="46">
        <v>0.03</v>
      </c>
      <c r="AJ58" s="46">
        <v>14.93</v>
      </c>
      <c r="AK58" s="46">
        <v>0</v>
      </c>
      <c r="AL58" s="46">
        <v>22.94</v>
      </c>
      <c r="AM58" s="46">
        <v>42.78</v>
      </c>
      <c r="AN58" s="46">
        <v>31.28</v>
      </c>
      <c r="AO58" s="46"/>
      <c r="AP58" s="46">
        <f t="shared" si="0"/>
        <v>635.11</v>
      </c>
      <c r="AQ58" s="46">
        <f t="shared" si="1"/>
        <v>20.48741935483871</v>
      </c>
      <c r="AR58" s="67">
        <f t="shared" si="2"/>
        <v>10.243709677419355</v>
      </c>
    </row>
    <row r="59" spans="1:44" x14ac:dyDescent="0.3">
      <c r="A59" s="5">
        <v>58</v>
      </c>
      <c r="B59" s="6" t="s">
        <v>65</v>
      </c>
      <c r="C59" s="39" t="s">
        <v>150</v>
      </c>
      <c r="D59" s="6" t="s">
        <v>128</v>
      </c>
      <c r="E59" s="6" t="s">
        <v>12</v>
      </c>
      <c r="F59" s="6" t="s">
        <v>121</v>
      </c>
      <c r="G59" s="6" t="s">
        <v>35</v>
      </c>
      <c r="H59" s="5">
        <v>20</v>
      </c>
      <c r="I59" s="67" t="s">
        <v>163</v>
      </c>
      <c r="J59" s="45">
        <v>40.98</v>
      </c>
      <c r="K59" s="46">
        <v>57.38</v>
      </c>
      <c r="L59" s="46">
        <v>60.81</v>
      </c>
      <c r="M59" s="46">
        <v>27.46</v>
      </c>
      <c r="N59" s="46">
        <v>29.16</v>
      </c>
      <c r="O59" s="46">
        <v>27.67</v>
      </c>
      <c r="P59" s="46">
        <v>27.46</v>
      </c>
      <c r="Q59" s="46">
        <v>37.409999999999997</v>
      </c>
      <c r="R59" s="46">
        <v>64.19</v>
      </c>
      <c r="S59" s="46">
        <v>68.06</v>
      </c>
      <c r="T59" s="46">
        <v>24.05</v>
      </c>
      <c r="U59" s="46">
        <v>49.6</v>
      </c>
      <c r="V59" s="46">
        <v>40.92</v>
      </c>
      <c r="W59" s="46">
        <v>24.47</v>
      </c>
      <c r="X59" s="46">
        <v>51.9</v>
      </c>
      <c r="Y59" s="46">
        <v>43.51</v>
      </c>
      <c r="Z59" s="46">
        <v>43</v>
      </c>
      <c r="AA59" s="46">
        <v>35.08</v>
      </c>
      <c r="AB59" s="53">
        <v>38.950000000000003</v>
      </c>
      <c r="AC59" s="61">
        <v>40.31</v>
      </c>
      <c r="AD59" s="61">
        <v>7.72</v>
      </c>
      <c r="AE59" s="61">
        <v>27.11</v>
      </c>
      <c r="AF59" s="61">
        <v>37.32</v>
      </c>
      <c r="AG59" s="54">
        <v>44.9</v>
      </c>
      <c r="AH59" s="46">
        <v>41.9</v>
      </c>
      <c r="AI59" s="46">
        <v>37.020000000000003</v>
      </c>
      <c r="AJ59" s="46">
        <v>35.28</v>
      </c>
      <c r="AK59" s="46">
        <v>32.130000000000003</v>
      </c>
      <c r="AL59" s="46">
        <v>42.56</v>
      </c>
      <c r="AM59" s="46">
        <v>48.93</v>
      </c>
      <c r="AN59" s="46">
        <v>62.52</v>
      </c>
      <c r="AO59" s="46"/>
      <c r="AP59" s="46">
        <f t="shared" si="0"/>
        <v>1249.7600000000002</v>
      </c>
      <c r="AQ59" s="46">
        <f t="shared" si="1"/>
        <v>40.314838709677424</v>
      </c>
      <c r="AR59" s="67">
        <f t="shared" si="2"/>
        <v>2.015741935483871</v>
      </c>
    </row>
    <row r="60" spans="1:44" x14ac:dyDescent="0.3">
      <c r="A60" s="5">
        <v>59</v>
      </c>
      <c r="B60" s="6" t="s">
        <v>65</v>
      </c>
      <c r="C60" s="39" t="s">
        <v>143</v>
      </c>
      <c r="D60" s="6" t="s">
        <v>128</v>
      </c>
      <c r="E60" s="6" t="s">
        <v>12</v>
      </c>
      <c r="F60" s="6" t="s">
        <v>121</v>
      </c>
      <c r="G60" s="6" t="s">
        <v>35</v>
      </c>
      <c r="H60" s="5">
        <v>2</v>
      </c>
      <c r="I60" s="67" t="s">
        <v>162</v>
      </c>
      <c r="J60" s="45">
        <v>0</v>
      </c>
      <c r="K60" s="45">
        <v>0</v>
      </c>
      <c r="L60" s="45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53">
        <v>0</v>
      </c>
      <c r="AC60" s="61">
        <v>0</v>
      </c>
      <c r="AD60" s="61">
        <v>0</v>
      </c>
      <c r="AE60" s="61">
        <v>0</v>
      </c>
      <c r="AF60" s="61">
        <v>0</v>
      </c>
      <c r="AG60" s="61">
        <v>0</v>
      </c>
      <c r="AH60" s="61">
        <v>0</v>
      </c>
      <c r="AI60" s="61">
        <v>0</v>
      </c>
      <c r="AJ60" s="61">
        <v>0</v>
      </c>
      <c r="AK60" s="61">
        <v>0</v>
      </c>
      <c r="AL60" s="46">
        <v>0</v>
      </c>
      <c r="AM60" s="46">
        <v>0</v>
      </c>
      <c r="AN60" s="46">
        <v>0</v>
      </c>
      <c r="AO60" s="46"/>
      <c r="AP60" s="46">
        <f t="shared" si="0"/>
        <v>0</v>
      </c>
      <c r="AQ60" s="46">
        <f t="shared" si="1"/>
        <v>0</v>
      </c>
      <c r="AR60" s="67">
        <f t="shared" si="2"/>
        <v>0</v>
      </c>
    </row>
    <row r="61" spans="1:44" x14ac:dyDescent="0.3">
      <c r="A61" s="5">
        <v>60</v>
      </c>
      <c r="B61" s="6" t="s">
        <v>65</v>
      </c>
      <c r="C61" s="39" t="s">
        <v>143</v>
      </c>
      <c r="D61" s="6" t="s">
        <v>128</v>
      </c>
      <c r="E61" s="6" t="s">
        <v>12</v>
      </c>
      <c r="F61" s="6" t="s">
        <v>40</v>
      </c>
      <c r="G61" s="6" t="s">
        <v>35</v>
      </c>
      <c r="H61" s="5">
        <v>2</v>
      </c>
      <c r="I61" s="67" t="s">
        <v>162</v>
      </c>
      <c r="J61" s="45">
        <v>0</v>
      </c>
      <c r="K61" s="45">
        <v>0</v>
      </c>
      <c r="L61" s="45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53">
        <v>0</v>
      </c>
      <c r="AC61" s="61">
        <v>0</v>
      </c>
      <c r="AD61" s="61">
        <v>0</v>
      </c>
      <c r="AE61" s="61">
        <v>0</v>
      </c>
      <c r="AF61" s="61">
        <v>0</v>
      </c>
      <c r="AG61" s="61">
        <v>0</v>
      </c>
      <c r="AH61" s="61">
        <v>0</v>
      </c>
      <c r="AI61" s="61">
        <v>0</v>
      </c>
      <c r="AJ61" s="61">
        <v>0</v>
      </c>
      <c r="AK61" s="61">
        <v>0</v>
      </c>
      <c r="AL61" s="46">
        <v>0</v>
      </c>
      <c r="AM61" s="46">
        <v>0</v>
      </c>
      <c r="AN61" s="46">
        <v>0</v>
      </c>
      <c r="AO61" s="46"/>
      <c r="AP61" s="46">
        <f t="shared" si="0"/>
        <v>0</v>
      </c>
      <c r="AQ61" s="46">
        <f t="shared" si="1"/>
        <v>0</v>
      </c>
      <c r="AR61" s="67">
        <f t="shared" si="2"/>
        <v>0</v>
      </c>
    </row>
    <row r="62" spans="1:44" x14ac:dyDescent="0.3">
      <c r="A62" s="5">
        <v>61</v>
      </c>
      <c r="B62" s="6" t="s">
        <v>65</v>
      </c>
      <c r="C62" s="39" t="s">
        <v>143</v>
      </c>
      <c r="D62" s="6" t="s">
        <v>128</v>
      </c>
      <c r="E62" s="6" t="s">
        <v>12</v>
      </c>
      <c r="F62" s="6" t="s">
        <v>121</v>
      </c>
      <c r="G62" s="6" t="s">
        <v>14</v>
      </c>
      <c r="H62" s="5">
        <v>2</v>
      </c>
      <c r="I62" s="67" t="s">
        <v>162</v>
      </c>
      <c r="J62" s="45">
        <v>0</v>
      </c>
      <c r="K62" s="45">
        <v>0</v>
      </c>
      <c r="L62" s="45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0.97799999999999998</v>
      </c>
      <c r="T62" s="46">
        <v>0</v>
      </c>
      <c r="U62" s="46">
        <v>0</v>
      </c>
      <c r="V62" s="46">
        <v>0</v>
      </c>
      <c r="W62" s="46">
        <v>0.157</v>
      </c>
      <c r="X62" s="46">
        <v>0</v>
      </c>
      <c r="Y62" s="46">
        <v>0</v>
      </c>
      <c r="Z62" s="46">
        <v>1.2E-2</v>
      </c>
      <c r="AA62" s="46">
        <v>0</v>
      </c>
      <c r="AB62" s="53">
        <v>0</v>
      </c>
      <c r="AC62" s="60">
        <v>0</v>
      </c>
      <c r="AD62" s="61">
        <v>0</v>
      </c>
      <c r="AE62" s="61">
        <v>0</v>
      </c>
      <c r="AF62" s="61">
        <v>0</v>
      </c>
      <c r="AG62" s="61">
        <v>0</v>
      </c>
      <c r="AH62" s="61">
        <v>0</v>
      </c>
      <c r="AI62" s="61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v>0</v>
      </c>
      <c r="AO62" s="46"/>
      <c r="AP62" s="46">
        <f t="shared" si="0"/>
        <v>1.147</v>
      </c>
      <c r="AQ62" s="46">
        <f t="shared" si="1"/>
        <v>3.6999999999999998E-2</v>
      </c>
      <c r="AR62" s="67">
        <f t="shared" si="2"/>
        <v>1.8499999999999999E-2</v>
      </c>
    </row>
    <row r="63" spans="1:44" x14ac:dyDescent="0.3">
      <c r="A63" s="5">
        <v>62</v>
      </c>
      <c r="B63" s="6" t="s">
        <v>175</v>
      </c>
      <c r="C63" s="6" t="s">
        <v>174</v>
      </c>
      <c r="D63" s="6" t="s">
        <v>128</v>
      </c>
      <c r="E63" s="6" t="s">
        <v>12</v>
      </c>
      <c r="F63" s="6" t="s">
        <v>121</v>
      </c>
      <c r="G63" s="6" t="s">
        <v>35</v>
      </c>
      <c r="H63" s="5">
        <v>10</v>
      </c>
      <c r="I63" s="67" t="s">
        <v>163</v>
      </c>
      <c r="J63" s="45"/>
      <c r="K63" s="45"/>
      <c r="L63" s="46"/>
      <c r="M63" s="46"/>
      <c r="N63" s="46"/>
      <c r="O63" s="46"/>
      <c r="P63" s="46"/>
      <c r="Q63" s="46"/>
      <c r="R63" s="46"/>
      <c r="S63" s="46">
        <v>0.78</v>
      </c>
      <c r="T63" s="46">
        <v>0.39</v>
      </c>
      <c r="U63" s="46">
        <f>5.16-1.4</f>
        <v>3.7600000000000002</v>
      </c>
      <c r="V63" s="46">
        <f>5.42-4.28</f>
        <v>1.1399999999999997</v>
      </c>
      <c r="W63" s="46">
        <f>24.75-10.57</f>
        <v>14.18</v>
      </c>
      <c r="X63" s="46">
        <f>81.46-31.44</f>
        <v>50.019999999999996</v>
      </c>
      <c r="Y63" s="46">
        <f>116.06-36.81</f>
        <v>79.25</v>
      </c>
      <c r="Z63" s="46">
        <f>167.66-27.15</f>
        <v>140.51</v>
      </c>
      <c r="AA63" s="46">
        <f>123.19-22.64</f>
        <v>100.55</v>
      </c>
      <c r="AB63" s="46">
        <v>144.85</v>
      </c>
      <c r="AC63" s="48">
        <v>139.59</v>
      </c>
      <c r="AD63" s="48">
        <v>66.900000000000006</v>
      </c>
      <c r="AE63" s="48">
        <v>0</v>
      </c>
      <c r="AF63" s="48">
        <v>40.25</v>
      </c>
      <c r="AG63" s="46">
        <v>73.8</v>
      </c>
      <c r="AH63" s="46">
        <v>46.39</v>
      </c>
      <c r="AI63" s="46">
        <v>25.98</v>
      </c>
      <c r="AJ63" s="46">
        <v>41.98</v>
      </c>
      <c r="AK63" s="46">
        <v>40.39</v>
      </c>
      <c r="AL63" s="46">
        <v>64.13</v>
      </c>
      <c r="AM63" s="46">
        <v>51.92</v>
      </c>
      <c r="AN63" s="46">
        <v>29.83</v>
      </c>
      <c r="AO63" s="46"/>
      <c r="AP63" s="46">
        <f t="shared" si="0"/>
        <v>1156.5899999999999</v>
      </c>
      <c r="AQ63" s="46">
        <f t="shared" si="1"/>
        <v>52.572272727272725</v>
      </c>
      <c r="AR63" s="67">
        <f t="shared" si="2"/>
        <v>5.2572272727272722</v>
      </c>
    </row>
    <row r="64" spans="1:44" x14ac:dyDescent="0.3">
      <c r="A64" s="5"/>
      <c r="B64" s="6"/>
      <c r="C64" s="6"/>
      <c r="D64" s="6"/>
      <c r="E64" s="6"/>
      <c r="F64" s="6"/>
      <c r="G64" s="6"/>
      <c r="H64" s="5"/>
      <c r="I64" s="67"/>
      <c r="J64" s="45"/>
      <c r="K64" s="45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8"/>
      <c r="AD64" s="48"/>
      <c r="AE64" s="48"/>
      <c r="AF64" s="48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12"/>
    </row>
    <row r="65" spans="1:44" x14ac:dyDescent="0.3">
      <c r="A65" s="5"/>
      <c r="B65" s="14"/>
      <c r="C65" s="14"/>
      <c r="D65" s="14"/>
      <c r="E65" s="13"/>
      <c r="F65" s="13"/>
      <c r="G65" s="13" t="s">
        <v>79</v>
      </c>
      <c r="H65" s="52">
        <f>SUM(H2:H63)</f>
        <v>566</v>
      </c>
      <c r="I65" s="52"/>
      <c r="J65" s="44">
        <f>SUM(J2:J63)</f>
        <v>1722.3890000000001</v>
      </c>
      <c r="K65" s="44">
        <f t="shared" ref="K65:AN65" si="4">SUM(K2:K63)</f>
        <v>1949.8410000000006</v>
      </c>
      <c r="L65" s="44">
        <f t="shared" si="4"/>
        <v>2350.815000000001</v>
      </c>
      <c r="M65" s="44">
        <f t="shared" si="4"/>
        <v>2314.3879999999999</v>
      </c>
      <c r="N65" s="44">
        <f t="shared" si="4"/>
        <v>2252.683</v>
      </c>
      <c r="O65" s="44">
        <f t="shared" si="4"/>
        <v>2068.7409999999995</v>
      </c>
      <c r="P65" s="44">
        <f t="shared" si="4"/>
        <v>2065.61</v>
      </c>
      <c r="Q65" s="44">
        <f t="shared" si="4"/>
        <v>2221.89</v>
      </c>
      <c r="R65" s="44">
        <f t="shared" si="4"/>
        <v>1958.6690000000001</v>
      </c>
      <c r="S65" s="44">
        <f t="shared" si="4"/>
        <v>2361.7870000000012</v>
      </c>
      <c r="T65" s="44">
        <f t="shared" si="4"/>
        <v>2251.2319999999995</v>
      </c>
      <c r="U65" s="44">
        <f t="shared" si="4"/>
        <v>2301.5440000000008</v>
      </c>
      <c r="V65" s="44">
        <f t="shared" si="4"/>
        <v>2052.3999999999996</v>
      </c>
      <c r="W65" s="44">
        <f t="shared" si="4"/>
        <v>1982.3969999999999</v>
      </c>
      <c r="X65" s="44">
        <f t="shared" si="4"/>
        <v>1617.3340000000003</v>
      </c>
      <c r="Y65" s="44">
        <f t="shared" si="4"/>
        <v>1974.9299999999998</v>
      </c>
      <c r="Z65" s="44">
        <f t="shared" si="4"/>
        <v>2275.0789999999997</v>
      </c>
      <c r="AA65" s="44">
        <f t="shared" si="4"/>
        <v>2280.2099999999996</v>
      </c>
      <c r="AB65" s="44">
        <f t="shared" si="4"/>
        <v>2201.6960000000004</v>
      </c>
      <c r="AC65" s="44">
        <f t="shared" si="4"/>
        <v>2118.7600000000002</v>
      </c>
      <c r="AD65" s="44">
        <f t="shared" si="4"/>
        <v>1867.3220000000001</v>
      </c>
      <c r="AE65" s="44">
        <f t="shared" si="4"/>
        <v>1993.6770000000001</v>
      </c>
      <c r="AF65" s="44">
        <f t="shared" si="4"/>
        <v>1623.6069999999997</v>
      </c>
      <c r="AG65" s="44">
        <f t="shared" si="4"/>
        <v>2041.3869999999995</v>
      </c>
      <c r="AH65" s="44">
        <f t="shared" si="4"/>
        <v>2164.2529999999997</v>
      </c>
      <c r="AI65" s="44">
        <f t="shared" si="4"/>
        <v>1928.6699999999998</v>
      </c>
      <c r="AJ65" s="44">
        <f t="shared" si="4"/>
        <v>1939.1289999999999</v>
      </c>
      <c r="AK65" s="44">
        <f t="shared" si="4"/>
        <v>1932.9600000000005</v>
      </c>
      <c r="AL65" s="44">
        <f t="shared" si="4"/>
        <v>1969.8620000000001</v>
      </c>
      <c r="AM65" s="44">
        <f t="shared" si="4"/>
        <v>1957.1669999999999</v>
      </c>
      <c r="AN65" s="44">
        <f t="shared" si="4"/>
        <v>2083.9900000000002</v>
      </c>
      <c r="AO65" s="44"/>
      <c r="AP65" s="44"/>
      <c r="AQ65" s="44">
        <f>AVERAGE(J65:AN65)</f>
        <v>2058.8522258064518</v>
      </c>
      <c r="AR65" s="67">
        <f>AQ65/H65</f>
        <v>3.6375481021315403</v>
      </c>
    </row>
    <row r="66" spans="1:44" x14ac:dyDescent="0.3">
      <c r="AQ66" s="50"/>
    </row>
    <row r="67" spans="1:44" x14ac:dyDescent="0.3">
      <c r="AQ67" s="50"/>
    </row>
  </sheetData>
  <autoFilter ref="A1:I63" xr:uid="{00000000-0009-0000-0000-000012000000}"/>
  <pageMargins left="0.7" right="0.7" top="0.75" bottom="0.75" header="0.3" footer="0.3"/>
  <pageSetup scale="1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3:K35"/>
  <sheetViews>
    <sheetView topLeftCell="A37" workbookViewId="0">
      <selection activeCell="F29" sqref="F29"/>
    </sheetView>
  </sheetViews>
  <sheetFormatPr defaultRowHeight="14.4" x14ac:dyDescent="0.3"/>
  <cols>
    <col min="1" max="1" width="15.109375" customWidth="1"/>
    <col min="2" max="2" width="16.33203125" customWidth="1"/>
    <col min="3" max="3" width="8" bestFit="1" customWidth="1"/>
    <col min="4" max="4" width="7.33203125" customWidth="1"/>
    <col min="5" max="5" width="10.5546875" customWidth="1"/>
    <col min="6" max="6" width="9" customWidth="1"/>
    <col min="7" max="7" width="7.44140625" customWidth="1"/>
    <col min="8" max="8" width="11.109375" customWidth="1"/>
    <col min="9" max="9" width="14.6640625" customWidth="1"/>
    <col min="10" max="10" width="8.6640625" bestFit="1" customWidth="1"/>
    <col min="11" max="11" width="11.33203125" bestFit="1" customWidth="1"/>
    <col min="12" max="16" width="16.5546875" bestFit="1" customWidth="1"/>
    <col min="17" max="17" width="20.109375" bestFit="1" customWidth="1"/>
    <col min="18" max="18" width="21.6640625" bestFit="1" customWidth="1"/>
  </cols>
  <sheetData>
    <row r="3" spans="1:11" x14ac:dyDescent="0.3">
      <c r="B3" s="29" t="s">
        <v>144</v>
      </c>
    </row>
    <row r="4" spans="1:11" x14ac:dyDescent="0.3">
      <c r="A4" s="30" t="s">
        <v>131</v>
      </c>
      <c r="B4" s="12" t="s">
        <v>58</v>
      </c>
      <c r="C4" s="12" t="s">
        <v>65</v>
      </c>
      <c r="D4" s="12" t="s">
        <v>134</v>
      </c>
      <c r="E4" s="12" t="s">
        <v>9</v>
      </c>
      <c r="F4" s="12" t="s">
        <v>55</v>
      </c>
      <c r="G4" s="12" t="s">
        <v>119</v>
      </c>
      <c r="H4" s="12" t="s">
        <v>49</v>
      </c>
      <c r="I4" s="12" t="s">
        <v>52</v>
      </c>
      <c r="J4" s="12" t="s">
        <v>175</v>
      </c>
      <c r="K4" s="12" t="s">
        <v>83</v>
      </c>
    </row>
    <row r="5" spans="1:11" x14ac:dyDescent="0.3">
      <c r="A5" s="39" t="s">
        <v>153</v>
      </c>
      <c r="B5" s="12">
        <v>415.4</v>
      </c>
      <c r="C5" s="12">
        <v>371.089</v>
      </c>
      <c r="D5" s="12">
        <v>40.619999999999997</v>
      </c>
      <c r="E5" s="12">
        <v>486.02</v>
      </c>
      <c r="F5" s="12">
        <v>270.33999999999997</v>
      </c>
      <c r="G5" s="12">
        <v>54.51</v>
      </c>
      <c r="H5" s="12">
        <v>70.739999999999995</v>
      </c>
      <c r="I5" s="12">
        <v>13.67</v>
      </c>
      <c r="J5" s="12"/>
      <c r="K5" s="12">
        <v>1722.3889999999999</v>
      </c>
    </row>
    <row r="6" spans="1:11" x14ac:dyDescent="0.3">
      <c r="A6" s="70" t="s">
        <v>157</v>
      </c>
      <c r="B6" s="12">
        <v>433.64</v>
      </c>
      <c r="C6" s="12">
        <v>458.86</v>
      </c>
      <c r="D6" s="12">
        <v>25.23</v>
      </c>
      <c r="E6" s="12">
        <v>497.51100000000002</v>
      </c>
      <c r="F6" s="12">
        <v>364.5</v>
      </c>
      <c r="G6" s="12">
        <v>82.17</v>
      </c>
      <c r="H6" s="12">
        <v>73.099999999999994</v>
      </c>
      <c r="I6" s="12">
        <v>14.83</v>
      </c>
      <c r="J6" s="12"/>
      <c r="K6" s="12">
        <v>1949.8409999999999</v>
      </c>
    </row>
    <row r="7" spans="1:11" x14ac:dyDescent="0.3">
      <c r="A7" s="70" t="s">
        <v>164</v>
      </c>
      <c r="B7" s="12">
        <v>462.03999999999996</v>
      </c>
      <c r="C7" s="12">
        <v>441.79500000000002</v>
      </c>
      <c r="D7" s="12">
        <v>42.99</v>
      </c>
      <c r="E7" s="12">
        <v>647.04</v>
      </c>
      <c r="F7" s="12">
        <v>538.82000000000005</v>
      </c>
      <c r="G7" s="12">
        <v>94.68</v>
      </c>
      <c r="H7" s="12">
        <v>114.52000000000001</v>
      </c>
      <c r="I7" s="12">
        <v>8.93</v>
      </c>
      <c r="J7" s="12"/>
      <c r="K7" s="12">
        <v>2350.8149999999996</v>
      </c>
    </row>
    <row r="8" spans="1:11" x14ac:dyDescent="0.3">
      <c r="A8" s="70" t="s">
        <v>167</v>
      </c>
      <c r="B8" s="12">
        <v>455.78000000000003</v>
      </c>
      <c r="C8" s="12">
        <v>466.09799999999996</v>
      </c>
      <c r="D8" s="12">
        <v>33.270000000000003</v>
      </c>
      <c r="E8" s="12">
        <v>584.26</v>
      </c>
      <c r="F8" s="12">
        <v>537.36</v>
      </c>
      <c r="G8" s="12">
        <v>117.02</v>
      </c>
      <c r="H8" s="12">
        <v>95.97</v>
      </c>
      <c r="I8" s="12">
        <v>24.63</v>
      </c>
      <c r="J8" s="12"/>
      <c r="K8" s="12">
        <v>2314.3879999999999</v>
      </c>
    </row>
    <row r="9" spans="1:11" x14ac:dyDescent="0.3">
      <c r="A9" s="70" t="s">
        <v>168</v>
      </c>
      <c r="B9" s="12">
        <v>415.72</v>
      </c>
      <c r="C9" s="12">
        <v>469.27300000000002</v>
      </c>
      <c r="D9" s="12">
        <v>34.39</v>
      </c>
      <c r="E9" s="12">
        <v>629.17999999999995</v>
      </c>
      <c r="F9" s="12">
        <v>501.22</v>
      </c>
      <c r="G9" s="12">
        <v>92.01</v>
      </c>
      <c r="H9" s="12">
        <v>88.919999999999987</v>
      </c>
      <c r="I9" s="12">
        <v>21.97</v>
      </c>
      <c r="J9" s="12"/>
      <c r="K9" s="12">
        <v>2252.6830000000004</v>
      </c>
    </row>
    <row r="10" spans="1:11" x14ac:dyDescent="0.3">
      <c r="A10" s="70" t="s">
        <v>169</v>
      </c>
      <c r="B10" s="12">
        <v>396.56000000000006</v>
      </c>
      <c r="C10" s="12">
        <v>325.53100000000001</v>
      </c>
      <c r="D10" s="12">
        <v>42.07</v>
      </c>
      <c r="E10" s="12">
        <v>609.33999999999992</v>
      </c>
      <c r="F10" s="12">
        <v>514.70000000000005</v>
      </c>
      <c r="G10" s="12">
        <v>62.3</v>
      </c>
      <c r="H10" s="12">
        <v>101</v>
      </c>
      <c r="I10" s="12">
        <v>17.239999999999998</v>
      </c>
      <c r="J10" s="12"/>
      <c r="K10" s="12">
        <v>2068.741</v>
      </c>
    </row>
    <row r="11" spans="1:11" x14ac:dyDescent="0.3">
      <c r="A11" s="71" t="s">
        <v>170</v>
      </c>
      <c r="B11" s="12">
        <v>461.65999999999997</v>
      </c>
      <c r="C11" s="12">
        <v>264.53999999999996</v>
      </c>
      <c r="D11" s="12">
        <v>29.81</v>
      </c>
      <c r="E11" s="12">
        <v>637.45000000000005</v>
      </c>
      <c r="F11" s="12">
        <v>540.13</v>
      </c>
      <c r="G11" s="12">
        <v>53.98</v>
      </c>
      <c r="H11" s="12">
        <v>78.040000000000006</v>
      </c>
      <c r="I11" s="12">
        <v>0</v>
      </c>
      <c r="J11" s="12"/>
      <c r="K11" s="12">
        <v>2065.61</v>
      </c>
    </row>
    <row r="12" spans="1:11" x14ac:dyDescent="0.3">
      <c r="A12" s="71" t="s">
        <v>172</v>
      </c>
      <c r="B12" s="12">
        <v>425.62</v>
      </c>
      <c r="C12" s="12">
        <v>424.87</v>
      </c>
      <c r="D12" s="12">
        <v>45.5</v>
      </c>
      <c r="E12" s="12">
        <v>754.70999999999992</v>
      </c>
      <c r="F12" s="12">
        <v>379.31</v>
      </c>
      <c r="G12" s="12">
        <v>77.649999999999991</v>
      </c>
      <c r="H12" s="12">
        <v>93.800000000000011</v>
      </c>
      <c r="I12" s="12">
        <v>20.43</v>
      </c>
      <c r="J12" s="12"/>
      <c r="K12" s="12">
        <v>2221.89</v>
      </c>
    </row>
    <row r="13" spans="1:11" x14ac:dyDescent="0.3">
      <c r="A13" s="26" t="s">
        <v>173</v>
      </c>
      <c r="B13" s="12">
        <v>457.41</v>
      </c>
      <c r="C13" s="12">
        <v>430.58</v>
      </c>
      <c r="D13" s="12">
        <v>22.7</v>
      </c>
      <c r="E13" s="12">
        <v>694.07899999999995</v>
      </c>
      <c r="F13" s="12">
        <v>171.21</v>
      </c>
      <c r="G13" s="12">
        <v>69.31</v>
      </c>
      <c r="H13" s="12">
        <v>86.45</v>
      </c>
      <c r="I13" s="12">
        <v>26.93</v>
      </c>
      <c r="J13" s="12"/>
      <c r="K13" s="12">
        <v>1958.6690000000001</v>
      </c>
    </row>
    <row r="14" spans="1:11" x14ac:dyDescent="0.3">
      <c r="A14" s="26" t="s">
        <v>176</v>
      </c>
      <c r="B14" s="12">
        <v>433.49</v>
      </c>
      <c r="C14" s="12">
        <v>510.01500000000004</v>
      </c>
      <c r="D14" s="12">
        <v>34.06</v>
      </c>
      <c r="E14" s="12">
        <v>761.452</v>
      </c>
      <c r="F14" s="12">
        <v>478.4</v>
      </c>
      <c r="G14" s="12">
        <v>73.569999999999993</v>
      </c>
      <c r="H14" s="12">
        <v>58.32</v>
      </c>
      <c r="I14" s="12">
        <v>11.7</v>
      </c>
      <c r="J14" s="12">
        <v>0.78</v>
      </c>
      <c r="K14" s="12">
        <v>2361.7870000000003</v>
      </c>
    </row>
    <row r="15" spans="1:11" x14ac:dyDescent="0.3">
      <c r="A15" s="26" t="s">
        <v>177</v>
      </c>
      <c r="B15" s="12">
        <v>421.91999999999996</v>
      </c>
      <c r="C15" s="12">
        <v>430.46199999999999</v>
      </c>
      <c r="D15" s="12">
        <v>20.74</v>
      </c>
      <c r="E15" s="12">
        <v>685.98</v>
      </c>
      <c r="F15" s="12">
        <v>498.15</v>
      </c>
      <c r="G15" s="12">
        <v>86.25</v>
      </c>
      <c r="H15" s="12">
        <v>86.76</v>
      </c>
      <c r="I15" s="12">
        <v>20.58</v>
      </c>
      <c r="J15" s="12">
        <v>0.39</v>
      </c>
      <c r="K15" s="12">
        <v>2251.232</v>
      </c>
    </row>
    <row r="16" spans="1:11" x14ac:dyDescent="0.3">
      <c r="A16" s="26" t="s">
        <v>178</v>
      </c>
      <c r="B16" s="12">
        <v>466.27000000000004</v>
      </c>
      <c r="C16" s="12">
        <v>417.2240000000001</v>
      </c>
      <c r="D16" s="12">
        <v>25.83</v>
      </c>
      <c r="E16" s="12">
        <v>735.8900000000001</v>
      </c>
      <c r="F16" s="12">
        <v>467.71</v>
      </c>
      <c r="G16" s="12">
        <v>90.44</v>
      </c>
      <c r="H16" s="12">
        <v>84.25</v>
      </c>
      <c r="I16" s="12">
        <v>10.17</v>
      </c>
      <c r="J16" s="12">
        <v>3.7600000000000002</v>
      </c>
      <c r="K16" s="12">
        <v>2301.5440000000008</v>
      </c>
    </row>
    <row r="17" spans="1:11" x14ac:dyDescent="0.3">
      <c r="A17" s="26" t="s">
        <v>179</v>
      </c>
      <c r="B17" s="12">
        <v>457.33000000000004</v>
      </c>
      <c r="C17" s="12">
        <v>271.11</v>
      </c>
      <c r="D17" s="12">
        <v>17.489999999999998</v>
      </c>
      <c r="E17" s="12">
        <v>596.66</v>
      </c>
      <c r="F17" s="12">
        <v>548.26</v>
      </c>
      <c r="G17" s="12">
        <v>62.9</v>
      </c>
      <c r="H17" s="12">
        <v>86.509999999999991</v>
      </c>
      <c r="I17" s="12">
        <v>11</v>
      </c>
      <c r="J17" s="12">
        <v>1.1399999999999997</v>
      </c>
      <c r="K17" s="12">
        <v>2052.4</v>
      </c>
    </row>
    <row r="18" spans="1:11" x14ac:dyDescent="0.3">
      <c r="A18" s="26" t="s">
        <v>180</v>
      </c>
      <c r="B18" s="12">
        <v>478.78</v>
      </c>
      <c r="C18" s="12">
        <v>308.59700000000004</v>
      </c>
      <c r="D18" s="12">
        <v>38.479999999999997</v>
      </c>
      <c r="E18" s="12">
        <v>526.05999999999995</v>
      </c>
      <c r="F18" s="12">
        <v>504.88</v>
      </c>
      <c r="G18" s="12">
        <v>39.92</v>
      </c>
      <c r="H18" s="12">
        <v>63.48</v>
      </c>
      <c r="I18" s="12">
        <v>8.02</v>
      </c>
      <c r="J18" s="12">
        <v>14.18</v>
      </c>
      <c r="K18" s="12">
        <v>1982.3970000000002</v>
      </c>
    </row>
    <row r="19" spans="1:11" x14ac:dyDescent="0.3">
      <c r="A19" s="26" t="s">
        <v>181</v>
      </c>
      <c r="B19" s="12">
        <v>485.07</v>
      </c>
      <c r="C19" s="12">
        <v>283.07399999999996</v>
      </c>
      <c r="D19" s="12">
        <v>26.57</v>
      </c>
      <c r="E19" s="12">
        <v>461.62000000000006</v>
      </c>
      <c r="F19" s="12">
        <v>195.85</v>
      </c>
      <c r="G19" s="12">
        <v>41.56</v>
      </c>
      <c r="H19" s="12">
        <v>73.569999999999993</v>
      </c>
      <c r="I19" s="12">
        <v>0</v>
      </c>
      <c r="J19" s="12">
        <v>50.019999999999996</v>
      </c>
      <c r="K19" s="12">
        <v>1617.3339999999998</v>
      </c>
    </row>
    <row r="20" spans="1:11" x14ac:dyDescent="0.3">
      <c r="A20" s="26" t="s">
        <v>182</v>
      </c>
      <c r="B20" s="12">
        <v>386.96</v>
      </c>
      <c r="C20" s="12">
        <v>400.077</v>
      </c>
      <c r="D20" s="12">
        <v>31.43</v>
      </c>
      <c r="E20" s="12">
        <v>564.51299999999992</v>
      </c>
      <c r="F20" s="12">
        <v>364.75</v>
      </c>
      <c r="G20" s="12">
        <v>50.45</v>
      </c>
      <c r="H20" s="12">
        <v>91.14</v>
      </c>
      <c r="I20" s="12">
        <v>6.36</v>
      </c>
      <c r="J20" s="12">
        <v>79.25</v>
      </c>
      <c r="K20" s="12">
        <v>1974.93</v>
      </c>
    </row>
    <row r="21" spans="1:11" x14ac:dyDescent="0.3">
      <c r="A21" s="26" t="s">
        <v>183</v>
      </c>
      <c r="B21" s="12">
        <v>370.25</v>
      </c>
      <c r="C21" s="12">
        <v>374.64800000000008</v>
      </c>
      <c r="D21" s="12">
        <v>32.94</v>
      </c>
      <c r="E21" s="12">
        <v>681.11099999999999</v>
      </c>
      <c r="F21" s="12">
        <v>530.98</v>
      </c>
      <c r="G21" s="12">
        <v>58.059999999999995</v>
      </c>
      <c r="H21" s="12">
        <v>86.580000000000013</v>
      </c>
      <c r="I21" s="12">
        <v>0</v>
      </c>
      <c r="J21" s="12">
        <v>140.51</v>
      </c>
      <c r="K21" s="12">
        <v>2275.0789999999997</v>
      </c>
    </row>
    <row r="22" spans="1:11" x14ac:dyDescent="0.3">
      <c r="A22" s="26" t="s">
        <v>184</v>
      </c>
      <c r="B22" s="12">
        <v>385.89</v>
      </c>
      <c r="C22" s="12">
        <v>361.33</v>
      </c>
      <c r="D22" s="12">
        <v>31.14</v>
      </c>
      <c r="E22" s="12">
        <v>761.06999999999994</v>
      </c>
      <c r="F22" s="12">
        <v>485.39</v>
      </c>
      <c r="G22" s="12">
        <v>65.67</v>
      </c>
      <c r="H22" s="12">
        <v>70.34</v>
      </c>
      <c r="I22" s="12">
        <v>18.829999999999998</v>
      </c>
      <c r="J22" s="12">
        <v>100.55</v>
      </c>
      <c r="K22" s="12">
        <v>2280.21</v>
      </c>
    </row>
    <row r="23" spans="1:11" x14ac:dyDescent="0.3">
      <c r="A23" s="26" t="s">
        <v>185</v>
      </c>
      <c r="B23" s="12">
        <v>396.85</v>
      </c>
      <c r="C23" s="12">
        <v>375.88500000000005</v>
      </c>
      <c r="D23" s="12">
        <v>29.17</v>
      </c>
      <c r="E23" s="12">
        <v>657.27099999999996</v>
      </c>
      <c r="F23" s="12">
        <v>418.34</v>
      </c>
      <c r="G23" s="12">
        <v>69.709999999999994</v>
      </c>
      <c r="H23" s="12">
        <v>96.56</v>
      </c>
      <c r="I23" s="12">
        <v>13.06</v>
      </c>
      <c r="J23" s="12">
        <v>144.85</v>
      </c>
      <c r="K23" s="12">
        <v>2201.6959999999999</v>
      </c>
    </row>
    <row r="24" spans="1:11" x14ac:dyDescent="0.3">
      <c r="A24" s="26" t="s">
        <v>186</v>
      </c>
      <c r="B24" s="12">
        <v>367.75</v>
      </c>
      <c r="C24" s="12">
        <v>273.36</v>
      </c>
      <c r="D24" s="12">
        <v>16.920000000000002</v>
      </c>
      <c r="E24" s="12">
        <v>679.96</v>
      </c>
      <c r="F24" s="12">
        <v>491.2</v>
      </c>
      <c r="G24" s="12">
        <v>64.239999999999995</v>
      </c>
      <c r="H24" s="12">
        <v>77.86999999999999</v>
      </c>
      <c r="I24" s="12">
        <v>7.87</v>
      </c>
      <c r="J24" s="12">
        <v>139.59</v>
      </c>
      <c r="K24" s="12">
        <v>2118.7599999999998</v>
      </c>
    </row>
    <row r="25" spans="1:11" x14ac:dyDescent="0.3">
      <c r="A25" s="26" t="s">
        <v>187</v>
      </c>
      <c r="B25" s="12">
        <v>408.13</v>
      </c>
      <c r="C25" s="12">
        <v>191.62</v>
      </c>
      <c r="D25" s="12">
        <v>35.26</v>
      </c>
      <c r="E25" s="12">
        <v>675.04200000000003</v>
      </c>
      <c r="F25" s="12">
        <v>361.57</v>
      </c>
      <c r="G25" s="12">
        <v>46.99</v>
      </c>
      <c r="H25" s="12">
        <v>81.81</v>
      </c>
      <c r="I25" s="12">
        <v>0</v>
      </c>
      <c r="J25" s="12">
        <v>66.900000000000006</v>
      </c>
      <c r="K25" s="12">
        <v>1867.3220000000001</v>
      </c>
    </row>
    <row r="26" spans="1:11" x14ac:dyDescent="0.3">
      <c r="A26" s="26" t="s">
        <v>188</v>
      </c>
      <c r="B26" s="12">
        <v>359.12</v>
      </c>
      <c r="C26" s="12">
        <v>320.327</v>
      </c>
      <c r="D26" s="12">
        <v>28.53</v>
      </c>
      <c r="E26" s="12">
        <v>639.80000000000007</v>
      </c>
      <c r="F26" s="12">
        <v>530.82000000000005</v>
      </c>
      <c r="G26" s="12">
        <v>19.41</v>
      </c>
      <c r="H26" s="12">
        <v>81.64</v>
      </c>
      <c r="I26" s="12">
        <v>14.03</v>
      </c>
      <c r="J26" s="12">
        <v>0</v>
      </c>
      <c r="K26" s="12">
        <v>1993.6770000000004</v>
      </c>
    </row>
    <row r="27" spans="1:11" x14ac:dyDescent="0.3">
      <c r="A27" s="26" t="s">
        <v>189</v>
      </c>
      <c r="B27" s="12">
        <v>371.65</v>
      </c>
      <c r="C27" s="12">
        <v>332.80099999999999</v>
      </c>
      <c r="D27" s="12">
        <v>17.34</v>
      </c>
      <c r="E27" s="12">
        <v>567.16599999999994</v>
      </c>
      <c r="F27" s="12">
        <v>161.81</v>
      </c>
      <c r="G27" s="12">
        <v>44.25</v>
      </c>
      <c r="H27" s="12">
        <v>75.23</v>
      </c>
      <c r="I27" s="12">
        <v>13.11</v>
      </c>
      <c r="J27" s="12">
        <v>40.25</v>
      </c>
      <c r="K27" s="12">
        <v>1623.6069999999997</v>
      </c>
    </row>
    <row r="28" spans="1:11" x14ac:dyDescent="0.3">
      <c r="A28" s="26" t="s">
        <v>190</v>
      </c>
      <c r="B28" s="12">
        <v>352.32100000000003</v>
      </c>
      <c r="C28" s="12">
        <v>355.596</v>
      </c>
      <c r="D28" s="12">
        <v>22.7</v>
      </c>
      <c r="E28" s="12">
        <v>605.92999999999995</v>
      </c>
      <c r="F28" s="12">
        <v>509.65</v>
      </c>
      <c r="G28" s="12">
        <v>64.87</v>
      </c>
      <c r="H28" s="12">
        <v>48.79</v>
      </c>
      <c r="I28" s="12">
        <v>7.73</v>
      </c>
      <c r="J28" s="12">
        <v>73.8</v>
      </c>
      <c r="K28" s="12">
        <v>2041.3869999999999</v>
      </c>
    </row>
    <row r="29" spans="1:11" x14ac:dyDescent="0.3">
      <c r="A29" s="26" t="s">
        <v>191</v>
      </c>
      <c r="B29" s="12">
        <v>353.44</v>
      </c>
      <c r="C29" s="12">
        <v>351.46299999999997</v>
      </c>
      <c r="D29" s="12">
        <v>26.66</v>
      </c>
      <c r="E29" s="12">
        <v>662.06999999999994</v>
      </c>
      <c r="F29" s="12">
        <v>495.03</v>
      </c>
      <c r="G29" s="12">
        <v>93.600000000000009</v>
      </c>
      <c r="H29" s="12">
        <v>121.94</v>
      </c>
      <c r="I29" s="12">
        <v>13.66</v>
      </c>
      <c r="J29" s="12">
        <v>46.39</v>
      </c>
      <c r="K29" s="12">
        <v>2164.2529999999992</v>
      </c>
    </row>
    <row r="30" spans="1:11" x14ac:dyDescent="0.3">
      <c r="A30" s="26" t="s">
        <v>192</v>
      </c>
      <c r="B30" s="12">
        <v>353.54</v>
      </c>
      <c r="C30" s="12">
        <v>230.93</v>
      </c>
      <c r="D30" s="12">
        <v>44.92</v>
      </c>
      <c r="E30" s="12">
        <v>604.8900000000001</v>
      </c>
      <c r="F30" s="12">
        <v>528.30999999999995</v>
      </c>
      <c r="G30" s="12">
        <v>32.450000000000003</v>
      </c>
      <c r="H30" s="12">
        <v>107.64999999999999</v>
      </c>
      <c r="I30" s="12">
        <v>0</v>
      </c>
      <c r="J30" s="12">
        <v>25.98</v>
      </c>
      <c r="K30" s="12">
        <v>1928.6700000000003</v>
      </c>
    </row>
    <row r="31" spans="1:11" x14ac:dyDescent="0.3">
      <c r="A31" s="26" t="s">
        <v>193</v>
      </c>
      <c r="B31" s="12">
        <v>348.53999999999996</v>
      </c>
      <c r="C31" s="12">
        <v>260.02300000000002</v>
      </c>
      <c r="D31" s="12">
        <v>24.37</v>
      </c>
      <c r="E31" s="12">
        <v>508.88599999999997</v>
      </c>
      <c r="F31" s="12">
        <v>610.86</v>
      </c>
      <c r="G31" s="12">
        <v>36.119999999999997</v>
      </c>
      <c r="H31" s="12">
        <v>91.28</v>
      </c>
      <c r="I31" s="12">
        <v>17.07</v>
      </c>
      <c r="J31" s="12">
        <v>41.98</v>
      </c>
      <c r="K31" s="12">
        <v>1939.1289999999999</v>
      </c>
    </row>
    <row r="32" spans="1:11" x14ac:dyDescent="0.3">
      <c r="A32" s="26" t="s">
        <v>194</v>
      </c>
      <c r="B32" s="12">
        <v>433.78</v>
      </c>
      <c r="C32" s="12">
        <v>247.84</v>
      </c>
      <c r="D32" s="12">
        <v>44.61</v>
      </c>
      <c r="E32" s="12">
        <v>447.79</v>
      </c>
      <c r="F32" s="12">
        <v>597.49</v>
      </c>
      <c r="G32" s="12">
        <v>34.21</v>
      </c>
      <c r="H32" s="12">
        <v>86.85</v>
      </c>
      <c r="I32" s="12">
        <v>0</v>
      </c>
      <c r="J32" s="12">
        <v>40.39</v>
      </c>
      <c r="K32" s="12">
        <v>1932.96</v>
      </c>
    </row>
    <row r="33" spans="1:11" x14ac:dyDescent="0.3">
      <c r="A33" s="26" t="s">
        <v>195</v>
      </c>
      <c r="B33" s="12">
        <v>379.03</v>
      </c>
      <c r="C33" s="12">
        <v>336.46700000000004</v>
      </c>
      <c r="D33" s="12">
        <v>25.59</v>
      </c>
      <c r="E33" s="12">
        <v>670.09500000000003</v>
      </c>
      <c r="F33" s="12">
        <v>234.19</v>
      </c>
      <c r="G33" s="12">
        <v>45.78</v>
      </c>
      <c r="H33" s="12">
        <v>92.4</v>
      </c>
      <c r="I33" s="12">
        <v>19.57</v>
      </c>
      <c r="J33" s="12">
        <v>64.13</v>
      </c>
      <c r="K33" s="12">
        <v>1867.2520000000004</v>
      </c>
    </row>
    <row r="34" spans="1:11" x14ac:dyDescent="0.3">
      <c r="A34" s="26" t="s">
        <v>197</v>
      </c>
      <c r="B34" s="12">
        <v>354.43</v>
      </c>
      <c r="C34" s="12">
        <v>339.697</v>
      </c>
      <c r="D34" s="12">
        <v>30.57</v>
      </c>
      <c r="E34" s="12">
        <v>651.41</v>
      </c>
      <c r="F34" s="12">
        <v>278.01</v>
      </c>
      <c r="G34" s="12">
        <v>36.299999999999997</v>
      </c>
      <c r="H34" s="12">
        <v>93.190000000000012</v>
      </c>
      <c r="I34" s="12">
        <v>22.64</v>
      </c>
      <c r="J34" s="12">
        <v>51.92</v>
      </c>
      <c r="K34" s="12">
        <v>1858.1670000000001</v>
      </c>
    </row>
    <row r="35" spans="1:11" x14ac:dyDescent="0.3">
      <c r="A35" s="26" t="s">
        <v>198</v>
      </c>
      <c r="B35" s="12">
        <v>388.82</v>
      </c>
      <c r="C35" s="12">
        <v>300.34000000000003</v>
      </c>
      <c r="D35" s="12">
        <v>34.76</v>
      </c>
      <c r="E35" s="12">
        <v>601.41</v>
      </c>
      <c r="F35" s="12">
        <v>490.85</v>
      </c>
      <c r="G35" s="12">
        <v>30.72</v>
      </c>
      <c r="H35" s="12">
        <v>92.449999999999989</v>
      </c>
      <c r="I35" s="12">
        <v>12.46</v>
      </c>
      <c r="J35" s="12">
        <v>29.83</v>
      </c>
      <c r="K35" s="12">
        <v>1981.6399999999999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75"/>
  <sheetViews>
    <sheetView topLeftCell="A64" workbookViewId="0">
      <selection activeCell="F29" sqref="F29"/>
    </sheetView>
  </sheetViews>
  <sheetFormatPr defaultRowHeight="14.4" x14ac:dyDescent="0.3"/>
  <cols>
    <col min="1" max="1" width="46.6640625" bestFit="1" customWidth="1"/>
    <col min="2" max="2" width="20.6640625" bestFit="1" customWidth="1"/>
    <col min="3" max="3" width="15.77734375" bestFit="1" customWidth="1"/>
    <col min="4" max="4" width="31.5546875" bestFit="1" customWidth="1"/>
    <col min="5" max="14" width="15.109375" customWidth="1"/>
    <col min="15" max="15" width="15.109375" bestFit="1" customWidth="1"/>
    <col min="16" max="32" width="15.109375" customWidth="1"/>
    <col min="33" max="33" width="32.6640625" bestFit="1" customWidth="1"/>
  </cols>
  <sheetData>
    <row r="1" spans="1:4" x14ac:dyDescent="0.3">
      <c r="A1" s="30" t="s">
        <v>1</v>
      </c>
      <c r="B1" s="12" t="s">
        <v>82</v>
      </c>
    </row>
    <row r="2" spans="1:4" x14ac:dyDescent="0.3">
      <c r="A2" s="30" t="s">
        <v>158</v>
      </c>
      <c r="B2" s="12" t="s">
        <v>82</v>
      </c>
    </row>
    <row r="4" spans="1:4" x14ac:dyDescent="0.3">
      <c r="A4" s="30" t="s">
        <v>2</v>
      </c>
      <c r="B4" s="12" t="s">
        <v>84</v>
      </c>
      <c r="C4" s="31" t="s">
        <v>85</v>
      </c>
      <c r="D4" s="31" t="s">
        <v>155</v>
      </c>
    </row>
    <row r="5" spans="1:4" x14ac:dyDescent="0.3">
      <c r="A5" s="12" t="s">
        <v>133</v>
      </c>
      <c r="B5" s="137">
        <v>5</v>
      </c>
      <c r="C5" s="31">
        <v>37.332413793103441</v>
      </c>
      <c r="D5" s="31">
        <v>7.4664827586206881</v>
      </c>
    </row>
    <row r="6" spans="1:4" x14ac:dyDescent="0.3">
      <c r="A6" s="12" t="s">
        <v>96</v>
      </c>
      <c r="B6" s="137">
        <v>1</v>
      </c>
      <c r="C6" s="31">
        <v>0</v>
      </c>
      <c r="D6" s="31">
        <v>0</v>
      </c>
    </row>
    <row r="7" spans="1:4" x14ac:dyDescent="0.3">
      <c r="A7" s="12" t="s">
        <v>242</v>
      </c>
      <c r="B7" s="137">
        <v>1</v>
      </c>
      <c r="C7" s="31">
        <v>0</v>
      </c>
      <c r="D7" s="31">
        <v>0</v>
      </c>
    </row>
    <row r="8" spans="1:4" x14ac:dyDescent="0.3">
      <c r="A8" s="12" t="s">
        <v>241</v>
      </c>
      <c r="B8" s="137">
        <v>1</v>
      </c>
      <c r="C8" s="31">
        <v>0.04</v>
      </c>
      <c r="D8" s="31">
        <v>0.04</v>
      </c>
    </row>
    <row r="9" spans="1:4" x14ac:dyDescent="0.3">
      <c r="A9" s="12" t="s">
        <v>240</v>
      </c>
      <c r="B9" s="137">
        <v>1</v>
      </c>
      <c r="C9" s="31">
        <v>0</v>
      </c>
      <c r="D9" s="31">
        <v>0</v>
      </c>
    </row>
    <row r="10" spans="1:4" x14ac:dyDescent="0.3">
      <c r="A10" s="12" t="s">
        <v>70</v>
      </c>
      <c r="B10" s="137">
        <v>82</v>
      </c>
      <c r="C10" s="31">
        <v>4.5908965517241374</v>
      </c>
      <c r="D10" s="31">
        <v>5.5986543313708989E-2</v>
      </c>
    </row>
    <row r="11" spans="1:4" x14ac:dyDescent="0.3">
      <c r="A11" s="12" t="s">
        <v>237</v>
      </c>
      <c r="B11" s="137">
        <v>3</v>
      </c>
      <c r="C11" s="31">
        <v>6.5815384615384609</v>
      </c>
      <c r="D11" s="31">
        <v>2.1938461538461538</v>
      </c>
    </row>
    <row r="12" spans="1:4" x14ac:dyDescent="0.3">
      <c r="A12" s="12" t="s">
        <v>235</v>
      </c>
      <c r="B12" s="137">
        <v>3</v>
      </c>
      <c r="C12" s="31">
        <v>4.0695999999999994</v>
      </c>
      <c r="D12" s="31">
        <v>1.3565333333333331</v>
      </c>
    </row>
    <row r="13" spans="1:4" x14ac:dyDescent="0.3">
      <c r="A13" s="12" t="s">
        <v>238</v>
      </c>
      <c r="B13" s="137">
        <v>1</v>
      </c>
      <c r="C13" s="31">
        <v>0</v>
      </c>
      <c r="D13" s="31">
        <v>0</v>
      </c>
    </row>
    <row r="14" spans="1:4" x14ac:dyDescent="0.3">
      <c r="A14" s="12" t="s">
        <v>93</v>
      </c>
      <c r="B14" s="137">
        <v>1</v>
      </c>
      <c r="C14" s="31">
        <v>0</v>
      </c>
      <c r="D14" s="31">
        <v>0</v>
      </c>
    </row>
    <row r="15" spans="1:4" x14ac:dyDescent="0.3">
      <c r="A15" s="12" t="s">
        <v>125</v>
      </c>
      <c r="B15" s="137">
        <v>1</v>
      </c>
      <c r="C15" s="31">
        <v>0.38220689655172413</v>
      </c>
      <c r="D15" s="31">
        <v>0.38220689655172413</v>
      </c>
    </row>
    <row r="16" spans="1:4" x14ac:dyDescent="0.3">
      <c r="A16" s="12" t="s">
        <v>66</v>
      </c>
      <c r="B16" s="137">
        <v>96</v>
      </c>
      <c r="C16" s="31">
        <v>0.71782758620689657</v>
      </c>
      <c r="D16" s="31">
        <v>7.4773706896551729E-3</v>
      </c>
    </row>
    <row r="17" spans="1:4" x14ac:dyDescent="0.3">
      <c r="A17" s="12" t="s">
        <v>74</v>
      </c>
      <c r="B17" s="137">
        <v>2</v>
      </c>
      <c r="C17" s="31">
        <v>0</v>
      </c>
      <c r="D17" s="31">
        <v>0</v>
      </c>
    </row>
    <row r="18" spans="1:4" x14ac:dyDescent="0.3">
      <c r="A18" s="12" t="s">
        <v>39</v>
      </c>
      <c r="B18" s="137">
        <v>3</v>
      </c>
      <c r="C18" s="31">
        <v>0</v>
      </c>
      <c r="D18" s="31">
        <v>0</v>
      </c>
    </row>
    <row r="19" spans="1:4" x14ac:dyDescent="0.3">
      <c r="A19" s="12" t="s">
        <v>59</v>
      </c>
      <c r="B19" s="137">
        <v>6</v>
      </c>
      <c r="C19" s="31">
        <v>0</v>
      </c>
      <c r="D19" s="31">
        <v>0</v>
      </c>
    </row>
    <row r="20" spans="1:4" x14ac:dyDescent="0.3">
      <c r="A20" s="12" t="s">
        <v>27</v>
      </c>
      <c r="B20" s="137">
        <v>4</v>
      </c>
      <c r="C20" s="31">
        <v>0</v>
      </c>
      <c r="D20" s="31">
        <v>0</v>
      </c>
    </row>
    <row r="21" spans="1:4" x14ac:dyDescent="0.3">
      <c r="A21" s="12" t="s">
        <v>226</v>
      </c>
      <c r="B21" s="137">
        <v>10</v>
      </c>
      <c r="C21" s="31">
        <v>31.573793103448271</v>
      </c>
      <c r="D21" s="31">
        <v>3.1573793103448269</v>
      </c>
    </row>
    <row r="22" spans="1:4" x14ac:dyDescent="0.3">
      <c r="A22" s="12" t="s">
        <v>217</v>
      </c>
      <c r="B22" s="137">
        <v>20</v>
      </c>
      <c r="C22" s="31">
        <v>28.928965517241384</v>
      </c>
      <c r="D22" s="31">
        <v>1.4464482758620691</v>
      </c>
    </row>
    <row r="23" spans="1:4" x14ac:dyDescent="0.3">
      <c r="A23" s="12" t="s">
        <v>199</v>
      </c>
      <c r="B23" s="137">
        <v>6</v>
      </c>
      <c r="C23" s="31">
        <v>1.1796551724137931</v>
      </c>
      <c r="D23" s="31">
        <v>0.19660919540229885</v>
      </c>
    </row>
    <row r="24" spans="1:4" x14ac:dyDescent="0.3">
      <c r="A24" s="12" t="s">
        <v>200</v>
      </c>
      <c r="B24" s="137">
        <v>9</v>
      </c>
      <c r="C24" s="31">
        <v>116.3393103448276</v>
      </c>
      <c r="D24" s="31">
        <v>12.926590038314178</v>
      </c>
    </row>
    <row r="25" spans="1:4" x14ac:dyDescent="0.3">
      <c r="A25" s="12" t="s">
        <v>201</v>
      </c>
      <c r="B25" s="137">
        <v>3</v>
      </c>
      <c r="C25" s="31">
        <v>35.186206896551724</v>
      </c>
      <c r="D25" s="31">
        <v>11.728735632183907</v>
      </c>
    </row>
    <row r="26" spans="1:4" x14ac:dyDescent="0.3">
      <c r="A26" s="12" t="s">
        <v>209</v>
      </c>
      <c r="B26" s="137">
        <v>5</v>
      </c>
      <c r="C26" s="31">
        <v>12.203448275862069</v>
      </c>
      <c r="D26" s="31">
        <v>2.440689655172414</v>
      </c>
    </row>
    <row r="27" spans="1:4" x14ac:dyDescent="0.3">
      <c r="A27" s="12" t="s">
        <v>212</v>
      </c>
      <c r="B27" s="137">
        <v>5</v>
      </c>
      <c r="C27" s="31">
        <v>0</v>
      </c>
      <c r="D27" s="31">
        <v>0</v>
      </c>
    </row>
    <row r="28" spans="1:4" x14ac:dyDescent="0.3">
      <c r="A28" s="12" t="s">
        <v>227</v>
      </c>
      <c r="B28" s="137">
        <v>13</v>
      </c>
      <c r="C28" s="31">
        <v>41.271034482758616</v>
      </c>
      <c r="D28" s="31">
        <v>3.174694960212201</v>
      </c>
    </row>
    <row r="29" spans="1:4" x14ac:dyDescent="0.3">
      <c r="A29" s="12" t="s">
        <v>218</v>
      </c>
      <c r="B29" s="137">
        <v>3</v>
      </c>
      <c r="C29" s="31">
        <v>6.7044827586206903</v>
      </c>
      <c r="D29" s="31">
        <v>2.2348275862068969</v>
      </c>
    </row>
    <row r="30" spans="1:4" x14ac:dyDescent="0.3">
      <c r="A30" s="12" t="s">
        <v>225</v>
      </c>
      <c r="B30" s="137">
        <v>16</v>
      </c>
      <c r="C30" s="31">
        <v>10.40275862068966</v>
      </c>
      <c r="D30" s="31">
        <v>0.65017241379310375</v>
      </c>
    </row>
    <row r="31" spans="1:4" x14ac:dyDescent="0.3">
      <c r="A31" s="12" t="s">
        <v>220</v>
      </c>
      <c r="B31" s="137">
        <v>19</v>
      </c>
      <c r="C31" s="31">
        <v>0.12551724137931033</v>
      </c>
      <c r="D31" s="31">
        <v>6.6061705989110707E-3</v>
      </c>
    </row>
    <row r="32" spans="1:4" x14ac:dyDescent="0.3">
      <c r="A32" s="12" t="s">
        <v>210</v>
      </c>
      <c r="B32" s="137">
        <v>10</v>
      </c>
      <c r="C32" s="31">
        <v>90.291724137931041</v>
      </c>
      <c r="D32" s="31">
        <v>9.0291724137931038</v>
      </c>
    </row>
    <row r="33" spans="1:4" x14ac:dyDescent="0.3">
      <c r="A33" s="12" t="s">
        <v>211</v>
      </c>
      <c r="B33" s="137">
        <v>5</v>
      </c>
      <c r="C33" s="31">
        <v>12.044482758620688</v>
      </c>
      <c r="D33" s="31">
        <v>2.4088965517241379</v>
      </c>
    </row>
    <row r="34" spans="1:4" x14ac:dyDescent="0.3">
      <c r="A34" s="12" t="s">
        <v>205</v>
      </c>
      <c r="B34" s="137">
        <v>3</v>
      </c>
      <c r="C34" s="31">
        <v>52.07689655172414</v>
      </c>
      <c r="D34" s="31">
        <v>17.35896551724138</v>
      </c>
    </row>
    <row r="35" spans="1:4" x14ac:dyDescent="0.3">
      <c r="A35" s="12" t="s">
        <v>213</v>
      </c>
      <c r="B35" s="137">
        <v>3</v>
      </c>
      <c r="C35" s="31">
        <v>70.040689655172415</v>
      </c>
      <c r="D35" s="31">
        <v>23.346896551724139</v>
      </c>
    </row>
    <row r="36" spans="1:4" x14ac:dyDescent="0.3">
      <c r="A36" s="12" t="s">
        <v>202</v>
      </c>
      <c r="B36" s="137">
        <v>8</v>
      </c>
      <c r="C36" s="31">
        <v>45.442068965517237</v>
      </c>
      <c r="D36" s="31">
        <v>5.6802586206896546</v>
      </c>
    </row>
    <row r="37" spans="1:4" x14ac:dyDescent="0.3">
      <c r="A37" s="12" t="s">
        <v>206</v>
      </c>
      <c r="B37" s="137">
        <v>1</v>
      </c>
      <c r="C37" s="31">
        <v>0</v>
      </c>
      <c r="D37" s="31">
        <v>0</v>
      </c>
    </row>
    <row r="38" spans="1:4" x14ac:dyDescent="0.3">
      <c r="A38" s="12" t="s">
        <v>215</v>
      </c>
      <c r="B38" s="137">
        <v>9</v>
      </c>
      <c r="C38" s="31">
        <v>33.02328224776501</v>
      </c>
      <c r="D38" s="31">
        <v>4.7235137292464886</v>
      </c>
    </row>
    <row r="39" spans="1:4" x14ac:dyDescent="0.3">
      <c r="A39" s="12" t="s">
        <v>229</v>
      </c>
      <c r="B39" s="137">
        <v>2</v>
      </c>
      <c r="C39" s="31">
        <v>9.1055172413793102</v>
      </c>
      <c r="D39" s="31">
        <v>4.5527586206896551</v>
      </c>
    </row>
    <row r="40" spans="1:4" x14ac:dyDescent="0.3">
      <c r="A40" s="12" t="s">
        <v>233</v>
      </c>
      <c r="B40" s="137">
        <v>4</v>
      </c>
      <c r="C40" s="31">
        <v>0</v>
      </c>
      <c r="D40" s="31">
        <v>0</v>
      </c>
    </row>
    <row r="41" spans="1:4" x14ac:dyDescent="0.3">
      <c r="A41" s="12" t="s">
        <v>224</v>
      </c>
      <c r="B41" s="137">
        <v>5</v>
      </c>
      <c r="C41" s="31">
        <v>55.205517241379312</v>
      </c>
      <c r="D41" s="31">
        <v>11.041103448275862</v>
      </c>
    </row>
    <row r="42" spans="1:4" x14ac:dyDescent="0.3">
      <c r="A42" s="12" t="s">
        <v>230</v>
      </c>
      <c r="B42" s="137">
        <v>2</v>
      </c>
      <c r="C42" s="31">
        <v>15.926896551724139</v>
      </c>
      <c r="D42" s="31">
        <v>7.9634482758620697</v>
      </c>
    </row>
    <row r="43" spans="1:4" x14ac:dyDescent="0.3">
      <c r="A43" s="12" t="s">
        <v>231</v>
      </c>
      <c r="B43" s="137">
        <v>7</v>
      </c>
      <c r="C43" s="31">
        <v>48.39931034482759</v>
      </c>
      <c r="D43" s="31">
        <v>22.92</v>
      </c>
    </row>
    <row r="44" spans="1:4" x14ac:dyDescent="0.3">
      <c r="A44" s="12" t="s">
        <v>207</v>
      </c>
      <c r="B44" s="137">
        <v>2</v>
      </c>
      <c r="C44" s="31">
        <v>0</v>
      </c>
      <c r="D44" s="31">
        <v>0</v>
      </c>
    </row>
    <row r="45" spans="1:4" x14ac:dyDescent="0.3">
      <c r="A45" s="12" t="s">
        <v>214</v>
      </c>
      <c r="B45" s="137">
        <v>9</v>
      </c>
      <c r="C45" s="31">
        <v>161.08448275862068</v>
      </c>
      <c r="D45" s="31">
        <v>17.898275862068964</v>
      </c>
    </row>
    <row r="46" spans="1:4" x14ac:dyDescent="0.3">
      <c r="A46" s="12" t="s">
        <v>228</v>
      </c>
      <c r="B46" s="137">
        <v>1</v>
      </c>
      <c r="C46" s="31">
        <v>0</v>
      </c>
      <c r="D46" s="31">
        <v>0</v>
      </c>
    </row>
    <row r="47" spans="1:4" x14ac:dyDescent="0.3">
      <c r="A47" s="12" t="s">
        <v>94</v>
      </c>
      <c r="B47" s="137">
        <v>2</v>
      </c>
      <c r="C47" s="31">
        <v>0</v>
      </c>
      <c r="D47" s="31">
        <v>0</v>
      </c>
    </row>
    <row r="48" spans="1:4" x14ac:dyDescent="0.3">
      <c r="A48" s="12" t="s">
        <v>219</v>
      </c>
      <c r="B48" s="137">
        <v>40</v>
      </c>
      <c r="C48" s="31">
        <v>388.51896551724144</v>
      </c>
      <c r="D48" s="31">
        <v>9.7129741379310364</v>
      </c>
    </row>
    <row r="49" spans="1:4" x14ac:dyDescent="0.3">
      <c r="A49" s="12" t="s">
        <v>117</v>
      </c>
      <c r="B49" s="137">
        <v>1</v>
      </c>
      <c r="C49" s="31">
        <v>17.204482758620685</v>
      </c>
      <c r="D49" s="31">
        <v>17.204482758620685</v>
      </c>
    </row>
    <row r="50" spans="1:4" x14ac:dyDescent="0.3">
      <c r="A50" s="12" t="s">
        <v>115</v>
      </c>
      <c r="B50" s="137">
        <v>1</v>
      </c>
      <c r="C50" s="31">
        <v>80.751724137931035</v>
      </c>
      <c r="D50" s="31">
        <v>80.751724137931035</v>
      </c>
    </row>
    <row r="51" spans="1:4" x14ac:dyDescent="0.3">
      <c r="A51" s="12" t="s">
        <v>223</v>
      </c>
      <c r="B51" s="137">
        <v>2</v>
      </c>
      <c r="C51" s="31">
        <v>9.758620689655173E-2</v>
      </c>
      <c r="D51" s="31">
        <v>4.8793103448275865E-2</v>
      </c>
    </row>
    <row r="52" spans="1:4" x14ac:dyDescent="0.3">
      <c r="A52" s="12" t="s">
        <v>122</v>
      </c>
      <c r="B52" s="137">
        <v>3</v>
      </c>
      <c r="C52" s="31">
        <v>0</v>
      </c>
      <c r="D52" s="31">
        <v>0</v>
      </c>
    </row>
    <row r="53" spans="1:4" x14ac:dyDescent="0.3">
      <c r="A53" s="12" t="s">
        <v>143</v>
      </c>
      <c r="B53" s="137">
        <v>2</v>
      </c>
      <c r="C53" s="31">
        <v>0</v>
      </c>
      <c r="D53" s="31">
        <v>0</v>
      </c>
    </row>
    <row r="54" spans="1:4" x14ac:dyDescent="0.3">
      <c r="A54" s="12" t="s">
        <v>208</v>
      </c>
      <c r="B54" s="137">
        <v>10</v>
      </c>
      <c r="C54" s="31">
        <v>57.43137931034483</v>
      </c>
      <c r="D54" s="31">
        <v>5.7431379310344832</v>
      </c>
    </row>
    <row r="55" spans="1:4" x14ac:dyDescent="0.3">
      <c r="A55" s="12" t="s">
        <v>196</v>
      </c>
      <c r="B55" s="137">
        <v>10</v>
      </c>
      <c r="C55" s="31">
        <v>82.83758620689656</v>
      </c>
      <c r="D55" s="31">
        <v>8.2837586206896567</v>
      </c>
    </row>
    <row r="56" spans="1:4" x14ac:dyDescent="0.3">
      <c r="A56" s="12" t="s">
        <v>174</v>
      </c>
      <c r="B56" s="137">
        <v>11</v>
      </c>
      <c r="C56" s="31">
        <v>37.585862068965511</v>
      </c>
      <c r="D56" s="31">
        <v>4.9962413793103444</v>
      </c>
    </row>
    <row r="57" spans="1:4" x14ac:dyDescent="0.3">
      <c r="A57" s="12" t="s">
        <v>204</v>
      </c>
      <c r="B57" s="137">
        <v>6</v>
      </c>
      <c r="C57" s="31">
        <v>26.039310344827591</v>
      </c>
      <c r="D57" s="31">
        <v>4.3398850574712649</v>
      </c>
    </row>
    <row r="58" spans="1:4" x14ac:dyDescent="0.3">
      <c r="A58" s="12" t="s">
        <v>232</v>
      </c>
      <c r="B58" s="137">
        <v>20</v>
      </c>
      <c r="C58" s="31">
        <v>35.46793103448276</v>
      </c>
      <c r="D58" s="31">
        <v>1.7733965517241379</v>
      </c>
    </row>
    <row r="59" spans="1:4" x14ac:dyDescent="0.3">
      <c r="A59" s="12" t="s">
        <v>203</v>
      </c>
      <c r="B59" s="137">
        <v>27</v>
      </c>
      <c r="C59" s="31">
        <v>131.20241379310346</v>
      </c>
      <c r="D59" s="31">
        <v>13.025919540229886</v>
      </c>
    </row>
    <row r="60" spans="1:4" x14ac:dyDescent="0.3">
      <c r="A60" s="12" t="s">
        <v>216</v>
      </c>
      <c r="B60" s="137">
        <v>7</v>
      </c>
      <c r="C60" s="31">
        <v>148.54689655172416</v>
      </c>
      <c r="D60" s="31">
        <v>21.22098522167488</v>
      </c>
    </row>
    <row r="61" spans="1:4" x14ac:dyDescent="0.3">
      <c r="A61" s="12" t="s">
        <v>243</v>
      </c>
      <c r="B61" s="137">
        <v>1</v>
      </c>
      <c r="C61" s="31">
        <v>0</v>
      </c>
      <c r="D61" s="31">
        <v>0</v>
      </c>
    </row>
    <row r="62" spans="1:4" x14ac:dyDescent="0.3">
      <c r="A62" s="12" t="s">
        <v>234</v>
      </c>
      <c r="B62" s="137">
        <v>8</v>
      </c>
      <c r="C62" s="31">
        <v>63.366551724137949</v>
      </c>
      <c r="D62" s="31">
        <v>7.9208189655172436</v>
      </c>
    </row>
    <row r="63" spans="1:4" x14ac:dyDescent="0.3">
      <c r="A63" s="12" t="s">
        <v>110</v>
      </c>
      <c r="B63" s="137">
        <v>1</v>
      </c>
      <c r="C63" s="31">
        <v>0</v>
      </c>
      <c r="D63" s="31">
        <v>0</v>
      </c>
    </row>
    <row r="64" spans="1:4" x14ac:dyDescent="0.3">
      <c r="A64" s="12" t="s">
        <v>244</v>
      </c>
      <c r="B64" s="137">
        <v>3</v>
      </c>
      <c r="C64" s="31">
        <v>0</v>
      </c>
      <c r="D64" s="31">
        <v>0</v>
      </c>
    </row>
    <row r="65" spans="1:4" x14ac:dyDescent="0.3">
      <c r="A65" s="12" t="s">
        <v>247</v>
      </c>
      <c r="B65" s="137">
        <v>5</v>
      </c>
      <c r="C65" s="31">
        <v>11.868</v>
      </c>
      <c r="D65" s="31">
        <v>2.3736000000000002</v>
      </c>
    </row>
    <row r="66" spans="1:4" x14ac:dyDescent="0.3">
      <c r="A66" s="12" t="s">
        <v>245</v>
      </c>
      <c r="B66" s="137">
        <v>3</v>
      </c>
      <c r="C66" s="31">
        <v>0</v>
      </c>
      <c r="D66" s="31">
        <v>0</v>
      </c>
    </row>
    <row r="67" spans="1:4" x14ac:dyDescent="0.3">
      <c r="A67" s="12" t="s">
        <v>83</v>
      </c>
      <c r="B67" s="137">
        <v>554</v>
      </c>
      <c r="C67" s="31">
        <v>2011.1892138127516</v>
      </c>
      <c r="D67" s="31">
        <v>353.78429329134451</v>
      </c>
    </row>
    <row r="69" spans="1:4" x14ac:dyDescent="0.3">
      <c r="A69" s="30" t="s">
        <v>158</v>
      </c>
      <c r="B69" s="30" t="s">
        <v>2</v>
      </c>
      <c r="C69" s="12" t="s">
        <v>84</v>
      </c>
    </row>
    <row r="70" spans="1:4" x14ac:dyDescent="0.3">
      <c r="A70" s="12" t="s">
        <v>163</v>
      </c>
      <c r="B70" s="12"/>
      <c r="C70" s="137">
        <v>317</v>
      </c>
    </row>
    <row r="71" spans="1:4" x14ac:dyDescent="0.3">
      <c r="A71" s="12" t="s">
        <v>161</v>
      </c>
      <c r="B71" s="12"/>
      <c r="C71" s="137">
        <v>10</v>
      </c>
    </row>
    <row r="72" spans="1:4" x14ac:dyDescent="0.3">
      <c r="A72" s="12" t="s">
        <v>160</v>
      </c>
      <c r="B72" s="12"/>
      <c r="C72" s="137">
        <v>201</v>
      </c>
    </row>
    <row r="73" spans="1:4" x14ac:dyDescent="0.3">
      <c r="A73" s="12" t="s">
        <v>159</v>
      </c>
      <c r="B73" s="12"/>
      <c r="C73" s="137">
        <v>18</v>
      </c>
    </row>
    <row r="74" spans="1:4" x14ac:dyDescent="0.3">
      <c r="A74" s="12" t="s">
        <v>162</v>
      </c>
      <c r="B74" s="12"/>
      <c r="C74" s="137">
        <v>8</v>
      </c>
    </row>
    <row r="75" spans="1:4" x14ac:dyDescent="0.3">
      <c r="A75" s="12" t="s">
        <v>83</v>
      </c>
      <c r="B75" s="12"/>
      <c r="C75" s="137">
        <v>554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74"/>
  <sheetViews>
    <sheetView zoomScaleNormal="100" workbookViewId="0">
      <pane xSplit="8" topLeftCell="I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40" max="40" width="10.33203125" customWidth="1"/>
  </cols>
  <sheetData>
    <row r="1" spans="1:40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45323</v>
      </c>
      <c r="K1" s="16">
        <v>45324</v>
      </c>
      <c r="L1" s="16">
        <v>45325</v>
      </c>
      <c r="M1" s="16">
        <v>45326</v>
      </c>
      <c r="N1" s="16">
        <v>45327</v>
      </c>
      <c r="O1" s="16">
        <v>45328</v>
      </c>
      <c r="P1" s="16">
        <v>45329</v>
      </c>
      <c r="Q1" s="16">
        <v>45330</v>
      </c>
      <c r="R1" s="16">
        <v>45331</v>
      </c>
      <c r="S1" s="16">
        <v>45332</v>
      </c>
      <c r="T1" s="16">
        <v>45333</v>
      </c>
      <c r="U1" s="16">
        <v>45334</v>
      </c>
      <c r="V1" s="16">
        <v>45335</v>
      </c>
      <c r="W1" s="16">
        <v>45336</v>
      </c>
      <c r="X1" s="16">
        <v>45337</v>
      </c>
      <c r="Y1" s="16">
        <v>45338</v>
      </c>
      <c r="Z1" s="16">
        <v>45339</v>
      </c>
      <c r="AA1" s="16">
        <v>45340</v>
      </c>
      <c r="AB1" s="16">
        <v>45341</v>
      </c>
      <c r="AC1" s="16">
        <v>45342</v>
      </c>
      <c r="AD1" s="16">
        <v>45343</v>
      </c>
      <c r="AE1" s="16">
        <v>45344</v>
      </c>
      <c r="AF1" s="16">
        <v>45345</v>
      </c>
      <c r="AG1" s="16">
        <v>45346</v>
      </c>
      <c r="AH1" s="16">
        <v>45347</v>
      </c>
      <c r="AI1" s="16">
        <v>45348</v>
      </c>
      <c r="AJ1" s="16">
        <v>45349</v>
      </c>
      <c r="AK1" s="16">
        <v>45350</v>
      </c>
      <c r="AL1" s="16">
        <v>45351</v>
      </c>
      <c r="AM1" s="13" t="s">
        <v>8</v>
      </c>
      <c r="AN1" s="66" t="s">
        <v>154</v>
      </c>
    </row>
    <row r="2" spans="1:40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159</v>
      </c>
      <c r="J2" s="46">
        <v>0</v>
      </c>
      <c r="K2" s="45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59">
        <v>0</v>
      </c>
      <c r="X2" s="46">
        <v>4.03</v>
      </c>
      <c r="Y2" s="46">
        <v>30.18</v>
      </c>
      <c r="Z2" s="46">
        <v>0</v>
      </c>
      <c r="AA2" s="46">
        <v>0</v>
      </c>
      <c r="AB2" s="53">
        <v>0</v>
      </c>
      <c r="AC2" s="60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46">
        <v>0</v>
      </c>
      <c r="AK2" s="46">
        <v>0</v>
      </c>
      <c r="AL2" s="46">
        <v>0</v>
      </c>
      <c r="AM2" s="46">
        <f t="shared" ref="AM2:AM33" si="0">AVERAGE(J2:AL2)</f>
        <v>1.1796551724137931</v>
      </c>
      <c r="AN2" s="67">
        <f t="shared" ref="AN2:AN33" si="1">AM2/H2</f>
        <v>0.19660919540229885</v>
      </c>
    </row>
    <row r="3" spans="1:40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159</v>
      </c>
      <c r="J3" s="46">
        <v>118.3</v>
      </c>
      <c r="K3" s="45">
        <v>140</v>
      </c>
      <c r="L3" s="46">
        <v>116.28</v>
      </c>
      <c r="M3" s="46">
        <v>148.1</v>
      </c>
      <c r="N3" s="46">
        <v>116.37</v>
      </c>
      <c r="O3" s="46">
        <v>100.05</v>
      </c>
      <c r="P3" s="46">
        <v>135.16999999999999</v>
      </c>
      <c r="Q3" s="46">
        <v>108.66</v>
      </c>
      <c r="R3" s="46">
        <v>71.430000000000007</v>
      </c>
      <c r="S3" s="46">
        <v>140.11000000000001</v>
      </c>
      <c r="T3" s="46">
        <v>115.03</v>
      </c>
      <c r="U3" s="46">
        <v>90.25</v>
      </c>
      <c r="V3" s="46">
        <v>126.01</v>
      </c>
      <c r="W3" s="46">
        <v>126.81</v>
      </c>
      <c r="X3" s="46">
        <v>90.25</v>
      </c>
      <c r="Y3" s="46">
        <v>84.37</v>
      </c>
      <c r="Z3" s="46">
        <v>117.95</v>
      </c>
      <c r="AA3" s="46">
        <v>142.26</v>
      </c>
      <c r="AB3" s="53">
        <v>105.92</v>
      </c>
      <c r="AC3" s="60">
        <v>122.26</v>
      </c>
      <c r="AD3" s="60">
        <v>83.19</v>
      </c>
      <c r="AE3" s="60">
        <v>131.69</v>
      </c>
      <c r="AF3" s="60">
        <v>118.98</v>
      </c>
      <c r="AG3" s="54">
        <v>127.37</v>
      </c>
      <c r="AH3" s="46">
        <v>120.71</v>
      </c>
      <c r="AI3" s="46">
        <v>91.5</v>
      </c>
      <c r="AJ3" s="46">
        <v>142.56</v>
      </c>
      <c r="AK3" s="46">
        <v>110.59</v>
      </c>
      <c r="AL3" s="46">
        <v>131.66999999999999</v>
      </c>
      <c r="AM3" s="46">
        <f t="shared" si="0"/>
        <v>116.3393103448276</v>
      </c>
      <c r="AN3" s="67">
        <f t="shared" si="1"/>
        <v>12.926590038314178</v>
      </c>
    </row>
    <row r="4" spans="1:40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159</v>
      </c>
      <c r="J4" s="46">
        <v>50.02</v>
      </c>
      <c r="K4" s="45">
        <v>41.38</v>
      </c>
      <c r="L4" s="46">
        <v>39.909999999999997</v>
      </c>
      <c r="M4" s="46">
        <v>31.34</v>
      </c>
      <c r="N4" s="46">
        <v>47.84</v>
      </c>
      <c r="O4" s="46">
        <v>36.58</v>
      </c>
      <c r="P4" s="46">
        <v>36.58</v>
      </c>
      <c r="Q4" s="46">
        <v>41.24</v>
      </c>
      <c r="R4" s="46">
        <v>45.19</v>
      </c>
      <c r="S4" s="46">
        <v>24.25</v>
      </c>
      <c r="T4" s="46">
        <v>35.229999999999997</v>
      </c>
      <c r="U4" s="46">
        <v>36.85</v>
      </c>
      <c r="V4" s="46">
        <v>37.9</v>
      </c>
      <c r="W4" s="46">
        <v>35.65</v>
      </c>
      <c r="X4" s="46">
        <v>31.5</v>
      </c>
      <c r="Y4" s="46">
        <v>25.28</v>
      </c>
      <c r="Z4" s="46">
        <v>45.62</v>
      </c>
      <c r="AA4" s="46">
        <v>46.79</v>
      </c>
      <c r="AB4" s="53">
        <v>37.32</v>
      </c>
      <c r="AC4" s="60">
        <v>38.5</v>
      </c>
      <c r="AD4" s="60">
        <v>25.57</v>
      </c>
      <c r="AE4" s="60">
        <v>40.590000000000003</v>
      </c>
      <c r="AF4" s="60">
        <v>20.03</v>
      </c>
      <c r="AG4" s="54">
        <v>40.119999999999997</v>
      </c>
      <c r="AH4" s="46">
        <v>19.98</v>
      </c>
      <c r="AI4" s="46">
        <v>27.5</v>
      </c>
      <c r="AJ4" s="46">
        <v>25.12</v>
      </c>
      <c r="AK4" s="46">
        <v>31.81</v>
      </c>
      <c r="AL4" s="46">
        <v>24.71</v>
      </c>
      <c r="AM4" s="46">
        <f t="shared" si="0"/>
        <v>35.186206896551724</v>
      </c>
      <c r="AN4" s="67">
        <f t="shared" si="1"/>
        <v>11.728735632183907</v>
      </c>
    </row>
    <row r="5" spans="1:40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67" t="s">
        <v>163</v>
      </c>
      <c r="J5" s="45">
        <v>40.28</v>
      </c>
      <c r="K5" s="45">
        <v>38.4</v>
      </c>
      <c r="L5" s="45">
        <v>38.47</v>
      </c>
      <c r="M5" s="45">
        <v>48.58</v>
      </c>
      <c r="N5" s="45">
        <v>41.49</v>
      </c>
      <c r="O5" s="45">
        <v>49.62</v>
      </c>
      <c r="P5" s="45">
        <v>21.99</v>
      </c>
      <c r="Q5" s="45">
        <v>18.170000000000002</v>
      </c>
      <c r="R5" s="45">
        <v>32.520000000000003</v>
      </c>
      <c r="S5" s="46">
        <v>50.73</v>
      </c>
      <c r="T5" s="46">
        <v>43.1</v>
      </c>
      <c r="U5" s="46">
        <v>53.4</v>
      </c>
      <c r="V5" s="46">
        <v>60.87</v>
      </c>
      <c r="W5" s="46">
        <v>40.450000000000003</v>
      </c>
      <c r="X5" s="46">
        <v>65.650000000000006</v>
      </c>
      <c r="Y5" s="46">
        <v>53</v>
      </c>
      <c r="Z5" s="46">
        <v>33.32</v>
      </c>
      <c r="AA5" s="46">
        <v>59.19</v>
      </c>
      <c r="AB5" s="46">
        <v>44.03</v>
      </c>
      <c r="AC5" s="46">
        <v>68.34</v>
      </c>
      <c r="AD5" s="46">
        <v>51.73</v>
      </c>
      <c r="AE5" s="46">
        <v>48.07</v>
      </c>
      <c r="AF5" s="46">
        <v>57.15</v>
      </c>
      <c r="AG5" s="46">
        <v>36.299999999999997</v>
      </c>
      <c r="AH5" s="46">
        <v>48.49</v>
      </c>
      <c r="AI5" s="46">
        <v>49.54</v>
      </c>
      <c r="AJ5" s="46">
        <v>44.06</v>
      </c>
      <c r="AK5" s="46">
        <v>48.58</v>
      </c>
      <c r="AL5" s="46">
        <v>32.299999999999997</v>
      </c>
      <c r="AM5" s="46">
        <f t="shared" si="0"/>
        <v>45.442068965517237</v>
      </c>
      <c r="AN5" s="67">
        <f t="shared" si="1"/>
        <v>5.6802586206896546</v>
      </c>
    </row>
    <row r="6" spans="1:40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24</v>
      </c>
      <c r="I6" s="67" t="s">
        <v>163</v>
      </c>
      <c r="J6" s="45">
        <v>131.75</v>
      </c>
      <c r="K6" s="45">
        <v>123.31</v>
      </c>
      <c r="L6" s="45">
        <v>88.46</v>
      </c>
      <c r="M6" s="45">
        <v>46.13</v>
      </c>
      <c r="N6" s="45">
        <v>117.3</v>
      </c>
      <c r="O6" s="45">
        <v>110.19</v>
      </c>
      <c r="P6" s="45">
        <v>106.86</v>
      </c>
      <c r="Q6" s="45">
        <v>86.93</v>
      </c>
      <c r="R6" s="45">
        <v>103.07</v>
      </c>
      <c r="S6" s="45">
        <v>135.46</v>
      </c>
      <c r="T6" s="46">
        <v>98.04</v>
      </c>
      <c r="U6" s="46">
        <v>139.63</v>
      </c>
      <c r="V6" s="46">
        <v>119.5</v>
      </c>
      <c r="W6" s="46">
        <v>99.15</v>
      </c>
      <c r="X6" s="46">
        <v>132.97</v>
      </c>
      <c r="Y6" s="46">
        <v>55.88</v>
      </c>
      <c r="Z6" s="46">
        <v>105.78</v>
      </c>
      <c r="AA6" s="46">
        <v>174.25</v>
      </c>
      <c r="AB6" s="46">
        <v>182.75</v>
      </c>
      <c r="AC6" s="46">
        <v>113.18</v>
      </c>
      <c r="AD6" s="46">
        <v>124.73</v>
      </c>
      <c r="AE6" s="46">
        <v>117.12</v>
      </c>
      <c r="AF6" s="46">
        <v>139.34</v>
      </c>
      <c r="AG6" s="46">
        <v>135.21</v>
      </c>
      <c r="AH6" s="46">
        <v>173.71</v>
      </c>
      <c r="AI6" s="46">
        <v>125.63</v>
      </c>
      <c r="AJ6" s="46">
        <v>145</v>
      </c>
      <c r="AK6" s="46">
        <v>155.07</v>
      </c>
      <c r="AL6" s="46">
        <v>167.08</v>
      </c>
      <c r="AM6" s="46">
        <f t="shared" si="0"/>
        <v>122.53379310344829</v>
      </c>
      <c r="AN6" s="67">
        <f t="shared" si="1"/>
        <v>5.105574712643679</v>
      </c>
    </row>
    <row r="7" spans="1:40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13</v>
      </c>
      <c r="G7" s="6" t="s">
        <v>80</v>
      </c>
      <c r="H7" s="5">
        <v>1</v>
      </c>
      <c r="I7" s="67" t="s">
        <v>163</v>
      </c>
      <c r="J7" s="45">
        <v>12.56</v>
      </c>
      <c r="K7" s="45">
        <v>15.44</v>
      </c>
      <c r="L7" s="46">
        <v>8.4700000000000006</v>
      </c>
      <c r="M7" s="46">
        <v>14.14</v>
      </c>
      <c r="N7" s="46">
        <v>8.3699999999999992</v>
      </c>
      <c r="O7" s="46">
        <v>8.92</v>
      </c>
      <c r="P7" s="46">
        <v>0.18</v>
      </c>
      <c r="Q7" s="46">
        <v>0</v>
      </c>
      <c r="R7" s="46">
        <v>1.79</v>
      </c>
      <c r="S7" s="46">
        <v>7.66</v>
      </c>
      <c r="T7" s="46">
        <v>7.13</v>
      </c>
      <c r="U7" s="46">
        <v>0</v>
      </c>
      <c r="V7" s="46">
        <v>4</v>
      </c>
      <c r="W7" s="46">
        <v>7.86</v>
      </c>
      <c r="X7" s="46">
        <v>0</v>
      </c>
      <c r="Y7" s="46">
        <v>0</v>
      </c>
      <c r="Z7" s="46">
        <v>6.9</v>
      </c>
      <c r="AA7" s="46">
        <v>0.15</v>
      </c>
      <c r="AB7" s="53">
        <v>0</v>
      </c>
      <c r="AC7" s="60">
        <v>6.03</v>
      </c>
      <c r="AD7" s="60">
        <v>21.16</v>
      </c>
      <c r="AE7" s="60">
        <v>13.15</v>
      </c>
      <c r="AF7" s="60">
        <v>0.42</v>
      </c>
      <c r="AG7" s="54">
        <v>8</v>
      </c>
      <c r="AH7" s="46">
        <v>16.14</v>
      </c>
      <c r="AI7" s="46">
        <v>15.54</v>
      </c>
      <c r="AJ7" s="46">
        <v>0</v>
      </c>
      <c r="AK7" s="46">
        <v>15.27</v>
      </c>
      <c r="AL7" s="46">
        <v>8.7100000000000009</v>
      </c>
      <c r="AM7" s="46">
        <f t="shared" si="0"/>
        <v>7.1720689655172425</v>
      </c>
      <c r="AN7" s="67">
        <f t="shared" si="1"/>
        <v>7.1720689655172425</v>
      </c>
    </row>
    <row r="8" spans="1:40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124</v>
      </c>
      <c r="G8" s="6" t="s">
        <v>80</v>
      </c>
      <c r="H8" s="5">
        <v>2</v>
      </c>
      <c r="I8" s="67" t="s">
        <v>163</v>
      </c>
      <c r="J8" s="45">
        <v>8.49</v>
      </c>
      <c r="K8" s="45">
        <v>0</v>
      </c>
      <c r="L8" s="45">
        <v>3.75</v>
      </c>
      <c r="M8" s="45">
        <v>0</v>
      </c>
      <c r="N8" s="45">
        <v>0</v>
      </c>
      <c r="O8" s="45">
        <v>0</v>
      </c>
      <c r="P8" s="45">
        <v>7.69</v>
      </c>
      <c r="Q8" s="45">
        <v>0</v>
      </c>
      <c r="R8" s="45">
        <v>0</v>
      </c>
      <c r="S8" s="45">
        <v>0</v>
      </c>
      <c r="T8" s="46">
        <v>0</v>
      </c>
      <c r="U8" s="46">
        <v>0</v>
      </c>
      <c r="V8" s="46">
        <v>5.62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5.16</v>
      </c>
      <c r="AD8" s="46">
        <v>0</v>
      </c>
      <c r="AE8" s="46">
        <v>0</v>
      </c>
      <c r="AF8" s="46">
        <v>0</v>
      </c>
      <c r="AG8" s="46">
        <v>4.46</v>
      </c>
      <c r="AH8" s="46">
        <v>0</v>
      </c>
      <c r="AI8" s="46">
        <v>0</v>
      </c>
      <c r="AJ8" s="46">
        <v>0</v>
      </c>
      <c r="AK8" s="46">
        <v>0</v>
      </c>
      <c r="AL8" s="46">
        <v>8.23</v>
      </c>
      <c r="AM8" s="46">
        <f t="shared" si="0"/>
        <v>1.4965517241379311</v>
      </c>
      <c r="AN8" s="67">
        <f t="shared" si="1"/>
        <v>0.74827586206896557</v>
      </c>
    </row>
    <row r="9" spans="1:40" x14ac:dyDescent="0.3">
      <c r="A9" s="5">
        <v>8</v>
      </c>
      <c r="B9" s="6" t="s">
        <v>9</v>
      </c>
      <c r="C9" s="12" t="s">
        <v>204</v>
      </c>
      <c r="D9" s="6" t="s">
        <v>128</v>
      </c>
      <c r="E9" s="6" t="s">
        <v>12</v>
      </c>
      <c r="F9" s="6" t="s">
        <v>13</v>
      </c>
      <c r="G9" s="6" t="s">
        <v>35</v>
      </c>
      <c r="H9" s="5">
        <v>6</v>
      </c>
      <c r="I9" s="67" t="s">
        <v>163</v>
      </c>
      <c r="J9" s="45">
        <v>23.18</v>
      </c>
      <c r="K9" s="45">
        <v>38.86</v>
      </c>
      <c r="L9" s="46">
        <v>38.479999999999997</v>
      </c>
      <c r="M9" s="46">
        <v>42.03</v>
      </c>
      <c r="N9" s="46">
        <v>33.869999999999997</v>
      </c>
      <c r="O9" s="46">
        <v>32.65</v>
      </c>
      <c r="P9" s="46">
        <v>22.46</v>
      </c>
      <c r="Q9" s="46">
        <v>29.35</v>
      </c>
      <c r="R9" s="46">
        <v>30.89</v>
      </c>
      <c r="S9" s="46">
        <v>27.13</v>
      </c>
      <c r="T9" s="46">
        <v>10.72</v>
      </c>
      <c r="U9" s="46">
        <v>10.32</v>
      </c>
      <c r="V9" s="46">
        <v>17.07</v>
      </c>
      <c r="W9" s="46">
        <v>31.53</v>
      </c>
      <c r="X9" s="46">
        <v>26.43</v>
      </c>
      <c r="Y9" s="46">
        <v>17.149999999999999</v>
      </c>
      <c r="Z9" s="46">
        <v>29.29</v>
      </c>
      <c r="AA9" s="46">
        <v>26.61</v>
      </c>
      <c r="AB9" s="53">
        <v>34.99</v>
      </c>
      <c r="AC9" s="60">
        <v>25.84</v>
      </c>
      <c r="AD9" s="60">
        <v>22.79</v>
      </c>
      <c r="AE9" s="60">
        <v>20.95</v>
      </c>
      <c r="AF9" s="60">
        <v>25.81</v>
      </c>
      <c r="AG9" s="54">
        <v>22.65</v>
      </c>
      <c r="AH9" s="46">
        <v>23.65</v>
      </c>
      <c r="AI9" s="46">
        <v>19.5</v>
      </c>
      <c r="AJ9" s="46">
        <v>20.100000000000001</v>
      </c>
      <c r="AK9" s="46">
        <v>26.47</v>
      </c>
      <c r="AL9" s="46">
        <v>24.37</v>
      </c>
      <c r="AM9" s="46">
        <f t="shared" si="0"/>
        <v>26.039310344827591</v>
      </c>
      <c r="AN9" s="67">
        <f t="shared" si="1"/>
        <v>4.3398850574712649</v>
      </c>
    </row>
    <row r="10" spans="1:40" x14ac:dyDescent="0.3">
      <c r="A10" s="5">
        <v>9</v>
      </c>
      <c r="B10" s="6" t="s">
        <v>9</v>
      </c>
      <c r="C10" s="12" t="s">
        <v>205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3</v>
      </c>
      <c r="I10" s="67" t="s">
        <v>163</v>
      </c>
      <c r="J10" s="45">
        <v>44.22</v>
      </c>
      <c r="K10" s="45">
        <v>65.19</v>
      </c>
      <c r="L10" s="46">
        <v>54.49</v>
      </c>
      <c r="M10" s="46">
        <v>48.15</v>
      </c>
      <c r="N10" s="46">
        <v>42.97</v>
      </c>
      <c r="O10" s="46">
        <v>47.29</v>
      </c>
      <c r="P10" s="46">
        <v>59.68</v>
      </c>
      <c r="Q10" s="46">
        <v>32.17</v>
      </c>
      <c r="R10" s="46">
        <v>58.71</v>
      </c>
      <c r="S10" s="46">
        <v>42.32</v>
      </c>
      <c r="T10" s="46">
        <v>72.459999999999994</v>
      </c>
      <c r="U10" s="46">
        <v>17.8</v>
      </c>
      <c r="V10" s="46">
        <v>63.25</v>
      </c>
      <c r="W10" s="46">
        <v>70.77</v>
      </c>
      <c r="X10" s="46">
        <v>50.84</v>
      </c>
      <c r="Y10" s="46">
        <v>70.010000000000005</v>
      </c>
      <c r="Z10" s="46">
        <v>50.92</v>
      </c>
      <c r="AA10" s="46">
        <v>57.7</v>
      </c>
      <c r="AB10" s="53">
        <v>56.28</v>
      </c>
      <c r="AC10" s="60">
        <v>50.76</v>
      </c>
      <c r="AD10" s="60">
        <v>43.75</v>
      </c>
      <c r="AE10" s="60">
        <v>33.9</v>
      </c>
      <c r="AF10" s="60">
        <v>49.6</v>
      </c>
      <c r="AG10" s="54">
        <v>64.36</v>
      </c>
      <c r="AH10" s="46">
        <v>60.52</v>
      </c>
      <c r="AI10" s="46">
        <v>43.81</v>
      </c>
      <c r="AJ10" s="46">
        <v>54.21</v>
      </c>
      <c r="AK10" s="46">
        <v>45.2</v>
      </c>
      <c r="AL10" s="46">
        <v>58.9</v>
      </c>
      <c r="AM10" s="46">
        <f t="shared" si="0"/>
        <v>52.07689655172414</v>
      </c>
      <c r="AN10" s="67">
        <f t="shared" si="1"/>
        <v>17.35896551724138</v>
      </c>
    </row>
    <row r="11" spans="1:40" x14ac:dyDescent="0.3">
      <c r="A11" s="5">
        <v>10</v>
      </c>
      <c r="B11" s="6" t="s">
        <v>9</v>
      </c>
      <c r="C11" s="12" t="s">
        <v>206</v>
      </c>
      <c r="D11" s="6" t="s">
        <v>63</v>
      </c>
      <c r="E11" s="6" t="s">
        <v>12</v>
      </c>
      <c r="F11" s="6" t="s">
        <v>95</v>
      </c>
      <c r="G11" s="6" t="s">
        <v>35</v>
      </c>
      <c r="H11" s="5">
        <v>1</v>
      </c>
      <c r="I11" s="67" t="s">
        <v>163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53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54">
        <v>0</v>
      </c>
      <c r="AK11" s="54">
        <v>0</v>
      </c>
      <c r="AL11" s="46">
        <v>0</v>
      </c>
      <c r="AM11" s="46">
        <f t="shared" si="0"/>
        <v>0</v>
      </c>
      <c r="AN11" s="67">
        <f t="shared" si="1"/>
        <v>0</v>
      </c>
    </row>
    <row r="12" spans="1:40" x14ac:dyDescent="0.3">
      <c r="A12" s="5">
        <v>11</v>
      </c>
      <c r="B12" s="6" t="s">
        <v>9</v>
      </c>
      <c r="C12" s="12" t="s">
        <v>207</v>
      </c>
      <c r="D12" s="6" t="s">
        <v>128</v>
      </c>
      <c r="E12" s="6" t="s">
        <v>12</v>
      </c>
      <c r="F12" s="6" t="s">
        <v>13</v>
      </c>
      <c r="G12" s="6" t="s">
        <v>35</v>
      </c>
      <c r="H12" s="5">
        <v>2</v>
      </c>
      <c r="I12" s="67" t="s">
        <v>163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53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46">
        <v>0</v>
      </c>
      <c r="AK12" s="46">
        <v>0</v>
      </c>
      <c r="AL12" s="46">
        <v>0</v>
      </c>
      <c r="AM12" s="46">
        <f t="shared" si="0"/>
        <v>0</v>
      </c>
      <c r="AN12" s="67">
        <f t="shared" si="1"/>
        <v>0</v>
      </c>
    </row>
    <row r="13" spans="1:40" x14ac:dyDescent="0.3">
      <c r="A13" s="5">
        <v>12</v>
      </c>
      <c r="B13" s="6" t="s">
        <v>9</v>
      </c>
      <c r="C13" s="12" t="s">
        <v>208</v>
      </c>
      <c r="D13" s="6" t="s">
        <v>128</v>
      </c>
      <c r="E13" s="6" t="s">
        <v>12</v>
      </c>
      <c r="F13" s="6" t="s">
        <v>13</v>
      </c>
      <c r="G13" s="6" t="s">
        <v>35</v>
      </c>
      <c r="H13" s="5">
        <v>10</v>
      </c>
      <c r="I13" s="67" t="s">
        <v>163</v>
      </c>
      <c r="J13" s="45">
        <v>62.43</v>
      </c>
      <c r="K13" s="45">
        <v>59.55</v>
      </c>
      <c r="L13" s="46">
        <v>53.28</v>
      </c>
      <c r="M13" s="46">
        <v>69.739999999999995</v>
      </c>
      <c r="N13" s="46">
        <v>46.57</v>
      </c>
      <c r="O13" s="46">
        <v>41.88</v>
      </c>
      <c r="P13" s="46">
        <v>75.48</v>
      </c>
      <c r="Q13" s="46">
        <v>53.08</v>
      </c>
      <c r="R13" s="46">
        <v>61.97</v>
      </c>
      <c r="S13" s="46">
        <v>58</v>
      </c>
      <c r="T13" s="46">
        <v>56.22</v>
      </c>
      <c r="U13" s="46">
        <v>58.14</v>
      </c>
      <c r="V13" s="46">
        <v>75.66</v>
      </c>
      <c r="W13" s="46">
        <v>73.7</v>
      </c>
      <c r="X13" s="46">
        <v>49.81</v>
      </c>
      <c r="Y13" s="46">
        <v>56.43</v>
      </c>
      <c r="Z13" s="46">
        <v>60.94</v>
      </c>
      <c r="AA13" s="46">
        <v>42.25</v>
      </c>
      <c r="AB13" s="53">
        <v>55.96</v>
      </c>
      <c r="AC13" s="60">
        <v>66.67</v>
      </c>
      <c r="AD13" s="60">
        <v>47.86</v>
      </c>
      <c r="AE13" s="60">
        <v>59.98</v>
      </c>
      <c r="AF13" s="60">
        <v>50.3</v>
      </c>
      <c r="AG13" s="54">
        <v>56.69</v>
      </c>
      <c r="AH13" s="46">
        <v>61.9</v>
      </c>
      <c r="AI13" s="46">
        <v>64.260000000000005</v>
      </c>
      <c r="AJ13" s="46">
        <v>64.39</v>
      </c>
      <c r="AK13" s="46">
        <v>26.85</v>
      </c>
      <c r="AL13" s="46">
        <v>55.52</v>
      </c>
      <c r="AM13" s="46">
        <f t="shared" si="0"/>
        <v>57.43137931034483</v>
      </c>
      <c r="AN13" s="67">
        <f t="shared" si="1"/>
        <v>5.7431379310344832</v>
      </c>
    </row>
    <row r="14" spans="1:40" x14ac:dyDescent="0.3">
      <c r="A14" s="5">
        <v>13</v>
      </c>
      <c r="B14" s="6" t="s">
        <v>9</v>
      </c>
      <c r="C14" s="12" t="s">
        <v>244</v>
      </c>
      <c r="D14" s="6" t="s">
        <v>128</v>
      </c>
      <c r="E14" s="6" t="s">
        <v>12</v>
      </c>
      <c r="F14" s="6" t="s">
        <v>13</v>
      </c>
      <c r="G14" s="6" t="s">
        <v>35</v>
      </c>
      <c r="H14" s="5">
        <v>2</v>
      </c>
      <c r="I14" s="67" t="s">
        <v>160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6">
        <v>0</v>
      </c>
      <c r="Y14" s="46">
        <v>0</v>
      </c>
      <c r="Z14" s="46">
        <v>0</v>
      </c>
      <c r="AA14" s="46">
        <v>0</v>
      </c>
      <c r="AB14" s="53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46">
        <v>0</v>
      </c>
      <c r="AK14" s="46">
        <v>0</v>
      </c>
      <c r="AL14" s="46">
        <v>0</v>
      </c>
      <c r="AM14" s="46">
        <f t="shared" si="0"/>
        <v>0</v>
      </c>
      <c r="AN14" s="67">
        <f t="shared" si="1"/>
        <v>0</v>
      </c>
    </row>
    <row r="15" spans="1:40" x14ac:dyDescent="0.3">
      <c r="A15" s="5">
        <v>14</v>
      </c>
      <c r="B15" s="6" t="s">
        <v>9</v>
      </c>
      <c r="C15" s="12" t="s">
        <v>244</v>
      </c>
      <c r="D15" s="6" t="s">
        <v>128</v>
      </c>
      <c r="E15" s="6" t="s">
        <v>12</v>
      </c>
      <c r="F15" s="6" t="s">
        <v>40</v>
      </c>
      <c r="G15" s="6" t="s">
        <v>35</v>
      </c>
      <c r="H15" s="5">
        <v>1</v>
      </c>
      <c r="I15" s="67" t="s">
        <v>160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0</v>
      </c>
      <c r="W15" s="45">
        <v>0</v>
      </c>
      <c r="X15" s="46">
        <v>0</v>
      </c>
      <c r="Y15" s="46">
        <v>0</v>
      </c>
      <c r="Z15" s="46">
        <v>0</v>
      </c>
      <c r="AA15" s="46">
        <v>0</v>
      </c>
      <c r="AB15" s="53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46">
        <v>0</v>
      </c>
      <c r="AK15" s="46">
        <v>0</v>
      </c>
      <c r="AL15" s="46">
        <v>0</v>
      </c>
      <c r="AM15" s="46">
        <f t="shared" si="0"/>
        <v>0</v>
      </c>
      <c r="AN15" s="67">
        <f t="shared" si="1"/>
        <v>0</v>
      </c>
    </row>
    <row r="16" spans="1:40" x14ac:dyDescent="0.3">
      <c r="A16" s="5">
        <v>15</v>
      </c>
      <c r="B16" s="6" t="s">
        <v>9</v>
      </c>
      <c r="C16" s="12" t="s">
        <v>196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10</v>
      </c>
      <c r="I16" s="67" t="s">
        <v>163</v>
      </c>
      <c r="J16" s="45">
        <v>121.59</v>
      </c>
      <c r="K16" s="45">
        <v>83.66</v>
      </c>
      <c r="L16" s="45">
        <v>86.49</v>
      </c>
      <c r="M16" s="45">
        <v>82.31</v>
      </c>
      <c r="N16" s="45">
        <v>87.35</v>
      </c>
      <c r="O16" s="45">
        <v>53.08</v>
      </c>
      <c r="P16" s="45">
        <v>66.61</v>
      </c>
      <c r="Q16" s="45">
        <v>71.06</v>
      </c>
      <c r="R16" s="45">
        <v>75.73</v>
      </c>
      <c r="S16" s="45">
        <v>116.37</v>
      </c>
      <c r="T16" s="46">
        <v>133.36000000000001</v>
      </c>
      <c r="U16" s="46">
        <v>141.59</v>
      </c>
      <c r="V16" s="46">
        <v>107.04</v>
      </c>
      <c r="W16" s="46">
        <v>71.34</v>
      </c>
      <c r="X16" s="46">
        <v>74.489999999999995</v>
      </c>
      <c r="Y16" s="46">
        <v>28.64</v>
      </c>
      <c r="Z16" s="46">
        <v>64.78</v>
      </c>
      <c r="AA16" s="46">
        <v>72.260000000000005</v>
      </c>
      <c r="AB16" s="46">
        <v>75.569999999999993</v>
      </c>
      <c r="AC16" s="46">
        <v>90.71</v>
      </c>
      <c r="AD16" s="46">
        <v>69.239999999999995</v>
      </c>
      <c r="AE16" s="46">
        <v>98.92</v>
      </c>
      <c r="AF16" s="46">
        <v>72.16</v>
      </c>
      <c r="AG16" s="46">
        <v>67.959999999999994</v>
      </c>
      <c r="AH16" s="46">
        <v>68.8</v>
      </c>
      <c r="AI16" s="46">
        <v>59.03</v>
      </c>
      <c r="AJ16" s="46">
        <v>135.05000000000001</v>
      </c>
      <c r="AK16" s="46">
        <v>75.16</v>
      </c>
      <c r="AL16" s="46">
        <v>51.94</v>
      </c>
      <c r="AM16" s="46">
        <f t="shared" si="0"/>
        <v>82.83758620689656</v>
      </c>
      <c r="AN16" s="67">
        <f t="shared" si="1"/>
        <v>8.2837586206896567</v>
      </c>
    </row>
    <row r="17" spans="1:40" x14ac:dyDescent="0.3">
      <c r="A17" s="5">
        <v>16</v>
      </c>
      <c r="B17" s="6" t="s">
        <v>9</v>
      </c>
      <c r="C17" s="12" t="s">
        <v>234</v>
      </c>
      <c r="D17" s="6" t="s">
        <v>128</v>
      </c>
      <c r="E17" s="6" t="s">
        <v>12</v>
      </c>
      <c r="F17" s="6" t="s">
        <v>13</v>
      </c>
      <c r="G17" s="6" t="s">
        <v>35</v>
      </c>
      <c r="H17" s="5">
        <v>8</v>
      </c>
      <c r="I17" s="67" t="s">
        <v>163</v>
      </c>
      <c r="J17" s="45">
        <v>82.67</v>
      </c>
      <c r="K17" s="45">
        <v>112.49</v>
      </c>
      <c r="L17" s="45">
        <v>85.5</v>
      </c>
      <c r="M17" s="45">
        <v>59.03</v>
      </c>
      <c r="N17" s="45">
        <v>0</v>
      </c>
      <c r="O17" s="45">
        <v>0</v>
      </c>
      <c r="P17" s="45">
        <v>0</v>
      </c>
      <c r="Q17" s="45">
        <v>25.45</v>
      </c>
      <c r="R17" s="45">
        <v>0</v>
      </c>
      <c r="S17" s="45">
        <v>11.68</v>
      </c>
      <c r="T17" s="46">
        <v>51.63</v>
      </c>
      <c r="U17" s="46">
        <v>58.31</v>
      </c>
      <c r="V17" s="46">
        <v>49.9</v>
      </c>
      <c r="W17" s="46">
        <v>98.35</v>
      </c>
      <c r="X17" s="46">
        <v>70.66</v>
      </c>
      <c r="Y17" s="46">
        <v>109.36</v>
      </c>
      <c r="Z17" s="46">
        <v>103.39</v>
      </c>
      <c r="AA17" s="46">
        <v>48.65</v>
      </c>
      <c r="AB17" s="46">
        <v>41.59</v>
      </c>
      <c r="AC17" s="46">
        <v>94.57</v>
      </c>
      <c r="AD17" s="46">
        <v>89.46</v>
      </c>
      <c r="AE17" s="46">
        <v>76.27</v>
      </c>
      <c r="AF17" s="46">
        <v>71.91</v>
      </c>
      <c r="AG17" s="46">
        <v>122.39</v>
      </c>
      <c r="AH17" s="46">
        <v>108.46</v>
      </c>
      <c r="AI17" s="46">
        <v>1.9</v>
      </c>
      <c r="AJ17" s="46">
        <v>102.92</v>
      </c>
      <c r="AK17" s="46">
        <v>88.14</v>
      </c>
      <c r="AL17" s="46">
        <v>72.95</v>
      </c>
      <c r="AM17" s="46">
        <f t="shared" si="0"/>
        <v>63.366551724137949</v>
      </c>
      <c r="AN17" s="67">
        <f t="shared" si="1"/>
        <v>7.9208189655172436</v>
      </c>
    </row>
    <row r="18" spans="1:40" x14ac:dyDescent="0.3">
      <c r="A18" s="5">
        <v>17</v>
      </c>
      <c r="B18" s="6" t="s">
        <v>9</v>
      </c>
      <c r="C18" s="12" t="s">
        <v>243</v>
      </c>
      <c r="D18" s="6" t="s">
        <v>128</v>
      </c>
      <c r="E18" s="6" t="s">
        <v>12</v>
      </c>
      <c r="F18" s="6" t="s">
        <v>124</v>
      </c>
      <c r="G18" s="6" t="s">
        <v>80</v>
      </c>
      <c r="H18" s="5">
        <v>1</v>
      </c>
      <c r="I18" s="67" t="s">
        <v>160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0</v>
      </c>
      <c r="AD18" s="46">
        <v>0</v>
      </c>
      <c r="AE18" s="46">
        <v>0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0</v>
      </c>
      <c r="AL18" s="46">
        <v>0</v>
      </c>
      <c r="AM18" s="46">
        <f t="shared" si="0"/>
        <v>0</v>
      </c>
      <c r="AN18" s="67">
        <f t="shared" si="1"/>
        <v>0</v>
      </c>
    </row>
    <row r="19" spans="1:40" x14ac:dyDescent="0.3">
      <c r="A19" s="5">
        <v>18</v>
      </c>
      <c r="B19" s="6" t="s">
        <v>9</v>
      </c>
      <c r="C19" s="6" t="s">
        <v>93</v>
      </c>
      <c r="D19" s="6" t="s">
        <v>26</v>
      </c>
      <c r="E19" s="6" t="s">
        <v>19</v>
      </c>
      <c r="F19" s="6" t="s">
        <v>13</v>
      </c>
      <c r="G19" s="6" t="s">
        <v>14</v>
      </c>
      <c r="H19" s="5">
        <v>1</v>
      </c>
      <c r="I19" s="67" t="s">
        <v>163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f t="shared" si="0"/>
        <v>0</v>
      </c>
      <c r="AN19" s="67">
        <f t="shared" si="1"/>
        <v>0</v>
      </c>
    </row>
    <row r="20" spans="1:40" x14ac:dyDescent="0.3">
      <c r="A20" s="5">
        <v>19</v>
      </c>
      <c r="B20" s="6" t="s">
        <v>9</v>
      </c>
      <c r="C20" s="6" t="s">
        <v>27</v>
      </c>
      <c r="D20" s="6" t="s">
        <v>28</v>
      </c>
      <c r="E20" s="6" t="s">
        <v>19</v>
      </c>
      <c r="F20" s="6" t="s">
        <v>13</v>
      </c>
      <c r="G20" s="6" t="s">
        <v>14</v>
      </c>
      <c r="H20" s="5">
        <v>4</v>
      </c>
      <c r="I20" s="67" t="s">
        <v>163</v>
      </c>
      <c r="J20" s="45">
        <v>0</v>
      </c>
      <c r="K20" s="45">
        <v>0</v>
      </c>
      <c r="L20" s="45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46">
        <f t="shared" si="0"/>
        <v>0</v>
      </c>
      <c r="AN20" s="67">
        <f t="shared" si="1"/>
        <v>0</v>
      </c>
    </row>
    <row r="21" spans="1:40" x14ac:dyDescent="0.3">
      <c r="A21" s="5">
        <v>20</v>
      </c>
      <c r="B21" s="6" t="s">
        <v>9</v>
      </c>
      <c r="C21" s="6" t="s">
        <v>94</v>
      </c>
      <c r="D21" s="6" t="s">
        <v>32</v>
      </c>
      <c r="E21" s="6" t="s">
        <v>19</v>
      </c>
      <c r="F21" s="6" t="s">
        <v>13</v>
      </c>
      <c r="G21" s="6" t="s">
        <v>14</v>
      </c>
      <c r="H21" s="5">
        <v>2</v>
      </c>
      <c r="I21" s="67" t="s">
        <v>160</v>
      </c>
      <c r="J21" s="45">
        <v>0</v>
      </c>
      <c r="K21" s="45">
        <v>0</v>
      </c>
      <c r="L21" s="45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46">
        <f t="shared" si="0"/>
        <v>0</v>
      </c>
      <c r="AN21" s="67">
        <f t="shared" si="1"/>
        <v>0</v>
      </c>
    </row>
    <row r="22" spans="1:40" x14ac:dyDescent="0.3">
      <c r="A22" s="5">
        <v>21</v>
      </c>
      <c r="B22" s="6" t="s">
        <v>9</v>
      </c>
      <c r="C22" s="6" t="s">
        <v>39</v>
      </c>
      <c r="D22" s="6" t="s">
        <v>30</v>
      </c>
      <c r="E22" s="6" t="s">
        <v>19</v>
      </c>
      <c r="F22" s="6" t="s">
        <v>13</v>
      </c>
      <c r="G22" s="6" t="s">
        <v>14</v>
      </c>
      <c r="H22" s="13">
        <v>3</v>
      </c>
      <c r="I22" s="67" t="s">
        <v>163</v>
      </c>
      <c r="J22" s="45">
        <v>0</v>
      </c>
      <c r="K22" s="45">
        <v>0</v>
      </c>
      <c r="L22" s="45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46">
        <f t="shared" si="0"/>
        <v>0</v>
      </c>
      <c r="AN22" s="67">
        <f t="shared" si="1"/>
        <v>0</v>
      </c>
    </row>
    <row r="23" spans="1:40" x14ac:dyDescent="0.3">
      <c r="A23" s="5">
        <v>22</v>
      </c>
      <c r="B23" s="6" t="s">
        <v>9</v>
      </c>
      <c r="C23" s="6" t="s">
        <v>96</v>
      </c>
      <c r="D23" s="6" t="s">
        <v>43</v>
      </c>
      <c r="E23" s="6" t="s">
        <v>19</v>
      </c>
      <c r="F23" s="6" t="s">
        <v>13</v>
      </c>
      <c r="G23" s="6" t="s">
        <v>14</v>
      </c>
      <c r="H23" s="13">
        <v>1</v>
      </c>
      <c r="I23" s="67" t="s">
        <v>163</v>
      </c>
      <c r="J23" s="45">
        <v>0</v>
      </c>
      <c r="K23" s="45">
        <v>0</v>
      </c>
      <c r="L23" s="45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46">
        <f t="shared" si="0"/>
        <v>0</v>
      </c>
      <c r="AN23" s="67">
        <f t="shared" si="1"/>
        <v>0</v>
      </c>
    </row>
    <row r="24" spans="1:40" x14ac:dyDescent="0.3">
      <c r="A24" s="5">
        <v>23</v>
      </c>
      <c r="B24" s="6" t="s">
        <v>9</v>
      </c>
      <c r="C24" s="6" t="s">
        <v>125</v>
      </c>
      <c r="D24" s="6" t="s">
        <v>48</v>
      </c>
      <c r="E24" s="6" t="s">
        <v>19</v>
      </c>
      <c r="F24" s="6" t="s">
        <v>13</v>
      </c>
      <c r="G24" s="6" t="s">
        <v>14</v>
      </c>
      <c r="H24" s="5">
        <v>1</v>
      </c>
      <c r="I24" s="67" t="s">
        <v>161</v>
      </c>
      <c r="J24" s="45">
        <v>0</v>
      </c>
      <c r="K24" s="45">
        <v>0</v>
      </c>
      <c r="L24" s="45">
        <v>0</v>
      </c>
      <c r="M24" s="46">
        <v>0</v>
      </c>
      <c r="N24" s="46">
        <v>0</v>
      </c>
      <c r="O24" s="46">
        <v>4.8570000000000002</v>
      </c>
      <c r="P24" s="46">
        <v>0</v>
      </c>
      <c r="Q24" s="46">
        <v>0</v>
      </c>
      <c r="R24" s="46">
        <v>0</v>
      </c>
      <c r="S24" s="46">
        <v>1.145</v>
      </c>
      <c r="T24" s="46">
        <v>0</v>
      </c>
      <c r="U24" s="46">
        <v>1.5469999999999999</v>
      </c>
      <c r="V24" s="46">
        <v>0</v>
      </c>
      <c r="W24" s="46">
        <v>0</v>
      </c>
      <c r="X24" s="46">
        <v>2.16</v>
      </c>
      <c r="Y24" s="46">
        <v>0.17199999999999999</v>
      </c>
      <c r="Z24" s="46">
        <v>0.152</v>
      </c>
      <c r="AA24" s="46">
        <v>0</v>
      </c>
      <c r="AB24" s="53">
        <v>1.0389999999999999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46">
        <v>8.9999999999999993E-3</v>
      </c>
      <c r="AK24" s="46">
        <v>3.0000000000000001E-3</v>
      </c>
      <c r="AL24" s="46">
        <v>0</v>
      </c>
      <c r="AM24" s="46">
        <f t="shared" si="0"/>
        <v>0.38220689655172413</v>
      </c>
      <c r="AN24" s="67">
        <f t="shared" si="1"/>
        <v>0.38220689655172413</v>
      </c>
    </row>
    <row r="25" spans="1:40" x14ac:dyDescent="0.3">
      <c r="A25" s="5">
        <v>24</v>
      </c>
      <c r="B25" s="6" t="s">
        <v>49</v>
      </c>
      <c r="C25" s="12" t="s">
        <v>209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5</v>
      </c>
      <c r="I25" s="67" t="s">
        <v>163</v>
      </c>
      <c r="J25" s="45">
        <v>15.88</v>
      </c>
      <c r="K25" s="45">
        <v>11.67</v>
      </c>
      <c r="L25" s="46">
        <v>17.47</v>
      </c>
      <c r="M25" s="46">
        <v>0</v>
      </c>
      <c r="N25" s="46">
        <v>11.06</v>
      </c>
      <c r="O25" s="46">
        <v>9.73</v>
      </c>
      <c r="P25" s="46">
        <v>10.67</v>
      </c>
      <c r="Q25" s="46">
        <v>10.199999999999999</v>
      </c>
      <c r="R25" s="46">
        <v>11.41</v>
      </c>
      <c r="S25" s="46">
        <v>21.83</v>
      </c>
      <c r="T25" s="46">
        <v>0</v>
      </c>
      <c r="U25" s="46">
        <v>2.91</v>
      </c>
      <c r="V25" s="46">
        <v>12.8</v>
      </c>
      <c r="W25" s="46">
        <v>20.12</v>
      </c>
      <c r="X25" s="46">
        <v>8.76</v>
      </c>
      <c r="Y25" s="46">
        <v>15.03</v>
      </c>
      <c r="Z25" s="46">
        <v>15.75</v>
      </c>
      <c r="AA25" s="46">
        <v>6.38</v>
      </c>
      <c r="AB25" s="53">
        <v>12</v>
      </c>
      <c r="AC25" s="60">
        <v>13.07</v>
      </c>
      <c r="AD25" s="60">
        <v>16.670000000000002</v>
      </c>
      <c r="AE25" s="60">
        <v>13.24</v>
      </c>
      <c r="AF25" s="60">
        <v>29.51</v>
      </c>
      <c r="AG25" s="54">
        <v>11.22</v>
      </c>
      <c r="AH25" s="46">
        <v>6.08</v>
      </c>
      <c r="AI25" s="46">
        <v>16.53</v>
      </c>
      <c r="AJ25" s="46">
        <v>7.24</v>
      </c>
      <c r="AK25" s="46">
        <v>12.27</v>
      </c>
      <c r="AL25" s="46">
        <v>14.4</v>
      </c>
      <c r="AM25" s="46">
        <f t="shared" si="0"/>
        <v>12.203448275862069</v>
      </c>
      <c r="AN25" s="67">
        <f t="shared" si="1"/>
        <v>2.440689655172414</v>
      </c>
    </row>
    <row r="26" spans="1:40" x14ac:dyDescent="0.3">
      <c r="A26" s="5">
        <v>25</v>
      </c>
      <c r="B26" s="6" t="s">
        <v>49</v>
      </c>
      <c r="C26" s="12" t="s">
        <v>210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10</v>
      </c>
      <c r="I26" s="67" t="s">
        <v>163</v>
      </c>
      <c r="J26" s="45">
        <v>99.64</v>
      </c>
      <c r="K26" s="45">
        <v>86.07</v>
      </c>
      <c r="L26" s="46">
        <v>85.78</v>
      </c>
      <c r="M26" s="46">
        <v>102.33</v>
      </c>
      <c r="N26" s="46">
        <v>98.47</v>
      </c>
      <c r="O26" s="46">
        <v>98.2</v>
      </c>
      <c r="P26" s="46">
        <v>97.53</v>
      </c>
      <c r="Q26" s="46">
        <v>75.91</v>
      </c>
      <c r="R26" s="46">
        <v>103.8</v>
      </c>
      <c r="S26" s="46">
        <v>86.6</v>
      </c>
      <c r="T26" s="46">
        <v>95.81</v>
      </c>
      <c r="U26" s="46">
        <v>73.709999999999994</v>
      </c>
      <c r="V26" s="46">
        <v>110.3</v>
      </c>
      <c r="W26" s="46">
        <v>101.52</v>
      </c>
      <c r="X26" s="46">
        <v>83.64</v>
      </c>
      <c r="Y26" s="46">
        <v>85.13</v>
      </c>
      <c r="Z26" s="46">
        <v>106.2</v>
      </c>
      <c r="AA26" s="46">
        <v>71.63</v>
      </c>
      <c r="AB26" s="46">
        <v>119.12</v>
      </c>
      <c r="AC26" s="60">
        <v>87.24</v>
      </c>
      <c r="AD26" s="60">
        <v>70.14</v>
      </c>
      <c r="AE26" s="60">
        <v>105.26</v>
      </c>
      <c r="AF26" s="60">
        <v>94.68</v>
      </c>
      <c r="AG26" s="60">
        <v>93.88</v>
      </c>
      <c r="AH26" s="60">
        <v>72.02</v>
      </c>
      <c r="AI26" s="60">
        <v>96.64</v>
      </c>
      <c r="AJ26" s="46">
        <v>82.48</v>
      </c>
      <c r="AK26" s="46">
        <v>64.36</v>
      </c>
      <c r="AL26" s="46">
        <v>70.37</v>
      </c>
      <c r="AM26" s="46">
        <f t="shared" si="0"/>
        <v>90.291724137931041</v>
      </c>
      <c r="AN26" s="67">
        <f t="shared" si="1"/>
        <v>9.0291724137931038</v>
      </c>
    </row>
    <row r="27" spans="1:40" x14ac:dyDescent="0.3">
      <c r="A27" s="5">
        <v>26</v>
      </c>
      <c r="B27" s="6" t="s">
        <v>52</v>
      </c>
      <c r="C27" s="12" t="s">
        <v>211</v>
      </c>
      <c r="D27" s="6" t="s">
        <v>128</v>
      </c>
      <c r="E27" s="6" t="s">
        <v>12</v>
      </c>
      <c r="F27" s="6" t="s">
        <v>13</v>
      </c>
      <c r="G27" s="6" t="s">
        <v>35</v>
      </c>
      <c r="H27" s="5">
        <v>5</v>
      </c>
      <c r="I27" s="67" t="s">
        <v>163</v>
      </c>
      <c r="J27" s="45">
        <v>15.48</v>
      </c>
      <c r="K27" s="45">
        <v>9.61</v>
      </c>
      <c r="L27" s="46">
        <v>2.11</v>
      </c>
      <c r="M27" s="46">
        <v>11</v>
      </c>
      <c r="N27" s="46">
        <v>0.38</v>
      </c>
      <c r="O27" s="46">
        <v>16</v>
      </c>
      <c r="P27" s="46">
        <v>18.91</v>
      </c>
      <c r="Q27" s="46">
        <v>14.73</v>
      </c>
      <c r="R27" s="46">
        <v>13.1</v>
      </c>
      <c r="S27" s="46">
        <v>17.52</v>
      </c>
      <c r="T27" s="46">
        <v>0</v>
      </c>
      <c r="U27" s="46">
        <v>10.42</v>
      </c>
      <c r="V27" s="46">
        <v>22.08</v>
      </c>
      <c r="W27" s="46">
        <v>11.81</v>
      </c>
      <c r="X27" s="46">
        <v>19.37</v>
      </c>
      <c r="Y27" s="46">
        <v>12.64</v>
      </c>
      <c r="Z27" s="46">
        <v>21.39</v>
      </c>
      <c r="AA27" s="46">
        <v>7.23</v>
      </c>
      <c r="AB27" s="53">
        <v>11.13</v>
      </c>
      <c r="AC27" s="60">
        <v>6.44</v>
      </c>
      <c r="AD27" s="60">
        <v>8.25</v>
      </c>
      <c r="AE27" s="60">
        <v>15.51</v>
      </c>
      <c r="AF27" s="60">
        <v>3.84</v>
      </c>
      <c r="AG27" s="54">
        <v>8.43</v>
      </c>
      <c r="AH27" s="46">
        <v>8.07</v>
      </c>
      <c r="AI27" s="46">
        <v>14.13</v>
      </c>
      <c r="AJ27" s="46">
        <v>17.420000000000002</v>
      </c>
      <c r="AK27" s="46">
        <v>14.68</v>
      </c>
      <c r="AL27" s="46">
        <v>17.61</v>
      </c>
      <c r="AM27" s="46">
        <f t="shared" si="0"/>
        <v>12.044482758620688</v>
      </c>
      <c r="AN27" s="67">
        <f t="shared" si="1"/>
        <v>2.4088965517241379</v>
      </c>
    </row>
    <row r="28" spans="1:40" x14ac:dyDescent="0.3">
      <c r="A28" s="5">
        <v>27</v>
      </c>
      <c r="B28" s="6" t="s">
        <v>52</v>
      </c>
      <c r="C28" s="12" t="s">
        <v>212</v>
      </c>
      <c r="D28" s="6" t="s">
        <v>128</v>
      </c>
      <c r="E28" s="6" t="s">
        <v>12</v>
      </c>
      <c r="F28" s="6" t="s">
        <v>13</v>
      </c>
      <c r="G28" s="6" t="s">
        <v>35</v>
      </c>
      <c r="H28" s="5">
        <v>5</v>
      </c>
      <c r="I28" s="67" t="s">
        <v>163</v>
      </c>
      <c r="J28" s="45">
        <v>0</v>
      </c>
      <c r="K28" s="45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53">
        <v>0</v>
      </c>
      <c r="AC28" s="60">
        <v>0</v>
      </c>
      <c r="AD28" s="62">
        <v>0</v>
      </c>
      <c r="AE28" s="60">
        <v>0</v>
      </c>
      <c r="AF28" s="60">
        <v>0</v>
      </c>
      <c r="AG28" s="54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f t="shared" si="0"/>
        <v>0</v>
      </c>
      <c r="AN28" s="67">
        <f t="shared" si="1"/>
        <v>0</v>
      </c>
    </row>
    <row r="29" spans="1:40" x14ac:dyDescent="0.3">
      <c r="A29" s="5">
        <v>28</v>
      </c>
      <c r="B29" s="6" t="s">
        <v>134</v>
      </c>
      <c r="C29" s="6" t="s">
        <v>133</v>
      </c>
      <c r="D29" s="6" t="s">
        <v>128</v>
      </c>
      <c r="E29" s="6" t="s">
        <v>12</v>
      </c>
      <c r="F29" s="6" t="s">
        <v>13</v>
      </c>
      <c r="G29" s="6" t="s">
        <v>35</v>
      </c>
      <c r="H29" s="5">
        <v>5</v>
      </c>
      <c r="I29" s="67" t="s">
        <v>163</v>
      </c>
      <c r="J29" s="45">
        <v>28.46</v>
      </c>
      <c r="K29" s="45">
        <v>46.71</v>
      </c>
      <c r="L29" s="46">
        <v>37.840000000000003</v>
      </c>
      <c r="M29" s="46">
        <v>27.83</v>
      </c>
      <c r="N29" s="46">
        <v>38.409999999999997</v>
      </c>
      <c r="O29" s="46">
        <v>38.83</v>
      </c>
      <c r="P29" s="46">
        <v>22.41</v>
      </c>
      <c r="Q29" s="46">
        <v>36.57</v>
      </c>
      <c r="R29" s="46">
        <v>31.34</v>
      </c>
      <c r="S29" s="46">
        <v>37.51</v>
      </c>
      <c r="T29" s="46">
        <v>40.840000000000003</v>
      </c>
      <c r="U29" s="46">
        <v>33.51</v>
      </c>
      <c r="V29" s="46">
        <v>42.23</v>
      </c>
      <c r="W29" s="46">
        <v>26.72</v>
      </c>
      <c r="X29" s="46">
        <v>30.64</v>
      </c>
      <c r="Y29" s="46">
        <v>54.07</v>
      </c>
      <c r="Z29" s="46">
        <v>36.380000000000003</v>
      </c>
      <c r="AA29" s="46">
        <v>32.01</v>
      </c>
      <c r="AB29" s="53">
        <v>26.07</v>
      </c>
      <c r="AC29" s="60">
        <v>60.8</v>
      </c>
      <c r="AD29" s="60">
        <v>29.04</v>
      </c>
      <c r="AE29" s="60">
        <v>49.13</v>
      </c>
      <c r="AF29" s="60">
        <v>34.68</v>
      </c>
      <c r="AG29" s="54">
        <v>40.69</v>
      </c>
      <c r="AH29" s="46">
        <v>30.7</v>
      </c>
      <c r="AI29" s="46">
        <v>50.9</v>
      </c>
      <c r="AJ29" s="46">
        <v>34.94</v>
      </c>
      <c r="AK29" s="46">
        <v>37.799999999999997</v>
      </c>
      <c r="AL29" s="46">
        <v>45.58</v>
      </c>
      <c r="AM29" s="46">
        <f t="shared" si="0"/>
        <v>37.332413793103441</v>
      </c>
      <c r="AN29" s="67">
        <f t="shared" si="1"/>
        <v>7.4664827586206881</v>
      </c>
    </row>
    <row r="30" spans="1:40" x14ac:dyDescent="0.3">
      <c r="A30" s="5">
        <v>29</v>
      </c>
      <c r="B30" s="12" t="s">
        <v>246</v>
      </c>
      <c r="C30" s="12" t="s">
        <v>247</v>
      </c>
      <c r="D30" s="6" t="s">
        <v>128</v>
      </c>
      <c r="E30" s="6" t="s">
        <v>12</v>
      </c>
      <c r="F30" s="6" t="s">
        <v>13</v>
      </c>
      <c r="G30" s="6" t="s">
        <v>35</v>
      </c>
      <c r="H30" s="5">
        <v>5</v>
      </c>
      <c r="I30" s="67" t="s">
        <v>163</v>
      </c>
      <c r="J30" s="45"/>
      <c r="K30" s="45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53"/>
      <c r="AC30" s="60"/>
      <c r="AD30" s="60"/>
      <c r="AE30" s="60"/>
      <c r="AF30" s="60"/>
      <c r="AG30" s="54"/>
      <c r="AH30" s="46">
        <v>0</v>
      </c>
      <c r="AI30" s="46">
        <v>1.37</v>
      </c>
      <c r="AJ30" s="46">
        <v>14.73</v>
      </c>
      <c r="AK30" s="46">
        <v>20.58</v>
      </c>
      <c r="AL30" s="46">
        <v>22.66</v>
      </c>
      <c r="AM30" s="46">
        <f t="shared" si="0"/>
        <v>11.868</v>
      </c>
      <c r="AN30" s="67">
        <f t="shared" si="1"/>
        <v>2.3736000000000002</v>
      </c>
    </row>
    <row r="31" spans="1:40" x14ac:dyDescent="0.3">
      <c r="A31" s="5">
        <v>30</v>
      </c>
      <c r="B31" s="6" t="s">
        <v>58</v>
      </c>
      <c r="C31" s="12" t="s">
        <v>213</v>
      </c>
      <c r="D31" s="6" t="s">
        <v>61</v>
      </c>
      <c r="E31" s="6" t="s">
        <v>12</v>
      </c>
      <c r="F31" s="6" t="s">
        <v>13</v>
      </c>
      <c r="G31" s="6" t="s">
        <v>35</v>
      </c>
      <c r="H31" s="5">
        <v>3</v>
      </c>
      <c r="I31" s="67" t="s">
        <v>163</v>
      </c>
      <c r="J31" s="45">
        <v>80.27</v>
      </c>
      <c r="K31" s="45">
        <v>64.13</v>
      </c>
      <c r="L31" s="46">
        <v>76.319999999999993</v>
      </c>
      <c r="M31" s="46">
        <v>73.05</v>
      </c>
      <c r="N31" s="46">
        <v>74.8</v>
      </c>
      <c r="O31" s="46">
        <v>76.48</v>
      </c>
      <c r="P31" s="46">
        <v>65.87</v>
      </c>
      <c r="Q31" s="46">
        <v>91.57</v>
      </c>
      <c r="R31" s="46">
        <v>88.42</v>
      </c>
      <c r="S31" s="46">
        <v>56.95</v>
      </c>
      <c r="T31" s="46">
        <v>67.12</v>
      </c>
      <c r="U31" s="46">
        <v>60.12</v>
      </c>
      <c r="V31" s="46">
        <v>35.36</v>
      </c>
      <c r="W31" s="46">
        <v>45.66</v>
      </c>
      <c r="X31" s="46">
        <v>78.64</v>
      </c>
      <c r="Y31" s="46">
        <v>89.76</v>
      </c>
      <c r="Z31" s="46">
        <v>81.08</v>
      </c>
      <c r="AA31" s="46">
        <v>62.22</v>
      </c>
      <c r="AB31" s="53">
        <v>75.19</v>
      </c>
      <c r="AC31" s="60">
        <v>69.8</v>
      </c>
      <c r="AD31" s="60">
        <v>74.53</v>
      </c>
      <c r="AE31" s="60">
        <v>61.37</v>
      </c>
      <c r="AF31" s="60">
        <v>71.569999999999993</v>
      </c>
      <c r="AG31" s="54">
        <v>60.19</v>
      </c>
      <c r="AH31" s="46">
        <v>80.44</v>
      </c>
      <c r="AI31" s="46">
        <v>58.14</v>
      </c>
      <c r="AJ31" s="46">
        <v>67.87</v>
      </c>
      <c r="AK31" s="46">
        <v>75.819999999999993</v>
      </c>
      <c r="AL31" s="46">
        <v>68.44</v>
      </c>
      <c r="AM31" s="46">
        <f t="shared" si="0"/>
        <v>70.040689655172415</v>
      </c>
      <c r="AN31" s="67">
        <f t="shared" si="1"/>
        <v>23.346896551724139</v>
      </c>
    </row>
    <row r="32" spans="1:40" x14ac:dyDescent="0.3">
      <c r="A32" s="5">
        <v>31</v>
      </c>
      <c r="B32" s="6" t="s">
        <v>58</v>
      </c>
      <c r="C32" s="12" t="s">
        <v>214</v>
      </c>
      <c r="D32" s="6" t="s">
        <v>61</v>
      </c>
      <c r="E32" s="6" t="s">
        <v>12</v>
      </c>
      <c r="F32" s="6" t="s">
        <v>13</v>
      </c>
      <c r="G32" s="6" t="s">
        <v>35</v>
      </c>
      <c r="H32" s="5">
        <v>9</v>
      </c>
      <c r="I32" s="67" t="s">
        <v>163</v>
      </c>
      <c r="J32" s="45">
        <v>187.72</v>
      </c>
      <c r="K32" s="45">
        <v>189.17</v>
      </c>
      <c r="L32" s="46">
        <v>200.89</v>
      </c>
      <c r="M32" s="46">
        <v>191.74</v>
      </c>
      <c r="N32" s="46">
        <v>193.07</v>
      </c>
      <c r="O32" s="46">
        <v>190.25</v>
      </c>
      <c r="P32" s="46">
        <v>150.66</v>
      </c>
      <c r="Q32" s="46">
        <v>189.36</v>
      </c>
      <c r="R32" s="46">
        <v>180.02</v>
      </c>
      <c r="S32" s="46">
        <v>119.19</v>
      </c>
      <c r="T32" s="46">
        <v>154.06</v>
      </c>
      <c r="U32" s="46">
        <v>190.75</v>
      </c>
      <c r="V32" s="46">
        <v>190.49</v>
      </c>
      <c r="W32" s="46">
        <v>154.62</v>
      </c>
      <c r="X32" s="46">
        <v>176.16</v>
      </c>
      <c r="Y32" s="46">
        <v>151.38</v>
      </c>
      <c r="Z32" s="46">
        <v>203.23</v>
      </c>
      <c r="AA32" s="46">
        <v>182.73</v>
      </c>
      <c r="AB32" s="53">
        <v>168.36</v>
      </c>
      <c r="AC32" s="60">
        <v>145.08000000000001</v>
      </c>
      <c r="AD32" s="60">
        <v>163.83000000000001</v>
      </c>
      <c r="AE32" s="60">
        <v>112.58</v>
      </c>
      <c r="AF32" s="60">
        <v>106.01</v>
      </c>
      <c r="AG32" s="54">
        <v>148.53</v>
      </c>
      <c r="AH32" s="46">
        <v>162.49</v>
      </c>
      <c r="AI32" s="46">
        <v>112.4</v>
      </c>
      <c r="AJ32" s="46">
        <v>139.54</v>
      </c>
      <c r="AK32" s="46">
        <v>112.83</v>
      </c>
      <c r="AL32" s="46">
        <v>104.31</v>
      </c>
      <c r="AM32" s="46">
        <f t="shared" si="0"/>
        <v>161.08448275862068</v>
      </c>
      <c r="AN32" s="67">
        <f t="shared" si="1"/>
        <v>17.898275862068964</v>
      </c>
    </row>
    <row r="33" spans="1:40" x14ac:dyDescent="0.3">
      <c r="A33" s="5">
        <v>32</v>
      </c>
      <c r="B33" s="6" t="s">
        <v>58</v>
      </c>
      <c r="C33" s="12" t="s">
        <v>215</v>
      </c>
      <c r="D33" s="6" t="s">
        <v>63</v>
      </c>
      <c r="E33" s="6" t="s">
        <v>19</v>
      </c>
      <c r="F33" s="6" t="s">
        <v>64</v>
      </c>
      <c r="G33" s="12" t="s">
        <v>35</v>
      </c>
      <c r="H33" s="5">
        <v>1</v>
      </c>
      <c r="I33" s="67" t="s">
        <v>163</v>
      </c>
      <c r="J33" s="45">
        <v>0.01</v>
      </c>
      <c r="K33" s="45">
        <v>0</v>
      </c>
      <c r="L33" s="46">
        <v>0</v>
      </c>
      <c r="M33" s="46">
        <v>1.49</v>
      </c>
      <c r="N33" s="46">
        <v>0</v>
      </c>
      <c r="O33" s="46">
        <v>0</v>
      </c>
      <c r="P33" s="59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1.23</v>
      </c>
      <c r="X33" s="46">
        <v>9.11</v>
      </c>
      <c r="Y33" s="46">
        <v>7.9</v>
      </c>
      <c r="Z33" s="46">
        <v>0</v>
      </c>
      <c r="AA33" s="46">
        <v>0</v>
      </c>
      <c r="AB33" s="53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46">
        <v>0</v>
      </c>
      <c r="AK33" s="46">
        <v>0</v>
      </c>
      <c r="AL33" s="46">
        <v>0</v>
      </c>
      <c r="AM33" s="46">
        <f t="shared" si="0"/>
        <v>0.68068965517241387</v>
      </c>
      <c r="AN33" s="67">
        <f t="shared" si="1"/>
        <v>0.68068965517241387</v>
      </c>
    </row>
    <row r="34" spans="1:40" x14ac:dyDescent="0.3">
      <c r="A34" s="5">
        <v>33</v>
      </c>
      <c r="B34" s="6" t="s">
        <v>58</v>
      </c>
      <c r="C34" s="12" t="s">
        <v>215</v>
      </c>
      <c r="D34" s="6" t="s">
        <v>63</v>
      </c>
      <c r="E34" s="6" t="s">
        <v>19</v>
      </c>
      <c r="F34" s="6" t="s">
        <v>13</v>
      </c>
      <c r="G34" s="12" t="s">
        <v>35</v>
      </c>
      <c r="H34" s="5">
        <v>8</v>
      </c>
      <c r="I34" s="67" t="s">
        <v>163</v>
      </c>
      <c r="J34" s="45"/>
      <c r="K34" s="45"/>
      <c r="L34" s="46">
        <v>0.8</v>
      </c>
      <c r="M34" s="46">
        <f>25.27-22.95</f>
        <v>2.3200000000000003</v>
      </c>
      <c r="N34" s="46">
        <f>20.3-13.35</f>
        <v>6.9500000000000011</v>
      </c>
      <c r="O34" s="46">
        <f>61.72-56.53</f>
        <v>5.1899999999999977</v>
      </c>
      <c r="P34" s="46">
        <f>220.55-193.94</f>
        <v>26.610000000000014</v>
      </c>
      <c r="Q34" s="46">
        <v>21.18</v>
      </c>
      <c r="R34" s="46">
        <v>20.63</v>
      </c>
      <c r="S34" s="46">
        <v>24.11</v>
      </c>
      <c r="T34" s="46">
        <v>11.8</v>
      </c>
      <c r="U34" s="46">
        <v>11.48</v>
      </c>
      <c r="V34" s="46">
        <v>13.96</v>
      </c>
      <c r="W34" s="46">
        <v>22.59</v>
      </c>
      <c r="X34" s="46">
        <v>32.35</v>
      </c>
      <c r="Y34" s="46">
        <v>58.53</v>
      </c>
      <c r="Z34" s="46">
        <v>47.61</v>
      </c>
      <c r="AA34" s="46">
        <v>65.56</v>
      </c>
      <c r="AB34" s="53">
        <v>42.73</v>
      </c>
      <c r="AC34" s="60">
        <v>50.67</v>
      </c>
      <c r="AD34" s="60">
        <v>43.93</v>
      </c>
      <c r="AE34" s="60">
        <v>40.85</v>
      </c>
      <c r="AF34" s="60">
        <v>30.37</v>
      </c>
      <c r="AG34" s="54">
        <v>42.47</v>
      </c>
      <c r="AH34" s="46">
        <v>38.36</v>
      </c>
      <c r="AI34" s="46">
        <v>67.150000000000006</v>
      </c>
      <c r="AJ34" s="46">
        <v>47.12</v>
      </c>
      <c r="AK34" s="46">
        <v>41.83</v>
      </c>
      <c r="AL34" s="46">
        <v>56.1</v>
      </c>
      <c r="AM34" s="46">
        <f t="shared" ref="AM34:AM65" si="2">AVERAGE(J34:AL34)</f>
        <v>32.342592592592595</v>
      </c>
      <c r="AN34" s="67">
        <f t="shared" ref="AN34:AN65" si="3">AM34/H34</f>
        <v>4.0428240740740744</v>
      </c>
    </row>
    <row r="35" spans="1:40" x14ac:dyDescent="0.3">
      <c r="A35" s="5">
        <v>34</v>
      </c>
      <c r="B35" s="6" t="s">
        <v>58</v>
      </c>
      <c r="C35" s="12" t="s">
        <v>216</v>
      </c>
      <c r="D35" s="6" t="s">
        <v>128</v>
      </c>
      <c r="E35" s="6" t="s">
        <v>12</v>
      </c>
      <c r="F35" s="6" t="s">
        <v>13</v>
      </c>
      <c r="G35" s="12" t="s">
        <v>35</v>
      </c>
      <c r="H35" s="5">
        <v>7</v>
      </c>
      <c r="I35" s="67" t="s">
        <v>163</v>
      </c>
      <c r="J35" s="45">
        <v>164.02</v>
      </c>
      <c r="K35" s="45">
        <v>147.9</v>
      </c>
      <c r="L35" s="46">
        <v>185.91</v>
      </c>
      <c r="M35" s="46">
        <v>201.36</v>
      </c>
      <c r="N35" s="46">
        <v>169.67</v>
      </c>
      <c r="O35" s="46">
        <v>160.08000000000001</v>
      </c>
      <c r="P35" s="46">
        <v>135.96</v>
      </c>
      <c r="Q35" s="46">
        <v>184.75</v>
      </c>
      <c r="R35" s="46">
        <v>117.93</v>
      </c>
      <c r="S35" s="46">
        <v>148.44</v>
      </c>
      <c r="T35" s="46">
        <v>136.15</v>
      </c>
      <c r="U35" s="46">
        <v>166.28</v>
      </c>
      <c r="V35" s="46">
        <v>163.04</v>
      </c>
      <c r="W35" s="46">
        <v>129.24</v>
      </c>
      <c r="X35" s="46">
        <v>169.6</v>
      </c>
      <c r="Y35" s="46">
        <v>151.6</v>
      </c>
      <c r="Z35" s="46">
        <v>153.12</v>
      </c>
      <c r="AA35" s="46">
        <v>161.94999999999999</v>
      </c>
      <c r="AB35" s="53">
        <v>146.30000000000001</v>
      </c>
      <c r="AC35" s="60">
        <v>162.97999999999999</v>
      </c>
      <c r="AD35" s="60">
        <v>146.31</v>
      </c>
      <c r="AE35" s="60">
        <v>136.52000000000001</v>
      </c>
      <c r="AF35" s="60">
        <v>161.37</v>
      </c>
      <c r="AG35" s="54">
        <v>119.16</v>
      </c>
      <c r="AH35" s="46">
        <v>143.24</v>
      </c>
      <c r="AI35" s="46">
        <v>100.96</v>
      </c>
      <c r="AJ35" s="46">
        <v>143.69999999999999</v>
      </c>
      <c r="AK35" s="46">
        <v>84.81</v>
      </c>
      <c r="AL35" s="46">
        <v>115.51</v>
      </c>
      <c r="AM35" s="46">
        <f t="shared" si="2"/>
        <v>148.54689655172416</v>
      </c>
      <c r="AN35" s="67">
        <f t="shared" si="3"/>
        <v>21.22098522167488</v>
      </c>
    </row>
    <row r="36" spans="1:40" x14ac:dyDescent="0.3">
      <c r="A36" s="5">
        <v>35</v>
      </c>
      <c r="B36" s="6" t="s">
        <v>58</v>
      </c>
      <c r="C36" s="6" t="s">
        <v>59</v>
      </c>
      <c r="D36" s="6" t="s">
        <v>30</v>
      </c>
      <c r="E36" s="6" t="s">
        <v>19</v>
      </c>
      <c r="F36" s="6" t="s">
        <v>13</v>
      </c>
      <c r="G36" s="6" t="s">
        <v>14</v>
      </c>
      <c r="H36" s="5">
        <v>6</v>
      </c>
      <c r="I36" s="67" t="s">
        <v>163</v>
      </c>
      <c r="J36" s="45">
        <v>0</v>
      </c>
      <c r="K36" s="45">
        <v>0</v>
      </c>
      <c r="L36" s="45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53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60">
        <v>0</v>
      </c>
      <c r="AJ36" s="46">
        <v>0</v>
      </c>
      <c r="AK36" s="46">
        <v>0</v>
      </c>
      <c r="AL36" s="46">
        <v>0</v>
      </c>
      <c r="AM36" s="46">
        <f t="shared" si="2"/>
        <v>0</v>
      </c>
      <c r="AN36" s="67">
        <f t="shared" si="3"/>
        <v>0</v>
      </c>
    </row>
    <row r="37" spans="1:40" x14ac:dyDescent="0.3">
      <c r="A37" s="5">
        <v>36</v>
      </c>
      <c r="B37" s="6" t="s">
        <v>119</v>
      </c>
      <c r="C37" s="12" t="s">
        <v>217</v>
      </c>
      <c r="D37" s="6" t="s">
        <v>30</v>
      </c>
      <c r="E37" s="6" t="s">
        <v>12</v>
      </c>
      <c r="F37" s="6" t="s">
        <v>121</v>
      </c>
      <c r="G37" s="6" t="s">
        <v>35</v>
      </c>
      <c r="H37" s="5">
        <v>20</v>
      </c>
      <c r="I37" s="67" t="s">
        <v>163</v>
      </c>
      <c r="J37" s="45">
        <v>50.09</v>
      </c>
      <c r="K37" s="45">
        <v>22.17</v>
      </c>
      <c r="L37" s="46">
        <v>14.4</v>
      </c>
      <c r="M37" s="46">
        <v>7.55</v>
      </c>
      <c r="N37" s="46">
        <v>32.21</v>
      </c>
      <c r="O37" s="46">
        <v>19.98</v>
      </c>
      <c r="P37" s="46">
        <v>28.6</v>
      </c>
      <c r="Q37" s="46">
        <v>51.88</v>
      </c>
      <c r="R37" s="46">
        <v>18.95</v>
      </c>
      <c r="S37" s="46">
        <v>27.85</v>
      </c>
      <c r="T37" s="46">
        <v>18.14</v>
      </c>
      <c r="U37" s="46">
        <v>19.3</v>
      </c>
      <c r="V37" s="46">
        <v>19.71</v>
      </c>
      <c r="W37" s="46">
        <v>32.53</v>
      </c>
      <c r="X37" s="46">
        <v>18.18</v>
      </c>
      <c r="Y37" s="46">
        <v>18.350000000000001</v>
      </c>
      <c r="Z37" s="46">
        <v>23.53</v>
      </c>
      <c r="AA37" s="46">
        <v>18.79</v>
      </c>
      <c r="AB37" s="53">
        <v>34.56</v>
      </c>
      <c r="AC37" s="60">
        <v>48.46</v>
      </c>
      <c r="AD37" s="60">
        <v>40.29</v>
      </c>
      <c r="AE37" s="60">
        <v>42.91</v>
      </c>
      <c r="AF37" s="60">
        <v>42.84</v>
      </c>
      <c r="AG37" s="54">
        <v>48.34</v>
      </c>
      <c r="AH37" s="46">
        <v>20.94</v>
      </c>
      <c r="AI37" s="46">
        <v>21.8</v>
      </c>
      <c r="AJ37" s="46">
        <v>24.64</v>
      </c>
      <c r="AK37" s="46">
        <v>27.58</v>
      </c>
      <c r="AL37" s="46">
        <v>44.37</v>
      </c>
      <c r="AM37" s="46">
        <f t="shared" si="2"/>
        <v>28.928965517241384</v>
      </c>
      <c r="AN37" s="67">
        <f t="shared" si="3"/>
        <v>1.4464482758620691</v>
      </c>
    </row>
    <row r="38" spans="1:40" x14ac:dyDescent="0.3">
      <c r="A38" s="5">
        <v>37</v>
      </c>
      <c r="B38" s="6" t="s">
        <v>119</v>
      </c>
      <c r="C38" s="12" t="s">
        <v>218</v>
      </c>
      <c r="D38" s="6" t="s">
        <v>128</v>
      </c>
      <c r="E38" s="6" t="s">
        <v>12</v>
      </c>
      <c r="F38" s="6" t="s">
        <v>121</v>
      </c>
      <c r="G38" s="6" t="s">
        <v>35</v>
      </c>
      <c r="H38" s="5">
        <v>3</v>
      </c>
      <c r="I38" s="67" t="s">
        <v>163</v>
      </c>
      <c r="J38" s="45">
        <v>0</v>
      </c>
      <c r="K38" s="45">
        <v>5.19</v>
      </c>
      <c r="L38" s="46">
        <v>6.16</v>
      </c>
      <c r="M38" s="46">
        <v>12.36</v>
      </c>
      <c r="N38" s="46">
        <v>18.14</v>
      </c>
      <c r="O38" s="46">
        <v>9.5399999999999991</v>
      </c>
      <c r="P38" s="59">
        <v>23.38</v>
      </c>
      <c r="Q38" s="46">
        <v>7.17</v>
      </c>
      <c r="R38" s="46">
        <v>14.46</v>
      </c>
      <c r="S38" s="46">
        <v>26</v>
      </c>
      <c r="T38" s="46">
        <v>0.44</v>
      </c>
      <c r="U38" s="46">
        <v>9.9</v>
      </c>
      <c r="V38" s="46">
        <v>5.72</v>
      </c>
      <c r="W38" s="46">
        <v>16.41</v>
      </c>
      <c r="X38" s="46">
        <v>6.24</v>
      </c>
      <c r="Y38" s="46">
        <v>8.41</v>
      </c>
      <c r="Z38" s="46">
        <v>10.3</v>
      </c>
      <c r="AA38" s="46">
        <v>0</v>
      </c>
      <c r="AB38" s="53">
        <v>0</v>
      </c>
      <c r="AC38" s="60">
        <v>0.01</v>
      </c>
      <c r="AD38" s="60">
        <v>0</v>
      </c>
      <c r="AE38" s="60">
        <v>6.78</v>
      </c>
      <c r="AF38" s="60">
        <v>7.82</v>
      </c>
      <c r="AG38" s="54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f t="shared" si="2"/>
        <v>6.7044827586206903</v>
      </c>
      <c r="AN38" s="67">
        <f t="shared" si="3"/>
        <v>2.2348275862068969</v>
      </c>
    </row>
    <row r="39" spans="1:40" x14ac:dyDescent="0.3">
      <c r="A39" s="5">
        <v>38</v>
      </c>
      <c r="B39" s="6" t="s">
        <v>55</v>
      </c>
      <c r="C39" s="12" t="s">
        <v>219</v>
      </c>
      <c r="D39" s="6" t="s">
        <v>57</v>
      </c>
      <c r="E39" s="6" t="s">
        <v>12</v>
      </c>
      <c r="F39" s="6" t="s">
        <v>13</v>
      </c>
      <c r="G39" s="6" t="s">
        <v>35</v>
      </c>
      <c r="H39" s="5">
        <v>40</v>
      </c>
      <c r="I39" s="67" t="s">
        <v>163</v>
      </c>
      <c r="J39" s="45">
        <v>490.15</v>
      </c>
      <c r="K39" s="45">
        <v>430.77</v>
      </c>
      <c r="L39" s="45">
        <v>485.34</v>
      </c>
      <c r="M39" s="46">
        <v>482.08</v>
      </c>
      <c r="N39" s="46">
        <v>284.48</v>
      </c>
      <c r="O39" s="46">
        <v>208.15</v>
      </c>
      <c r="P39" s="46">
        <v>428.21</v>
      </c>
      <c r="Q39" s="46">
        <v>447.58</v>
      </c>
      <c r="R39" s="46">
        <v>448.25</v>
      </c>
      <c r="S39" s="46">
        <v>505.36</v>
      </c>
      <c r="T39" s="46">
        <v>576.1</v>
      </c>
      <c r="U39" s="46">
        <v>303</v>
      </c>
      <c r="V39" s="46">
        <v>187.56</v>
      </c>
      <c r="W39" s="46">
        <v>429.52</v>
      </c>
      <c r="X39" s="46">
        <v>378.25</v>
      </c>
      <c r="Y39" s="46">
        <v>291.13</v>
      </c>
      <c r="Z39" s="46">
        <v>331.89</v>
      </c>
      <c r="AA39" s="46">
        <v>523.84</v>
      </c>
      <c r="AB39" s="53">
        <v>222.83</v>
      </c>
      <c r="AC39" s="60">
        <v>297.64</v>
      </c>
      <c r="AD39" s="60">
        <v>427.02</v>
      </c>
      <c r="AE39" s="60">
        <v>447.99</v>
      </c>
      <c r="AF39" s="60">
        <v>440.87</v>
      </c>
      <c r="AG39" s="54">
        <v>421.23</v>
      </c>
      <c r="AH39" s="46">
        <v>451.81</v>
      </c>
      <c r="AI39" s="46">
        <v>207.13</v>
      </c>
      <c r="AJ39" s="46">
        <v>249.19</v>
      </c>
      <c r="AK39" s="46">
        <v>432.15</v>
      </c>
      <c r="AL39" s="46">
        <v>437.53</v>
      </c>
      <c r="AM39" s="46">
        <f t="shared" si="2"/>
        <v>388.51896551724144</v>
      </c>
      <c r="AN39" s="67">
        <f t="shared" si="3"/>
        <v>9.7129741379310364</v>
      </c>
    </row>
    <row r="40" spans="1:40" x14ac:dyDescent="0.3">
      <c r="A40" s="5">
        <v>39</v>
      </c>
      <c r="B40" s="12" t="s">
        <v>221</v>
      </c>
      <c r="C40" s="12" t="s">
        <v>220</v>
      </c>
      <c r="D40" s="6" t="s">
        <v>30</v>
      </c>
      <c r="E40" s="6" t="s">
        <v>12</v>
      </c>
      <c r="F40" s="6" t="s">
        <v>13</v>
      </c>
      <c r="G40" s="6" t="s">
        <v>35</v>
      </c>
      <c r="H40" s="5">
        <v>19</v>
      </c>
      <c r="I40" s="67" t="s">
        <v>163</v>
      </c>
      <c r="J40" s="45">
        <v>2.76</v>
      </c>
      <c r="K40" s="45">
        <v>0</v>
      </c>
      <c r="L40" s="46">
        <v>0.45</v>
      </c>
      <c r="M40" s="46">
        <v>0</v>
      </c>
      <c r="N40" s="46">
        <v>0</v>
      </c>
      <c r="O40" s="46">
        <v>0</v>
      </c>
      <c r="P40" s="46">
        <v>0.03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53">
        <v>0</v>
      </c>
      <c r="AC40" s="60">
        <v>0</v>
      </c>
      <c r="AD40" s="60">
        <v>0</v>
      </c>
      <c r="AE40" s="60">
        <v>0</v>
      </c>
      <c r="AF40" s="60">
        <v>0</v>
      </c>
      <c r="AG40" s="54">
        <v>0.1</v>
      </c>
      <c r="AH40" s="46">
        <v>0</v>
      </c>
      <c r="AI40" s="46">
        <v>0</v>
      </c>
      <c r="AJ40" s="46">
        <v>0.3</v>
      </c>
      <c r="AK40" s="46">
        <v>0</v>
      </c>
      <c r="AL40" s="46">
        <v>0</v>
      </c>
      <c r="AM40" s="46">
        <f t="shared" si="2"/>
        <v>0.12551724137931033</v>
      </c>
      <c r="AN40" s="67">
        <f t="shared" si="3"/>
        <v>6.6061705989110707E-3</v>
      </c>
    </row>
    <row r="41" spans="1:40" x14ac:dyDescent="0.3">
      <c r="A41" s="5">
        <v>40</v>
      </c>
      <c r="B41" s="12" t="s">
        <v>222</v>
      </c>
      <c r="C41" s="12" t="s">
        <v>223</v>
      </c>
      <c r="D41" s="6" t="s">
        <v>69</v>
      </c>
      <c r="E41" s="6" t="s">
        <v>12</v>
      </c>
      <c r="F41" s="6" t="s">
        <v>40</v>
      </c>
      <c r="G41" s="6" t="s">
        <v>35</v>
      </c>
      <c r="H41" s="5">
        <v>2</v>
      </c>
      <c r="I41" s="67" t="s">
        <v>160</v>
      </c>
      <c r="J41" s="45">
        <v>0</v>
      </c>
      <c r="K41" s="45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2.83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53">
        <v>0</v>
      </c>
      <c r="AC41" s="60">
        <v>0</v>
      </c>
      <c r="AD41" s="60">
        <v>0</v>
      </c>
      <c r="AE41" s="60">
        <v>0</v>
      </c>
      <c r="AF41" s="60">
        <v>0</v>
      </c>
      <c r="AG41" s="54">
        <v>0</v>
      </c>
      <c r="AH41" s="46">
        <v>0</v>
      </c>
      <c r="AI41" s="46">
        <v>0</v>
      </c>
      <c r="AJ41" s="46">
        <v>0</v>
      </c>
      <c r="AK41" s="46">
        <v>0</v>
      </c>
      <c r="AL41" s="46">
        <v>0</v>
      </c>
      <c r="AM41" s="46">
        <f t="shared" si="2"/>
        <v>9.758620689655173E-2</v>
      </c>
      <c r="AN41" s="67">
        <f t="shared" si="3"/>
        <v>4.8793103448275865E-2</v>
      </c>
    </row>
    <row r="42" spans="1:40" x14ac:dyDescent="0.3">
      <c r="A42" s="5">
        <v>41</v>
      </c>
      <c r="B42" s="12" t="s">
        <v>175</v>
      </c>
      <c r="C42" s="12" t="s">
        <v>174</v>
      </c>
      <c r="D42" s="6" t="s">
        <v>128</v>
      </c>
      <c r="E42" s="6" t="s">
        <v>12</v>
      </c>
      <c r="F42" s="6" t="s">
        <v>121</v>
      </c>
      <c r="G42" s="6" t="s">
        <v>35</v>
      </c>
      <c r="H42" s="5">
        <v>10</v>
      </c>
      <c r="I42" s="67" t="s">
        <v>163</v>
      </c>
      <c r="J42" s="45">
        <v>0.55000000000000004</v>
      </c>
      <c r="K42" s="45">
        <f>25.48-4.39</f>
        <v>21.09</v>
      </c>
      <c r="L42" s="45">
        <f>63.29-5.26</f>
        <v>58.03</v>
      </c>
      <c r="M42" s="46">
        <v>89.94</v>
      </c>
      <c r="N42" s="46">
        <v>20.2</v>
      </c>
      <c r="O42" s="46">
        <f>37.49-3.43</f>
        <v>34.06</v>
      </c>
      <c r="P42" s="46">
        <f>24.73-0.94</f>
        <v>23.79</v>
      </c>
      <c r="Q42" s="46">
        <f>63.67-3.74</f>
        <v>59.93</v>
      </c>
      <c r="R42" s="46">
        <v>35.83</v>
      </c>
      <c r="S42" s="46">
        <v>40.71</v>
      </c>
      <c r="T42" s="46">
        <v>25.94</v>
      </c>
      <c r="U42" s="46">
        <v>26.69</v>
      </c>
      <c r="V42" s="46">
        <v>40.69</v>
      </c>
      <c r="W42" s="46">
        <v>16.89</v>
      </c>
      <c r="X42" s="46">
        <v>26.93</v>
      </c>
      <c r="Y42" s="46">
        <v>42.97</v>
      </c>
      <c r="Z42" s="46">
        <v>46.88</v>
      </c>
      <c r="AA42" s="46">
        <v>47.87</v>
      </c>
      <c r="AB42" s="53">
        <v>50.58</v>
      </c>
      <c r="AC42" s="60">
        <v>48.77</v>
      </c>
      <c r="AD42" s="60">
        <v>38.799999999999997</v>
      </c>
      <c r="AE42" s="60">
        <v>70.680000000000007</v>
      </c>
      <c r="AF42" s="60">
        <v>39.64</v>
      </c>
      <c r="AG42" s="60">
        <v>28.22</v>
      </c>
      <c r="AH42" s="60">
        <v>18.05</v>
      </c>
      <c r="AI42" s="60">
        <v>43.35</v>
      </c>
      <c r="AJ42" s="46">
        <v>14.03</v>
      </c>
      <c r="AK42" s="46">
        <v>15.66</v>
      </c>
      <c r="AL42" s="46">
        <v>23.34</v>
      </c>
      <c r="AM42" s="46">
        <f t="shared" si="2"/>
        <v>36.210689655172409</v>
      </c>
      <c r="AN42" s="67">
        <f t="shared" si="3"/>
        <v>3.621068965517241</v>
      </c>
    </row>
    <row r="43" spans="1:40" x14ac:dyDescent="0.3">
      <c r="A43" s="5">
        <v>42</v>
      </c>
      <c r="B43" s="12" t="s">
        <v>175</v>
      </c>
      <c r="C43" s="12" t="s">
        <v>174</v>
      </c>
      <c r="D43" s="6" t="s">
        <v>128</v>
      </c>
      <c r="E43" s="6" t="s">
        <v>12</v>
      </c>
      <c r="F43" s="6" t="s">
        <v>40</v>
      </c>
      <c r="G43" s="6" t="s">
        <v>35</v>
      </c>
      <c r="H43" s="5">
        <v>1</v>
      </c>
      <c r="I43" s="67" t="s">
        <v>163</v>
      </c>
      <c r="J43" s="45">
        <v>0</v>
      </c>
      <c r="K43" s="45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53">
        <v>0</v>
      </c>
      <c r="AC43" s="60">
        <v>0</v>
      </c>
      <c r="AD43" s="60">
        <v>21.94</v>
      </c>
      <c r="AE43" s="60">
        <v>17.940000000000001</v>
      </c>
      <c r="AF43" s="60">
        <v>0</v>
      </c>
      <c r="AG43" s="54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f t="shared" si="2"/>
        <v>1.3751724137931036</v>
      </c>
      <c r="AN43" s="67">
        <f t="shared" si="3"/>
        <v>1.3751724137931036</v>
      </c>
    </row>
    <row r="44" spans="1:40" x14ac:dyDescent="0.3">
      <c r="A44" s="5">
        <v>43</v>
      </c>
      <c r="B44" s="12" t="s">
        <v>175</v>
      </c>
      <c r="C44" s="12" t="s">
        <v>241</v>
      </c>
      <c r="D44" s="6" t="s">
        <v>128</v>
      </c>
      <c r="E44" s="6" t="s">
        <v>12</v>
      </c>
      <c r="F44" s="6" t="s">
        <v>124</v>
      </c>
      <c r="G44" s="6" t="s">
        <v>80</v>
      </c>
      <c r="H44" s="5">
        <v>1</v>
      </c>
      <c r="I44" s="67" t="s">
        <v>160</v>
      </c>
      <c r="J44" s="45"/>
      <c r="K44" s="45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53">
        <v>0</v>
      </c>
      <c r="AC44" s="60">
        <v>0.68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46">
        <v>0</v>
      </c>
      <c r="AK44" s="46">
        <v>0</v>
      </c>
      <c r="AL44" s="46">
        <v>0</v>
      </c>
      <c r="AM44" s="46">
        <f t="shared" si="2"/>
        <v>0.04</v>
      </c>
      <c r="AN44" s="67">
        <f t="shared" si="3"/>
        <v>0.04</v>
      </c>
    </row>
    <row r="45" spans="1:40" x14ac:dyDescent="0.3">
      <c r="A45" s="5">
        <v>44</v>
      </c>
      <c r="B45" s="12" t="s">
        <v>175</v>
      </c>
      <c r="C45" s="12" t="s">
        <v>240</v>
      </c>
      <c r="D45" s="6" t="s">
        <v>128</v>
      </c>
      <c r="E45" s="6" t="s">
        <v>12</v>
      </c>
      <c r="F45" s="6" t="s">
        <v>124</v>
      </c>
      <c r="G45" s="6" t="s">
        <v>80</v>
      </c>
      <c r="H45" s="5">
        <v>1</v>
      </c>
      <c r="I45" s="67" t="s">
        <v>160</v>
      </c>
      <c r="J45" s="45"/>
      <c r="K45" s="45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53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46">
        <v>0</v>
      </c>
      <c r="AK45" s="46">
        <v>0</v>
      </c>
      <c r="AL45" s="46">
        <v>0</v>
      </c>
      <c r="AM45" s="46">
        <f t="shared" si="2"/>
        <v>0</v>
      </c>
      <c r="AN45" s="67">
        <f t="shared" si="3"/>
        <v>0</v>
      </c>
    </row>
    <row r="46" spans="1:40" x14ac:dyDescent="0.3">
      <c r="A46" s="5">
        <v>45</v>
      </c>
      <c r="B46" s="12" t="s">
        <v>175</v>
      </c>
      <c r="C46" s="12" t="s">
        <v>242</v>
      </c>
      <c r="D46" s="6" t="s">
        <v>128</v>
      </c>
      <c r="E46" s="6" t="s">
        <v>12</v>
      </c>
      <c r="F46" s="6" t="s">
        <v>124</v>
      </c>
      <c r="G46" s="6" t="s">
        <v>80</v>
      </c>
      <c r="H46" s="5">
        <v>1</v>
      </c>
      <c r="I46" s="67" t="s">
        <v>160</v>
      </c>
      <c r="J46" s="45"/>
      <c r="K46" s="45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53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46">
        <v>0</v>
      </c>
      <c r="AK46" s="46">
        <v>0</v>
      </c>
      <c r="AL46" s="46">
        <v>0</v>
      </c>
      <c r="AM46" s="46">
        <f t="shared" si="2"/>
        <v>0</v>
      </c>
      <c r="AN46" s="67">
        <f t="shared" si="3"/>
        <v>0</v>
      </c>
    </row>
    <row r="47" spans="1:40" x14ac:dyDescent="0.3">
      <c r="A47" s="5">
        <v>46</v>
      </c>
      <c r="B47" s="6" t="s">
        <v>65</v>
      </c>
      <c r="C47" s="12" t="s">
        <v>224</v>
      </c>
      <c r="D47" s="6" t="s">
        <v>30</v>
      </c>
      <c r="E47" s="6" t="s">
        <v>12</v>
      </c>
      <c r="F47" s="6" t="s">
        <v>13</v>
      </c>
      <c r="G47" s="6" t="s">
        <v>35</v>
      </c>
      <c r="H47" s="5">
        <v>5</v>
      </c>
      <c r="I47" s="67" t="s">
        <v>163</v>
      </c>
      <c r="J47" s="45">
        <v>67.58</v>
      </c>
      <c r="K47" s="45">
        <v>59.18</v>
      </c>
      <c r="L47" s="46">
        <v>70.86</v>
      </c>
      <c r="M47" s="46">
        <v>73.760000000000005</v>
      </c>
      <c r="N47" s="46">
        <v>76.17</v>
      </c>
      <c r="O47" s="46">
        <v>73.17</v>
      </c>
      <c r="P47" s="46">
        <v>58.58</v>
      </c>
      <c r="Q47" s="46">
        <v>70.569999999999993</v>
      </c>
      <c r="R47" s="46">
        <v>49.83</v>
      </c>
      <c r="S47" s="46">
        <v>59.17</v>
      </c>
      <c r="T47" s="46">
        <v>34.450000000000003</v>
      </c>
      <c r="U47" s="46">
        <v>28.65</v>
      </c>
      <c r="V47" s="46">
        <v>49.48</v>
      </c>
      <c r="W47" s="46">
        <v>33.79</v>
      </c>
      <c r="X47" s="46">
        <v>39.42</v>
      </c>
      <c r="Y47" s="46">
        <v>50.51</v>
      </c>
      <c r="Z47" s="46">
        <v>57.99</v>
      </c>
      <c r="AA47" s="46">
        <v>44.39</v>
      </c>
      <c r="AB47" s="53">
        <v>46.39</v>
      </c>
      <c r="AC47" s="60">
        <v>64.209999999999994</v>
      </c>
      <c r="AD47" s="60">
        <v>49.54</v>
      </c>
      <c r="AE47" s="60">
        <v>57.22</v>
      </c>
      <c r="AF47" s="60">
        <v>70.97</v>
      </c>
      <c r="AG47" s="54">
        <v>60.74</v>
      </c>
      <c r="AH47" s="62">
        <v>58.54</v>
      </c>
      <c r="AI47" s="46">
        <v>46.94</v>
      </c>
      <c r="AJ47" s="46">
        <v>50.83</v>
      </c>
      <c r="AK47" s="46">
        <v>44.81</v>
      </c>
      <c r="AL47" s="46">
        <v>53.22</v>
      </c>
      <c r="AM47" s="46">
        <f t="shared" si="2"/>
        <v>55.205517241379312</v>
      </c>
      <c r="AN47" s="67">
        <f t="shared" si="3"/>
        <v>11.041103448275862</v>
      </c>
    </row>
    <row r="48" spans="1:40" x14ac:dyDescent="0.3">
      <c r="A48" s="5">
        <v>47</v>
      </c>
      <c r="B48" s="6" t="s">
        <v>65</v>
      </c>
      <c r="C48" s="12" t="s">
        <v>225</v>
      </c>
      <c r="D48" s="6" t="s">
        <v>30</v>
      </c>
      <c r="E48" s="6" t="s">
        <v>12</v>
      </c>
      <c r="F48" s="6" t="s">
        <v>13</v>
      </c>
      <c r="G48" s="6" t="s">
        <v>35</v>
      </c>
      <c r="H48" s="5">
        <v>16</v>
      </c>
      <c r="I48" s="67" t="s">
        <v>163</v>
      </c>
      <c r="J48" s="45">
        <v>9.35</v>
      </c>
      <c r="K48" s="45">
        <v>18.61</v>
      </c>
      <c r="L48" s="46">
        <v>21.57</v>
      </c>
      <c r="M48" s="46">
        <v>9.07</v>
      </c>
      <c r="N48" s="46">
        <v>22.86</v>
      </c>
      <c r="O48" s="46">
        <v>21.55</v>
      </c>
      <c r="P48" s="46">
        <v>7.24</v>
      </c>
      <c r="Q48" s="46">
        <v>4.67</v>
      </c>
      <c r="R48" s="46">
        <v>23.25</v>
      </c>
      <c r="S48" s="46">
        <v>7.94</v>
      </c>
      <c r="T48" s="46">
        <v>8.93</v>
      </c>
      <c r="U48" s="46">
        <v>5.57</v>
      </c>
      <c r="V48" s="46">
        <v>0</v>
      </c>
      <c r="W48" s="46">
        <v>1.84</v>
      </c>
      <c r="X48" s="46">
        <v>4.5599999999999996</v>
      </c>
      <c r="Y48" s="46">
        <v>4.8899999999999997</v>
      </c>
      <c r="Z48" s="46">
        <v>11.87</v>
      </c>
      <c r="AA48" s="46">
        <v>17.16</v>
      </c>
      <c r="AB48" s="53">
        <v>4.3099999999999996</v>
      </c>
      <c r="AC48" s="60">
        <v>9.68</v>
      </c>
      <c r="AD48" s="60">
        <v>5.37</v>
      </c>
      <c r="AE48" s="60">
        <v>6.58</v>
      </c>
      <c r="AF48" s="60">
        <v>11.05</v>
      </c>
      <c r="AG48" s="54">
        <v>8.65</v>
      </c>
      <c r="AH48" s="46">
        <v>13.25</v>
      </c>
      <c r="AI48" s="46">
        <v>7.92</v>
      </c>
      <c r="AJ48" s="46">
        <v>6.17</v>
      </c>
      <c r="AK48" s="46">
        <v>11.54</v>
      </c>
      <c r="AL48" s="46">
        <v>16.23</v>
      </c>
      <c r="AM48" s="46">
        <f t="shared" si="2"/>
        <v>10.40275862068966</v>
      </c>
      <c r="AN48" s="67">
        <f t="shared" si="3"/>
        <v>0.65017241379310375</v>
      </c>
    </row>
    <row r="49" spans="1:40" x14ac:dyDescent="0.3">
      <c r="A49" s="5">
        <v>48</v>
      </c>
      <c r="B49" s="6" t="s">
        <v>65</v>
      </c>
      <c r="C49" s="12" t="s">
        <v>226</v>
      </c>
      <c r="D49" s="6" t="s">
        <v>30</v>
      </c>
      <c r="E49" s="6" t="s">
        <v>12</v>
      </c>
      <c r="F49" s="6" t="s">
        <v>13</v>
      </c>
      <c r="G49" s="6" t="s">
        <v>35</v>
      </c>
      <c r="H49" s="5">
        <v>10</v>
      </c>
      <c r="I49" s="67" t="s">
        <v>163</v>
      </c>
      <c r="J49" s="45">
        <v>33.46</v>
      </c>
      <c r="K49" s="45">
        <v>22.15</v>
      </c>
      <c r="L49" s="46">
        <v>43.59</v>
      </c>
      <c r="M49" s="46">
        <v>33.53</v>
      </c>
      <c r="N49" s="46">
        <v>5.96</v>
      </c>
      <c r="O49" s="46">
        <v>35.340000000000003</v>
      </c>
      <c r="P49" s="46">
        <v>46.56</v>
      </c>
      <c r="Q49" s="46">
        <v>23.02</v>
      </c>
      <c r="R49" s="46">
        <v>31.05</v>
      </c>
      <c r="S49" s="46">
        <v>45.17</v>
      </c>
      <c r="T49" s="46">
        <v>27.34</v>
      </c>
      <c r="U49" s="46">
        <v>25.64</v>
      </c>
      <c r="V49" s="46">
        <v>46.22</v>
      </c>
      <c r="W49" s="46">
        <v>43.02</v>
      </c>
      <c r="X49" s="46">
        <v>32.4</v>
      </c>
      <c r="Y49" s="46">
        <v>34</v>
      </c>
      <c r="Z49" s="46">
        <v>7.24</v>
      </c>
      <c r="AA49" s="46">
        <v>40.69</v>
      </c>
      <c r="AB49" s="53">
        <v>19.350000000000001</v>
      </c>
      <c r="AC49" s="60">
        <v>41.71</v>
      </c>
      <c r="AD49" s="62">
        <v>49.13</v>
      </c>
      <c r="AE49" s="60">
        <v>33.58</v>
      </c>
      <c r="AF49" s="60">
        <v>46.59</v>
      </c>
      <c r="AG49" s="54">
        <v>12.56</v>
      </c>
      <c r="AH49" s="46">
        <v>13.97</v>
      </c>
      <c r="AI49" s="46">
        <v>18.63</v>
      </c>
      <c r="AJ49" s="46">
        <v>7.17</v>
      </c>
      <c r="AK49" s="46">
        <v>41.3</v>
      </c>
      <c r="AL49" s="46">
        <v>55.27</v>
      </c>
      <c r="AM49" s="46">
        <f t="shared" si="2"/>
        <v>31.573793103448271</v>
      </c>
      <c r="AN49" s="67">
        <f t="shared" si="3"/>
        <v>3.1573793103448269</v>
      </c>
    </row>
    <row r="50" spans="1:40" x14ac:dyDescent="0.3">
      <c r="A50" s="5">
        <v>49</v>
      </c>
      <c r="B50" s="6" t="s">
        <v>65</v>
      </c>
      <c r="C50" s="12" t="s">
        <v>227</v>
      </c>
      <c r="D50" s="6" t="s">
        <v>30</v>
      </c>
      <c r="E50" s="6" t="s">
        <v>12</v>
      </c>
      <c r="F50" s="6" t="s">
        <v>13</v>
      </c>
      <c r="G50" s="6" t="s">
        <v>35</v>
      </c>
      <c r="H50" s="5">
        <v>13</v>
      </c>
      <c r="I50" s="67" t="s">
        <v>163</v>
      </c>
      <c r="J50" s="45">
        <v>19.260000000000002</v>
      </c>
      <c r="K50" s="45">
        <v>25.15</v>
      </c>
      <c r="L50" s="45">
        <v>34.54</v>
      </c>
      <c r="M50" s="45">
        <v>0</v>
      </c>
      <c r="N50" s="45">
        <v>49.37</v>
      </c>
      <c r="O50" s="45">
        <v>36.11</v>
      </c>
      <c r="P50" s="45">
        <v>56.9</v>
      </c>
      <c r="Q50" s="46">
        <v>32.479999999999997</v>
      </c>
      <c r="R50" s="46">
        <v>42.17</v>
      </c>
      <c r="S50" s="46">
        <v>37.22</v>
      </c>
      <c r="T50" s="46">
        <v>31.89</v>
      </c>
      <c r="U50" s="46">
        <v>43.07</v>
      </c>
      <c r="V50" s="46">
        <v>55.16</v>
      </c>
      <c r="W50" s="46">
        <v>35.950000000000003</v>
      </c>
      <c r="X50" s="46">
        <v>42.74</v>
      </c>
      <c r="Y50" s="46">
        <v>51.36</v>
      </c>
      <c r="Z50" s="46">
        <v>35.700000000000003</v>
      </c>
      <c r="AA50" s="46">
        <v>48.88</v>
      </c>
      <c r="AB50" s="53">
        <v>13.06</v>
      </c>
      <c r="AC50" s="60">
        <v>86.77</v>
      </c>
      <c r="AD50" s="60">
        <v>31.94</v>
      </c>
      <c r="AE50" s="60">
        <v>60.5</v>
      </c>
      <c r="AF50" s="60">
        <v>45.72</v>
      </c>
      <c r="AG50" s="60">
        <v>68.760000000000005</v>
      </c>
      <c r="AH50" s="60">
        <v>22.23</v>
      </c>
      <c r="AI50" s="60">
        <v>45.37</v>
      </c>
      <c r="AJ50" s="60">
        <v>43.51</v>
      </c>
      <c r="AK50" s="60">
        <v>44.26</v>
      </c>
      <c r="AL50" s="46">
        <v>56.79</v>
      </c>
      <c r="AM50" s="46">
        <f t="shared" si="2"/>
        <v>41.271034482758616</v>
      </c>
      <c r="AN50" s="67">
        <f t="shared" si="3"/>
        <v>3.174694960212201</v>
      </c>
    </row>
    <row r="51" spans="1:40" x14ac:dyDescent="0.3">
      <c r="A51" s="5">
        <v>50</v>
      </c>
      <c r="B51" s="6" t="s">
        <v>65</v>
      </c>
      <c r="C51" s="12" t="s">
        <v>228</v>
      </c>
      <c r="D51" s="6" t="s">
        <v>30</v>
      </c>
      <c r="E51" s="6" t="s">
        <v>12</v>
      </c>
      <c r="F51" s="6" t="s">
        <v>13</v>
      </c>
      <c r="G51" s="6" t="s">
        <v>35</v>
      </c>
      <c r="H51" s="5">
        <v>1</v>
      </c>
      <c r="I51" s="67" t="s">
        <v>160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53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46">
        <v>0</v>
      </c>
      <c r="AM51" s="46">
        <f t="shared" si="2"/>
        <v>0</v>
      </c>
      <c r="AN51" s="67">
        <f t="shared" si="3"/>
        <v>0</v>
      </c>
    </row>
    <row r="52" spans="1:40" x14ac:dyDescent="0.3">
      <c r="A52" s="5">
        <v>51</v>
      </c>
      <c r="B52" s="6" t="s">
        <v>65</v>
      </c>
      <c r="C52" s="12" t="s">
        <v>110</v>
      </c>
      <c r="D52" s="6" t="s">
        <v>30</v>
      </c>
      <c r="E52" s="6" t="s">
        <v>12</v>
      </c>
      <c r="F52" s="6" t="s">
        <v>13</v>
      </c>
      <c r="G52" s="6" t="s">
        <v>35</v>
      </c>
      <c r="H52" s="5">
        <v>1</v>
      </c>
      <c r="I52" s="67" t="s">
        <v>160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53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46">
        <v>0</v>
      </c>
      <c r="AK52" s="46">
        <v>0</v>
      </c>
      <c r="AL52" s="46">
        <v>0</v>
      </c>
      <c r="AM52" s="46">
        <f t="shared" si="2"/>
        <v>0</v>
      </c>
      <c r="AN52" s="67">
        <f t="shared" si="3"/>
        <v>0</v>
      </c>
    </row>
    <row r="53" spans="1:40" x14ac:dyDescent="0.3">
      <c r="A53" s="5">
        <v>52</v>
      </c>
      <c r="B53" s="6" t="s">
        <v>65</v>
      </c>
      <c r="C53" s="12" t="s">
        <v>229</v>
      </c>
      <c r="D53" s="6" t="s">
        <v>128</v>
      </c>
      <c r="E53" s="6" t="s">
        <v>12</v>
      </c>
      <c r="F53" s="6" t="s">
        <v>40</v>
      </c>
      <c r="G53" s="6" t="s">
        <v>35</v>
      </c>
      <c r="H53" s="5">
        <v>2</v>
      </c>
      <c r="I53" s="67" t="s">
        <v>162</v>
      </c>
      <c r="J53" s="45">
        <v>38.9</v>
      </c>
      <c r="K53" s="45">
        <v>0</v>
      </c>
      <c r="L53" s="45">
        <v>29.54</v>
      </c>
      <c r="M53" s="45">
        <v>16.59</v>
      </c>
      <c r="N53" s="45">
        <v>0</v>
      </c>
      <c r="O53" s="45">
        <v>0</v>
      </c>
      <c r="P53" s="45">
        <v>0</v>
      </c>
      <c r="Q53" s="46">
        <v>44.33</v>
      </c>
      <c r="R53" s="46">
        <v>0</v>
      </c>
      <c r="S53" s="46">
        <v>0</v>
      </c>
      <c r="T53" s="46">
        <v>6.01</v>
      </c>
      <c r="U53" s="46">
        <v>0</v>
      </c>
      <c r="V53" s="46">
        <v>5.38</v>
      </c>
      <c r="W53" s="46">
        <v>2.5099999999999998</v>
      </c>
      <c r="X53" s="46">
        <v>0</v>
      </c>
      <c r="Y53" s="46">
        <v>0</v>
      </c>
      <c r="Z53" s="46">
        <v>0</v>
      </c>
      <c r="AA53" s="46">
        <v>1.1000000000000001</v>
      </c>
      <c r="AB53" s="53">
        <v>0</v>
      </c>
      <c r="AC53" s="60">
        <v>0</v>
      </c>
      <c r="AD53" s="60">
        <v>0</v>
      </c>
      <c r="AE53" s="60">
        <v>0</v>
      </c>
      <c r="AF53" s="60">
        <v>53.23</v>
      </c>
      <c r="AG53" s="60">
        <v>0</v>
      </c>
      <c r="AH53" s="60">
        <v>0</v>
      </c>
      <c r="AI53" s="60">
        <v>0</v>
      </c>
      <c r="AJ53" s="46">
        <v>0</v>
      </c>
      <c r="AK53" s="46">
        <v>17.02</v>
      </c>
      <c r="AL53" s="46">
        <v>49.45</v>
      </c>
      <c r="AM53" s="46">
        <f t="shared" si="2"/>
        <v>9.1055172413793102</v>
      </c>
      <c r="AN53" s="67">
        <f t="shared" si="3"/>
        <v>4.5527586206896551</v>
      </c>
    </row>
    <row r="54" spans="1:40" x14ac:dyDescent="0.3">
      <c r="A54" s="5">
        <v>53</v>
      </c>
      <c r="B54" s="6" t="s">
        <v>65</v>
      </c>
      <c r="C54" s="12" t="s">
        <v>230</v>
      </c>
      <c r="D54" s="6"/>
      <c r="E54" s="6" t="s">
        <v>130</v>
      </c>
      <c r="F54" s="6" t="s">
        <v>121</v>
      </c>
      <c r="G54" s="6" t="s">
        <v>35</v>
      </c>
      <c r="H54" s="5">
        <v>2</v>
      </c>
      <c r="I54" s="67" t="s">
        <v>161</v>
      </c>
      <c r="J54" s="51">
        <v>14.67</v>
      </c>
      <c r="K54" s="51">
        <v>27.71</v>
      </c>
      <c r="L54" s="51">
        <v>0</v>
      </c>
      <c r="M54" s="51">
        <v>0</v>
      </c>
      <c r="N54" s="51">
        <v>24.6</v>
      </c>
      <c r="O54" s="51">
        <v>30.97</v>
      </c>
      <c r="P54" s="51">
        <v>23.17</v>
      </c>
      <c r="Q54" s="51">
        <v>8.92</v>
      </c>
      <c r="R54" s="51">
        <v>22.44</v>
      </c>
      <c r="S54" s="51">
        <v>0</v>
      </c>
      <c r="T54" s="51">
        <v>0</v>
      </c>
      <c r="U54" s="51">
        <v>28.75</v>
      </c>
      <c r="V54" s="51">
        <v>14.42</v>
      </c>
      <c r="W54" s="51">
        <v>18.37</v>
      </c>
      <c r="X54" s="51">
        <v>10.87</v>
      </c>
      <c r="Y54" s="51">
        <v>23.23</v>
      </c>
      <c r="Z54" s="51">
        <v>5.67</v>
      </c>
      <c r="AA54" s="51">
        <v>19.559999999999999</v>
      </c>
      <c r="AB54" s="51">
        <v>16.91</v>
      </c>
      <c r="AC54" s="60">
        <v>39.93</v>
      </c>
      <c r="AD54" s="60">
        <v>15.3</v>
      </c>
      <c r="AE54" s="60">
        <v>13.1</v>
      </c>
      <c r="AF54" s="60">
        <v>22.38</v>
      </c>
      <c r="AG54" s="60">
        <v>10.4</v>
      </c>
      <c r="AH54" s="60">
        <v>25.23</v>
      </c>
      <c r="AI54" s="60">
        <v>16.170000000000002</v>
      </c>
      <c r="AJ54" s="60">
        <v>12.26</v>
      </c>
      <c r="AK54" s="60">
        <v>8.5</v>
      </c>
      <c r="AL54" s="46">
        <v>8.35</v>
      </c>
      <c r="AM54" s="46">
        <f t="shared" si="2"/>
        <v>15.926896551724139</v>
      </c>
      <c r="AN54" s="67">
        <f t="shared" si="3"/>
        <v>7.9634482758620697</v>
      </c>
    </row>
    <row r="55" spans="1:40" x14ac:dyDescent="0.3">
      <c r="A55" s="5">
        <v>54</v>
      </c>
      <c r="B55" s="6" t="s">
        <v>65</v>
      </c>
      <c r="C55" s="12" t="s">
        <v>231</v>
      </c>
      <c r="D55" s="6" t="s">
        <v>128</v>
      </c>
      <c r="E55" s="6" t="s">
        <v>19</v>
      </c>
      <c r="F55" s="6" t="s">
        <v>13</v>
      </c>
      <c r="G55" s="6" t="s">
        <v>35</v>
      </c>
      <c r="H55" s="5">
        <v>6</v>
      </c>
      <c r="I55" s="67" t="s">
        <v>161</v>
      </c>
      <c r="J55" s="47">
        <v>8.51</v>
      </c>
      <c r="K55" s="51">
        <v>37.21</v>
      </c>
      <c r="L55" s="51">
        <v>15.2</v>
      </c>
      <c r="M55" s="51">
        <v>10.56</v>
      </c>
      <c r="N55" s="51">
        <v>42.12</v>
      </c>
      <c r="O55" s="47">
        <v>36.65</v>
      </c>
      <c r="P55" s="47">
        <v>37.65</v>
      </c>
      <c r="Q55" s="47">
        <v>72.59</v>
      </c>
      <c r="R55" s="47">
        <v>39.42</v>
      </c>
      <c r="S55" s="51">
        <v>0</v>
      </c>
      <c r="T55" s="51">
        <v>0</v>
      </c>
      <c r="U55" s="47">
        <v>54.25</v>
      </c>
      <c r="V55" s="47">
        <v>39.869999999999997</v>
      </c>
      <c r="W55" s="47">
        <v>27.01</v>
      </c>
      <c r="X55" s="47">
        <v>32.24</v>
      </c>
      <c r="Y55" s="47">
        <v>51.85</v>
      </c>
      <c r="Z55" s="51">
        <v>0</v>
      </c>
      <c r="AA55" s="51">
        <v>0</v>
      </c>
      <c r="AB55" s="47">
        <v>40.76</v>
      </c>
      <c r="AC55" s="47">
        <v>50.44</v>
      </c>
      <c r="AD55" s="47">
        <v>33.74</v>
      </c>
      <c r="AE55" s="47">
        <v>72.55</v>
      </c>
      <c r="AF55" s="47">
        <v>20.69</v>
      </c>
      <c r="AG55" s="47">
        <v>0.35</v>
      </c>
      <c r="AH55" s="47">
        <v>0</v>
      </c>
      <c r="AI55" s="47">
        <v>64.430000000000007</v>
      </c>
      <c r="AJ55" s="47">
        <v>31.43</v>
      </c>
      <c r="AK55" s="47">
        <v>39.24</v>
      </c>
      <c r="AL55" s="46">
        <v>27.92</v>
      </c>
      <c r="AM55" s="46">
        <f t="shared" si="2"/>
        <v>30.575172413793105</v>
      </c>
      <c r="AN55" s="67">
        <f t="shared" si="3"/>
        <v>5.0958620689655172</v>
      </c>
    </row>
    <row r="56" spans="1:40" x14ac:dyDescent="0.3">
      <c r="A56" s="5">
        <v>55</v>
      </c>
      <c r="B56" s="6" t="s">
        <v>65</v>
      </c>
      <c r="C56" s="12" t="s">
        <v>231</v>
      </c>
      <c r="D56" s="6" t="s">
        <v>128</v>
      </c>
      <c r="E56" s="6" t="s">
        <v>19</v>
      </c>
      <c r="F56" s="6" t="s">
        <v>40</v>
      </c>
      <c r="G56" s="6" t="s">
        <v>35</v>
      </c>
      <c r="H56" s="5">
        <v>1</v>
      </c>
      <c r="I56" s="67" t="s">
        <v>161</v>
      </c>
      <c r="J56" s="47">
        <v>23.76</v>
      </c>
      <c r="K56" s="51">
        <v>35.61</v>
      </c>
      <c r="L56" s="51">
        <v>13.21</v>
      </c>
      <c r="M56" s="51">
        <v>0</v>
      </c>
      <c r="N56" s="51">
        <v>15.88</v>
      </c>
      <c r="O56" s="47">
        <v>20.55</v>
      </c>
      <c r="P56" s="47">
        <v>16.12</v>
      </c>
      <c r="Q56" s="47">
        <v>28.37</v>
      </c>
      <c r="R56" s="47">
        <v>24.29</v>
      </c>
      <c r="S56" s="51">
        <v>10.06</v>
      </c>
      <c r="T56" s="51">
        <v>0</v>
      </c>
      <c r="U56" s="47">
        <v>39.21</v>
      </c>
      <c r="V56" s="47">
        <v>23.15</v>
      </c>
      <c r="W56" s="47">
        <v>22.84</v>
      </c>
      <c r="X56" s="47">
        <v>24.19</v>
      </c>
      <c r="Y56" s="47">
        <v>20.72</v>
      </c>
      <c r="Z56" s="47">
        <v>18.03</v>
      </c>
      <c r="AA56" s="47">
        <v>19.47</v>
      </c>
      <c r="AB56" s="47">
        <v>16.46</v>
      </c>
      <c r="AC56" s="47">
        <v>28.51</v>
      </c>
      <c r="AD56" s="47">
        <v>20.58</v>
      </c>
      <c r="AE56" s="47">
        <v>11.48</v>
      </c>
      <c r="AF56" s="47">
        <v>12.23</v>
      </c>
      <c r="AG56" s="47">
        <v>5.98</v>
      </c>
      <c r="AH56" s="47">
        <v>5.66</v>
      </c>
      <c r="AI56" s="47">
        <v>23.88</v>
      </c>
      <c r="AJ56" s="47">
        <v>5.09</v>
      </c>
      <c r="AK56" s="47">
        <v>12.25</v>
      </c>
      <c r="AL56" s="46">
        <v>19.32</v>
      </c>
      <c r="AM56" s="46">
        <f t="shared" si="2"/>
        <v>17.824137931034485</v>
      </c>
      <c r="AN56" s="67">
        <f t="shared" si="3"/>
        <v>17.824137931034485</v>
      </c>
    </row>
    <row r="57" spans="1:40" x14ac:dyDescent="0.3">
      <c r="A57" s="5">
        <v>56</v>
      </c>
      <c r="B57" s="6" t="s">
        <v>65</v>
      </c>
      <c r="C57" s="12" t="s">
        <v>232</v>
      </c>
      <c r="D57" s="6" t="s">
        <v>128</v>
      </c>
      <c r="E57" s="6" t="s">
        <v>12</v>
      </c>
      <c r="F57" s="6" t="s">
        <v>121</v>
      </c>
      <c r="G57" s="6" t="s">
        <v>35</v>
      </c>
      <c r="H57" s="5">
        <v>20</v>
      </c>
      <c r="I57" s="67" t="s">
        <v>163</v>
      </c>
      <c r="J57" s="45">
        <v>31.42</v>
      </c>
      <c r="K57" s="46">
        <v>29.62</v>
      </c>
      <c r="L57" s="46">
        <v>45.75</v>
      </c>
      <c r="M57" s="46">
        <v>27.04</v>
      </c>
      <c r="N57" s="46">
        <v>38.659999999999997</v>
      </c>
      <c r="O57" s="46">
        <v>49.22</v>
      </c>
      <c r="P57" s="46">
        <v>43.43</v>
      </c>
      <c r="Q57" s="46">
        <v>38.29</v>
      </c>
      <c r="R57" s="46">
        <v>26.05</v>
      </c>
      <c r="S57" s="46">
        <v>31.85</v>
      </c>
      <c r="T57" s="46">
        <v>10.57</v>
      </c>
      <c r="U57" s="46">
        <v>22.11</v>
      </c>
      <c r="V57" s="46">
        <v>17.78</v>
      </c>
      <c r="W57" s="46">
        <v>28.57</v>
      </c>
      <c r="X57" s="46">
        <v>23.25</v>
      </c>
      <c r="Y57" s="46">
        <v>23.89</v>
      </c>
      <c r="Z57" s="46">
        <v>39.4</v>
      </c>
      <c r="AA57" s="46">
        <v>14.54</v>
      </c>
      <c r="AB57" s="46">
        <v>28.23</v>
      </c>
      <c r="AC57" s="60">
        <v>21.45</v>
      </c>
      <c r="AD57" s="60">
        <v>47.43</v>
      </c>
      <c r="AE57" s="60">
        <v>39.479999999999997</v>
      </c>
      <c r="AF57" s="60">
        <v>57.99</v>
      </c>
      <c r="AG57" s="46">
        <v>38.94</v>
      </c>
      <c r="AH57" s="46">
        <v>37.46</v>
      </c>
      <c r="AI57" s="46">
        <v>66.34</v>
      </c>
      <c r="AJ57" s="46">
        <v>51.3</v>
      </c>
      <c r="AK57" s="46">
        <v>51.94</v>
      </c>
      <c r="AL57" s="46">
        <v>46.57</v>
      </c>
      <c r="AM57" s="46">
        <f t="shared" si="2"/>
        <v>35.46793103448276</v>
      </c>
      <c r="AN57" s="67">
        <f t="shared" si="3"/>
        <v>1.7733965517241379</v>
      </c>
    </row>
    <row r="58" spans="1:40" x14ac:dyDescent="0.3">
      <c r="A58" s="5">
        <v>57</v>
      </c>
      <c r="B58" s="6" t="s">
        <v>65</v>
      </c>
      <c r="C58" s="12" t="s">
        <v>233</v>
      </c>
      <c r="D58" s="6" t="s">
        <v>128</v>
      </c>
      <c r="E58" s="6" t="s">
        <v>12</v>
      </c>
      <c r="F58" s="6" t="s">
        <v>121</v>
      </c>
      <c r="G58" s="6" t="s">
        <v>35</v>
      </c>
      <c r="H58" s="5">
        <v>2</v>
      </c>
      <c r="I58" s="67" t="s">
        <v>162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46">
        <v>0</v>
      </c>
      <c r="AK58" s="46">
        <v>0</v>
      </c>
      <c r="AL58" s="46">
        <v>0</v>
      </c>
      <c r="AM58" s="46">
        <f t="shared" si="2"/>
        <v>0</v>
      </c>
      <c r="AN58" s="67">
        <f t="shared" si="3"/>
        <v>0</v>
      </c>
    </row>
    <row r="59" spans="1:40" x14ac:dyDescent="0.3">
      <c r="A59" s="5">
        <v>58</v>
      </c>
      <c r="B59" s="6" t="s">
        <v>65</v>
      </c>
      <c r="C59" s="12" t="s">
        <v>233</v>
      </c>
      <c r="D59" s="6" t="s">
        <v>128</v>
      </c>
      <c r="E59" s="6" t="s">
        <v>12</v>
      </c>
      <c r="F59" s="6" t="s">
        <v>40</v>
      </c>
      <c r="G59" s="6" t="s">
        <v>35</v>
      </c>
      <c r="H59" s="5">
        <v>2</v>
      </c>
      <c r="I59" s="67" t="s">
        <v>162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46">
        <v>0</v>
      </c>
      <c r="AK59" s="46">
        <v>0</v>
      </c>
      <c r="AL59" s="46">
        <v>0</v>
      </c>
      <c r="AM59" s="46">
        <f t="shared" si="2"/>
        <v>0</v>
      </c>
      <c r="AN59" s="67">
        <f t="shared" si="3"/>
        <v>0</v>
      </c>
    </row>
    <row r="60" spans="1:40" x14ac:dyDescent="0.3">
      <c r="A60" s="5">
        <v>59</v>
      </c>
      <c r="B60" s="6" t="s">
        <v>65</v>
      </c>
      <c r="C60" s="12" t="s">
        <v>238</v>
      </c>
      <c r="D60" s="6" t="s">
        <v>128</v>
      </c>
      <c r="E60" s="6" t="s">
        <v>19</v>
      </c>
      <c r="F60" s="6" t="s">
        <v>95</v>
      </c>
      <c r="G60" s="6" t="s">
        <v>80</v>
      </c>
      <c r="H60" s="5">
        <v>1</v>
      </c>
      <c r="I60" s="67" t="s">
        <v>160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46">
        <v>0</v>
      </c>
      <c r="AK60" s="46">
        <v>0</v>
      </c>
      <c r="AL60" s="46">
        <v>0</v>
      </c>
      <c r="AM60" s="46">
        <f t="shared" si="2"/>
        <v>0</v>
      </c>
      <c r="AN60" s="67">
        <f t="shared" si="3"/>
        <v>0</v>
      </c>
    </row>
    <row r="61" spans="1:40" x14ac:dyDescent="0.3">
      <c r="A61" s="5">
        <v>60</v>
      </c>
      <c r="B61" s="6" t="s">
        <v>65</v>
      </c>
      <c r="C61" s="12" t="s">
        <v>235</v>
      </c>
      <c r="D61" s="6" t="s">
        <v>236</v>
      </c>
      <c r="E61" s="6" t="s">
        <v>12</v>
      </c>
      <c r="F61" s="6" t="s">
        <v>121</v>
      </c>
      <c r="G61" s="6" t="s">
        <v>35</v>
      </c>
      <c r="H61" s="5">
        <v>3</v>
      </c>
      <c r="I61" s="67" t="s">
        <v>160</v>
      </c>
      <c r="J61" s="45"/>
      <c r="K61" s="45"/>
      <c r="L61" s="45"/>
      <c r="M61" s="45"/>
      <c r="N61" s="45">
        <v>3.06</v>
      </c>
      <c r="O61" s="46">
        <v>3.05</v>
      </c>
      <c r="P61" s="46">
        <v>0</v>
      </c>
      <c r="Q61" s="46">
        <v>1.89</v>
      </c>
      <c r="R61" s="46">
        <v>0</v>
      </c>
      <c r="S61" s="46">
        <v>0</v>
      </c>
      <c r="T61" s="46">
        <v>4.5199999999999996</v>
      </c>
      <c r="U61" s="46">
        <v>7.28</v>
      </c>
      <c r="V61" s="46">
        <v>0</v>
      </c>
      <c r="W61" s="46">
        <v>33.46</v>
      </c>
      <c r="X61" s="46">
        <v>7.12</v>
      </c>
      <c r="Y61" s="46">
        <v>0</v>
      </c>
      <c r="Z61" s="46">
        <v>0</v>
      </c>
      <c r="AA61" s="46">
        <v>0</v>
      </c>
      <c r="AB61" s="46">
        <v>0</v>
      </c>
      <c r="AC61" s="60">
        <v>3.18</v>
      </c>
      <c r="AD61" s="60">
        <v>0</v>
      </c>
      <c r="AE61" s="60">
        <v>7.33</v>
      </c>
      <c r="AF61" s="60">
        <v>8.85</v>
      </c>
      <c r="AG61" s="54">
        <v>14.33</v>
      </c>
      <c r="AH61" s="46">
        <v>0.66</v>
      </c>
      <c r="AI61" s="46">
        <v>0</v>
      </c>
      <c r="AJ61" s="46">
        <v>3.21</v>
      </c>
      <c r="AK61" s="46">
        <v>2.71</v>
      </c>
      <c r="AL61" s="46">
        <v>1.0900000000000001</v>
      </c>
      <c r="AM61" s="46">
        <f t="shared" si="2"/>
        <v>4.0695999999999994</v>
      </c>
      <c r="AN61" s="67">
        <f t="shared" si="3"/>
        <v>1.3565333333333331</v>
      </c>
    </row>
    <row r="62" spans="1:40" x14ac:dyDescent="0.3">
      <c r="A62" s="5">
        <v>61</v>
      </c>
      <c r="B62" s="6" t="s">
        <v>65</v>
      </c>
      <c r="C62" s="12" t="s">
        <v>237</v>
      </c>
      <c r="D62" s="6" t="s">
        <v>236</v>
      </c>
      <c r="E62" s="6" t="s">
        <v>12</v>
      </c>
      <c r="F62" s="6" t="s">
        <v>121</v>
      </c>
      <c r="G62" s="6" t="s">
        <v>35</v>
      </c>
      <c r="H62" s="5">
        <v>3</v>
      </c>
      <c r="I62" s="67" t="s">
        <v>160</v>
      </c>
      <c r="J62" s="45"/>
      <c r="K62" s="45"/>
      <c r="L62" s="45"/>
      <c r="M62" s="45">
        <v>8.56</v>
      </c>
      <c r="N62" s="45">
        <v>0.75</v>
      </c>
      <c r="O62" s="46">
        <v>8.98</v>
      </c>
      <c r="P62" s="46">
        <v>0</v>
      </c>
      <c r="Q62" s="46">
        <v>4.6100000000000003</v>
      </c>
      <c r="R62" s="46">
        <v>7.46</v>
      </c>
      <c r="S62" s="46">
        <v>7.97</v>
      </c>
      <c r="T62" s="46">
        <v>8.44</v>
      </c>
      <c r="U62" s="46">
        <v>8.5500000000000007</v>
      </c>
      <c r="V62" s="46">
        <v>0</v>
      </c>
      <c r="W62" s="46">
        <v>6.1</v>
      </c>
      <c r="X62" s="46">
        <v>6.73</v>
      </c>
      <c r="Y62" s="46">
        <v>0</v>
      </c>
      <c r="Z62" s="46">
        <v>8.7100000000000009</v>
      </c>
      <c r="AA62" s="46">
        <v>6.3</v>
      </c>
      <c r="AB62" s="46">
        <v>1.23</v>
      </c>
      <c r="AC62" s="60">
        <v>7.65</v>
      </c>
      <c r="AD62" s="60">
        <v>6.44</v>
      </c>
      <c r="AE62" s="60">
        <v>9.14</v>
      </c>
      <c r="AF62" s="60">
        <v>16.149999999999999</v>
      </c>
      <c r="AG62" s="54">
        <v>7.23</v>
      </c>
      <c r="AH62" s="46">
        <v>14.48</v>
      </c>
      <c r="AI62" s="46">
        <v>0</v>
      </c>
      <c r="AJ62" s="46">
        <v>8.51</v>
      </c>
      <c r="AK62" s="46">
        <v>7.61</v>
      </c>
      <c r="AL62" s="46">
        <v>9.52</v>
      </c>
      <c r="AM62" s="46">
        <f t="shared" si="2"/>
        <v>6.5815384615384609</v>
      </c>
      <c r="AN62" s="67">
        <f t="shared" si="3"/>
        <v>2.1938461538461538</v>
      </c>
    </row>
    <row r="63" spans="1:40" x14ac:dyDescent="0.3">
      <c r="A63" s="5">
        <v>62</v>
      </c>
      <c r="B63" s="6" t="s">
        <v>65</v>
      </c>
      <c r="C63" s="12" t="s">
        <v>245</v>
      </c>
      <c r="D63" s="6" t="s">
        <v>236</v>
      </c>
      <c r="E63" s="6" t="s">
        <v>12</v>
      </c>
      <c r="F63" s="6" t="s">
        <v>121</v>
      </c>
      <c r="G63" s="6" t="s">
        <v>35</v>
      </c>
      <c r="H63" s="5">
        <v>3</v>
      </c>
      <c r="I63" s="67" t="s">
        <v>160</v>
      </c>
      <c r="J63" s="45"/>
      <c r="K63" s="45"/>
      <c r="L63" s="45"/>
      <c r="M63" s="45"/>
      <c r="N63" s="45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60"/>
      <c r="AD63" s="60"/>
      <c r="AE63" s="60"/>
      <c r="AF63" s="60"/>
      <c r="AG63" s="54">
        <v>0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f t="shared" si="2"/>
        <v>0</v>
      </c>
      <c r="AN63" s="67">
        <f t="shared" si="3"/>
        <v>0</v>
      </c>
    </row>
    <row r="64" spans="1:40" x14ac:dyDescent="0.3">
      <c r="A64" s="5">
        <v>63</v>
      </c>
      <c r="B64" s="6" t="s">
        <v>65</v>
      </c>
      <c r="C64" s="39" t="s">
        <v>115</v>
      </c>
      <c r="D64" s="6" t="s">
        <v>113</v>
      </c>
      <c r="E64" s="6" t="s">
        <v>19</v>
      </c>
      <c r="F64" s="6" t="s">
        <v>116</v>
      </c>
      <c r="G64" s="6" t="s">
        <v>80</v>
      </c>
      <c r="H64" s="5">
        <v>1</v>
      </c>
      <c r="I64" s="67" t="s">
        <v>163</v>
      </c>
      <c r="J64" s="47">
        <v>85.78</v>
      </c>
      <c r="K64" s="47">
        <v>82.69</v>
      </c>
      <c r="L64" s="47">
        <v>86.44</v>
      </c>
      <c r="M64" s="47">
        <v>82.98</v>
      </c>
      <c r="N64" s="47">
        <v>84.67</v>
      </c>
      <c r="O64" s="46">
        <v>87.43</v>
      </c>
      <c r="P64" s="46">
        <v>90.34</v>
      </c>
      <c r="Q64" s="46">
        <v>85.42</v>
      </c>
      <c r="R64" s="46">
        <v>88.67</v>
      </c>
      <c r="S64" s="46">
        <v>91.54</v>
      </c>
      <c r="T64" s="46">
        <v>86.88</v>
      </c>
      <c r="U64" s="46">
        <v>89.34</v>
      </c>
      <c r="V64" s="46">
        <v>84.53</v>
      </c>
      <c r="W64" s="46">
        <v>90.21</v>
      </c>
      <c r="X64" s="46">
        <v>97.43</v>
      </c>
      <c r="Y64" s="46">
        <v>83.65</v>
      </c>
      <c r="Z64" s="46">
        <v>87.41</v>
      </c>
      <c r="AA64" s="46">
        <v>88.53</v>
      </c>
      <c r="AB64" s="46">
        <v>91.42</v>
      </c>
      <c r="AC64" s="60">
        <v>83.27</v>
      </c>
      <c r="AD64" s="60">
        <v>88.58</v>
      </c>
      <c r="AE64" s="60">
        <v>86.67</v>
      </c>
      <c r="AF64" s="60">
        <v>87.83</v>
      </c>
      <c r="AG64" s="60">
        <v>89.53</v>
      </c>
      <c r="AH64" s="60">
        <v>82.41</v>
      </c>
      <c r="AI64" s="60">
        <v>78.67</v>
      </c>
      <c r="AJ64" s="46">
        <v>79.48</v>
      </c>
      <c r="AK64" s="46">
        <v>0</v>
      </c>
      <c r="AL64" s="46">
        <v>0</v>
      </c>
      <c r="AM64" s="46">
        <f t="shared" si="2"/>
        <v>80.751724137931035</v>
      </c>
      <c r="AN64" s="67">
        <f t="shared" si="3"/>
        <v>80.751724137931035</v>
      </c>
    </row>
    <row r="65" spans="1:40" x14ac:dyDescent="0.3">
      <c r="A65" s="5">
        <v>64</v>
      </c>
      <c r="B65" s="6" t="s">
        <v>65</v>
      </c>
      <c r="C65" s="39" t="s">
        <v>117</v>
      </c>
      <c r="D65" s="6" t="s">
        <v>113</v>
      </c>
      <c r="E65" s="6" t="s">
        <v>19</v>
      </c>
      <c r="F65" s="6" t="s">
        <v>116</v>
      </c>
      <c r="G65" s="6" t="s">
        <v>80</v>
      </c>
      <c r="H65" s="5">
        <v>1</v>
      </c>
      <c r="I65" s="67" t="s">
        <v>163</v>
      </c>
      <c r="J65" s="47">
        <v>15.75</v>
      </c>
      <c r="K65" s="47">
        <v>16.22</v>
      </c>
      <c r="L65" s="47">
        <v>17.239999999999998</v>
      </c>
      <c r="M65" s="47">
        <v>13.56</v>
      </c>
      <c r="N65" s="47">
        <v>16.87</v>
      </c>
      <c r="O65" s="46">
        <v>19.649999999999999</v>
      </c>
      <c r="P65" s="46">
        <v>17.41</v>
      </c>
      <c r="Q65" s="46">
        <v>23.45</v>
      </c>
      <c r="R65" s="46">
        <v>21.49</v>
      </c>
      <c r="S65" s="46">
        <v>18.670000000000002</v>
      </c>
      <c r="T65" s="46">
        <v>15.64</v>
      </c>
      <c r="U65" s="46">
        <v>21.45</v>
      </c>
      <c r="V65" s="46">
        <v>19.34</v>
      </c>
      <c r="W65" s="46">
        <v>17.45</v>
      </c>
      <c r="X65" s="46">
        <v>19.489999999999998</v>
      </c>
      <c r="Y65" s="46">
        <v>22.57</v>
      </c>
      <c r="Z65" s="46">
        <v>15.37</v>
      </c>
      <c r="AA65" s="46">
        <v>19.75</v>
      </c>
      <c r="AB65" s="46">
        <v>14.67</v>
      </c>
      <c r="AC65" s="60">
        <v>18.45</v>
      </c>
      <c r="AD65" s="60">
        <v>19.73</v>
      </c>
      <c r="AE65" s="60">
        <v>17.96</v>
      </c>
      <c r="AF65" s="60">
        <v>18.420000000000002</v>
      </c>
      <c r="AG65" s="60">
        <v>16.34</v>
      </c>
      <c r="AH65" s="60">
        <v>24.59</v>
      </c>
      <c r="AI65" s="60">
        <v>17.84</v>
      </c>
      <c r="AJ65" s="46">
        <v>19.559999999999999</v>
      </c>
      <c r="AK65" s="46">
        <v>0</v>
      </c>
      <c r="AL65" s="46">
        <v>0</v>
      </c>
      <c r="AM65" s="46">
        <f t="shared" si="2"/>
        <v>17.204482758620685</v>
      </c>
      <c r="AN65" s="67">
        <f t="shared" si="3"/>
        <v>17.204482758620685</v>
      </c>
    </row>
    <row r="66" spans="1:40" x14ac:dyDescent="0.3">
      <c r="A66" s="5">
        <v>65</v>
      </c>
      <c r="B66" s="6" t="s">
        <v>65</v>
      </c>
      <c r="C66" s="6" t="s">
        <v>66</v>
      </c>
      <c r="D66" s="6" t="s">
        <v>67</v>
      </c>
      <c r="E66" s="6" t="s">
        <v>12</v>
      </c>
      <c r="F66" s="6" t="s">
        <v>13</v>
      </c>
      <c r="G66" s="6" t="s">
        <v>14</v>
      </c>
      <c r="H66" s="5">
        <v>96</v>
      </c>
      <c r="I66" s="67" t="s">
        <v>160</v>
      </c>
      <c r="J66" s="45">
        <v>17.309000000000001</v>
      </c>
      <c r="K66" s="45">
        <v>1.9E-2</v>
      </c>
      <c r="L66" s="45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3.4889999999999999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53">
        <v>0</v>
      </c>
      <c r="AC66" s="61">
        <v>0</v>
      </c>
      <c r="AD66" s="61">
        <v>0</v>
      </c>
      <c r="AE66" s="61">
        <v>0</v>
      </c>
      <c r="AF66" s="61">
        <v>0</v>
      </c>
      <c r="AG66" s="61">
        <v>0</v>
      </c>
      <c r="AH66" s="61">
        <v>0</v>
      </c>
      <c r="AI66" s="61">
        <v>0</v>
      </c>
      <c r="AJ66" s="61">
        <v>0</v>
      </c>
      <c r="AK66" s="61">
        <v>0</v>
      </c>
      <c r="AL66" s="46">
        <v>0</v>
      </c>
      <c r="AM66" s="46">
        <f t="shared" ref="AM66:AM70" si="4">AVERAGE(J66:AL66)</f>
        <v>0.71782758620689657</v>
      </c>
      <c r="AN66" s="67">
        <f t="shared" ref="AN66:AN70" si="5">AM66/H66</f>
        <v>7.4773706896551729E-3</v>
      </c>
    </row>
    <row r="67" spans="1:40" x14ac:dyDescent="0.3">
      <c r="A67" s="5">
        <v>66</v>
      </c>
      <c r="B67" s="6" t="s">
        <v>65</v>
      </c>
      <c r="C67" s="6" t="s">
        <v>70</v>
      </c>
      <c r="D67" s="6"/>
      <c r="E67" s="6" t="s">
        <v>12</v>
      </c>
      <c r="F67" s="6" t="s">
        <v>13</v>
      </c>
      <c r="G67" s="6" t="s">
        <v>14</v>
      </c>
      <c r="H67" s="5">
        <v>82</v>
      </c>
      <c r="I67" s="67" t="s">
        <v>160</v>
      </c>
      <c r="J67" s="45">
        <v>7.4640000000000004</v>
      </c>
      <c r="K67" s="45">
        <v>0</v>
      </c>
      <c r="L67" s="45">
        <v>0</v>
      </c>
      <c r="M67" s="46">
        <v>0</v>
      </c>
      <c r="N67" s="46">
        <v>0</v>
      </c>
      <c r="O67" s="46">
        <v>0</v>
      </c>
      <c r="P67" s="46">
        <v>17.027999999999999</v>
      </c>
      <c r="Q67" s="46">
        <v>6.1280000000000001</v>
      </c>
      <c r="R67" s="46">
        <v>0</v>
      </c>
      <c r="S67" s="46">
        <v>0</v>
      </c>
      <c r="T67" s="46">
        <v>0</v>
      </c>
      <c r="U67" s="46">
        <v>0</v>
      </c>
      <c r="V67" s="46">
        <v>11.795999999999999</v>
      </c>
      <c r="W67" s="46">
        <v>5.665</v>
      </c>
      <c r="X67" s="46">
        <v>11.757999999999999</v>
      </c>
      <c r="Y67" s="46">
        <v>5.8890000000000002</v>
      </c>
      <c r="Z67" s="46">
        <v>0</v>
      </c>
      <c r="AA67" s="46">
        <v>0</v>
      </c>
      <c r="AB67" s="53">
        <v>11.538</v>
      </c>
      <c r="AC67" s="61">
        <v>6.7880000000000003</v>
      </c>
      <c r="AD67" s="61">
        <v>7.0810000000000004</v>
      </c>
      <c r="AE67" s="61">
        <v>7.32</v>
      </c>
      <c r="AF67" s="61">
        <v>19.093</v>
      </c>
      <c r="AG67" s="61">
        <v>0</v>
      </c>
      <c r="AH67" s="61">
        <v>0</v>
      </c>
      <c r="AI67" s="61">
        <v>15.587999999999999</v>
      </c>
      <c r="AJ67" s="61">
        <v>0</v>
      </c>
      <c r="AK67" s="61">
        <v>0</v>
      </c>
      <c r="AL67" s="46">
        <v>0</v>
      </c>
      <c r="AM67" s="46">
        <f t="shared" si="4"/>
        <v>4.5908965517241374</v>
      </c>
      <c r="AN67" s="67">
        <f t="shared" si="5"/>
        <v>5.5986543313708989E-2</v>
      </c>
    </row>
    <row r="68" spans="1:40" x14ac:dyDescent="0.3">
      <c r="A68" s="5">
        <v>67</v>
      </c>
      <c r="B68" s="6" t="s">
        <v>65</v>
      </c>
      <c r="C68" s="6" t="s">
        <v>74</v>
      </c>
      <c r="D68" s="6" t="s">
        <v>30</v>
      </c>
      <c r="E68" s="6" t="s">
        <v>19</v>
      </c>
      <c r="F68" s="6" t="s">
        <v>13</v>
      </c>
      <c r="G68" s="6" t="s">
        <v>14</v>
      </c>
      <c r="H68" s="5">
        <v>2</v>
      </c>
      <c r="I68" s="67" t="s">
        <v>163</v>
      </c>
      <c r="J68" s="45">
        <v>0</v>
      </c>
      <c r="K68" s="45">
        <v>0</v>
      </c>
      <c r="L68" s="45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53">
        <v>0</v>
      </c>
      <c r="AC68" s="60">
        <v>0</v>
      </c>
      <c r="AD68" s="61">
        <v>0</v>
      </c>
      <c r="AE68" s="61">
        <v>0</v>
      </c>
      <c r="AF68" s="61">
        <v>0</v>
      </c>
      <c r="AG68" s="61">
        <v>0</v>
      </c>
      <c r="AH68" s="61">
        <v>0</v>
      </c>
      <c r="AI68" s="61">
        <v>0</v>
      </c>
      <c r="AJ68" s="46">
        <v>0</v>
      </c>
      <c r="AK68" s="46">
        <v>0</v>
      </c>
      <c r="AL68" s="46">
        <v>0</v>
      </c>
      <c r="AM68" s="46">
        <f t="shared" si="4"/>
        <v>0</v>
      </c>
      <c r="AN68" s="67">
        <f t="shared" si="5"/>
        <v>0</v>
      </c>
    </row>
    <row r="69" spans="1:40" x14ac:dyDescent="0.3">
      <c r="A69" s="5">
        <v>68</v>
      </c>
      <c r="B69" s="6" t="s">
        <v>65</v>
      </c>
      <c r="C69" s="39" t="s">
        <v>122</v>
      </c>
      <c r="D69" s="6" t="s">
        <v>30</v>
      </c>
      <c r="E69" s="6" t="s">
        <v>19</v>
      </c>
      <c r="F69" s="6" t="s">
        <v>13</v>
      </c>
      <c r="G69" s="6" t="s">
        <v>14</v>
      </c>
      <c r="H69" s="5">
        <v>3</v>
      </c>
      <c r="I69" s="67" t="s">
        <v>163</v>
      </c>
      <c r="J69" s="45">
        <v>0</v>
      </c>
      <c r="K69" s="45">
        <v>0</v>
      </c>
      <c r="L69" s="45">
        <v>0</v>
      </c>
      <c r="M69" s="46">
        <v>0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8">
        <v>0</v>
      </c>
      <c r="AD69" s="48">
        <v>0</v>
      </c>
      <c r="AE69" s="48">
        <v>0</v>
      </c>
      <c r="AF69" s="48">
        <v>0</v>
      </c>
      <c r="AG69" s="48">
        <v>0</v>
      </c>
      <c r="AH69" s="48">
        <v>0</v>
      </c>
      <c r="AI69" s="48">
        <v>0</v>
      </c>
      <c r="AJ69" s="46">
        <v>0</v>
      </c>
      <c r="AK69" s="46">
        <v>0</v>
      </c>
      <c r="AL69" s="46">
        <v>0</v>
      </c>
      <c r="AM69" s="46">
        <f t="shared" si="4"/>
        <v>0</v>
      </c>
      <c r="AN69" s="67">
        <f t="shared" si="5"/>
        <v>0</v>
      </c>
    </row>
    <row r="70" spans="1:40" x14ac:dyDescent="0.3">
      <c r="A70" s="5">
        <v>69</v>
      </c>
      <c r="B70" s="6" t="s">
        <v>65</v>
      </c>
      <c r="C70" s="39" t="s">
        <v>143</v>
      </c>
      <c r="D70" s="6" t="s">
        <v>128</v>
      </c>
      <c r="E70" s="6" t="s">
        <v>12</v>
      </c>
      <c r="F70" s="6" t="s">
        <v>121</v>
      </c>
      <c r="G70" s="6" t="s">
        <v>14</v>
      </c>
      <c r="H70" s="5">
        <v>2</v>
      </c>
      <c r="I70" s="67" t="s">
        <v>162</v>
      </c>
      <c r="J70" s="45">
        <v>0</v>
      </c>
      <c r="K70" s="45">
        <v>0</v>
      </c>
      <c r="L70" s="45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8">
        <v>0</v>
      </c>
      <c r="AD70" s="48">
        <v>0</v>
      </c>
      <c r="AE70" s="48">
        <v>0</v>
      </c>
      <c r="AF70" s="48">
        <v>0</v>
      </c>
      <c r="AG70" s="48">
        <v>0</v>
      </c>
      <c r="AH70" s="48">
        <v>0</v>
      </c>
      <c r="AI70" s="48">
        <v>0</v>
      </c>
      <c r="AJ70" s="46">
        <v>0</v>
      </c>
      <c r="AK70" s="46">
        <v>0</v>
      </c>
      <c r="AL70" s="46">
        <v>0</v>
      </c>
      <c r="AM70" s="46">
        <f t="shared" si="4"/>
        <v>0</v>
      </c>
      <c r="AN70" s="67">
        <f t="shared" si="5"/>
        <v>0</v>
      </c>
    </row>
    <row r="71" spans="1:40" x14ac:dyDescent="0.3">
      <c r="A71" s="5"/>
      <c r="B71" s="6"/>
      <c r="C71" s="39"/>
      <c r="D71" s="6"/>
      <c r="E71" s="6"/>
      <c r="F71" s="6"/>
      <c r="G71" s="6"/>
      <c r="H71" s="5"/>
      <c r="I71" s="67"/>
      <c r="J71" s="45"/>
      <c r="K71" s="45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8"/>
      <c r="AG71" s="46"/>
      <c r="AH71" s="46"/>
      <c r="AI71" s="46"/>
      <c r="AJ71" s="46"/>
      <c r="AK71" s="46"/>
      <c r="AL71" s="46"/>
      <c r="AM71" s="46"/>
      <c r="AN71" s="12"/>
    </row>
    <row r="72" spans="1:40" x14ac:dyDescent="0.3">
      <c r="A72" s="5"/>
      <c r="B72" s="6"/>
      <c r="C72" s="14"/>
      <c r="D72" s="14"/>
      <c r="E72" s="13"/>
      <c r="F72" s="13"/>
      <c r="G72" s="13" t="s">
        <v>79</v>
      </c>
      <c r="H72" s="52">
        <f>SUM(H2:H70)</f>
        <v>554</v>
      </c>
      <c r="I72" s="52"/>
      <c r="J72" s="44">
        <f>SUM(J2:J69)</f>
        <v>2203.7330000000002</v>
      </c>
      <c r="K72" s="44">
        <f t="shared" ref="K72:AL72" si="6">SUM(K2:K69)</f>
        <v>2106.9289999999996</v>
      </c>
      <c r="L72" s="44">
        <f t="shared" si="6"/>
        <v>2163.02</v>
      </c>
      <c r="M72" s="44">
        <f t="shared" si="6"/>
        <v>2068.2499999999995</v>
      </c>
      <c r="N72" s="44">
        <f t="shared" si="6"/>
        <v>1870.94</v>
      </c>
      <c r="O72" s="44">
        <f t="shared" si="6"/>
        <v>1774.277</v>
      </c>
      <c r="P72" s="44">
        <f t="shared" si="6"/>
        <v>1979.758</v>
      </c>
      <c r="Q72" s="44">
        <f t="shared" si="6"/>
        <v>2101.6779999999999</v>
      </c>
      <c r="R72" s="44">
        <f t="shared" si="6"/>
        <v>1941.5600000000002</v>
      </c>
      <c r="S72" s="44">
        <f t="shared" si="6"/>
        <v>2036.5149999999999</v>
      </c>
      <c r="T72" s="44">
        <f t="shared" si="6"/>
        <v>1986.8200000000004</v>
      </c>
      <c r="U72" s="44">
        <f t="shared" si="6"/>
        <v>1893.2660000000001</v>
      </c>
      <c r="V72" s="44">
        <f t="shared" si="6"/>
        <v>1877.8860000000002</v>
      </c>
      <c r="W72" s="44">
        <f>SUM(W3:W69)</f>
        <v>2031.2549999999997</v>
      </c>
      <c r="X72" s="44">
        <f t="shared" si="6"/>
        <v>1988.8579999999999</v>
      </c>
      <c r="Y72" s="44">
        <f t="shared" si="6"/>
        <v>1889.931</v>
      </c>
      <c r="Z72" s="44">
        <f t="shared" si="6"/>
        <v>1983.7920000000001</v>
      </c>
      <c r="AA72" s="44">
        <f t="shared" si="6"/>
        <v>2170.6900000000005</v>
      </c>
      <c r="AB72" s="44">
        <f t="shared" si="6"/>
        <v>1848.6469999999999</v>
      </c>
      <c r="AC72" s="44">
        <f t="shared" si="6"/>
        <v>2135.6980000000003</v>
      </c>
      <c r="AD72" s="44">
        <f t="shared" si="6"/>
        <v>2035.0909999999997</v>
      </c>
      <c r="AE72" s="44">
        <f t="shared" si="6"/>
        <v>2184.31</v>
      </c>
      <c r="AF72" s="44">
        <f t="shared" si="6"/>
        <v>2160.0929999999998</v>
      </c>
      <c r="AG72" s="44">
        <f t="shared" si="6"/>
        <v>2041.78</v>
      </c>
      <c r="AH72" s="44">
        <f t="shared" si="6"/>
        <v>2033.0400000000002</v>
      </c>
      <c r="AI72" s="44">
        <f t="shared" si="6"/>
        <v>1690.4879999999998</v>
      </c>
      <c r="AJ72" s="44">
        <f t="shared" si="6"/>
        <v>1895.1390000000001</v>
      </c>
      <c r="AK72" s="44">
        <f t="shared" si="6"/>
        <v>1844.693</v>
      </c>
      <c r="AL72" s="44">
        <f t="shared" si="6"/>
        <v>2000.3299999999995</v>
      </c>
      <c r="AM72" s="44">
        <f>AVERAGE(K72:AL72)</f>
        <v>1990.5262142857143</v>
      </c>
      <c r="AN72" s="67">
        <f>AM72/H72</f>
        <v>3.593007607013925</v>
      </c>
    </row>
    <row r="73" spans="1:40" x14ac:dyDescent="0.3">
      <c r="I73" s="28"/>
      <c r="J73" s="27"/>
      <c r="K73" s="28"/>
      <c r="L73"/>
      <c r="AL73" s="50"/>
      <c r="AM73" t="s">
        <v>239</v>
      </c>
    </row>
    <row r="74" spans="1:40" x14ac:dyDescent="0.3">
      <c r="AM74" s="50"/>
    </row>
  </sheetData>
  <autoFilter ref="A1:I70" xr:uid="{00000000-0009-0000-0000-000015000000}"/>
  <pageMargins left="0.7" right="0.7" top="0.75" bottom="0.75" header="0.3" footer="0.3"/>
  <pageSetup scale="1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3:M4"/>
  <sheetViews>
    <sheetView workbookViewId="0">
      <selection activeCell="F29" sqref="F29"/>
    </sheetView>
  </sheetViews>
  <sheetFormatPr defaultRowHeight="14.4" x14ac:dyDescent="0.3"/>
  <cols>
    <col min="1" max="12" width="15.5546875" bestFit="1" customWidth="1"/>
    <col min="13" max="13" width="10.77734375" bestFit="1" customWidth="1"/>
    <col min="14" max="14" width="11.33203125" bestFit="1" customWidth="1"/>
    <col min="15" max="22" width="16.5546875" bestFit="1" customWidth="1"/>
    <col min="23" max="23" width="21.6640625" customWidth="1"/>
    <col min="24" max="25" width="21.6640625" bestFit="1" customWidth="1"/>
  </cols>
  <sheetData>
    <row r="3" spans="1:13" x14ac:dyDescent="0.3">
      <c r="A3" s="29" t="s">
        <v>144</v>
      </c>
    </row>
    <row r="4" spans="1:13" x14ac:dyDescent="0.3">
      <c r="A4" s="12" t="s">
        <v>175</v>
      </c>
      <c r="B4" s="12" t="s">
        <v>58</v>
      </c>
      <c r="C4" s="12" t="s">
        <v>65</v>
      </c>
      <c r="D4" s="12" t="s">
        <v>222</v>
      </c>
      <c r="E4" s="12" t="s">
        <v>134</v>
      </c>
      <c r="F4" s="12" t="s">
        <v>9</v>
      </c>
      <c r="G4" s="12" t="s">
        <v>55</v>
      </c>
      <c r="H4" s="12" t="s">
        <v>119</v>
      </c>
      <c r="I4" s="12" t="s">
        <v>221</v>
      </c>
      <c r="J4" s="12" t="s">
        <v>49</v>
      </c>
      <c r="K4" s="12" t="s">
        <v>52</v>
      </c>
      <c r="L4" s="12" t="s">
        <v>246</v>
      </c>
      <c r="M4" s="12" t="s">
        <v>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94"/>
  <sheetViews>
    <sheetView topLeftCell="A82" workbookViewId="0">
      <selection activeCell="F29" sqref="F29"/>
    </sheetView>
  </sheetViews>
  <sheetFormatPr defaultRowHeight="14.4" x14ac:dyDescent="0.3"/>
  <cols>
    <col min="1" max="1" width="47.88671875" bestFit="1" customWidth="1"/>
    <col min="2" max="2" width="10.44140625" bestFit="1" customWidth="1"/>
    <col min="3" max="3" width="15.77734375" bestFit="1" customWidth="1"/>
    <col min="4" max="4" width="31.5546875" bestFit="1" customWidth="1"/>
    <col min="5" max="17" width="15.109375" customWidth="1"/>
    <col min="18" max="20" width="15.109375" bestFit="1" customWidth="1"/>
    <col min="21" max="33" width="15.109375" customWidth="1"/>
    <col min="34" max="34" width="16.44140625" customWidth="1"/>
    <col min="35" max="35" width="32.6640625" bestFit="1" customWidth="1"/>
  </cols>
  <sheetData>
    <row r="1" spans="1:4" x14ac:dyDescent="0.3">
      <c r="A1" s="30" t="s">
        <v>1</v>
      </c>
      <c r="B1" s="12" t="s">
        <v>82</v>
      </c>
    </row>
    <row r="2" spans="1:4" x14ac:dyDescent="0.3">
      <c r="A2" s="30" t="s">
        <v>158</v>
      </c>
      <c r="B2" s="12" t="s">
        <v>82</v>
      </c>
    </row>
    <row r="4" spans="1:4" x14ac:dyDescent="0.3">
      <c r="A4" s="30" t="s">
        <v>2</v>
      </c>
      <c r="B4" s="12" t="s">
        <v>84</v>
      </c>
      <c r="C4" s="31" t="s">
        <v>85</v>
      </c>
      <c r="D4" s="31" t="s">
        <v>155</v>
      </c>
    </row>
    <row r="5" spans="1:4" x14ac:dyDescent="0.3">
      <c r="A5" s="12" t="s">
        <v>133</v>
      </c>
      <c r="B5" s="137">
        <v>5</v>
      </c>
      <c r="C5" s="31">
        <v>37.937096774193549</v>
      </c>
      <c r="D5" s="31">
        <v>7.5874193548387101</v>
      </c>
    </row>
    <row r="6" spans="1:4" x14ac:dyDescent="0.3">
      <c r="A6" s="12" t="s">
        <v>242</v>
      </c>
      <c r="B6" s="137">
        <v>1</v>
      </c>
      <c r="C6" s="31">
        <v>0</v>
      </c>
      <c r="D6" s="31">
        <v>0</v>
      </c>
    </row>
    <row r="7" spans="1:4" x14ac:dyDescent="0.3">
      <c r="A7" s="12" t="s">
        <v>241</v>
      </c>
      <c r="B7" s="137">
        <v>1</v>
      </c>
      <c r="C7" s="31">
        <v>0.36032258064516126</v>
      </c>
      <c r="D7" s="31">
        <v>0.36032258064516126</v>
      </c>
    </row>
    <row r="8" spans="1:4" x14ac:dyDescent="0.3">
      <c r="A8" s="12" t="s">
        <v>240</v>
      </c>
      <c r="B8" s="137">
        <v>1</v>
      </c>
      <c r="C8" s="31">
        <v>0</v>
      </c>
      <c r="D8" s="31">
        <v>0</v>
      </c>
    </row>
    <row r="9" spans="1:4" x14ac:dyDescent="0.3">
      <c r="A9" s="12" t="s">
        <v>70</v>
      </c>
      <c r="B9" s="137">
        <v>82</v>
      </c>
      <c r="C9" s="31">
        <v>3.3770967741935483</v>
      </c>
      <c r="D9" s="31">
        <v>4.1184107002360346E-2</v>
      </c>
    </row>
    <row r="10" spans="1:4" x14ac:dyDescent="0.3">
      <c r="A10" s="12" t="s">
        <v>245</v>
      </c>
      <c r="B10" s="137">
        <v>3</v>
      </c>
      <c r="C10" s="31">
        <v>0</v>
      </c>
      <c r="D10" s="31">
        <v>0</v>
      </c>
    </row>
    <row r="11" spans="1:4" x14ac:dyDescent="0.3">
      <c r="A11" s="12" t="s">
        <v>237</v>
      </c>
      <c r="B11" s="137">
        <v>3</v>
      </c>
      <c r="C11" s="31">
        <v>8.387096774193548</v>
      </c>
      <c r="D11" s="31">
        <v>2.7956989247311825</v>
      </c>
    </row>
    <row r="12" spans="1:4" x14ac:dyDescent="0.3">
      <c r="A12" s="12" t="s">
        <v>235</v>
      </c>
      <c r="B12" s="137">
        <v>3</v>
      </c>
      <c r="C12" s="31">
        <v>4.613548387096774</v>
      </c>
      <c r="D12" s="31">
        <v>1.5378494623655914</v>
      </c>
    </row>
    <row r="13" spans="1:4" x14ac:dyDescent="0.3">
      <c r="A13" s="12" t="s">
        <v>238</v>
      </c>
      <c r="B13" s="137">
        <v>4</v>
      </c>
      <c r="C13" s="31">
        <v>0</v>
      </c>
      <c r="D13" s="31">
        <v>0</v>
      </c>
    </row>
    <row r="14" spans="1:4" x14ac:dyDescent="0.3">
      <c r="A14" s="12" t="s">
        <v>93</v>
      </c>
      <c r="B14" s="137">
        <v>1</v>
      </c>
      <c r="C14" s="31">
        <v>3.2258064516129034E-5</v>
      </c>
      <c r="D14" s="31">
        <v>3.2258064516129034E-5</v>
      </c>
    </row>
    <row r="15" spans="1:4" x14ac:dyDescent="0.3">
      <c r="A15" s="12" t="s">
        <v>125</v>
      </c>
      <c r="B15" s="137">
        <v>1</v>
      </c>
      <c r="C15" s="31">
        <v>3.5483870967741943E-4</v>
      </c>
      <c r="D15" s="31">
        <v>3.5483870967741943E-4</v>
      </c>
    </row>
    <row r="16" spans="1:4" x14ac:dyDescent="0.3">
      <c r="A16" s="12" t="s">
        <v>66</v>
      </c>
      <c r="B16" s="137">
        <v>96</v>
      </c>
      <c r="C16" s="31">
        <v>0</v>
      </c>
      <c r="D16" s="31">
        <v>0</v>
      </c>
    </row>
    <row r="17" spans="1:4" x14ac:dyDescent="0.3">
      <c r="A17" s="12" t="s">
        <v>74</v>
      </c>
      <c r="B17" s="137">
        <v>2</v>
      </c>
      <c r="C17" s="31">
        <v>0</v>
      </c>
      <c r="D17" s="31">
        <v>0</v>
      </c>
    </row>
    <row r="18" spans="1:4" x14ac:dyDescent="0.3">
      <c r="A18" s="12" t="s">
        <v>59</v>
      </c>
      <c r="B18" s="137">
        <v>6</v>
      </c>
      <c r="C18" s="31">
        <v>1.2258064516129032E-3</v>
      </c>
      <c r="D18" s="31">
        <v>2.0430107526881719E-4</v>
      </c>
    </row>
    <row r="19" spans="1:4" x14ac:dyDescent="0.3">
      <c r="A19" s="12" t="s">
        <v>27</v>
      </c>
      <c r="B19" s="137">
        <v>4</v>
      </c>
      <c r="C19" s="31">
        <v>0</v>
      </c>
      <c r="D19" s="31">
        <v>0</v>
      </c>
    </row>
    <row r="20" spans="1:4" x14ac:dyDescent="0.3">
      <c r="A20" s="12" t="s">
        <v>226</v>
      </c>
      <c r="B20" s="137">
        <v>10</v>
      </c>
      <c r="C20" s="31">
        <v>20.989677419354837</v>
      </c>
      <c r="D20" s="31">
        <v>2.0989677419354837</v>
      </c>
    </row>
    <row r="21" spans="1:4" x14ac:dyDescent="0.3">
      <c r="A21" s="12" t="s">
        <v>217</v>
      </c>
      <c r="B21" s="137">
        <v>20</v>
      </c>
      <c r="C21" s="31">
        <v>80.574516129032276</v>
      </c>
      <c r="D21" s="31">
        <v>4.0287258064516136</v>
      </c>
    </row>
    <row r="22" spans="1:4" x14ac:dyDescent="0.3">
      <c r="A22" s="12" t="s">
        <v>199</v>
      </c>
      <c r="B22" s="137">
        <v>6</v>
      </c>
      <c r="C22" s="31">
        <v>0</v>
      </c>
      <c r="D22" s="31">
        <v>0</v>
      </c>
    </row>
    <row r="23" spans="1:4" x14ac:dyDescent="0.3">
      <c r="A23" s="12" t="s">
        <v>200</v>
      </c>
      <c r="B23" s="137">
        <v>9</v>
      </c>
      <c r="C23" s="31">
        <v>102.42032258064521</v>
      </c>
      <c r="D23" s="31">
        <v>11.380035842293912</v>
      </c>
    </row>
    <row r="24" spans="1:4" x14ac:dyDescent="0.3">
      <c r="A24" s="12" t="s">
        <v>201</v>
      </c>
      <c r="B24" s="137">
        <v>3</v>
      </c>
      <c r="C24" s="31">
        <v>26.539999999999996</v>
      </c>
      <c r="D24" s="31">
        <v>8.8466666666666658</v>
      </c>
    </row>
    <row r="25" spans="1:4" x14ac:dyDescent="0.3">
      <c r="A25" s="12" t="s">
        <v>209</v>
      </c>
      <c r="B25" s="137">
        <v>5</v>
      </c>
      <c r="C25" s="31">
        <v>10.196129032258067</v>
      </c>
      <c r="D25" s="31">
        <v>2.0392258064516136</v>
      </c>
    </row>
    <row r="26" spans="1:4" x14ac:dyDescent="0.3">
      <c r="A26" s="12" t="s">
        <v>212</v>
      </c>
      <c r="B26" s="137">
        <v>7</v>
      </c>
      <c r="C26" s="31">
        <v>22.851935483870967</v>
      </c>
      <c r="D26" s="31">
        <v>3.2645622119815667</v>
      </c>
    </row>
    <row r="27" spans="1:4" x14ac:dyDescent="0.3">
      <c r="A27" s="12" t="s">
        <v>227</v>
      </c>
      <c r="B27" s="137">
        <v>13</v>
      </c>
      <c r="C27" s="31">
        <v>38.678709677419363</v>
      </c>
      <c r="D27" s="31">
        <v>2.9752853598014894</v>
      </c>
    </row>
    <row r="28" spans="1:4" x14ac:dyDescent="0.3">
      <c r="A28" s="12" t="s">
        <v>218</v>
      </c>
      <c r="B28" s="137">
        <v>3</v>
      </c>
      <c r="C28" s="31">
        <v>0.25838709677419353</v>
      </c>
      <c r="D28" s="31">
        <v>8.6129032258064508E-2</v>
      </c>
    </row>
    <row r="29" spans="1:4" x14ac:dyDescent="0.3">
      <c r="A29" s="12" t="s">
        <v>225</v>
      </c>
      <c r="B29" s="137">
        <v>16</v>
      </c>
      <c r="C29" s="31">
        <v>9.44</v>
      </c>
      <c r="D29" s="31">
        <v>0.59</v>
      </c>
    </row>
    <row r="30" spans="1:4" x14ac:dyDescent="0.3">
      <c r="A30" s="12" t="s">
        <v>248</v>
      </c>
      <c r="B30" s="137">
        <v>1</v>
      </c>
      <c r="C30" s="31">
        <v>0.6875</v>
      </c>
      <c r="D30" s="31">
        <v>0.6875</v>
      </c>
    </row>
    <row r="31" spans="1:4" x14ac:dyDescent="0.3">
      <c r="A31" s="12" t="s">
        <v>220</v>
      </c>
      <c r="B31" s="137">
        <v>19</v>
      </c>
      <c r="C31" s="31">
        <v>7.13032258064516</v>
      </c>
      <c r="D31" s="31">
        <v>0.37528013582342945</v>
      </c>
    </row>
    <row r="32" spans="1:4" x14ac:dyDescent="0.3">
      <c r="A32" s="12" t="s">
        <v>210</v>
      </c>
      <c r="B32" s="137">
        <v>10</v>
      </c>
      <c r="C32" s="31">
        <v>89.123225806451629</v>
      </c>
      <c r="D32" s="31">
        <v>8.9123225806451636</v>
      </c>
    </row>
    <row r="33" spans="1:4" x14ac:dyDescent="0.3">
      <c r="A33" s="12" t="s">
        <v>211</v>
      </c>
      <c r="B33" s="137">
        <v>3</v>
      </c>
      <c r="C33" s="31">
        <v>9.302580645161294</v>
      </c>
      <c r="D33" s="31">
        <v>3.1008602150537645</v>
      </c>
    </row>
    <row r="34" spans="1:4" x14ac:dyDescent="0.3">
      <c r="A34" s="12" t="s">
        <v>205</v>
      </c>
      <c r="B34" s="137">
        <v>3</v>
      </c>
      <c r="C34" s="31">
        <v>48.79451612903226</v>
      </c>
      <c r="D34" s="31">
        <v>16.26483870967742</v>
      </c>
    </row>
    <row r="35" spans="1:4" x14ac:dyDescent="0.3">
      <c r="A35" s="12" t="s">
        <v>213</v>
      </c>
      <c r="B35" s="137">
        <v>3</v>
      </c>
      <c r="C35" s="31">
        <v>67.529677419354826</v>
      </c>
      <c r="D35" s="31">
        <v>22.509892473118274</v>
      </c>
    </row>
    <row r="36" spans="1:4" x14ac:dyDescent="0.3">
      <c r="A36" s="12" t="s">
        <v>202</v>
      </c>
      <c r="B36" s="137">
        <v>8</v>
      </c>
      <c r="C36" s="31">
        <v>69.024193548387103</v>
      </c>
      <c r="D36" s="31">
        <v>8.6280241935483879</v>
      </c>
    </row>
    <row r="37" spans="1:4" x14ac:dyDescent="0.3">
      <c r="A37" s="12" t="s">
        <v>206</v>
      </c>
      <c r="B37" s="137">
        <v>1</v>
      </c>
      <c r="C37" s="31">
        <v>0</v>
      </c>
      <c r="D37" s="31">
        <v>0</v>
      </c>
    </row>
    <row r="38" spans="1:4" x14ac:dyDescent="0.3">
      <c r="A38" s="12" t="s">
        <v>215</v>
      </c>
      <c r="B38" s="137">
        <v>9</v>
      </c>
      <c r="C38" s="31">
        <v>46.305161290322573</v>
      </c>
      <c r="D38" s="31">
        <v>6.0986290322580636</v>
      </c>
    </row>
    <row r="39" spans="1:4" x14ac:dyDescent="0.3">
      <c r="A39" s="12" t="s">
        <v>229</v>
      </c>
      <c r="B39" s="137">
        <v>2</v>
      </c>
      <c r="C39" s="31">
        <v>5.3270967741935484</v>
      </c>
      <c r="D39" s="31">
        <v>2.6635483870967742</v>
      </c>
    </row>
    <row r="40" spans="1:4" x14ac:dyDescent="0.3">
      <c r="A40" s="12" t="s">
        <v>233</v>
      </c>
      <c r="B40" s="137">
        <v>4</v>
      </c>
      <c r="C40" s="31">
        <v>0</v>
      </c>
      <c r="D40" s="31">
        <v>0</v>
      </c>
    </row>
    <row r="41" spans="1:4" x14ac:dyDescent="0.3">
      <c r="A41" s="12" t="s">
        <v>224</v>
      </c>
      <c r="B41" s="137">
        <v>5</v>
      </c>
      <c r="C41" s="31">
        <v>57.026451612903223</v>
      </c>
      <c r="D41" s="31">
        <v>11.405290322580644</v>
      </c>
    </row>
    <row r="42" spans="1:4" x14ac:dyDescent="0.3">
      <c r="A42" s="12" t="s">
        <v>230</v>
      </c>
      <c r="B42" s="137">
        <v>2</v>
      </c>
      <c r="C42" s="31">
        <v>8.1038709677419352</v>
      </c>
      <c r="D42" s="31">
        <v>4.0519354838709676</v>
      </c>
    </row>
    <row r="43" spans="1:4" x14ac:dyDescent="0.3">
      <c r="A43" s="12" t="s">
        <v>231</v>
      </c>
      <c r="B43" s="137">
        <v>7</v>
      </c>
      <c r="C43" s="31">
        <v>31.568064516129031</v>
      </c>
      <c r="D43" s="31">
        <v>5.9543548387096772</v>
      </c>
    </row>
    <row r="44" spans="1:4" x14ac:dyDescent="0.3">
      <c r="A44" s="12" t="s">
        <v>207</v>
      </c>
      <c r="B44" s="137">
        <v>4</v>
      </c>
      <c r="C44" s="31">
        <v>66.805225806451617</v>
      </c>
      <c r="D44" s="31">
        <v>33.402612903225808</v>
      </c>
    </row>
    <row r="45" spans="1:4" x14ac:dyDescent="0.3">
      <c r="A45" s="12" t="s">
        <v>214</v>
      </c>
      <c r="B45" s="137">
        <v>9</v>
      </c>
      <c r="C45" s="31">
        <v>152.93935483870968</v>
      </c>
      <c r="D45" s="31">
        <v>16.99326164874552</v>
      </c>
    </row>
    <row r="46" spans="1:4" x14ac:dyDescent="0.3">
      <c r="A46" s="12" t="s">
        <v>228</v>
      </c>
      <c r="B46" s="137">
        <v>1</v>
      </c>
      <c r="C46" s="31">
        <v>0</v>
      </c>
      <c r="D46" s="31">
        <v>0</v>
      </c>
    </row>
    <row r="47" spans="1:4" x14ac:dyDescent="0.3">
      <c r="A47" s="12" t="s">
        <v>94</v>
      </c>
      <c r="B47" s="137">
        <v>2</v>
      </c>
      <c r="C47" s="31">
        <v>0</v>
      </c>
      <c r="D47" s="31">
        <v>0</v>
      </c>
    </row>
    <row r="48" spans="1:4" x14ac:dyDescent="0.3">
      <c r="A48" s="12" t="s">
        <v>219</v>
      </c>
      <c r="B48" s="137">
        <v>40</v>
      </c>
      <c r="C48" s="31">
        <v>371.84387096774191</v>
      </c>
      <c r="D48" s="31">
        <v>9.296096774193547</v>
      </c>
    </row>
    <row r="49" spans="1:4" x14ac:dyDescent="0.3">
      <c r="A49" s="12" t="s">
        <v>117</v>
      </c>
      <c r="B49" s="137">
        <v>1</v>
      </c>
      <c r="C49" s="31">
        <v>0</v>
      </c>
      <c r="D49" s="31">
        <v>0</v>
      </c>
    </row>
    <row r="50" spans="1:4" x14ac:dyDescent="0.3">
      <c r="A50" s="12" t="s">
        <v>115</v>
      </c>
      <c r="B50" s="137">
        <v>1</v>
      </c>
      <c r="C50" s="31">
        <v>0</v>
      </c>
      <c r="D50" s="31">
        <v>0</v>
      </c>
    </row>
    <row r="51" spans="1:4" x14ac:dyDescent="0.3">
      <c r="A51" s="12" t="s">
        <v>223</v>
      </c>
      <c r="B51" s="137">
        <v>2</v>
      </c>
      <c r="C51" s="31">
        <v>0</v>
      </c>
      <c r="D51" s="31">
        <v>0</v>
      </c>
    </row>
    <row r="52" spans="1:4" x14ac:dyDescent="0.3">
      <c r="A52" s="12" t="s">
        <v>122</v>
      </c>
      <c r="B52" s="137">
        <v>3</v>
      </c>
      <c r="C52" s="31">
        <v>0</v>
      </c>
      <c r="D52" s="31">
        <v>0</v>
      </c>
    </row>
    <row r="53" spans="1:4" x14ac:dyDescent="0.3">
      <c r="A53" s="12" t="s">
        <v>143</v>
      </c>
      <c r="B53" s="137">
        <v>2</v>
      </c>
      <c r="C53" s="31">
        <v>0.87196774193548388</v>
      </c>
      <c r="D53" s="31">
        <v>0.43598387096774194</v>
      </c>
    </row>
    <row r="54" spans="1:4" x14ac:dyDescent="0.3">
      <c r="A54" s="12" t="s">
        <v>208</v>
      </c>
      <c r="B54" s="137">
        <v>10</v>
      </c>
      <c r="C54" s="31">
        <v>60.391290322580652</v>
      </c>
      <c r="D54" s="31">
        <v>6.0391290322580655</v>
      </c>
    </row>
    <row r="55" spans="1:4" x14ac:dyDescent="0.3">
      <c r="A55" s="12" t="s">
        <v>244</v>
      </c>
      <c r="B55" s="137">
        <v>3</v>
      </c>
      <c r="C55" s="31">
        <v>0</v>
      </c>
      <c r="D55" s="31">
        <v>0</v>
      </c>
    </row>
    <row r="56" spans="1:4" x14ac:dyDescent="0.3">
      <c r="A56" s="12" t="s">
        <v>196</v>
      </c>
      <c r="B56" s="137">
        <v>10</v>
      </c>
      <c r="C56" s="31">
        <v>68.575161290322598</v>
      </c>
      <c r="D56" s="31">
        <v>6.8575161290322599</v>
      </c>
    </row>
    <row r="57" spans="1:4" x14ac:dyDescent="0.3">
      <c r="A57" s="12" t="s">
        <v>174</v>
      </c>
      <c r="B57" s="137">
        <v>11</v>
      </c>
      <c r="C57" s="31">
        <v>93.695483870967749</v>
      </c>
      <c r="D57" s="31">
        <v>11.307451612903225</v>
      </c>
    </row>
    <row r="58" spans="1:4" x14ac:dyDescent="0.3">
      <c r="A58" s="12" t="s">
        <v>204</v>
      </c>
      <c r="B58" s="137">
        <v>6</v>
      </c>
      <c r="C58" s="31">
        <v>27.179677419354832</v>
      </c>
      <c r="D58" s="31">
        <v>4.5299462365591383</v>
      </c>
    </row>
    <row r="59" spans="1:4" x14ac:dyDescent="0.3">
      <c r="A59" s="12" t="s">
        <v>232</v>
      </c>
      <c r="B59" s="137">
        <v>20</v>
      </c>
      <c r="C59" s="31">
        <v>52.652258064516133</v>
      </c>
      <c r="D59" s="31">
        <v>2.6326129032258065</v>
      </c>
    </row>
    <row r="60" spans="1:4" x14ac:dyDescent="0.3">
      <c r="A60" s="12" t="s">
        <v>249</v>
      </c>
      <c r="B60" s="137">
        <v>8</v>
      </c>
      <c r="C60" s="31">
        <v>5.1688235294117648</v>
      </c>
      <c r="D60" s="31">
        <v>0.6461029411764706</v>
      </c>
    </row>
    <row r="61" spans="1:4" x14ac:dyDescent="0.3">
      <c r="A61" s="12" t="s">
        <v>250</v>
      </c>
      <c r="B61" s="137">
        <v>9</v>
      </c>
      <c r="C61" s="31">
        <v>2.8768241626794264</v>
      </c>
      <c r="D61" s="31">
        <v>0.93662799043062206</v>
      </c>
    </row>
    <row r="62" spans="1:4" x14ac:dyDescent="0.3">
      <c r="A62" s="12" t="s">
        <v>203</v>
      </c>
      <c r="B62" s="137">
        <v>27</v>
      </c>
      <c r="C62" s="31">
        <v>147.41709677419348</v>
      </c>
      <c r="D62" s="31">
        <v>13.366129032258062</v>
      </c>
    </row>
    <row r="63" spans="1:4" x14ac:dyDescent="0.3">
      <c r="A63" s="12" t="s">
        <v>247</v>
      </c>
      <c r="B63" s="137">
        <v>5</v>
      </c>
      <c r="C63" s="31">
        <v>30.081935483870971</v>
      </c>
      <c r="D63" s="31">
        <v>6.0163870967741939</v>
      </c>
    </row>
    <row r="64" spans="1:4" x14ac:dyDescent="0.3">
      <c r="A64" s="12" t="s">
        <v>216</v>
      </c>
      <c r="B64" s="137">
        <v>7</v>
      </c>
      <c r="C64" s="31">
        <v>143.59548387096771</v>
      </c>
      <c r="D64" s="31">
        <v>20.513640552995387</v>
      </c>
    </row>
    <row r="65" spans="1:4" x14ac:dyDescent="0.3">
      <c r="A65" s="12" t="s">
        <v>243</v>
      </c>
      <c r="B65" s="137">
        <v>1</v>
      </c>
      <c r="C65" s="31">
        <v>0</v>
      </c>
      <c r="D65" s="31">
        <v>0</v>
      </c>
    </row>
    <row r="66" spans="1:4" x14ac:dyDescent="0.3">
      <c r="A66" s="12" t="s">
        <v>234</v>
      </c>
      <c r="B66" s="137">
        <v>8</v>
      </c>
      <c r="C66" s="31">
        <v>73.622903225806468</v>
      </c>
      <c r="D66" s="31">
        <v>9.2028629032258085</v>
      </c>
    </row>
    <row r="67" spans="1:4" x14ac:dyDescent="0.3">
      <c r="A67" s="12" t="s">
        <v>110</v>
      </c>
      <c r="B67" s="137">
        <v>1</v>
      </c>
      <c r="C67" s="31">
        <v>0</v>
      </c>
      <c r="D67" s="31">
        <v>0</v>
      </c>
    </row>
    <row r="68" spans="1:4" x14ac:dyDescent="0.3">
      <c r="A68" s="12" t="s">
        <v>252</v>
      </c>
      <c r="B68" s="137">
        <v>3</v>
      </c>
      <c r="C68" s="31">
        <v>4.3342857142857145</v>
      </c>
      <c r="D68" s="31">
        <v>1.4447619047619049</v>
      </c>
    </row>
    <row r="69" spans="1:4" x14ac:dyDescent="0.3">
      <c r="A69" s="12" t="s">
        <v>253</v>
      </c>
      <c r="B69" s="137">
        <v>3</v>
      </c>
      <c r="C69" s="31">
        <v>0</v>
      </c>
      <c r="D69" s="31">
        <v>0</v>
      </c>
    </row>
    <row r="70" spans="1:4" x14ac:dyDescent="0.3">
      <c r="A70" s="12" t="s">
        <v>254</v>
      </c>
      <c r="B70" s="137">
        <v>10</v>
      </c>
      <c r="C70" s="31">
        <v>0</v>
      </c>
      <c r="D70" s="31">
        <v>0</v>
      </c>
    </row>
    <row r="71" spans="1:4" x14ac:dyDescent="0.3">
      <c r="A71" s="12" t="s">
        <v>256</v>
      </c>
      <c r="B71" s="137">
        <v>6</v>
      </c>
      <c r="C71" s="31">
        <v>21.495000000000001</v>
      </c>
      <c r="D71" s="31">
        <v>3.5825</v>
      </c>
    </row>
    <row r="72" spans="1:4" x14ac:dyDescent="0.3">
      <c r="A72" s="12" t="s">
        <v>83</v>
      </c>
      <c r="B72" s="137">
        <v>595</v>
      </c>
      <c r="C72" s="31">
        <v>2130.0957559870221</v>
      </c>
      <c r="D72" s="31">
        <v>285.48876420038903</v>
      </c>
    </row>
    <row r="88" spans="1:2" x14ac:dyDescent="0.3">
      <c r="A88" s="30" t="s">
        <v>158</v>
      </c>
      <c r="B88" s="30" t="s">
        <v>2</v>
      </c>
    </row>
    <row r="89" spans="1:2" x14ac:dyDescent="0.3">
      <c r="A89" s="12" t="s">
        <v>163</v>
      </c>
      <c r="B89" s="12"/>
    </row>
    <row r="90" spans="1:2" x14ac:dyDescent="0.3">
      <c r="A90" s="12" t="s">
        <v>161</v>
      </c>
      <c r="B90" s="12"/>
    </row>
    <row r="91" spans="1:2" x14ac:dyDescent="0.3">
      <c r="A91" s="12" t="s">
        <v>160</v>
      </c>
      <c r="B91" s="12"/>
    </row>
    <row r="92" spans="1:2" x14ac:dyDescent="0.3">
      <c r="A92" s="12" t="s">
        <v>159</v>
      </c>
      <c r="B92" s="12"/>
    </row>
    <row r="93" spans="1:2" x14ac:dyDescent="0.3">
      <c r="A93" s="12" t="s">
        <v>162</v>
      </c>
      <c r="B93" s="12"/>
    </row>
    <row r="94" spans="1:2" x14ac:dyDescent="0.3">
      <c r="A94" s="12" t="s">
        <v>83</v>
      </c>
      <c r="B94" s="1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P84"/>
  <sheetViews>
    <sheetView topLeftCell="A67" zoomScaleNormal="100" workbookViewId="0">
      <pane xSplit="8" topLeftCell="I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40" width="10.44140625" customWidth="1"/>
    <col min="42" max="42" width="10.33203125" customWidth="1"/>
  </cols>
  <sheetData>
    <row r="1" spans="1:42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45352</v>
      </c>
      <c r="K1" s="16">
        <v>45353</v>
      </c>
      <c r="L1" s="16">
        <v>45354</v>
      </c>
      <c r="M1" s="16">
        <v>45355</v>
      </c>
      <c r="N1" s="16">
        <v>45356</v>
      </c>
      <c r="O1" s="16">
        <v>45357</v>
      </c>
      <c r="P1" s="16">
        <v>45358</v>
      </c>
      <c r="Q1" s="16">
        <v>45359</v>
      </c>
      <c r="R1" s="16">
        <v>45360</v>
      </c>
      <c r="S1" s="16">
        <v>45361</v>
      </c>
      <c r="T1" s="16">
        <v>45362</v>
      </c>
      <c r="U1" s="16">
        <v>45363</v>
      </c>
      <c r="V1" s="16">
        <v>45364</v>
      </c>
      <c r="W1" s="16">
        <v>45365</v>
      </c>
      <c r="X1" s="16">
        <v>45366</v>
      </c>
      <c r="Y1" s="16">
        <v>45367</v>
      </c>
      <c r="Z1" s="16">
        <v>45368</v>
      </c>
      <c r="AA1" s="16">
        <v>45369</v>
      </c>
      <c r="AB1" s="16">
        <v>45370</v>
      </c>
      <c r="AC1" s="16">
        <v>45371</v>
      </c>
      <c r="AD1" s="16">
        <v>45372</v>
      </c>
      <c r="AE1" s="16">
        <v>45373</v>
      </c>
      <c r="AF1" s="16">
        <v>45374</v>
      </c>
      <c r="AG1" s="16">
        <v>45375</v>
      </c>
      <c r="AH1" s="16">
        <v>45376</v>
      </c>
      <c r="AI1" s="16">
        <v>45377</v>
      </c>
      <c r="AJ1" s="16">
        <v>45378</v>
      </c>
      <c r="AK1" s="16">
        <v>45379</v>
      </c>
      <c r="AL1" s="16">
        <v>45380</v>
      </c>
      <c r="AM1" s="16">
        <v>45381</v>
      </c>
      <c r="AN1" s="16">
        <v>45382</v>
      </c>
      <c r="AO1" s="13" t="s">
        <v>8</v>
      </c>
      <c r="AP1" s="66" t="s">
        <v>154</v>
      </c>
    </row>
    <row r="2" spans="1:42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159</v>
      </c>
      <c r="J2" s="46">
        <v>0</v>
      </c>
      <c r="K2" s="45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59">
        <v>0</v>
      </c>
      <c r="X2" s="46">
        <v>0</v>
      </c>
      <c r="Y2" s="46">
        <v>0</v>
      </c>
      <c r="Z2" s="46">
        <v>0</v>
      </c>
      <c r="AA2" s="46">
        <v>0</v>
      </c>
      <c r="AB2" s="53">
        <v>0</v>
      </c>
      <c r="AC2" s="60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f t="shared" ref="AO2:AO33" si="0">AVERAGE(J2:AN2)</f>
        <v>0</v>
      </c>
      <c r="AP2" s="67">
        <f t="shared" ref="AP2:AP33" si="1">AO2/H2</f>
        <v>0</v>
      </c>
    </row>
    <row r="3" spans="1:42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159</v>
      </c>
      <c r="J3" s="46">
        <v>118.72</v>
      </c>
      <c r="K3" s="45">
        <v>140.97999999999999</v>
      </c>
      <c r="L3" s="46">
        <v>130.41</v>
      </c>
      <c r="M3" s="46">
        <v>112.67</v>
      </c>
      <c r="N3" s="46">
        <v>128.74</v>
      </c>
      <c r="O3" s="46">
        <v>134.66999999999999</v>
      </c>
      <c r="P3" s="46">
        <v>95.38</v>
      </c>
      <c r="Q3" s="46">
        <v>136.6</v>
      </c>
      <c r="R3" s="46">
        <v>122.39</v>
      </c>
      <c r="S3" s="46">
        <v>99.42</v>
      </c>
      <c r="T3" s="46">
        <v>82.89</v>
      </c>
      <c r="U3" s="46">
        <v>108.14</v>
      </c>
      <c r="V3" s="46">
        <v>108.48</v>
      </c>
      <c r="W3" s="46">
        <v>84.88</v>
      </c>
      <c r="X3" s="46">
        <v>118.57</v>
      </c>
      <c r="Y3" s="46">
        <v>109.65</v>
      </c>
      <c r="Z3" s="46">
        <v>83.69</v>
      </c>
      <c r="AA3" s="46">
        <v>81.12</v>
      </c>
      <c r="AB3" s="53">
        <v>121.59</v>
      </c>
      <c r="AC3" s="60">
        <v>118.94</v>
      </c>
      <c r="AD3" s="60">
        <v>105.53</v>
      </c>
      <c r="AE3" s="60">
        <v>77.67</v>
      </c>
      <c r="AF3" s="60">
        <v>101.55</v>
      </c>
      <c r="AG3" s="54">
        <v>89.13</v>
      </c>
      <c r="AH3" s="46">
        <v>53.34</v>
      </c>
      <c r="AI3" s="46">
        <v>75.87</v>
      </c>
      <c r="AJ3" s="46">
        <v>94.7</v>
      </c>
      <c r="AK3" s="46">
        <v>56.68</v>
      </c>
      <c r="AL3" s="46">
        <v>92.36</v>
      </c>
      <c r="AM3" s="46">
        <v>117.01</v>
      </c>
      <c r="AN3" s="46">
        <v>73.260000000000005</v>
      </c>
      <c r="AO3" s="46">
        <f t="shared" si="0"/>
        <v>102.42032258064521</v>
      </c>
      <c r="AP3" s="67">
        <f t="shared" si="1"/>
        <v>11.380035842293912</v>
      </c>
    </row>
    <row r="4" spans="1:42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159</v>
      </c>
      <c r="J4" s="46">
        <v>28.41</v>
      </c>
      <c r="K4" s="45">
        <v>45.25</v>
      </c>
      <c r="L4" s="46">
        <v>26.66</v>
      </c>
      <c r="M4" s="46">
        <v>32.229999999999997</v>
      </c>
      <c r="N4" s="46">
        <v>24.43</v>
      </c>
      <c r="O4" s="46">
        <v>24.56</v>
      </c>
      <c r="P4" s="46">
        <v>32.81</v>
      </c>
      <c r="Q4" s="46">
        <v>32.61</v>
      </c>
      <c r="R4" s="46">
        <v>27.98</v>
      </c>
      <c r="S4" s="46">
        <v>15.26</v>
      </c>
      <c r="T4" s="46">
        <v>23.59</v>
      </c>
      <c r="U4" s="46">
        <v>28.42</v>
      </c>
      <c r="V4" s="46">
        <v>26.54</v>
      </c>
      <c r="W4" s="46">
        <v>17.2</v>
      </c>
      <c r="X4" s="46">
        <v>32.119999999999997</v>
      </c>
      <c r="Y4" s="46">
        <v>36.39</v>
      </c>
      <c r="Z4" s="46">
        <v>31.96</v>
      </c>
      <c r="AA4" s="46">
        <v>18.190000000000001</v>
      </c>
      <c r="AB4" s="53">
        <v>17.72</v>
      </c>
      <c r="AC4" s="60">
        <v>9.51</v>
      </c>
      <c r="AD4" s="60">
        <v>24.41</v>
      </c>
      <c r="AE4" s="60">
        <v>19.86</v>
      </c>
      <c r="AF4" s="60">
        <v>9.81</v>
      </c>
      <c r="AG4" s="54">
        <v>27.05</v>
      </c>
      <c r="AH4" s="46">
        <v>39.75</v>
      </c>
      <c r="AI4" s="46">
        <v>23.76</v>
      </c>
      <c r="AJ4" s="46">
        <v>29.26</v>
      </c>
      <c r="AK4" s="46">
        <v>31.71</v>
      </c>
      <c r="AL4" s="46">
        <v>31.97</v>
      </c>
      <c r="AM4" s="46">
        <v>29.58</v>
      </c>
      <c r="AN4" s="46">
        <v>23.74</v>
      </c>
      <c r="AO4" s="46">
        <f t="shared" si="0"/>
        <v>26.539999999999996</v>
      </c>
      <c r="AP4" s="67">
        <f t="shared" si="1"/>
        <v>8.8466666666666658</v>
      </c>
    </row>
    <row r="5" spans="1:42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67" t="s">
        <v>163</v>
      </c>
      <c r="J5" s="45">
        <v>41.52</v>
      </c>
      <c r="K5" s="45">
        <v>49.29</v>
      </c>
      <c r="L5" s="45">
        <v>64.97</v>
      </c>
      <c r="M5" s="45">
        <v>74.25</v>
      </c>
      <c r="N5" s="45">
        <v>64.510000000000005</v>
      </c>
      <c r="O5" s="45">
        <v>87.77</v>
      </c>
      <c r="P5" s="45">
        <v>77.78</v>
      </c>
      <c r="Q5" s="45">
        <v>66.78</v>
      </c>
      <c r="R5" s="45">
        <v>54.4</v>
      </c>
      <c r="S5" s="46">
        <v>68.92</v>
      </c>
      <c r="T5" s="46">
        <v>66.08</v>
      </c>
      <c r="U5" s="46">
        <v>75.349999999999994</v>
      </c>
      <c r="V5" s="46">
        <v>90.41</v>
      </c>
      <c r="W5" s="46">
        <v>70.73</v>
      </c>
      <c r="X5" s="46">
        <v>68.78</v>
      </c>
      <c r="Y5" s="46">
        <v>67.86</v>
      </c>
      <c r="Z5" s="46">
        <v>69.5</v>
      </c>
      <c r="AA5" s="46">
        <v>76.02</v>
      </c>
      <c r="AB5" s="46">
        <v>68.010000000000005</v>
      </c>
      <c r="AC5" s="46">
        <v>84.77</v>
      </c>
      <c r="AD5" s="46">
        <v>82.19</v>
      </c>
      <c r="AE5" s="46">
        <v>76.14</v>
      </c>
      <c r="AF5" s="46">
        <v>79.709999999999994</v>
      </c>
      <c r="AG5" s="46">
        <v>72.05</v>
      </c>
      <c r="AH5" s="46">
        <v>55.95</v>
      </c>
      <c r="AI5" s="46">
        <v>57.92</v>
      </c>
      <c r="AJ5" s="46">
        <v>63.9</v>
      </c>
      <c r="AK5" s="46">
        <v>51.08</v>
      </c>
      <c r="AL5" s="46">
        <v>90.56</v>
      </c>
      <c r="AM5" s="46">
        <v>78.16</v>
      </c>
      <c r="AN5" s="46">
        <v>44.39</v>
      </c>
      <c r="AO5" s="46">
        <f t="shared" si="0"/>
        <v>69.024193548387103</v>
      </c>
      <c r="AP5" s="67">
        <f t="shared" si="1"/>
        <v>8.6280241935483879</v>
      </c>
    </row>
    <row r="6" spans="1:42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24</v>
      </c>
      <c r="I6" s="67" t="s">
        <v>163</v>
      </c>
      <c r="J6" s="45">
        <v>162.47999999999999</v>
      </c>
      <c r="K6" s="45">
        <v>189.87</v>
      </c>
      <c r="L6" s="45">
        <v>125.57</v>
      </c>
      <c r="M6" s="45">
        <v>160.62</v>
      </c>
      <c r="N6" s="45">
        <v>135.53</v>
      </c>
      <c r="O6" s="45">
        <v>121.65</v>
      </c>
      <c r="P6" s="45">
        <v>148.22</v>
      </c>
      <c r="Q6" s="45">
        <v>113.32</v>
      </c>
      <c r="R6" s="45">
        <v>94.6</v>
      </c>
      <c r="S6" s="45">
        <v>98.57</v>
      </c>
      <c r="T6" s="46">
        <v>109.34</v>
      </c>
      <c r="U6" s="46">
        <v>137.79</v>
      </c>
      <c r="V6" s="46">
        <v>148.38999999999999</v>
      </c>
      <c r="W6" s="46">
        <v>144.68</v>
      </c>
      <c r="X6" s="46">
        <v>99.09</v>
      </c>
      <c r="Y6" s="46">
        <v>125.02</v>
      </c>
      <c r="Z6" s="46">
        <v>155.16999999999999</v>
      </c>
      <c r="AA6" s="46">
        <v>164.28</v>
      </c>
      <c r="AB6" s="46">
        <v>141.47</v>
      </c>
      <c r="AC6" s="46">
        <v>152.30000000000001</v>
      </c>
      <c r="AD6" s="46">
        <v>140.51</v>
      </c>
      <c r="AE6" s="46">
        <v>138.43</v>
      </c>
      <c r="AF6" s="46">
        <v>143.62</v>
      </c>
      <c r="AG6" s="46">
        <v>99.29</v>
      </c>
      <c r="AH6" s="46">
        <v>123.6</v>
      </c>
      <c r="AI6" s="46">
        <v>148.21</v>
      </c>
      <c r="AJ6" s="46">
        <v>153.21</v>
      </c>
      <c r="AK6" s="46">
        <v>161.69</v>
      </c>
      <c r="AL6" s="46">
        <v>136.61000000000001</v>
      </c>
      <c r="AM6" s="46">
        <v>238.28</v>
      </c>
      <c r="AN6" s="46">
        <v>114.11</v>
      </c>
      <c r="AO6" s="46">
        <f t="shared" si="0"/>
        <v>139.53290322580639</v>
      </c>
      <c r="AP6" s="67">
        <f t="shared" si="1"/>
        <v>5.8138709677419333</v>
      </c>
    </row>
    <row r="7" spans="1:42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13</v>
      </c>
      <c r="G7" s="6" t="s">
        <v>80</v>
      </c>
      <c r="H7" s="5">
        <v>1</v>
      </c>
      <c r="I7" s="67" t="s">
        <v>163</v>
      </c>
      <c r="J7" s="45">
        <v>19.850000000000001</v>
      </c>
      <c r="K7" s="45">
        <v>9.83</v>
      </c>
      <c r="L7" s="46">
        <v>0</v>
      </c>
      <c r="M7" s="46">
        <v>0</v>
      </c>
      <c r="N7" s="46">
        <v>4.3099999999999996</v>
      </c>
      <c r="O7" s="46">
        <v>9.39</v>
      </c>
      <c r="P7" s="46">
        <v>0</v>
      </c>
      <c r="Q7" s="46">
        <v>7.72</v>
      </c>
      <c r="R7" s="46">
        <v>6.05</v>
      </c>
      <c r="S7" s="46">
        <v>13.33</v>
      </c>
      <c r="T7" s="46">
        <v>6.49</v>
      </c>
      <c r="U7" s="46">
        <v>8.33</v>
      </c>
      <c r="V7" s="46">
        <v>8.16</v>
      </c>
      <c r="W7" s="46">
        <v>0</v>
      </c>
      <c r="X7" s="46">
        <v>6.73</v>
      </c>
      <c r="Y7" s="46">
        <v>15.09</v>
      </c>
      <c r="Z7" s="46">
        <v>0</v>
      </c>
      <c r="AA7" s="46">
        <v>6.84</v>
      </c>
      <c r="AB7" s="53">
        <v>3.96</v>
      </c>
      <c r="AC7" s="60">
        <v>0</v>
      </c>
      <c r="AD7" s="60">
        <v>17.43</v>
      </c>
      <c r="AE7" s="60">
        <v>3.56</v>
      </c>
      <c r="AF7" s="60">
        <v>7.43</v>
      </c>
      <c r="AG7" s="54">
        <v>10.29</v>
      </c>
      <c r="AH7" s="46">
        <v>0</v>
      </c>
      <c r="AI7" s="46">
        <v>3.85</v>
      </c>
      <c r="AJ7" s="46">
        <v>3.03</v>
      </c>
      <c r="AK7" s="46">
        <v>18.97</v>
      </c>
      <c r="AL7" s="46">
        <v>8.01</v>
      </c>
      <c r="AM7" s="46">
        <v>15.45</v>
      </c>
      <c r="AN7" s="46">
        <v>9.73</v>
      </c>
      <c r="AO7" s="46">
        <f t="shared" si="0"/>
        <v>7.2203225806451599</v>
      </c>
      <c r="AP7" s="67">
        <f t="shared" si="1"/>
        <v>7.2203225806451599</v>
      </c>
    </row>
    <row r="8" spans="1:42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124</v>
      </c>
      <c r="G8" s="6" t="s">
        <v>80</v>
      </c>
      <c r="H8" s="5">
        <v>2</v>
      </c>
      <c r="I8" s="67" t="s">
        <v>163</v>
      </c>
      <c r="J8" s="45">
        <v>0</v>
      </c>
      <c r="K8" s="45">
        <v>4.88</v>
      </c>
      <c r="L8" s="45">
        <v>0</v>
      </c>
      <c r="M8" s="45">
        <v>4.1399999999999997</v>
      </c>
      <c r="N8" s="45">
        <v>0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6">
        <v>0</v>
      </c>
      <c r="U8" s="46">
        <v>0</v>
      </c>
      <c r="V8" s="46">
        <v>0</v>
      </c>
      <c r="W8" s="46">
        <v>0</v>
      </c>
      <c r="X8" s="46">
        <v>5.32</v>
      </c>
      <c r="Y8" s="46">
        <v>0.46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5.78</v>
      </c>
      <c r="AN8" s="46">
        <v>0</v>
      </c>
      <c r="AO8" s="46">
        <f t="shared" si="0"/>
        <v>0.66387096774193555</v>
      </c>
      <c r="AP8" s="67">
        <f t="shared" si="1"/>
        <v>0.33193548387096777</v>
      </c>
    </row>
    <row r="9" spans="1:42" x14ac:dyDescent="0.3">
      <c r="A9" s="5">
        <v>8</v>
      </c>
      <c r="B9" s="6" t="s">
        <v>9</v>
      </c>
      <c r="C9" s="12" t="s">
        <v>204</v>
      </c>
      <c r="D9" s="6" t="s">
        <v>128</v>
      </c>
      <c r="E9" s="6" t="s">
        <v>12</v>
      </c>
      <c r="F9" s="6" t="s">
        <v>13</v>
      </c>
      <c r="G9" s="6" t="s">
        <v>35</v>
      </c>
      <c r="H9" s="5">
        <v>6</v>
      </c>
      <c r="I9" s="67" t="s">
        <v>163</v>
      </c>
      <c r="J9" s="45">
        <v>33.659999999999997</v>
      </c>
      <c r="K9" s="45">
        <v>30.19</v>
      </c>
      <c r="L9" s="46">
        <v>29.02</v>
      </c>
      <c r="M9" s="46">
        <v>40.75</v>
      </c>
      <c r="N9" s="46">
        <v>33.86</v>
      </c>
      <c r="O9" s="46">
        <v>18.52</v>
      </c>
      <c r="P9" s="46">
        <v>43.23</v>
      </c>
      <c r="Q9" s="46">
        <v>44.24</v>
      </c>
      <c r="R9" s="46">
        <v>26.06</v>
      </c>
      <c r="S9" s="46">
        <v>25.32</v>
      </c>
      <c r="T9" s="46">
        <v>27.9</v>
      </c>
      <c r="U9" s="46">
        <v>21.03</v>
      </c>
      <c r="V9" s="46">
        <v>31.88</v>
      </c>
      <c r="W9" s="46">
        <v>22.36</v>
      </c>
      <c r="X9" s="46">
        <v>19.5</v>
      </c>
      <c r="Y9" s="46">
        <v>35.33</v>
      </c>
      <c r="Z9" s="46">
        <v>22.95</v>
      </c>
      <c r="AA9" s="46">
        <v>29.27</v>
      </c>
      <c r="AB9" s="53">
        <v>26.9</v>
      </c>
      <c r="AC9" s="60">
        <v>15.72</v>
      </c>
      <c r="AD9" s="60">
        <v>28.02</v>
      </c>
      <c r="AE9" s="60">
        <v>28.36</v>
      </c>
      <c r="AF9" s="60">
        <v>25.89</v>
      </c>
      <c r="AG9" s="54">
        <v>20.2</v>
      </c>
      <c r="AH9" s="46">
        <v>24.33</v>
      </c>
      <c r="AI9" s="46">
        <v>18.79</v>
      </c>
      <c r="AJ9" s="46">
        <v>25.91</v>
      </c>
      <c r="AK9" s="46">
        <v>23.35</v>
      </c>
      <c r="AL9" s="46">
        <v>35.54</v>
      </c>
      <c r="AM9" s="46">
        <v>16.309999999999999</v>
      </c>
      <c r="AN9" s="46">
        <v>18.18</v>
      </c>
      <c r="AO9" s="46">
        <f t="shared" si="0"/>
        <v>27.179677419354832</v>
      </c>
      <c r="AP9" s="67">
        <f t="shared" si="1"/>
        <v>4.5299462365591383</v>
      </c>
    </row>
    <row r="10" spans="1:42" x14ac:dyDescent="0.3">
      <c r="A10" s="5">
        <v>9</v>
      </c>
      <c r="B10" s="6" t="s">
        <v>9</v>
      </c>
      <c r="C10" s="12" t="s">
        <v>205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3</v>
      </c>
      <c r="I10" s="67" t="s">
        <v>163</v>
      </c>
      <c r="J10" s="45">
        <v>61.96</v>
      </c>
      <c r="K10" s="45">
        <v>51.24</v>
      </c>
      <c r="L10" s="46">
        <v>39.5</v>
      </c>
      <c r="M10" s="46">
        <v>41.11</v>
      </c>
      <c r="N10" s="46">
        <v>47.33</v>
      </c>
      <c r="O10" s="46">
        <v>38.51</v>
      </c>
      <c r="P10" s="46">
        <v>61.24</v>
      </c>
      <c r="Q10" s="46">
        <v>48.76</v>
      </c>
      <c r="R10" s="46">
        <v>44.05</v>
      </c>
      <c r="S10" s="46">
        <v>51.46</v>
      </c>
      <c r="T10" s="46">
        <v>44.82</v>
      </c>
      <c r="U10" s="46">
        <v>57.56</v>
      </c>
      <c r="V10" s="46">
        <v>49.71</v>
      </c>
      <c r="W10" s="46">
        <v>60.61</v>
      </c>
      <c r="X10" s="46">
        <v>58.83</v>
      </c>
      <c r="Y10" s="46">
        <v>61.04</v>
      </c>
      <c r="Z10" s="46">
        <v>45.25</v>
      </c>
      <c r="AA10" s="46">
        <v>59.41</v>
      </c>
      <c r="AB10" s="53">
        <v>46.65</v>
      </c>
      <c r="AC10" s="60">
        <v>13.94</v>
      </c>
      <c r="AD10" s="60">
        <v>37.770000000000003</v>
      </c>
      <c r="AE10" s="60">
        <v>50.35</v>
      </c>
      <c r="AF10" s="60">
        <v>46.32</v>
      </c>
      <c r="AG10" s="54">
        <v>41.43</v>
      </c>
      <c r="AH10" s="46">
        <v>64.48</v>
      </c>
      <c r="AI10" s="46">
        <v>40.630000000000003</v>
      </c>
      <c r="AJ10" s="46">
        <v>36.450000000000003</v>
      </c>
      <c r="AK10" s="46">
        <v>63.23</v>
      </c>
      <c r="AL10" s="46">
        <v>35.97</v>
      </c>
      <c r="AM10" s="46">
        <v>55.03</v>
      </c>
      <c r="AN10" s="46">
        <v>57.99</v>
      </c>
      <c r="AO10" s="46">
        <f t="shared" si="0"/>
        <v>48.79451612903226</v>
      </c>
      <c r="AP10" s="67">
        <f t="shared" si="1"/>
        <v>16.26483870967742</v>
      </c>
    </row>
    <row r="11" spans="1:42" x14ac:dyDescent="0.3">
      <c r="A11" s="5">
        <v>10</v>
      </c>
      <c r="B11" s="6" t="s">
        <v>9</v>
      </c>
      <c r="C11" s="12" t="s">
        <v>248</v>
      </c>
      <c r="D11" s="6" t="s">
        <v>128</v>
      </c>
      <c r="E11" s="6" t="s">
        <v>19</v>
      </c>
      <c r="F11" s="6" t="s">
        <v>13</v>
      </c>
      <c r="G11" s="6" t="s">
        <v>35</v>
      </c>
      <c r="H11" s="5">
        <v>1</v>
      </c>
      <c r="I11" s="67" t="s">
        <v>161</v>
      </c>
      <c r="J11" s="45"/>
      <c r="K11" s="45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>
        <v>0</v>
      </c>
      <c r="Z11" s="46">
        <v>0</v>
      </c>
      <c r="AA11" s="46">
        <v>0</v>
      </c>
      <c r="AB11" s="53">
        <v>3.49</v>
      </c>
      <c r="AC11" s="60">
        <v>0</v>
      </c>
      <c r="AD11" s="60">
        <v>2.44</v>
      </c>
      <c r="AE11" s="60">
        <v>0</v>
      </c>
      <c r="AF11" s="60">
        <v>0</v>
      </c>
      <c r="AG11" s="54">
        <v>2.37</v>
      </c>
      <c r="AH11" s="46">
        <v>0</v>
      </c>
      <c r="AI11" s="46">
        <v>0</v>
      </c>
      <c r="AJ11" s="54">
        <v>0</v>
      </c>
      <c r="AK11" s="54">
        <v>0</v>
      </c>
      <c r="AL11" s="46">
        <v>0</v>
      </c>
      <c r="AM11" s="46">
        <v>0</v>
      </c>
      <c r="AN11" s="46">
        <v>2.7</v>
      </c>
      <c r="AO11" s="46">
        <f t="shared" si="0"/>
        <v>0.6875</v>
      </c>
      <c r="AP11" s="67">
        <f t="shared" si="1"/>
        <v>0.6875</v>
      </c>
    </row>
    <row r="12" spans="1:42" x14ac:dyDescent="0.3">
      <c r="A12" s="5">
        <v>11</v>
      </c>
      <c r="B12" s="6" t="s">
        <v>9</v>
      </c>
      <c r="C12" s="12" t="s">
        <v>206</v>
      </c>
      <c r="D12" s="6" t="s">
        <v>63</v>
      </c>
      <c r="E12" s="6" t="s">
        <v>12</v>
      </c>
      <c r="F12" s="6" t="s">
        <v>95</v>
      </c>
      <c r="G12" s="6" t="s">
        <v>80</v>
      </c>
      <c r="H12" s="5">
        <v>1</v>
      </c>
      <c r="I12" s="67" t="s">
        <v>163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53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54">
        <v>0</v>
      </c>
      <c r="AK12" s="54">
        <v>0</v>
      </c>
      <c r="AL12" s="46">
        <v>0</v>
      </c>
      <c r="AM12" s="46">
        <v>0</v>
      </c>
      <c r="AN12" s="46">
        <v>0</v>
      </c>
      <c r="AO12" s="46">
        <f t="shared" si="0"/>
        <v>0</v>
      </c>
      <c r="AP12" s="67">
        <f t="shared" si="1"/>
        <v>0</v>
      </c>
    </row>
    <row r="13" spans="1:42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13</v>
      </c>
      <c r="G13" s="6" t="s">
        <v>35</v>
      </c>
      <c r="H13" s="5">
        <v>2</v>
      </c>
      <c r="I13" s="67" t="s">
        <v>163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53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46">
        <v>3.37</v>
      </c>
      <c r="AK13" s="46">
        <v>1.69</v>
      </c>
      <c r="AL13" s="46">
        <v>0</v>
      </c>
      <c r="AM13" s="46">
        <v>0</v>
      </c>
      <c r="AN13" s="46">
        <v>0</v>
      </c>
      <c r="AO13" s="46">
        <f t="shared" si="0"/>
        <v>0.16322580645161291</v>
      </c>
      <c r="AP13" s="67">
        <f t="shared" si="1"/>
        <v>8.1612903225806457E-2</v>
      </c>
    </row>
    <row r="14" spans="1:42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163</v>
      </c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6"/>
      <c r="U14" s="46"/>
      <c r="V14" s="46"/>
      <c r="W14" s="46"/>
      <c r="X14" s="46"/>
      <c r="Y14" s="46"/>
      <c r="Z14" s="46"/>
      <c r="AA14" s="46"/>
      <c r="AB14" s="53"/>
      <c r="AC14" s="60"/>
      <c r="AD14" s="60"/>
      <c r="AE14" s="60"/>
      <c r="AF14" s="60"/>
      <c r="AG14" s="73"/>
      <c r="AH14" s="60"/>
      <c r="AI14" s="60"/>
      <c r="AJ14" s="46">
        <v>40.46</v>
      </c>
      <c r="AK14" s="46">
        <v>89.58</v>
      </c>
      <c r="AL14" s="46">
        <v>102.46</v>
      </c>
      <c r="AM14" s="46">
        <v>81.59</v>
      </c>
      <c r="AN14" s="46">
        <v>19.12</v>
      </c>
      <c r="AO14" s="46">
        <f t="shared" si="0"/>
        <v>66.64200000000001</v>
      </c>
      <c r="AP14" s="67">
        <f t="shared" si="1"/>
        <v>33.321000000000005</v>
      </c>
    </row>
    <row r="15" spans="1:42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67" t="s">
        <v>163</v>
      </c>
      <c r="J15" s="45">
        <v>47.97</v>
      </c>
      <c r="K15" s="45">
        <v>59.54</v>
      </c>
      <c r="L15" s="46">
        <v>63.89</v>
      </c>
      <c r="M15" s="46">
        <v>71.16</v>
      </c>
      <c r="N15" s="46">
        <v>64.069999999999993</v>
      </c>
      <c r="O15" s="46">
        <v>69.37</v>
      </c>
      <c r="P15" s="46">
        <v>59.49</v>
      </c>
      <c r="Q15" s="46">
        <v>45.86</v>
      </c>
      <c r="R15" s="46">
        <v>64.7</v>
      </c>
      <c r="S15" s="46">
        <v>49.71</v>
      </c>
      <c r="T15" s="46">
        <v>57.26</v>
      </c>
      <c r="U15" s="46">
        <v>94.92</v>
      </c>
      <c r="V15" s="46">
        <v>34.39</v>
      </c>
      <c r="W15" s="46">
        <v>69</v>
      </c>
      <c r="X15" s="46">
        <v>57.38</v>
      </c>
      <c r="Y15" s="46">
        <v>47.96</v>
      </c>
      <c r="Z15" s="46">
        <v>31.83</v>
      </c>
      <c r="AA15" s="46">
        <v>55.74</v>
      </c>
      <c r="AB15" s="53">
        <v>63.42</v>
      </c>
      <c r="AC15" s="60">
        <v>64.64</v>
      </c>
      <c r="AD15" s="60">
        <v>89.72</v>
      </c>
      <c r="AE15" s="60">
        <v>54.34</v>
      </c>
      <c r="AF15" s="60">
        <v>73.95</v>
      </c>
      <c r="AG15" s="54">
        <v>67.099999999999994</v>
      </c>
      <c r="AH15" s="46">
        <v>45.49</v>
      </c>
      <c r="AI15" s="46">
        <v>62.32</v>
      </c>
      <c r="AJ15" s="46">
        <v>71.48</v>
      </c>
      <c r="AK15" s="46">
        <v>60.56</v>
      </c>
      <c r="AL15" s="46">
        <v>73.459999999999994</v>
      </c>
      <c r="AM15" s="46">
        <v>52.88</v>
      </c>
      <c r="AN15" s="46">
        <v>48.53</v>
      </c>
      <c r="AO15" s="46">
        <f t="shared" si="0"/>
        <v>60.391290322580652</v>
      </c>
      <c r="AP15" s="67">
        <f t="shared" si="1"/>
        <v>6.0391290322580655</v>
      </c>
    </row>
    <row r="16" spans="1:42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2</v>
      </c>
      <c r="I16" s="67" t="s">
        <v>160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0</v>
      </c>
      <c r="Y16" s="46">
        <v>0</v>
      </c>
      <c r="Z16" s="46">
        <v>0</v>
      </c>
      <c r="AA16" s="46">
        <v>0</v>
      </c>
      <c r="AB16" s="53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46">
        <v>0</v>
      </c>
      <c r="AK16" s="46">
        <v>0</v>
      </c>
      <c r="AL16" s="46">
        <v>0</v>
      </c>
      <c r="AM16" s="46">
        <v>0</v>
      </c>
      <c r="AN16" s="46">
        <v>0</v>
      </c>
      <c r="AO16" s="46">
        <f t="shared" si="0"/>
        <v>0</v>
      </c>
      <c r="AP16" s="67">
        <f t="shared" si="1"/>
        <v>0</v>
      </c>
    </row>
    <row r="17" spans="1:42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6">
        <v>0</v>
      </c>
      <c r="Y17" s="46">
        <v>0</v>
      </c>
      <c r="Z17" s="46">
        <v>0</v>
      </c>
      <c r="AA17" s="46">
        <v>0</v>
      </c>
      <c r="AB17" s="53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>
        <f t="shared" si="0"/>
        <v>0</v>
      </c>
      <c r="AP17" s="67">
        <f t="shared" si="1"/>
        <v>0</v>
      </c>
    </row>
    <row r="18" spans="1:42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10</v>
      </c>
      <c r="I18" s="67" t="s">
        <v>163</v>
      </c>
      <c r="J18" s="45">
        <v>61.98</v>
      </c>
      <c r="K18" s="45">
        <v>69.12</v>
      </c>
      <c r="L18" s="45">
        <v>50.66</v>
      </c>
      <c r="M18" s="45">
        <v>75.09</v>
      </c>
      <c r="N18" s="45">
        <v>87.13</v>
      </c>
      <c r="O18" s="45">
        <v>89.85</v>
      </c>
      <c r="P18" s="45">
        <v>81.72</v>
      </c>
      <c r="Q18" s="45">
        <v>97.67</v>
      </c>
      <c r="R18" s="45">
        <v>59.64</v>
      </c>
      <c r="S18" s="45">
        <v>88.09</v>
      </c>
      <c r="T18" s="46">
        <v>63.08</v>
      </c>
      <c r="U18" s="46">
        <v>64.7</v>
      </c>
      <c r="V18" s="46">
        <v>94.74</v>
      </c>
      <c r="W18" s="46">
        <v>89.81</v>
      </c>
      <c r="X18" s="46">
        <v>65.8</v>
      </c>
      <c r="Y18" s="46">
        <v>71.17</v>
      </c>
      <c r="Z18" s="46">
        <v>41.19</v>
      </c>
      <c r="AA18" s="46">
        <v>57.8</v>
      </c>
      <c r="AB18" s="46">
        <v>70.989999999999995</v>
      </c>
      <c r="AC18" s="46">
        <v>62.4</v>
      </c>
      <c r="AD18" s="46">
        <v>67.290000000000006</v>
      </c>
      <c r="AE18" s="46">
        <v>60.92</v>
      </c>
      <c r="AF18" s="46">
        <v>53.55</v>
      </c>
      <c r="AG18" s="46">
        <v>60.6</v>
      </c>
      <c r="AH18" s="46">
        <v>61.8</v>
      </c>
      <c r="AI18" s="46">
        <v>69.400000000000006</v>
      </c>
      <c r="AJ18" s="46">
        <v>52.97</v>
      </c>
      <c r="AK18" s="46">
        <v>59.6</v>
      </c>
      <c r="AL18" s="46">
        <v>60.17</v>
      </c>
      <c r="AM18" s="46">
        <v>70.819999999999993</v>
      </c>
      <c r="AN18" s="46">
        <v>66.08</v>
      </c>
      <c r="AO18" s="46">
        <f t="shared" si="0"/>
        <v>68.575161290322598</v>
      </c>
      <c r="AP18" s="67">
        <f t="shared" si="1"/>
        <v>6.8575161290322599</v>
      </c>
    </row>
    <row r="19" spans="1:42" x14ac:dyDescent="0.3">
      <c r="A19" s="5">
        <v>18</v>
      </c>
      <c r="B19" s="6" t="s">
        <v>9</v>
      </c>
      <c r="C19" s="12" t="s">
        <v>250</v>
      </c>
      <c r="D19" s="6" t="s">
        <v>128</v>
      </c>
      <c r="E19" s="6" t="s">
        <v>12</v>
      </c>
      <c r="F19" s="6" t="s">
        <v>13</v>
      </c>
      <c r="G19" s="6" t="s">
        <v>35</v>
      </c>
      <c r="H19" s="5">
        <v>5</v>
      </c>
      <c r="I19" s="67" t="s">
        <v>160</v>
      </c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v>0</v>
      </c>
      <c r="AN19" s="46">
        <v>26.03</v>
      </c>
      <c r="AO19" s="46">
        <f t="shared" si="0"/>
        <v>2.3663636363636367</v>
      </c>
      <c r="AP19" s="67">
        <f t="shared" si="1"/>
        <v>0.47327272727272734</v>
      </c>
    </row>
    <row r="20" spans="1:42" x14ac:dyDescent="0.3">
      <c r="A20" s="5">
        <v>19</v>
      </c>
      <c r="B20" s="6" t="s">
        <v>9</v>
      </c>
      <c r="C20" s="12" t="s">
        <v>250</v>
      </c>
      <c r="D20" s="6" t="s">
        <v>128</v>
      </c>
      <c r="E20" s="6" t="s">
        <v>12</v>
      </c>
      <c r="F20" s="6" t="s">
        <v>40</v>
      </c>
      <c r="G20" s="6" t="s">
        <v>35</v>
      </c>
      <c r="H20" s="5">
        <v>1</v>
      </c>
      <c r="I20" s="67" t="s">
        <v>160</v>
      </c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6"/>
      <c r="U20" s="46"/>
      <c r="V20" s="46"/>
      <c r="W20" s="46"/>
      <c r="X20" s="46"/>
      <c r="Y20" s="46"/>
      <c r="Z20" s="46"/>
      <c r="AA20" s="46"/>
      <c r="AB20" s="46"/>
      <c r="AC20" s="46">
        <v>0</v>
      </c>
      <c r="AD20" s="46">
        <v>0</v>
      </c>
      <c r="AE20" s="46">
        <v>0</v>
      </c>
      <c r="AF20" s="46">
        <v>4.5650000000000004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0.43</v>
      </c>
      <c r="AN20" s="46">
        <v>0</v>
      </c>
      <c r="AO20" s="46">
        <f t="shared" si="0"/>
        <v>0.41625000000000001</v>
      </c>
      <c r="AP20" s="67">
        <f t="shared" si="1"/>
        <v>0.41625000000000001</v>
      </c>
    </row>
    <row r="21" spans="1:42" x14ac:dyDescent="0.3">
      <c r="A21" s="5">
        <v>20</v>
      </c>
      <c r="B21" s="6" t="s">
        <v>9</v>
      </c>
      <c r="C21" s="12" t="s">
        <v>250</v>
      </c>
      <c r="D21" s="6" t="s">
        <v>128</v>
      </c>
      <c r="E21" s="6" t="s">
        <v>12</v>
      </c>
      <c r="F21" s="6" t="s">
        <v>124</v>
      </c>
      <c r="G21" s="6" t="s">
        <v>80</v>
      </c>
      <c r="H21" s="5">
        <v>1</v>
      </c>
      <c r="I21" s="67" t="s">
        <v>160</v>
      </c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6"/>
      <c r="U21" s="46"/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f t="shared" si="0"/>
        <v>0</v>
      </c>
      <c r="AP21" s="67">
        <f t="shared" si="1"/>
        <v>0</v>
      </c>
    </row>
    <row r="22" spans="1:42" x14ac:dyDescent="0.3">
      <c r="A22" s="5">
        <v>21</v>
      </c>
      <c r="B22" s="6" t="s">
        <v>9</v>
      </c>
      <c r="C22" s="12" t="s">
        <v>250</v>
      </c>
      <c r="D22" s="6" t="s">
        <v>128</v>
      </c>
      <c r="E22" s="6" t="s">
        <v>12</v>
      </c>
      <c r="F22" s="6" t="s">
        <v>251</v>
      </c>
      <c r="G22" s="6" t="s">
        <v>80</v>
      </c>
      <c r="H22" s="5">
        <v>2</v>
      </c>
      <c r="I22" s="67" t="s">
        <v>160</v>
      </c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6"/>
      <c r="U22" s="46"/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v>1.79</v>
      </c>
      <c r="AN22" s="46">
        <v>0</v>
      </c>
      <c r="AO22" s="46">
        <f t="shared" si="0"/>
        <v>9.4210526315789481E-2</v>
      </c>
      <c r="AP22" s="67">
        <f t="shared" si="1"/>
        <v>4.710526315789474E-2</v>
      </c>
    </row>
    <row r="23" spans="1:42" x14ac:dyDescent="0.3">
      <c r="A23" s="5">
        <v>22</v>
      </c>
      <c r="B23" s="6" t="s">
        <v>9</v>
      </c>
      <c r="C23" s="12" t="s">
        <v>234</v>
      </c>
      <c r="D23" s="6" t="s">
        <v>128</v>
      </c>
      <c r="E23" s="6" t="s">
        <v>12</v>
      </c>
      <c r="F23" s="6" t="s">
        <v>13</v>
      </c>
      <c r="G23" s="6" t="s">
        <v>35</v>
      </c>
      <c r="H23" s="5">
        <v>8</v>
      </c>
      <c r="I23" s="67" t="s">
        <v>163</v>
      </c>
      <c r="J23" s="45">
        <v>93.39</v>
      </c>
      <c r="K23" s="45">
        <v>115.83</v>
      </c>
      <c r="L23" s="45">
        <v>48.47</v>
      </c>
      <c r="M23" s="45">
        <v>35.01</v>
      </c>
      <c r="N23" s="45">
        <v>88.29</v>
      </c>
      <c r="O23" s="45">
        <v>98.28</v>
      </c>
      <c r="P23" s="45">
        <v>77.09</v>
      </c>
      <c r="Q23" s="45">
        <v>108.21</v>
      </c>
      <c r="R23" s="45">
        <v>61.13</v>
      </c>
      <c r="S23" s="45">
        <v>41.32</v>
      </c>
      <c r="T23" s="46">
        <v>36.15</v>
      </c>
      <c r="U23" s="46">
        <v>79.41</v>
      </c>
      <c r="V23" s="46">
        <v>84.46</v>
      </c>
      <c r="W23" s="46">
        <v>62.28</v>
      </c>
      <c r="X23" s="46">
        <v>92.56</v>
      </c>
      <c r="Y23" s="46">
        <v>93.38</v>
      </c>
      <c r="Z23" s="46">
        <v>33.119999999999997</v>
      </c>
      <c r="AA23" s="46">
        <v>61.39</v>
      </c>
      <c r="AB23" s="46">
        <v>98.75</v>
      </c>
      <c r="AC23" s="46">
        <v>82.53</v>
      </c>
      <c r="AD23" s="46">
        <v>101.63</v>
      </c>
      <c r="AE23" s="46">
        <v>70.39</v>
      </c>
      <c r="AF23" s="46">
        <v>85.46</v>
      </c>
      <c r="AG23" s="46">
        <v>38.909999999999997</v>
      </c>
      <c r="AH23" s="46">
        <v>52.82</v>
      </c>
      <c r="AI23" s="46">
        <v>67.150000000000006</v>
      </c>
      <c r="AJ23" s="46">
        <v>82.76</v>
      </c>
      <c r="AK23" s="46">
        <v>83.34</v>
      </c>
      <c r="AL23" s="46">
        <v>108.85</v>
      </c>
      <c r="AM23" s="46">
        <v>67.23</v>
      </c>
      <c r="AN23" s="46">
        <v>32.72</v>
      </c>
      <c r="AO23" s="46">
        <f t="shared" si="0"/>
        <v>73.622903225806468</v>
      </c>
      <c r="AP23" s="67">
        <f t="shared" si="1"/>
        <v>9.2028629032258085</v>
      </c>
    </row>
    <row r="24" spans="1:42" x14ac:dyDescent="0.3">
      <c r="A24" s="5">
        <v>23</v>
      </c>
      <c r="B24" s="6" t="s">
        <v>9</v>
      </c>
      <c r="C24" s="12" t="s">
        <v>243</v>
      </c>
      <c r="D24" s="6" t="s">
        <v>128</v>
      </c>
      <c r="E24" s="6" t="s">
        <v>12</v>
      </c>
      <c r="F24" s="6" t="s">
        <v>124</v>
      </c>
      <c r="G24" s="6" t="s">
        <v>80</v>
      </c>
      <c r="H24" s="5">
        <v>1</v>
      </c>
      <c r="I24" s="67" t="s">
        <v>160</v>
      </c>
      <c r="J24" s="72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0</v>
      </c>
      <c r="AB24" s="46">
        <v>0</v>
      </c>
      <c r="AC24" s="46">
        <v>0</v>
      </c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46">
        <v>0</v>
      </c>
      <c r="AL24" s="46">
        <v>0</v>
      </c>
      <c r="AM24" s="46">
        <v>0</v>
      </c>
      <c r="AN24" s="46">
        <v>0</v>
      </c>
      <c r="AO24" s="46">
        <f t="shared" si="0"/>
        <v>0</v>
      </c>
      <c r="AP24" s="67">
        <f t="shared" si="1"/>
        <v>0</v>
      </c>
    </row>
    <row r="25" spans="1:42" x14ac:dyDescent="0.3">
      <c r="A25" s="5">
        <v>24</v>
      </c>
      <c r="B25" s="6" t="s">
        <v>9</v>
      </c>
      <c r="C25" s="6" t="s">
        <v>93</v>
      </c>
      <c r="D25" s="6" t="s">
        <v>26</v>
      </c>
      <c r="E25" s="6" t="s">
        <v>19</v>
      </c>
      <c r="F25" s="6" t="s">
        <v>13</v>
      </c>
      <c r="G25" s="6" t="s">
        <v>14</v>
      </c>
      <c r="H25" s="5">
        <v>1</v>
      </c>
      <c r="I25" s="67" t="s">
        <v>163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45">
        <v>0</v>
      </c>
      <c r="T25" s="45">
        <v>0</v>
      </c>
      <c r="U25" s="45">
        <v>0</v>
      </c>
      <c r="V25" s="45">
        <v>0</v>
      </c>
      <c r="W25" s="45">
        <v>0</v>
      </c>
      <c r="X25" s="46">
        <v>1E-3</v>
      </c>
      <c r="Y25" s="46">
        <v>0</v>
      </c>
      <c r="Z25" s="46">
        <v>0</v>
      </c>
      <c r="AA25" s="46">
        <v>0</v>
      </c>
      <c r="AB25" s="46">
        <v>0</v>
      </c>
      <c r="AC25" s="46">
        <v>0</v>
      </c>
      <c r="AD25" s="46">
        <v>0</v>
      </c>
      <c r="AE25" s="46">
        <v>0</v>
      </c>
      <c r="AF25" s="46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46">
        <v>0</v>
      </c>
      <c r="AN25" s="46">
        <v>0</v>
      </c>
      <c r="AO25" s="46">
        <f t="shared" si="0"/>
        <v>3.2258064516129034E-5</v>
      </c>
      <c r="AP25" s="67">
        <f t="shared" si="1"/>
        <v>3.2258064516129034E-5</v>
      </c>
    </row>
    <row r="26" spans="1:42" x14ac:dyDescent="0.3">
      <c r="A26" s="5">
        <v>25</v>
      </c>
      <c r="B26" s="6" t="s">
        <v>9</v>
      </c>
      <c r="C26" s="6" t="s">
        <v>27</v>
      </c>
      <c r="D26" s="6" t="s">
        <v>28</v>
      </c>
      <c r="E26" s="6" t="s">
        <v>19</v>
      </c>
      <c r="F26" s="6" t="s">
        <v>13</v>
      </c>
      <c r="G26" s="6" t="s">
        <v>14</v>
      </c>
      <c r="H26" s="5">
        <v>4</v>
      </c>
      <c r="I26" s="67" t="s">
        <v>163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  <c r="T26" s="45">
        <v>0</v>
      </c>
      <c r="U26" s="45">
        <v>0</v>
      </c>
      <c r="V26" s="45">
        <v>0</v>
      </c>
      <c r="W26" s="45">
        <v>0</v>
      </c>
      <c r="X26" s="45">
        <v>0</v>
      </c>
      <c r="Y26" s="46">
        <v>0</v>
      </c>
      <c r="Z26" s="46">
        <v>0</v>
      </c>
      <c r="AA26" s="46">
        <v>0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0</v>
      </c>
      <c r="AI26" s="46">
        <v>0</v>
      </c>
      <c r="AJ26" s="46">
        <v>0</v>
      </c>
      <c r="AK26" s="60">
        <v>0</v>
      </c>
      <c r="AL26" s="60">
        <v>0</v>
      </c>
      <c r="AM26" s="60">
        <v>0</v>
      </c>
      <c r="AN26" s="60">
        <v>0</v>
      </c>
      <c r="AO26" s="46">
        <f t="shared" si="0"/>
        <v>0</v>
      </c>
      <c r="AP26" s="67">
        <f t="shared" si="1"/>
        <v>0</v>
      </c>
    </row>
    <row r="27" spans="1:42" x14ac:dyDescent="0.3">
      <c r="A27" s="5">
        <v>26</v>
      </c>
      <c r="B27" s="6" t="s">
        <v>9</v>
      </c>
      <c r="C27" s="6" t="s">
        <v>94</v>
      </c>
      <c r="D27" s="6" t="s">
        <v>32</v>
      </c>
      <c r="E27" s="6" t="s">
        <v>19</v>
      </c>
      <c r="F27" s="6" t="s">
        <v>13</v>
      </c>
      <c r="G27" s="6" t="s">
        <v>14</v>
      </c>
      <c r="H27" s="5">
        <v>2</v>
      </c>
      <c r="I27" s="67" t="s">
        <v>160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5">
        <v>0</v>
      </c>
      <c r="Y27" s="46">
        <v>0</v>
      </c>
      <c r="Z27" s="46">
        <v>0</v>
      </c>
      <c r="AA27" s="46">
        <v>0</v>
      </c>
      <c r="AB27" s="46">
        <v>0</v>
      </c>
      <c r="AC27" s="46">
        <v>0</v>
      </c>
      <c r="AD27" s="46">
        <v>0</v>
      </c>
      <c r="AE27" s="46">
        <v>0</v>
      </c>
      <c r="AF27" s="46">
        <v>0</v>
      </c>
      <c r="AG27" s="46">
        <v>0</v>
      </c>
      <c r="AH27" s="46">
        <v>0</v>
      </c>
      <c r="AI27" s="46">
        <v>0</v>
      </c>
      <c r="AJ27" s="46">
        <v>0</v>
      </c>
      <c r="AK27" s="60">
        <v>0</v>
      </c>
      <c r="AL27" s="60">
        <v>0</v>
      </c>
      <c r="AM27" s="60">
        <v>0</v>
      </c>
      <c r="AN27" s="60">
        <v>0</v>
      </c>
      <c r="AO27" s="46">
        <f t="shared" si="0"/>
        <v>0</v>
      </c>
      <c r="AP27" s="67">
        <f t="shared" si="1"/>
        <v>0</v>
      </c>
    </row>
    <row r="28" spans="1:42" x14ac:dyDescent="0.3">
      <c r="A28" s="5">
        <v>27</v>
      </c>
      <c r="B28" s="6" t="s">
        <v>9</v>
      </c>
      <c r="C28" s="14" t="s">
        <v>125</v>
      </c>
      <c r="D28" s="6" t="s">
        <v>48</v>
      </c>
      <c r="E28" s="6" t="s">
        <v>19</v>
      </c>
      <c r="F28" s="6" t="s">
        <v>13</v>
      </c>
      <c r="G28" s="6" t="s">
        <v>14</v>
      </c>
      <c r="H28" s="13">
        <v>1</v>
      </c>
      <c r="I28" s="67" t="s">
        <v>161</v>
      </c>
      <c r="J28" s="45">
        <v>0</v>
      </c>
      <c r="K28" s="45">
        <v>0</v>
      </c>
      <c r="L28" s="45">
        <v>0</v>
      </c>
      <c r="M28" s="45">
        <v>0</v>
      </c>
      <c r="N28" s="46">
        <v>1E-3</v>
      </c>
      <c r="O28" s="46">
        <v>1E-3</v>
      </c>
      <c r="P28" s="46">
        <v>1E-3</v>
      </c>
      <c r="Q28" s="46">
        <v>1E-3</v>
      </c>
      <c r="R28" s="46">
        <v>1E-3</v>
      </c>
      <c r="S28" s="46">
        <v>1E-3</v>
      </c>
      <c r="T28" s="46">
        <v>1E-3</v>
      </c>
      <c r="U28" s="46">
        <v>1E-3</v>
      </c>
      <c r="V28" s="46">
        <v>1E-3</v>
      </c>
      <c r="W28" s="46">
        <v>1E-3</v>
      </c>
      <c r="X28" s="46">
        <v>1E-3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v>0</v>
      </c>
      <c r="AO28" s="46">
        <f t="shared" si="0"/>
        <v>3.5483870967741943E-4</v>
      </c>
      <c r="AP28" s="67">
        <f t="shared" si="1"/>
        <v>3.5483870967741943E-4</v>
      </c>
    </row>
    <row r="29" spans="1:42" x14ac:dyDescent="0.3">
      <c r="A29" s="5">
        <v>28</v>
      </c>
      <c r="B29" s="6" t="s">
        <v>49</v>
      </c>
      <c r="C29" s="12" t="s">
        <v>209</v>
      </c>
      <c r="D29" s="6" t="s">
        <v>128</v>
      </c>
      <c r="E29" s="6" t="s">
        <v>12</v>
      </c>
      <c r="F29" s="6" t="s">
        <v>13</v>
      </c>
      <c r="G29" s="6" t="s">
        <v>35</v>
      </c>
      <c r="H29" s="5">
        <v>5</v>
      </c>
      <c r="I29" s="67" t="s">
        <v>163</v>
      </c>
      <c r="J29" s="45">
        <v>8.82</v>
      </c>
      <c r="K29" s="45">
        <v>10.130000000000001</v>
      </c>
      <c r="L29" s="46">
        <v>0</v>
      </c>
      <c r="M29" s="46">
        <v>30.13</v>
      </c>
      <c r="N29" s="46">
        <v>5.29</v>
      </c>
      <c r="O29" s="46">
        <v>13.17</v>
      </c>
      <c r="P29" s="46">
        <v>5.66</v>
      </c>
      <c r="Q29" s="46">
        <v>8.8000000000000007</v>
      </c>
      <c r="R29" s="46">
        <v>13.59</v>
      </c>
      <c r="S29" s="46">
        <v>0</v>
      </c>
      <c r="T29" s="46">
        <v>8.56</v>
      </c>
      <c r="U29" s="46">
        <v>16.489999999999998</v>
      </c>
      <c r="V29" s="46">
        <v>14.59</v>
      </c>
      <c r="W29" s="46">
        <v>12.83</v>
      </c>
      <c r="X29" s="46">
        <v>12.86</v>
      </c>
      <c r="Y29" s="46">
        <v>6.18</v>
      </c>
      <c r="Z29" s="46">
        <v>1.62</v>
      </c>
      <c r="AA29" s="46">
        <v>12.82</v>
      </c>
      <c r="AB29" s="53">
        <v>23.84</v>
      </c>
      <c r="AC29" s="60">
        <v>14.18</v>
      </c>
      <c r="AD29" s="60">
        <v>5.64</v>
      </c>
      <c r="AE29" s="60">
        <v>7.19</v>
      </c>
      <c r="AF29" s="60">
        <v>18.809999999999999</v>
      </c>
      <c r="AG29" s="54">
        <v>0</v>
      </c>
      <c r="AH29" s="46">
        <v>6.21</v>
      </c>
      <c r="AI29" s="46">
        <v>15.25</v>
      </c>
      <c r="AJ29" s="46">
        <v>17.05</v>
      </c>
      <c r="AK29" s="46">
        <v>13.47</v>
      </c>
      <c r="AL29" s="46">
        <v>7.79</v>
      </c>
      <c r="AM29" s="46">
        <v>5.1100000000000003</v>
      </c>
      <c r="AN29" s="46">
        <v>0</v>
      </c>
      <c r="AO29" s="46">
        <f t="shared" si="0"/>
        <v>10.196129032258067</v>
      </c>
      <c r="AP29" s="67">
        <f t="shared" si="1"/>
        <v>2.0392258064516136</v>
      </c>
    </row>
    <row r="30" spans="1:42" x14ac:dyDescent="0.3">
      <c r="A30" s="5">
        <v>29</v>
      </c>
      <c r="B30" s="6" t="s">
        <v>49</v>
      </c>
      <c r="C30" s="12" t="s">
        <v>210</v>
      </c>
      <c r="D30" s="6" t="s">
        <v>128</v>
      </c>
      <c r="E30" s="6" t="s">
        <v>12</v>
      </c>
      <c r="F30" s="6" t="s">
        <v>13</v>
      </c>
      <c r="G30" s="6" t="s">
        <v>35</v>
      </c>
      <c r="H30" s="5">
        <v>10</v>
      </c>
      <c r="I30" s="67" t="s">
        <v>163</v>
      </c>
      <c r="J30" s="45">
        <v>85.86</v>
      </c>
      <c r="K30" s="45">
        <v>98.58</v>
      </c>
      <c r="L30" s="46">
        <v>34.97</v>
      </c>
      <c r="M30" s="46">
        <v>104.29</v>
      </c>
      <c r="N30" s="46">
        <v>123.3</v>
      </c>
      <c r="O30" s="46">
        <v>112.82</v>
      </c>
      <c r="P30" s="46">
        <v>68.239999999999995</v>
      </c>
      <c r="Q30" s="46">
        <v>110.39</v>
      </c>
      <c r="R30" s="46">
        <v>77.72</v>
      </c>
      <c r="S30" s="46">
        <v>75.010000000000005</v>
      </c>
      <c r="T30" s="46">
        <v>97.06</v>
      </c>
      <c r="U30" s="46">
        <v>90.65</v>
      </c>
      <c r="V30" s="46">
        <v>83.97</v>
      </c>
      <c r="W30" s="46">
        <v>116.69</v>
      </c>
      <c r="X30" s="46">
        <v>105.17</v>
      </c>
      <c r="Y30" s="46">
        <v>89.1</v>
      </c>
      <c r="Z30" s="46">
        <v>92.53</v>
      </c>
      <c r="AA30" s="46">
        <v>80.790000000000006</v>
      </c>
      <c r="AB30" s="46">
        <v>81.489999999999995</v>
      </c>
      <c r="AC30" s="60">
        <v>91.74</v>
      </c>
      <c r="AD30" s="60">
        <v>92.93</v>
      </c>
      <c r="AE30" s="60">
        <v>86.85</v>
      </c>
      <c r="AF30" s="60">
        <v>91.63</v>
      </c>
      <c r="AG30" s="60">
        <v>82.68</v>
      </c>
      <c r="AH30" s="60">
        <v>86.1</v>
      </c>
      <c r="AI30" s="60">
        <v>86.55</v>
      </c>
      <c r="AJ30" s="46">
        <v>83.03</v>
      </c>
      <c r="AK30" s="46">
        <v>73.98</v>
      </c>
      <c r="AL30" s="46">
        <v>81.11</v>
      </c>
      <c r="AM30" s="46">
        <v>79.59</v>
      </c>
      <c r="AN30" s="46">
        <v>98</v>
      </c>
      <c r="AO30" s="46">
        <f t="shared" si="0"/>
        <v>89.123225806451629</v>
      </c>
      <c r="AP30" s="67">
        <f t="shared" si="1"/>
        <v>8.9123225806451636</v>
      </c>
    </row>
    <row r="31" spans="1:42" x14ac:dyDescent="0.3">
      <c r="A31" s="5">
        <v>30</v>
      </c>
      <c r="B31" s="6" t="s">
        <v>52</v>
      </c>
      <c r="C31" s="12" t="s">
        <v>211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3</v>
      </c>
      <c r="I31" s="67" t="s">
        <v>163</v>
      </c>
      <c r="J31" s="45">
        <v>7.77</v>
      </c>
      <c r="K31" s="45">
        <v>10.33</v>
      </c>
      <c r="L31" s="46">
        <v>0</v>
      </c>
      <c r="M31" s="46">
        <v>14.55</v>
      </c>
      <c r="N31" s="46">
        <v>16.350000000000001</v>
      </c>
      <c r="O31" s="46">
        <v>9.5299999999999994</v>
      </c>
      <c r="P31" s="46">
        <v>16.82</v>
      </c>
      <c r="Q31" s="46">
        <v>18.23</v>
      </c>
      <c r="R31" s="46">
        <v>16.22</v>
      </c>
      <c r="S31" s="46">
        <v>0</v>
      </c>
      <c r="T31" s="46">
        <v>14.09</v>
      </c>
      <c r="U31" s="46">
        <v>12.33</v>
      </c>
      <c r="V31" s="46">
        <v>13.96</v>
      </c>
      <c r="W31" s="46">
        <v>15.71</v>
      </c>
      <c r="X31" s="46">
        <v>6.55</v>
      </c>
      <c r="Y31" s="46">
        <v>11.26</v>
      </c>
      <c r="Z31" s="46">
        <v>0</v>
      </c>
      <c r="AA31" s="46">
        <v>14.16</v>
      </c>
      <c r="AB31" s="53">
        <v>21.06</v>
      </c>
      <c r="AC31" s="60">
        <v>18.89</v>
      </c>
      <c r="AD31" s="60">
        <v>14.96</v>
      </c>
      <c r="AE31" s="60">
        <v>10.32</v>
      </c>
      <c r="AF31" s="60">
        <v>11.26</v>
      </c>
      <c r="AG31" s="54">
        <v>0</v>
      </c>
      <c r="AH31" s="46">
        <v>2.35</v>
      </c>
      <c r="AI31" s="46">
        <v>0</v>
      </c>
      <c r="AJ31" s="46">
        <v>0</v>
      </c>
      <c r="AK31" s="46">
        <v>0</v>
      </c>
      <c r="AL31" s="46">
        <v>0</v>
      </c>
      <c r="AM31" s="46">
        <v>11.68</v>
      </c>
      <c r="AN31" s="46">
        <v>0</v>
      </c>
      <c r="AO31" s="46">
        <f t="shared" si="0"/>
        <v>9.302580645161294</v>
      </c>
      <c r="AP31" s="67">
        <f t="shared" si="1"/>
        <v>3.1008602150537645</v>
      </c>
    </row>
    <row r="32" spans="1:42" x14ac:dyDescent="0.3">
      <c r="A32" s="5">
        <v>31</v>
      </c>
      <c r="B32" s="6" t="s">
        <v>52</v>
      </c>
      <c r="C32" s="12" t="s">
        <v>212</v>
      </c>
      <c r="D32" s="6" t="s">
        <v>128</v>
      </c>
      <c r="E32" s="6" t="s">
        <v>12</v>
      </c>
      <c r="F32" s="6" t="s">
        <v>13</v>
      </c>
      <c r="G32" s="6" t="s">
        <v>35</v>
      </c>
      <c r="H32" s="5">
        <v>7</v>
      </c>
      <c r="I32" s="67" t="s">
        <v>163</v>
      </c>
      <c r="J32" s="45">
        <v>0</v>
      </c>
      <c r="K32" s="45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53">
        <v>0</v>
      </c>
      <c r="AC32" s="60">
        <v>0</v>
      </c>
      <c r="AD32" s="62">
        <v>0</v>
      </c>
      <c r="AE32" s="60">
        <v>0</v>
      </c>
      <c r="AF32" s="60">
        <v>0</v>
      </c>
      <c r="AG32" s="54">
        <v>37.119999999999997</v>
      </c>
      <c r="AH32" s="46">
        <v>72.88</v>
      </c>
      <c r="AI32" s="46">
        <v>135.08000000000001</v>
      </c>
      <c r="AJ32" s="46">
        <v>103.08</v>
      </c>
      <c r="AK32" s="46">
        <v>98.55</v>
      </c>
      <c r="AL32" s="46">
        <v>115.79</v>
      </c>
      <c r="AM32" s="46">
        <v>90.06</v>
      </c>
      <c r="AN32" s="46">
        <v>55.85</v>
      </c>
      <c r="AO32" s="46">
        <f t="shared" si="0"/>
        <v>22.851935483870967</v>
      </c>
      <c r="AP32" s="67">
        <f t="shared" si="1"/>
        <v>3.2645622119815667</v>
      </c>
    </row>
    <row r="33" spans="1:42" x14ac:dyDescent="0.3">
      <c r="A33" s="5">
        <v>32</v>
      </c>
      <c r="B33" s="6" t="s">
        <v>134</v>
      </c>
      <c r="C33" s="6" t="s">
        <v>133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5</v>
      </c>
      <c r="I33" s="67" t="s">
        <v>163</v>
      </c>
      <c r="J33" s="45">
        <v>35.020000000000003</v>
      </c>
      <c r="K33" s="45">
        <v>29.22</v>
      </c>
      <c r="L33" s="46">
        <v>49.08</v>
      </c>
      <c r="M33" s="46">
        <v>34.909999999999997</v>
      </c>
      <c r="N33" s="46">
        <v>48.73</v>
      </c>
      <c r="O33" s="46">
        <v>38.44</v>
      </c>
      <c r="P33" s="46">
        <v>41.35</v>
      </c>
      <c r="Q33" s="46">
        <v>39.799999999999997</v>
      </c>
      <c r="R33" s="46">
        <v>30.34</v>
      </c>
      <c r="S33" s="46">
        <v>49.64</v>
      </c>
      <c r="T33" s="46">
        <v>35.43</v>
      </c>
      <c r="U33" s="46">
        <v>32.57</v>
      </c>
      <c r="V33" s="46">
        <v>38.72</v>
      </c>
      <c r="W33" s="46">
        <v>39.78</v>
      </c>
      <c r="X33" s="46">
        <v>35.19</v>
      </c>
      <c r="Y33" s="46">
        <v>33.340000000000003</v>
      </c>
      <c r="Z33" s="46">
        <v>38.75</v>
      </c>
      <c r="AA33" s="46">
        <v>46.92</v>
      </c>
      <c r="AB33" s="53">
        <v>37.78</v>
      </c>
      <c r="AC33" s="60">
        <v>47.62</v>
      </c>
      <c r="AD33" s="60">
        <v>31.06</v>
      </c>
      <c r="AE33" s="60">
        <v>38.86</v>
      </c>
      <c r="AF33" s="60">
        <v>30.26</v>
      </c>
      <c r="AG33" s="54">
        <v>36.4</v>
      </c>
      <c r="AH33" s="46">
        <v>45.51</v>
      </c>
      <c r="AI33" s="46">
        <v>41.21</v>
      </c>
      <c r="AJ33" s="46">
        <v>32.51</v>
      </c>
      <c r="AK33" s="46">
        <v>38.479999999999997</v>
      </c>
      <c r="AL33" s="46">
        <v>37.22</v>
      </c>
      <c r="AM33" s="46">
        <v>30.6</v>
      </c>
      <c r="AN33" s="46">
        <v>31.31</v>
      </c>
      <c r="AO33" s="46">
        <f t="shared" si="0"/>
        <v>37.937096774193549</v>
      </c>
      <c r="AP33" s="67">
        <f t="shared" si="1"/>
        <v>7.5874193548387101</v>
      </c>
    </row>
    <row r="34" spans="1:42" x14ac:dyDescent="0.3">
      <c r="A34" s="5">
        <v>33</v>
      </c>
      <c r="B34" s="12" t="s">
        <v>246</v>
      </c>
      <c r="C34" s="12" t="s">
        <v>247</v>
      </c>
      <c r="D34" s="6" t="s">
        <v>128</v>
      </c>
      <c r="E34" s="6" t="s">
        <v>12</v>
      </c>
      <c r="F34" s="6" t="s">
        <v>13</v>
      </c>
      <c r="G34" s="6" t="s">
        <v>35</v>
      </c>
      <c r="H34" s="5">
        <v>5</v>
      </c>
      <c r="I34" s="67" t="s">
        <v>163</v>
      </c>
      <c r="J34" s="45">
        <v>26.34</v>
      </c>
      <c r="K34" s="45">
        <v>3.87</v>
      </c>
      <c r="L34" s="46">
        <v>35.99</v>
      </c>
      <c r="M34" s="46">
        <v>32.89</v>
      </c>
      <c r="N34" s="46">
        <v>19.32</v>
      </c>
      <c r="O34" s="46">
        <v>28.31</v>
      </c>
      <c r="P34" s="46">
        <v>23.37</v>
      </c>
      <c r="Q34" s="46">
        <v>27.15</v>
      </c>
      <c r="R34" s="46">
        <v>37.82</v>
      </c>
      <c r="S34" s="46">
        <v>15.98</v>
      </c>
      <c r="T34" s="46">
        <v>24.46</v>
      </c>
      <c r="U34" s="46">
        <v>49.76</v>
      </c>
      <c r="V34" s="46">
        <v>25.72</v>
      </c>
      <c r="W34" s="46">
        <v>24.98</v>
      </c>
      <c r="X34" s="46">
        <v>34.299999999999997</v>
      </c>
      <c r="Y34" s="46">
        <v>48.45</v>
      </c>
      <c r="Z34" s="46">
        <v>37.79</v>
      </c>
      <c r="AA34" s="46">
        <v>25.42</v>
      </c>
      <c r="AB34" s="53">
        <v>61.84</v>
      </c>
      <c r="AC34" s="60">
        <v>34.159999999999997</v>
      </c>
      <c r="AD34" s="60">
        <v>25.64</v>
      </c>
      <c r="AE34" s="60">
        <v>44.62</v>
      </c>
      <c r="AF34" s="60">
        <v>46.57</v>
      </c>
      <c r="AG34" s="54">
        <v>35.57</v>
      </c>
      <c r="AH34" s="46">
        <v>29.89</v>
      </c>
      <c r="AI34" s="46">
        <v>36.630000000000003</v>
      </c>
      <c r="AJ34" s="46">
        <v>20.84</v>
      </c>
      <c r="AK34" s="46">
        <v>3.02</v>
      </c>
      <c r="AL34" s="46">
        <v>0</v>
      </c>
      <c r="AM34" s="46">
        <v>64.69</v>
      </c>
      <c r="AN34" s="46">
        <v>7.15</v>
      </c>
      <c r="AO34" s="46">
        <f t="shared" ref="AO34:AO65" si="2">AVERAGE(J34:AN34)</f>
        <v>30.081935483870971</v>
      </c>
      <c r="AP34" s="67">
        <f t="shared" ref="AP34:AP65" si="3">AO34/H34</f>
        <v>6.0163870967741939</v>
      </c>
    </row>
    <row r="35" spans="1:42" x14ac:dyDescent="0.3">
      <c r="A35" s="5">
        <v>34</v>
      </c>
      <c r="B35" s="6" t="s">
        <v>58</v>
      </c>
      <c r="C35" s="12" t="s">
        <v>213</v>
      </c>
      <c r="D35" s="6" t="s">
        <v>61</v>
      </c>
      <c r="E35" s="6" t="s">
        <v>12</v>
      </c>
      <c r="F35" s="6" t="s">
        <v>13</v>
      </c>
      <c r="G35" s="6" t="s">
        <v>35</v>
      </c>
      <c r="H35" s="5">
        <v>3</v>
      </c>
      <c r="I35" s="67" t="s">
        <v>163</v>
      </c>
      <c r="J35" s="45">
        <v>69.209999999999994</v>
      </c>
      <c r="K35" s="45">
        <v>70.16</v>
      </c>
      <c r="L35" s="46">
        <v>76.64</v>
      </c>
      <c r="M35" s="46">
        <v>91.79</v>
      </c>
      <c r="N35" s="46">
        <v>61.14</v>
      </c>
      <c r="O35" s="46">
        <v>55.28</v>
      </c>
      <c r="P35" s="46">
        <v>73.16</v>
      </c>
      <c r="Q35" s="46">
        <v>67.319999999999993</v>
      </c>
      <c r="R35" s="46">
        <v>63.97</v>
      </c>
      <c r="S35" s="46">
        <v>69.63</v>
      </c>
      <c r="T35" s="46">
        <v>69.66</v>
      </c>
      <c r="U35" s="46">
        <v>84.13</v>
      </c>
      <c r="V35" s="46">
        <v>62.07</v>
      </c>
      <c r="W35" s="46">
        <v>50.28</v>
      </c>
      <c r="X35" s="46">
        <v>75.34</v>
      </c>
      <c r="Y35" s="46">
        <v>68.239999999999995</v>
      </c>
      <c r="Z35" s="46">
        <v>58.44</v>
      </c>
      <c r="AA35" s="46">
        <v>64.17</v>
      </c>
      <c r="AB35" s="53">
        <v>74.31</v>
      </c>
      <c r="AC35" s="60">
        <v>62.62</v>
      </c>
      <c r="AD35" s="60">
        <v>48.51</v>
      </c>
      <c r="AE35" s="60">
        <v>53.58</v>
      </c>
      <c r="AF35" s="60">
        <v>80.73</v>
      </c>
      <c r="AG35" s="54">
        <v>64.739999999999995</v>
      </c>
      <c r="AH35" s="46">
        <v>68.040000000000006</v>
      </c>
      <c r="AI35" s="46">
        <v>72.02</v>
      </c>
      <c r="AJ35" s="46">
        <v>61.72</v>
      </c>
      <c r="AK35" s="46">
        <v>61.57</v>
      </c>
      <c r="AL35" s="46">
        <v>67.86</v>
      </c>
      <c r="AM35" s="46">
        <v>65.33</v>
      </c>
      <c r="AN35" s="46">
        <v>81.760000000000005</v>
      </c>
      <c r="AO35" s="46">
        <f t="shared" si="2"/>
        <v>67.529677419354826</v>
      </c>
      <c r="AP35" s="67">
        <f t="shared" si="3"/>
        <v>22.509892473118274</v>
      </c>
    </row>
    <row r="36" spans="1:42" x14ac:dyDescent="0.3">
      <c r="A36" s="5">
        <v>35</v>
      </c>
      <c r="B36" s="6" t="s">
        <v>58</v>
      </c>
      <c r="C36" s="12" t="s">
        <v>214</v>
      </c>
      <c r="D36" s="6" t="s">
        <v>61</v>
      </c>
      <c r="E36" s="6" t="s">
        <v>12</v>
      </c>
      <c r="F36" s="6" t="s">
        <v>13</v>
      </c>
      <c r="G36" s="6" t="s">
        <v>35</v>
      </c>
      <c r="H36" s="5">
        <v>9</v>
      </c>
      <c r="I36" s="67" t="s">
        <v>163</v>
      </c>
      <c r="J36" s="45">
        <v>159</v>
      </c>
      <c r="K36" s="45">
        <v>97.29</v>
      </c>
      <c r="L36" s="46">
        <v>207.02</v>
      </c>
      <c r="M36" s="46">
        <v>204.62</v>
      </c>
      <c r="N36" s="46">
        <v>150.66</v>
      </c>
      <c r="O36" s="46">
        <v>165.5</v>
      </c>
      <c r="P36" s="46">
        <v>191.63</v>
      </c>
      <c r="Q36" s="46">
        <v>155.11000000000001</v>
      </c>
      <c r="R36" s="46">
        <v>178.83</v>
      </c>
      <c r="S36" s="46">
        <v>138.81</v>
      </c>
      <c r="T36" s="46">
        <v>159.76</v>
      </c>
      <c r="U36" s="46">
        <v>142.69999999999999</v>
      </c>
      <c r="V36" s="46">
        <v>141.57</v>
      </c>
      <c r="W36" s="46">
        <v>146.80000000000001</v>
      </c>
      <c r="X36" s="46">
        <v>123.69</v>
      </c>
      <c r="Y36" s="46">
        <v>171.34</v>
      </c>
      <c r="Z36" s="46">
        <v>210.69</v>
      </c>
      <c r="AA36" s="46">
        <v>152.41</v>
      </c>
      <c r="AB36" s="53">
        <v>153.06</v>
      </c>
      <c r="AC36" s="60">
        <v>132.68</v>
      </c>
      <c r="AD36" s="60">
        <v>135.78</v>
      </c>
      <c r="AE36" s="60">
        <v>139.43</v>
      </c>
      <c r="AF36" s="60">
        <v>186.65</v>
      </c>
      <c r="AG36" s="54">
        <v>192.98</v>
      </c>
      <c r="AH36" s="46">
        <v>158.87</v>
      </c>
      <c r="AI36" s="46">
        <v>103.91</v>
      </c>
      <c r="AJ36" s="46">
        <v>118.03</v>
      </c>
      <c r="AK36" s="46">
        <v>102.94</v>
      </c>
      <c r="AL36" s="46">
        <v>162.47</v>
      </c>
      <c r="AM36" s="46">
        <v>80.87</v>
      </c>
      <c r="AN36" s="46">
        <v>176.02</v>
      </c>
      <c r="AO36" s="46">
        <f t="shared" si="2"/>
        <v>152.93935483870968</v>
      </c>
      <c r="AP36" s="67">
        <f t="shared" si="3"/>
        <v>16.99326164874552</v>
      </c>
    </row>
    <row r="37" spans="1:42" x14ac:dyDescent="0.3">
      <c r="A37" s="5">
        <v>36</v>
      </c>
      <c r="B37" s="6" t="s">
        <v>58</v>
      </c>
      <c r="C37" s="12" t="s">
        <v>215</v>
      </c>
      <c r="D37" s="6" t="s">
        <v>63</v>
      </c>
      <c r="E37" s="6" t="s">
        <v>19</v>
      </c>
      <c r="F37" s="6" t="s">
        <v>13</v>
      </c>
      <c r="G37" s="12" t="s">
        <v>35</v>
      </c>
      <c r="H37" s="5">
        <v>8</v>
      </c>
      <c r="I37" s="67" t="s">
        <v>163</v>
      </c>
      <c r="J37" s="45">
        <v>47.99</v>
      </c>
      <c r="K37" s="45">
        <v>37.840000000000003</v>
      </c>
      <c r="L37" s="46">
        <v>38.72</v>
      </c>
      <c r="M37" s="46">
        <v>50.48</v>
      </c>
      <c r="N37" s="46">
        <v>67.39</v>
      </c>
      <c r="O37" s="46">
        <v>55.21</v>
      </c>
      <c r="P37" s="59">
        <v>72.77</v>
      </c>
      <c r="Q37" s="46">
        <v>50.13</v>
      </c>
      <c r="R37" s="46">
        <v>69</v>
      </c>
      <c r="S37" s="46">
        <v>48.66</v>
      </c>
      <c r="T37" s="46">
        <v>61.96</v>
      </c>
      <c r="U37" s="46">
        <v>41.66</v>
      </c>
      <c r="V37" s="46">
        <v>50.78</v>
      </c>
      <c r="W37" s="46">
        <v>64.72</v>
      </c>
      <c r="X37" s="46">
        <v>56.1</v>
      </c>
      <c r="Y37" s="46">
        <v>20.96</v>
      </c>
      <c r="Z37" s="46">
        <v>51.77</v>
      </c>
      <c r="AA37" s="46">
        <v>52.05</v>
      </c>
      <c r="AB37" s="53">
        <v>44.19</v>
      </c>
      <c r="AC37" s="60">
        <v>49.46</v>
      </c>
      <c r="AD37" s="60">
        <v>66.56</v>
      </c>
      <c r="AE37" s="60">
        <v>45.2</v>
      </c>
      <c r="AF37" s="60">
        <v>44.74</v>
      </c>
      <c r="AG37" s="60">
        <v>25.28</v>
      </c>
      <c r="AH37" s="60">
        <v>19.670000000000002</v>
      </c>
      <c r="AI37" s="60">
        <v>20.309999999999999</v>
      </c>
      <c r="AJ37" s="46">
        <v>33.39</v>
      </c>
      <c r="AK37" s="46">
        <v>28.87</v>
      </c>
      <c r="AL37" s="46">
        <v>20.91</v>
      </c>
      <c r="AM37" s="46">
        <v>47.83</v>
      </c>
      <c r="AN37" s="46">
        <v>39.86</v>
      </c>
      <c r="AO37" s="46">
        <f t="shared" si="2"/>
        <v>45.950322580645157</v>
      </c>
      <c r="AP37" s="67">
        <f t="shared" si="3"/>
        <v>5.7437903225806446</v>
      </c>
    </row>
    <row r="38" spans="1:42" x14ac:dyDescent="0.3">
      <c r="A38" s="5">
        <v>37</v>
      </c>
      <c r="B38" s="6" t="s">
        <v>58</v>
      </c>
      <c r="C38" s="12" t="s">
        <v>215</v>
      </c>
      <c r="D38" s="6" t="s">
        <v>63</v>
      </c>
      <c r="E38" s="6" t="s">
        <v>19</v>
      </c>
      <c r="F38" s="6" t="s">
        <v>64</v>
      </c>
      <c r="G38" s="12" t="s">
        <v>35</v>
      </c>
      <c r="H38" s="5">
        <v>1</v>
      </c>
      <c r="I38" s="67" t="s">
        <v>163</v>
      </c>
      <c r="J38" s="45">
        <v>0</v>
      </c>
      <c r="K38" s="45">
        <v>0</v>
      </c>
      <c r="L38" s="45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53">
        <v>0</v>
      </c>
      <c r="AC38" s="60">
        <v>0</v>
      </c>
      <c r="AD38" s="60">
        <v>0</v>
      </c>
      <c r="AE38" s="60">
        <v>0</v>
      </c>
      <c r="AF38" s="60">
        <v>0</v>
      </c>
      <c r="AG38" s="54">
        <v>0</v>
      </c>
      <c r="AH38" s="46">
        <v>3.98</v>
      </c>
      <c r="AI38" s="46">
        <v>0.37</v>
      </c>
      <c r="AJ38" s="46">
        <v>0</v>
      </c>
      <c r="AK38" s="46">
        <v>1.5</v>
      </c>
      <c r="AL38" s="46">
        <v>0</v>
      </c>
      <c r="AM38" s="46">
        <v>5.15</v>
      </c>
      <c r="AN38" s="46">
        <v>0</v>
      </c>
      <c r="AO38" s="46">
        <f t="shared" si="2"/>
        <v>0.35483870967741937</v>
      </c>
      <c r="AP38" s="67">
        <f t="shared" si="3"/>
        <v>0.35483870967741937</v>
      </c>
    </row>
    <row r="39" spans="1:42" x14ac:dyDescent="0.3">
      <c r="A39" s="5">
        <v>38</v>
      </c>
      <c r="B39" s="6" t="s">
        <v>58</v>
      </c>
      <c r="C39" s="12" t="s">
        <v>216</v>
      </c>
      <c r="D39" s="6" t="s">
        <v>128</v>
      </c>
      <c r="E39" s="6" t="s">
        <v>12</v>
      </c>
      <c r="F39" s="6" t="s">
        <v>13</v>
      </c>
      <c r="G39" s="12" t="s">
        <v>35</v>
      </c>
      <c r="H39" s="5">
        <v>7</v>
      </c>
      <c r="I39" s="67" t="s">
        <v>163</v>
      </c>
      <c r="J39" s="45">
        <v>107.63</v>
      </c>
      <c r="K39" s="45">
        <v>180.82</v>
      </c>
      <c r="L39" s="46">
        <v>178.8</v>
      </c>
      <c r="M39" s="46">
        <v>165.52</v>
      </c>
      <c r="N39" s="46">
        <v>177.8</v>
      </c>
      <c r="O39" s="46">
        <v>197.38</v>
      </c>
      <c r="P39" s="46">
        <v>164.26</v>
      </c>
      <c r="Q39" s="46">
        <v>145.63999999999999</v>
      </c>
      <c r="R39" s="46">
        <v>192.8</v>
      </c>
      <c r="S39" s="46">
        <v>128.78</v>
      </c>
      <c r="T39" s="46">
        <v>148.53</v>
      </c>
      <c r="U39" s="46">
        <v>152.29</v>
      </c>
      <c r="V39" s="46">
        <v>142.96</v>
      </c>
      <c r="W39" s="46">
        <v>162.47999999999999</v>
      </c>
      <c r="X39" s="46">
        <v>149.41</v>
      </c>
      <c r="Y39" s="46">
        <v>175.05</v>
      </c>
      <c r="Z39" s="46">
        <v>121.28</v>
      </c>
      <c r="AA39" s="46">
        <v>135.12</v>
      </c>
      <c r="AB39" s="53">
        <v>113.34</v>
      </c>
      <c r="AC39" s="60">
        <v>142.87</v>
      </c>
      <c r="AD39" s="60">
        <v>123.91</v>
      </c>
      <c r="AE39" s="60">
        <v>117.86</v>
      </c>
      <c r="AF39" s="60">
        <v>113.16</v>
      </c>
      <c r="AG39" s="54">
        <v>155.68</v>
      </c>
      <c r="AH39" s="46">
        <v>140.16999999999999</v>
      </c>
      <c r="AI39" s="46">
        <v>105.78</v>
      </c>
      <c r="AJ39" s="46">
        <v>120.4</v>
      </c>
      <c r="AK39" s="46">
        <v>140.35</v>
      </c>
      <c r="AL39" s="46">
        <v>121.46</v>
      </c>
      <c r="AM39" s="46">
        <v>135.19999999999999</v>
      </c>
      <c r="AN39" s="46">
        <v>94.73</v>
      </c>
      <c r="AO39" s="46">
        <f t="shared" si="2"/>
        <v>143.59548387096771</v>
      </c>
      <c r="AP39" s="67">
        <f t="shared" si="3"/>
        <v>20.513640552995387</v>
      </c>
    </row>
    <row r="40" spans="1:42" x14ac:dyDescent="0.3">
      <c r="A40" s="5">
        <v>39</v>
      </c>
      <c r="B40" s="6" t="s">
        <v>58</v>
      </c>
      <c r="C40" s="12" t="s">
        <v>249</v>
      </c>
      <c r="D40" s="6" t="s">
        <v>128</v>
      </c>
      <c r="E40" s="6" t="s">
        <v>12</v>
      </c>
      <c r="F40" s="6" t="s">
        <v>13</v>
      </c>
      <c r="G40" s="12" t="s">
        <v>35</v>
      </c>
      <c r="H40" s="5">
        <v>8</v>
      </c>
      <c r="I40" s="67" t="s">
        <v>163</v>
      </c>
      <c r="J40" s="45"/>
      <c r="K40" s="45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>
        <v>0</v>
      </c>
      <c r="Y40" s="46">
        <v>0</v>
      </c>
      <c r="Z40" s="46">
        <v>0</v>
      </c>
      <c r="AA40" s="46">
        <v>0</v>
      </c>
      <c r="AB40" s="53">
        <v>0</v>
      </c>
      <c r="AC40" s="60">
        <v>0</v>
      </c>
      <c r="AD40" s="60">
        <v>0</v>
      </c>
      <c r="AE40" s="60">
        <v>0</v>
      </c>
      <c r="AF40" s="60">
        <v>0</v>
      </c>
      <c r="AG40" s="54">
        <v>5.0199999999999996</v>
      </c>
      <c r="AH40" s="46">
        <v>0</v>
      </c>
      <c r="AI40" s="46">
        <v>0</v>
      </c>
      <c r="AJ40" s="46">
        <v>12.04</v>
      </c>
      <c r="AK40" s="46">
        <v>9.34</v>
      </c>
      <c r="AL40" s="46">
        <v>28.04</v>
      </c>
      <c r="AM40" s="46">
        <v>19.21</v>
      </c>
      <c r="AN40" s="46">
        <v>14.22</v>
      </c>
      <c r="AO40" s="46">
        <f t="shared" si="2"/>
        <v>5.1688235294117648</v>
      </c>
      <c r="AP40" s="67">
        <f t="shared" si="3"/>
        <v>0.6461029411764706</v>
      </c>
    </row>
    <row r="41" spans="1:42" x14ac:dyDescent="0.3">
      <c r="A41" s="5">
        <v>40</v>
      </c>
      <c r="B41" s="6" t="s">
        <v>58</v>
      </c>
      <c r="C41" s="12" t="s">
        <v>256</v>
      </c>
      <c r="D41" s="6" t="s">
        <v>128</v>
      </c>
      <c r="E41" s="6" t="s">
        <v>12</v>
      </c>
      <c r="F41" s="6" t="s">
        <v>13</v>
      </c>
      <c r="G41" s="12" t="s">
        <v>35</v>
      </c>
      <c r="H41" s="5">
        <v>6</v>
      </c>
      <c r="I41" s="67" t="s">
        <v>163</v>
      </c>
      <c r="J41" s="45"/>
      <c r="K41" s="45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53"/>
      <c r="AC41" s="60"/>
      <c r="AD41" s="60"/>
      <c r="AE41" s="60"/>
      <c r="AF41" s="60"/>
      <c r="AG41" s="54"/>
      <c r="AH41" s="46"/>
      <c r="AI41" s="46"/>
      <c r="AJ41" s="46"/>
      <c r="AK41" s="46"/>
      <c r="AL41" s="46"/>
      <c r="AM41" s="46">
        <v>17.48</v>
      </c>
      <c r="AN41" s="46">
        <v>25.51</v>
      </c>
      <c r="AO41" s="46">
        <f t="shared" si="2"/>
        <v>21.495000000000001</v>
      </c>
      <c r="AP41" s="67">
        <f t="shared" si="3"/>
        <v>3.5825</v>
      </c>
    </row>
    <row r="42" spans="1:42" x14ac:dyDescent="0.3">
      <c r="A42" s="5">
        <v>41</v>
      </c>
      <c r="B42" s="6" t="s">
        <v>58</v>
      </c>
      <c r="C42" s="6" t="s">
        <v>59</v>
      </c>
      <c r="D42" s="6" t="s">
        <v>30</v>
      </c>
      <c r="E42" s="6" t="s">
        <v>19</v>
      </c>
      <c r="F42" s="6" t="s">
        <v>13</v>
      </c>
      <c r="G42" s="6" t="s">
        <v>14</v>
      </c>
      <c r="H42" s="5">
        <v>6</v>
      </c>
      <c r="I42" s="67" t="s">
        <v>163</v>
      </c>
      <c r="J42" s="45">
        <v>0</v>
      </c>
      <c r="K42" s="45">
        <v>0</v>
      </c>
      <c r="L42" s="45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53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3.7999999999999999E-2</v>
      </c>
      <c r="AK42" s="46">
        <v>0</v>
      </c>
      <c r="AL42" s="46">
        <v>0</v>
      </c>
      <c r="AM42" s="46">
        <v>0</v>
      </c>
      <c r="AN42" s="46">
        <v>0</v>
      </c>
      <c r="AO42" s="46">
        <f t="shared" si="2"/>
        <v>1.2258064516129032E-3</v>
      </c>
      <c r="AP42" s="67">
        <f t="shared" si="3"/>
        <v>2.0430107526881719E-4</v>
      </c>
    </row>
    <row r="43" spans="1:42" x14ac:dyDescent="0.3">
      <c r="A43" s="5">
        <v>42</v>
      </c>
      <c r="B43" s="6" t="s">
        <v>119</v>
      </c>
      <c r="C43" s="12" t="s">
        <v>217</v>
      </c>
      <c r="D43" s="6" t="s">
        <v>30</v>
      </c>
      <c r="E43" s="6" t="s">
        <v>12</v>
      </c>
      <c r="F43" s="6" t="s">
        <v>121</v>
      </c>
      <c r="G43" s="6" t="s">
        <v>35</v>
      </c>
      <c r="H43" s="5">
        <v>20</v>
      </c>
      <c r="I43" s="67" t="s">
        <v>163</v>
      </c>
      <c r="J43" s="45">
        <v>38.159999999999997</v>
      </c>
      <c r="K43" s="45">
        <v>34.81</v>
      </c>
      <c r="L43" s="46">
        <v>29.37</v>
      </c>
      <c r="M43" s="46">
        <v>40.15</v>
      </c>
      <c r="N43" s="46">
        <v>49.3</v>
      </c>
      <c r="O43" s="46">
        <v>53.04</v>
      </c>
      <c r="P43" s="46">
        <v>135.04</v>
      </c>
      <c r="Q43" s="46">
        <v>133.63</v>
      </c>
      <c r="R43" s="46">
        <v>90.95</v>
      </c>
      <c r="S43" s="46">
        <v>72.599999999999994</v>
      </c>
      <c r="T43" s="46">
        <v>104.22</v>
      </c>
      <c r="U43" s="46">
        <v>262.25</v>
      </c>
      <c r="V43" s="46">
        <v>167.51</v>
      </c>
      <c r="W43" s="46">
        <v>153.04</v>
      </c>
      <c r="X43" s="46">
        <v>142.91999999999999</v>
      </c>
      <c r="Y43" s="46">
        <v>56.13</v>
      </c>
      <c r="Z43" s="46">
        <v>15.82</v>
      </c>
      <c r="AA43" s="46">
        <v>57.21</v>
      </c>
      <c r="AB43" s="53">
        <v>78.430000000000007</v>
      </c>
      <c r="AC43" s="60">
        <v>72.45</v>
      </c>
      <c r="AD43" s="60">
        <v>111.17</v>
      </c>
      <c r="AE43" s="60">
        <v>102.55</v>
      </c>
      <c r="AF43" s="60">
        <v>85.38</v>
      </c>
      <c r="AG43" s="54">
        <v>37.340000000000003</v>
      </c>
      <c r="AH43" s="46">
        <v>0</v>
      </c>
      <c r="AI43" s="46">
        <v>25.05</v>
      </c>
      <c r="AJ43" s="46">
        <v>63.61</v>
      </c>
      <c r="AK43" s="46">
        <v>81.91</v>
      </c>
      <c r="AL43" s="46">
        <v>74.97</v>
      </c>
      <c r="AM43" s="46">
        <v>67.55</v>
      </c>
      <c r="AN43" s="46">
        <v>61.25</v>
      </c>
      <c r="AO43" s="46">
        <f t="shared" si="2"/>
        <v>80.574516129032276</v>
      </c>
      <c r="AP43" s="67">
        <f t="shared" si="3"/>
        <v>4.0287258064516136</v>
      </c>
    </row>
    <row r="44" spans="1:42" x14ac:dyDescent="0.3">
      <c r="A44" s="5">
        <v>43</v>
      </c>
      <c r="B44" s="6" t="s">
        <v>119</v>
      </c>
      <c r="C44" s="12" t="s">
        <v>218</v>
      </c>
      <c r="D44" s="6" t="s">
        <v>128</v>
      </c>
      <c r="E44" s="6" t="s">
        <v>12</v>
      </c>
      <c r="F44" s="6" t="s">
        <v>121</v>
      </c>
      <c r="G44" s="6" t="s">
        <v>35</v>
      </c>
      <c r="H44" s="5">
        <v>3</v>
      </c>
      <c r="I44" s="67" t="s">
        <v>163</v>
      </c>
      <c r="J44" s="45">
        <v>0</v>
      </c>
      <c r="K44" s="45">
        <v>0</v>
      </c>
      <c r="L44" s="46">
        <v>0.09</v>
      </c>
      <c r="M44" s="46">
        <v>7.92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53">
        <v>0</v>
      </c>
      <c r="AC44" s="60">
        <v>0</v>
      </c>
      <c r="AD44" s="60">
        <v>0</v>
      </c>
      <c r="AE44" s="60">
        <v>0</v>
      </c>
      <c r="AF44" s="60">
        <v>0</v>
      </c>
      <c r="AG44" s="54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 t="shared" si="2"/>
        <v>0.25838709677419353</v>
      </c>
      <c r="AP44" s="67">
        <f t="shared" si="3"/>
        <v>8.6129032258064508E-2</v>
      </c>
    </row>
    <row r="45" spans="1:42" x14ac:dyDescent="0.3">
      <c r="A45" s="5">
        <v>44</v>
      </c>
      <c r="B45" s="6" t="s">
        <v>55</v>
      </c>
      <c r="C45" s="12" t="s">
        <v>219</v>
      </c>
      <c r="D45" s="6" t="s">
        <v>57</v>
      </c>
      <c r="E45" s="6" t="s">
        <v>12</v>
      </c>
      <c r="F45" s="6" t="s">
        <v>13</v>
      </c>
      <c r="G45" s="6" t="s">
        <v>35</v>
      </c>
      <c r="H45" s="5">
        <v>40</v>
      </c>
      <c r="I45" s="67" t="s">
        <v>163</v>
      </c>
      <c r="J45" s="45">
        <v>340.3</v>
      </c>
      <c r="K45" s="45">
        <v>422.64</v>
      </c>
      <c r="L45" s="45">
        <v>465.38</v>
      </c>
      <c r="M45" s="46">
        <v>255.62</v>
      </c>
      <c r="N45" s="46">
        <v>237.23</v>
      </c>
      <c r="O45" s="46">
        <v>414.53</v>
      </c>
      <c r="P45" s="46">
        <v>310.33999999999997</v>
      </c>
      <c r="Q45" s="46">
        <v>392.61</v>
      </c>
      <c r="R45" s="46">
        <v>501.1</v>
      </c>
      <c r="S45" s="46">
        <v>579.83000000000004</v>
      </c>
      <c r="T45" s="46">
        <v>220.84</v>
      </c>
      <c r="U45" s="46">
        <v>311.14</v>
      </c>
      <c r="V45" s="46">
        <v>358.4</v>
      </c>
      <c r="W45" s="46">
        <v>247.85</v>
      </c>
      <c r="X45" s="46">
        <v>334.65</v>
      </c>
      <c r="Y45" s="46">
        <v>411.47</v>
      </c>
      <c r="Z45" s="46">
        <v>435.89</v>
      </c>
      <c r="AA45" s="46">
        <v>281.76</v>
      </c>
      <c r="AB45" s="53">
        <v>167.51</v>
      </c>
      <c r="AC45" s="60">
        <v>366.36</v>
      </c>
      <c r="AD45" s="60">
        <v>336.79</v>
      </c>
      <c r="AE45" s="60">
        <v>381.36</v>
      </c>
      <c r="AF45" s="60">
        <v>452.89</v>
      </c>
      <c r="AG45" s="54">
        <v>434.47</v>
      </c>
      <c r="AH45" s="46">
        <v>514.70000000000005</v>
      </c>
      <c r="AI45" s="46">
        <v>249.62</v>
      </c>
      <c r="AJ45" s="46">
        <v>228.33</v>
      </c>
      <c r="AK45" s="46">
        <v>481.31</v>
      </c>
      <c r="AL45" s="46">
        <v>482.08</v>
      </c>
      <c r="AM45" s="46">
        <v>428.01</v>
      </c>
      <c r="AN45" s="46">
        <v>482.15</v>
      </c>
      <c r="AO45" s="46">
        <f t="shared" si="2"/>
        <v>371.84387096774191</v>
      </c>
      <c r="AP45" s="67">
        <f t="shared" si="3"/>
        <v>9.296096774193547</v>
      </c>
    </row>
    <row r="46" spans="1:42" x14ac:dyDescent="0.3">
      <c r="A46" s="5">
        <v>45</v>
      </c>
      <c r="B46" s="12" t="s">
        <v>221</v>
      </c>
      <c r="C46" s="12" t="s">
        <v>220</v>
      </c>
      <c r="D46" s="6" t="s">
        <v>30</v>
      </c>
      <c r="E46" s="6" t="s">
        <v>12</v>
      </c>
      <c r="F46" s="6" t="s">
        <v>13</v>
      </c>
      <c r="G46" s="6" t="s">
        <v>35</v>
      </c>
      <c r="H46" s="5">
        <v>19</v>
      </c>
      <c r="I46" s="67" t="s">
        <v>163</v>
      </c>
      <c r="J46" s="45">
        <v>0</v>
      </c>
      <c r="K46" s="45">
        <v>0</v>
      </c>
      <c r="L46" s="45">
        <v>0</v>
      </c>
      <c r="M46" s="46">
        <v>0.2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5.31</v>
      </c>
      <c r="AA46" s="46">
        <v>3.04</v>
      </c>
      <c r="AB46" s="53">
        <v>11.18</v>
      </c>
      <c r="AC46" s="60">
        <v>21.55</v>
      </c>
      <c r="AD46" s="60">
        <v>37.56</v>
      </c>
      <c r="AE46" s="60">
        <v>15.29</v>
      </c>
      <c r="AF46" s="60">
        <v>9.02</v>
      </c>
      <c r="AG46" s="54">
        <v>10.27</v>
      </c>
      <c r="AH46" s="46">
        <v>6.58</v>
      </c>
      <c r="AI46" s="46">
        <v>4.92</v>
      </c>
      <c r="AJ46" s="46">
        <v>8.85</v>
      </c>
      <c r="AK46" s="46">
        <v>12.97</v>
      </c>
      <c r="AL46" s="46">
        <v>21.03</v>
      </c>
      <c r="AM46" s="46">
        <v>22.19</v>
      </c>
      <c r="AN46" s="46">
        <v>31.08</v>
      </c>
      <c r="AO46" s="46">
        <f t="shared" si="2"/>
        <v>7.13032258064516</v>
      </c>
      <c r="AP46" s="67">
        <f t="shared" si="3"/>
        <v>0.37528013582342945</v>
      </c>
    </row>
    <row r="47" spans="1:42" x14ac:dyDescent="0.3">
      <c r="A47" s="5">
        <v>46</v>
      </c>
      <c r="B47" s="12" t="s">
        <v>222</v>
      </c>
      <c r="C47" s="12" t="s">
        <v>223</v>
      </c>
      <c r="D47" s="6" t="s">
        <v>69</v>
      </c>
      <c r="E47" s="6" t="s">
        <v>12</v>
      </c>
      <c r="F47" s="6" t="s">
        <v>40</v>
      </c>
      <c r="G47" s="6" t="s">
        <v>35</v>
      </c>
      <c r="H47" s="5">
        <v>2</v>
      </c>
      <c r="I47" s="67" t="s">
        <v>160</v>
      </c>
      <c r="J47" s="45">
        <v>0</v>
      </c>
      <c r="K47" s="45">
        <v>0</v>
      </c>
      <c r="L47" s="45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53">
        <v>0</v>
      </c>
      <c r="AC47" s="60">
        <v>0</v>
      </c>
      <c r="AD47" s="60">
        <v>0</v>
      </c>
      <c r="AE47" s="60">
        <v>0</v>
      </c>
      <c r="AF47" s="60">
        <v>0</v>
      </c>
      <c r="AG47" s="54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f t="shared" si="2"/>
        <v>0</v>
      </c>
      <c r="AP47" s="67">
        <f t="shared" si="3"/>
        <v>0</v>
      </c>
    </row>
    <row r="48" spans="1:42" x14ac:dyDescent="0.3">
      <c r="A48" s="5">
        <v>47</v>
      </c>
      <c r="B48" s="12" t="s">
        <v>175</v>
      </c>
      <c r="C48" s="12" t="s">
        <v>174</v>
      </c>
      <c r="D48" s="6" t="s">
        <v>128</v>
      </c>
      <c r="E48" s="6" t="s">
        <v>12</v>
      </c>
      <c r="F48" s="6" t="s">
        <v>121</v>
      </c>
      <c r="G48" s="6" t="s">
        <v>35</v>
      </c>
      <c r="H48" s="5">
        <v>10</v>
      </c>
      <c r="I48" s="67" t="s">
        <v>163</v>
      </c>
      <c r="J48" s="45">
        <v>52.3</v>
      </c>
      <c r="K48" s="45">
        <v>100.82</v>
      </c>
      <c r="L48" s="45">
        <v>116.88</v>
      </c>
      <c r="M48" s="46">
        <v>80.900000000000006</v>
      </c>
      <c r="N48" s="46">
        <v>143.03</v>
      </c>
      <c r="O48" s="46">
        <v>95.93</v>
      </c>
      <c r="P48" s="46">
        <v>127.28</v>
      </c>
      <c r="Q48" s="46">
        <v>107.88</v>
      </c>
      <c r="R48" s="46">
        <v>111.35</v>
      </c>
      <c r="S48" s="46">
        <v>87.04</v>
      </c>
      <c r="T48" s="46">
        <v>137.94</v>
      </c>
      <c r="U48" s="46">
        <v>96.47</v>
      </c>
      <c r="V48" s="46">
        <v>99.23</v>
      </c>
      <c r="W48" s="46">
        <v>107.95</v>
      </c>
      <c r="X48" s="46">
        <v>105.2</v>
      </c>
      <c r="Y48" s="46">
        <v>112.16</v>
      </c>
      <c r="Z48" s="46">
        <v>160.02000000000001</v>
      </c>
      <c r="AA48" s="46">
        <v>120.85</v>
      </c>
      <c r="AB48" s="53">
        <v>150.97</v>
      </c>
      <c r="AC48" s="60">
        <v>58.27</v>
      </c>
      <c r="AD48" s="60">
        <v>22.44</v>
      </c>
      <c r="AE48" s="60">
        <f>54.52-10.01</f>
        <v>44.510000000000005</v>
      </c>
      <c r="AF48" s="60">
        <f>68.96-25.96</f>
        <v>42.999999999999993</v>
      </c>
      <c r="AG48" s="60">
        <f>83.15-18.24</f>
        <v>64.910000000000011</v>
      </c>
      <c r="AH48" s="60">
        <v>53.42</v>
      </c>
      <c r="AI48" s="60">
        <v>28.78</v>
      </c>
      <c r="AJ48" s="46">
        <v>69.739999999999995</v>
      </c>
      <c r="AK48" s="46">
        <v>72.08</v>
      </c>
      <c r="AL48" s="46">
        <v>79.67</v>
      </c>
      <c r="AM48" s="46">
        <v>97.04</v>
      </c>
      <c r="AN48" s="46">
        <v>89.75</v>
      </c>
      <c r="AO48" s="46">
        <f t="shared" si="2"/>
        <v>91.542258064516133</v>
      </c>
      <c r="AP48" s="67">
        <f t="shared" si="3"/>
        <v>9.1542258064516133</v>
      </c>
    </row>
    <row r="49" spans="1:42" x14ac:dyDescent="0.3">
      <c r="A49" s="5">
        <v>48</v>
      </c>
      <c r="B49" s="12" t="s">
        <v>175</v>
      </c>
      <c r="C49" s="12" t="s">
        <v>174</v>
      </c>
      <c r="D49" s="6" t="s">
        <v>128</v>
      </c>
      <c r="E49" s="6" t="s">
        <v>12</v>
      </c>
      <c r="F49" s="6" t="s">
        <v>40</v>
      </c>
      <c r="G49" s="6" t="s">
        <v>35</v>
      </c>
      <c r="H49" s="5">
        <v>1</v>
      </c>
      <c r="I49" s="67" t="s">
        <v>163</v>
      </c>
      <c r="J49" s="45">
        <v>0</v>
      </c>
      <c r="K49" s="45">
        <v>0</v>
      </c>
      <c r="L49" s="45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53">
        <v>0</v>
      </c>
      <c r="AC49" s="60">
        <v>0</v>
      </c>
      <c r="AD49" s="60">
        <v>0</v>
      </c>
      <c r="AE49" s="60">
        <v>0</v>
      </c>
      <c r="AF49" s="60">
        <v>0</v>
      </c>
      <c r="AG49" s="54">
        <v>0</v>
      </c>
      <c r="AH49" s="46">
        <v>0</v>
      </c>
      <c r="AI49" s="46">
        <v>0</v>
      </c>
      <c r="AJ49" s="46">
        <v>22.09</v>
      </c>
      <c r="AK49" s="46">
        <v>0</v>
      </c>
      <c r="AL49" s="46">
        <v>16.79</v>
      </c>
      <c r="AM49" s="46">
        <v>27.87</v>
      </c>
      <c r="AN49" s="46">
        <v>0</v>
      </c>
      <c r="AO49" s="46">
        <f t="shared" si="2"/>
        <v>2.153225806451613</v>
      </c>
      <c r="AP49" s="67">
        <f t="shared" si="3"/>
        <v>2.153225806451613</v>
      </c>
    </row>
    <row r="50" spans="1:42" x14ac:dyDescent="0.3">
      <c r="A50" s="5">
        <v>49</v>
      </c>
      <c r="B50" s="12" t="s">
        <v>175</v>
      </c>
      <c r="C50" s="12" t="s">
        <v>241</v>
      </c>
      <c r="D50" s="6" t="s">
        <v>128</v>
      </c>
      <c r="E50" s="6" t="s">
        <v>12</v>
      </c>
      <c r="F50" s="6" t="s">
        <v>124</v>
      </c>
      <c r="G50" s="6" t="s">
        <v>80</v>
      </c>
      <c r="H50" s="5">
        <v>1</v>
      </c>
      <c r="I50" s="67" t="s">
        <v>160</v>
      </c>
      <c r="J50" s="45">
        <v>0</v>
      </c>
      <c r="K50" s="45">
        <v>0</v>
      </c>
      <c r="L50" s="45">
        <v>0</v>
      </c>
      <c r="M50" s="46">
        <v>0</v>
      </c>
      <c r="N50" s="46">
        <v>0.42</v>
      </c>
      <c r="O50" s="46">
        <v>9.56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53">
        <v>0</v>
      </c>
      <c r="AC50" s="60">
        <v>0</v>
      </c>
      <c r="AD50" s="60">
        <v>0</v>
      </c>
      <c r="AE50" s="60">
        <v>1.19</v>
      </c>
      <c r="AF50" s="60">
        <v>0</v>
      </c>
      <c r="AG50" s="60">
        <v>0</v>
      </c>
      <c r="AH50" s="60">
        <v>0</v>
      </c>
      <c r="AI50" s="60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f t="shared" si="2"/>
        <v>0.36032258064516126</v>
      </c>
      <c r="AP50" s="67">
        <f t="shared" si="3"/>
        <v>0.36032258064516126</v>
      </c>
    </row>
    <row r="51" spans="1:42" x14ac:dyDescent="0.3">
      <c r="A51" s="5">
        <v>50</v>
      </c>
      <c r="B51" s="12" t="s">
        <v>175</v>
      </c>
      <c r="C51" s="12" t="s">
        <v>240</v>
      </c>
      <c r="D51" s="6" t="s">
        <v>128</v>
      </c>
      <c r="E51" s="6" t="s">
        <v>12</v>
      </c>
      <c r="F51" s="6" t="s">
        <v>124</v>
      </c>
      <c r="G51" s="6" t="s">
        <v>80</v>
      </c>
      <c r="H51" s="5">
        <v>1</v>
      </c>
      <c r="I51" s="67" t="s">
        <v>160</v>
      </c>
      <c r="J51" s="45">
        <v>0</v>
      </c>
      <c r="K51" s="45">
        <v>0</v>
      </c>
      <c r="L51" s="45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53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f t="shared" si="2"/>
        <v>0</v>
      </c>
      <c r="AP51" s="67">
        <f t="shared" si="3"/>
        <v>0</v>
      </c>
    </row>
    <row r="52" spans="1:42" x14ac:dyDescent="0.3">
      <c r="A52" s="5">
        <v>51</v>
      </c>
      <c r="B52" s="12" t="s">
        <v>175</v>
      </c>
      <c r="C52" s="12" t="s">
        <v>242</v>
      </c>
      <c r="D52" s="6" t="s">
        <v>128</v>
      </c>
      <c r="E52" s="6" t="s">
        <v>12</v>
      </c>
      <c r="F52" s="6" t="s">
        <v>124</v>
      </c>
      <c r="G52" s="6" t="s">
        <v>80</v>
      </c>
      <c r="H52" s="5">
        <v>1</v>
      </c>
      <c r="I52" s="67" t="s">
        <v>160</v>
      </c>
      <c r="J52" s="45">
        <v>0</v>
      </c>
      <c r="K52" s="45">
        <v>0</v>
      </c>
      <c r="L52" s="45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53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46">
        <v>0</v>
      </c>
      <c r="AK52" s="46">
        <v>0</v>
      </c>
      <c r="AL52" s="46">
        <v>0</v>
      </c>
      <c r="AM52" s="46">
        <v>0</v>
      </c>
      <c r="AN52" s="46">
        <v>0</v>
      </c>
      <c r="AO52" s="46">
        <f t="shared" si="2"/>
        <v>0</v>
      </c>
      <c r="AP52" s="67">
        <f t="shared" si="3"/>
        <v>0</v>
      </c>
    </row>
    <row r="53" spans="1:42" x14ac:dyDescent="0.3">
      <c r="A53" s="5">
        <v>52</v>
      </c>
      <c r="B53" s="6" t="s">
        <v>65</v>
      </c>
      <c r="C53" s="12" t="s">
        <v>224</v>
      </c>
      <c r="D53" s="6" t="s">
        <v>30</v>
      </c>
      <c r="E53" s="6" t="s">
        <v>12</v>
      </c>
      <c r="F53" s="6" t="s">
        <v>13</v>
      </c>
      <c r="G53" s="6" t="s">
        <v>35</v>
      </c>
      <c r="H53" s="5">
        <v>5</v>
      </c>
      <c r="I53" s="67" t="s">
        <v>163</v>
      </c>
      <c r="J53" s="45">
        <v>45.77</v>
      </c>
      <c r="K53" s="45">
        <v>44.77</v>
      </c>
      <c r="L53" s="46">
        <v>56.88</v>
      </c>
      <c r="M53" s="46">
        <v>55.15</v>
      </c>
      <c r="N53" s="46">
        <v>65.67</v>
      </c>
      <c r="O53" s="46">
        <v>61.34</v>
      </c>
      <c r="P53" s="46">
        <v>54.21</v>
      </c>
      <c r="Q53" s="46">
        <v>68.41</v>
      </c>
      <c r="R53" s="46">
        <v>63.95</v>
      </c>
      <c r="S53" s="46">
        <v>58.02</v>
      </c>
      <c r="T53" s="46">
        <v>60.75</v>
      </c>
      <c r="U53" s="46">
        <v>79.88</v>
      </c>
      <c r="V53" s="46">
        <v>67.09</v>
      </c>
      <c r="W53" s="46">
        <v>75.86</v>
      </c>
      <c r="X53" s="46">
        <v>39.47</v>
      </c>
      <c r="Y53" s="46">
        <v>48.44</v>
      </c>
      <c r="Z53" s="46">
        <v>76.08</v>
      </c>
      <c r="AA53" s="46">
        <v>57.51</v>
      </c>
      <c r="AB53" s="53">
        <v>62.2</v>
      </c>
      <c r="AC53" s="60">
        <v>52.77</v>
      </c>
      <c r="AD53" s="60">
        <v>65.52</v>
      </c>
      <c r="AE53" s="60">
        <v>53.79</v>
      </c>
      <c r="AF53" s="60">
        <v>58.82</v>
      </c>
      <c r="AG53" s="54">
        <v>71.17</v>
      </c>
      <c r="AH53" s="62">
        <v>25.75</v>
      </c>
      <c r="AI53" s="46">
        <v>45.55</v>
      </c>
      <c r="AJ53" s="46">
        <v>60.69</v>
      </c>
      <c r="AK53" s="46">
        <v>33.619999999999997</v>
      </c>
      <c r="AL53" s="46">
        <v>61.61</v>
      </c>
      <c r="AM53" s="46">
        <v>58.76</v>
      </c>
      <c r="AN53" s="46">
        <v>38.32</v>
      </c>
      <c r="AO53" s="46">
        <f t="shared" si="2"/>
        <v>57.026451612903223</v>
      </c>
      <c r="AP53" s="67">
        <f t="shared" si="3"/>
        <v>11.405290322580644</v>
      </c>
    </row>
    <row r="54" spans="1:42" x14ac:dyDescent="0.3">
      <c r="A54" s="5">
        <v>53</v>
      </c>
      <c r="B54" s="6" t="s">
        <v>65</v>
      </c>
      <c r="C54" s="12" t="s">
        <v>225</v>
      </c>
      <c r="D54" s="6" t="s">
        <v>30</v>
      </c>
      <c r="E54" s="6" t="s">
        <v>12</v>
      </c>
      <c r="F54" s="6" t="s">
        <v>13</v>
      </c>
      <c r="G54" s="6" t="s">
        <v>35</v>
      </c>
      <c r="H54" s="5">
        <v>16</v>
      </c>
      <c r="I54" s="67" t="s">
        <v>163</v>
      </c>
      <c r="J54" s="45">
        <v>7.74</v>
      </c>
      <c r="K54" s="45">
        <v>17.45</v>
      </c>
      <c r="L54" s="46">
        <v>11.19</v>
      </c>
      <c r="M54" s="46">
        <v>2.71</v>
      </c>
      <c r="N54" s="46">
        <v>15.54</v>
      </c>
      <c r="O54" s="46">
        <v>14.89</v>
      </c>
      <c r="P54" s="46">
        <v>4.9000000000000004</v>
      </c>
      <c r="Q54" s="46">
        <v>9.9499999999999993</v>
      </c>
      <c r="R54" s="46">
        <v>14.2</v>
      </c>
      <c r="S54" s="46">
        <v>17.46</v>
      </c>
      <c r="T54" s="46">
        <v>14.12</v>
      </c>
      <c r="U54" s="46">
        <v>16.670000000000002</v>
      </c>
      <c r="V54" s="46">
        <v>5.18</v>
      </c>
      <c r="W54" s="46">
        <v>13.49</v>
      </c>
      <c r="X54" s="46">
        <v>17.829999999999998</v>
      </c>
      <c r="Y54" s="46">
        <v>11.53</v>
      </c>
      <c r="Z54" s="46">
        <v>7.68</v>
      </c>
      <c r="AA54" s="46">
        <v>6.93</v>
      </c>
      <c r="AB54" s="53">
        <v>10.83</v>
      </c>
      <c r="AC54" s="60">
        <v>7.89</v>
      </c>
      <c r="AD54" s="60">
        <v>9.66</v>
      </c>
      <c r="AE54" s="60">
        <v>17.989999999999998</v>
      </c>
      <c r="AF54" s="60">
        <v>5.54</v>
      </c>
      <c r="AG54" s="54">
        <v>5.84</v>
      </c>
      <c r="AH54" s="46">
        <v>0</v>
      </c>
      <c r="AI54" s="46">
        <v>8.02</v>
      </c>
      <c r="AJ54" s="46">
        <v>3.37</v>
      </c>
      <c r="AK54" s="46">
        <v>10.67</v>
      </c>
      <c r="AL54" s="46">
        <v>0.01</v>
      </c>
      <c r="AM54" s="46">
        <v>3.36</v>
      </c>
      <c r="AN54" s="46">
        <v>0</v>
      </c>
      <c r="AO54" s="46">
        <f t="shared" si="2"/>
        <v>9.44</v>
      </c>
      <c r="AP54" s="67">
        <f t="shared" si="3"/>
        <v>0.59</v>
      </c>
    </row>
    <row r="55" spans="1:42" x14ac:dyDescent="0.3">
      <c r="A55" s="5">
        <v>54</v>
      </c>
      <c r="B55" s="6" t="s">
        <v>65</v>
      </c>
      <c r="C55" s="12" t="s">
        <v>226</v>
      </c>
      <c r="D55" s="6" t="s">
        <v>30</v>
      </c>
      <c r="E55" s="6" t="s">
        <v>12</v>
      </c>
      <c r="F55" s="6" t="s">
        <v>13</v>
      </c>
      <c r="G55" s="6" t="s">
        <v>35</v>
      </c>
      <c r="H55" s="5">
        <v>10</v>
      </c>
      <c r="I55" s="67" t="s">
        <v>163</v>
      </c>
      <c r="J55" s="45">
        <v>39.99</v>
      </c>
      <c r="K55" s="45">
        <v>17.170000000000002</v>
      </c>
      <c r="L55" s="46">
        <v>19.559999999999999</v>
      </c>
      <c r="M55" s="46">
        <v>9.8699999999999992</v>
      </c>
      <c r="N55" s="46">
        <v>25.05</v>
      </c>
      <c r="O55" s="46">
        <v>35.64</v>
      </c>
      <c r="P55" s="46">
        <v>30.09</v>
      </c>
      <c r="Q55" s="46">
        <v>30.35</v>
      </c>
      <c r="R55" s="46">
        <v>29.52</v>
      </c>
      <c r="S55" s="46">
        <v>18.649999999999999</v>
      </c>
      <c r="T55" s="46">
        <v>13.63</v>
      </c>
      <c r="U55" s="46">
        <v>28.65</v>
      </c>
      <c r="V55" s="46">
        <v>25.98</v>
      </c>
      <c r="W55" s="46">
        <v>17.3</v>
      </c>
      <c r="X55" s="46">
        <v>39.590000000000003</v>
      </c>
      <c r="Y55" s="46">
        <v>7.25</v>
      </c>
      <c r="Z55" s="46">
        <v>20.9</v>
      </c>
      <c r="AA55" s="46">
        <v>24.51</v>
      </c>
      <c r="AB55" s="53">
        <v>4.95</v>
      </c>
      <c r="AC55" s="60">
        <v>16.72</v>
      </c>
      <c r="AD55" s="62">
        <v>40.83</v>
      </c>
      <c r="AE55" s="60">
        <v>31.31</v>
      </c>
      <c r="AF55" s="60">
        <v>28.23</v>
      </c>
      <c r="AG55" s="54">
        <v>0</v>
      </c>
      <c r="AH55" s="46">
        <v>0</v>
      </c>
      <c r="AI55" s="46">
        <v>0</v>
      </c>
      <c r="AJ55" s="46">
        <v>2.1800000000000002</v>
      </c>
      <c r="AK55" s="46">
        <v>26.4</v>
      </c>
      <c r="AL55" s="46">
        <v>23.31</v>
      </c>
      <c r="AM55" s="46">
        <v>26.47</v>
      </c>
      <c r="AN55" s="46">
        <v>16.579999999999998</v>
      </c>
      <c r="AO55" s="46">
        <f t="shared" si="2"/>
        <v>20.989677419354837</v>
      </c>
      <c r="AP55" s="67">
        <f t="shared" si="3"/>
        <v>2.0989677419354837</v>
      </c>
    </row>
    <row r="56" spans="1:42" x14ac:dyDescent="0.3">
      <c r="A56" s="5">
        <v>55</v>
      </c>
      <c r="B56" s="6" t="s">
        <v>65</v>
      </c>
      <c r="C56" s="12" t="s">
        <v>227</v>
      </c>
      <c r="D56" s="6" t="s">
        <v>30</v>
      </c>
      <c r="E56" s="6" t="s">
        <v>12</v>
      </c>
      <c r="F56" s="6" t="s">
        <v>13</v>
      </c>
      <c r="G56" s="6" t="s">
        <v>35</v>
      </c>
      <c r="H56" s="5">
        <v>13</v>
      </c>
      <c r="I56" s="67" t="s">
        <v>163</v>
      </c>
      <c r="J56" s="45">
        <v>45.02</v>
      </c>
      <c r="K56" s="45">
        <v>25.38</v>
      </c>
      <c r="L56" s="45">
        <v>25.47</v>
      </c>
      <c r="M56" s="45">
        <v>42.72</v>
      </c>
      <c r="N56" s="45">
        <v>68.66</v>
      </c>
      <c r="O56" s="45">
        <v>41.15</v>
      </c>
      <c r="P56" s="45">
        <v>65.540000000000006</v>
      </c>
      <c r="Q56" s="46">
        <v>45.01</v>
      </c>
      <c r="R56" s="46">
        <v>16.309999999999999</v>
      </c>
      <c r="S56" s="46">
        <v>17.14</v>
      </c>
      <c r="T56" s="46">
        <v>21.03</v>
      </c>
      <c r="U56" s="46">
        <v>38.630000000000003</v>
      </c>
      <c r="V56" s="46">
        <v>30.41</v>
      </c>
      <c r="W56" s="46">
        <v>28.17</v>
      </c>
      <c r="X56" s="46">
        <v>66.069999999999993</v>
      </c>
      <c r="Y56" s="46">
        <v>36.68</v>
      </c>
      <c r="Z56" s="46">
        <v>10.09</v>
      </c>
      <c r="AA56" s="46">
        <v>47.51</v>
      </c>
      <c r="AB56" s="53">
        <v>33.53</v>
      </c>
      <c r="AC56" s="60">
        <v>54.65</v>
      </c>
      <c r="AD56" s="60">
        <v>43.75</v>
      </c>
      <c r="AE56" s="60">
        <v>64.48</v>
      </c>
      <c r="AF56" s="60">
        <v>53.35</v>
      </c>
      <c r="AG56" s="60">
        <v>44.18</v>
      </c>
      <c r="AH56" s="60">
        <v>0</v>
      </c>
      <c r="AI56" s="60">
        <v>33.75</v>
      </c>
      <c r="AJ56" s="60">
        <v>39.29</v>
      </c>
      <c r="AK56" s="60">
        <v>39.39</v>
      </c>
      <c r="AL56" s="46">
        <v>50.64</v>
      </c>
      <c r="AM56" s="46">
        <v>40.28</v>
      </c>
      <c r="AN56" s="46">
        <v>30.76</v>
      </c>
      <c r="AO56" s="46">
        <f t="shared" si="2"/>
        <v>38.678709677419363</v>
      </c>
      <c r="AP56" s="67">
        <f t="shared" si="3"/>
        <v>2.9752853598014894</v>
      </c>
    </row>
    <row r="57" spans="1:42" x14ac:dyDescent="0.3">
      <c r="A57" s="5">
        <v>56</v>
      </c>
      <c r="B57" s="6" t="s">
        <v>65</v>
      </c>
      <c r="C57" s="12" t="s">
        <v>228</v>
      </c>
      <c r="D57" s="6" t="s">
        <v>30</v>
      </c>
      <c r="E57" s="6" t="s">
        <v>12</v>
      </c>
      <c r="F57" s="6" t="s">
        <v>13</v>
      </c>
      <c r="G57" s="6" t="s">
        <v>35</v>
      </c>
      <c r="H57" s="5">
        <v>1</v>
      </c>
      <c r="I57" s="67" t="s">
        <v>160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53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46">
        <f t="shared" si="2"/>
        <v>0</v>
      </c>
      <c r="AP57" s="67">
        <f t="shared" si="3"/>
        <v>0</v>
      </c>
    </row>
    <row r="58" spans="1:42" x14ac:dyDescent="0.3">
      <c r="A58" s="5">
        <v>57</v>
      </c>
      <c r="B58" s="6" t="s">
        <v>65</v>
      </c>
      <c r="C58" s="12" t="s">
        <v>110</v>
      </c>
      <c r="D58" s="6" t="s">
        <v>30</v>
      </c>
      <c r="E58" s="6" t="s">
        <v>12</v>
      </c>
      <c r="F58" s="6" t="s">
        <v>13</v>
      </c>
      <c r="G58" s="6" t="s">
        <v>35</v>
      </c>
      <c r="H58" s="5">
        <v>1</v>
      </c>
      <c r="I58" s="67" t="s">
        <v>160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53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46">
        <v>0</v>
      </c>
      <c r="AK58" s="46">
        <v>0</v>
      </c>
      <c r="AL58" s="46">
        <v>0</v>
      </c>
      <c r="AM58" s="46">
        <v>0</v>
      </c>
      <c r="AN58" s="46">
        <v>0</v>
      </c>
      <c r="AO58" s="46">
        <f t="shared" si="2"/>
        <v>0</v>
      </c>
      <c r="AP58" s="67">
        <f t="shared" si="3"/>
        <v>0</v>
      </c>
    </row>
    <row r="59" spans="1:42" x14ac:dyDescent="0.3">
      <c r="A59" s="5">
        <v>58</v>
      </c>
      <c r="B59" s="6" t="s">
        <v>65</v>
      </c>
      <c r="C59" s="12" t="s">
        <v>229</v>
      </c>
      <c r="D59" s="6" t="s">
        <v>128</v>
      </c>
      <c r="E59" s="6" t="s">
        <v>12</v>
      </c>
      <c r="F59" s="6" t="s">
        <v>40</v>
      </c>
      <c r="G59" s="6" t="s">
        <v>35</v>
      </c>
      <c r="H59" s="5">
        <v>2</v>
      </c>
      <c r="I59" s="67" t="s">
        <v>162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6">
        <v>49.43</v>
      </c>
      <c r="S59" s="46">
        <v>0</v>
      </c>
      <c r="T59" s="46">
        <v>0</v>
      </c>
      <c r="U59" s="46">
        <v>0</v>
      </c>
      <c r="V59" s="46">
        <v>0</v>
      </c>
      <c r="W59" s="46">
        <v>8.35</v>
      </c>
      <c r="X59" s="46">
        <v>14.98</v>
      </c>
      <c r="Y59" s="46">
        <v>0</v>
      </c>
      <c r="Z59" s="46">
        <v>0</v>
      </c>
      <c r="AA59" s="46">
        <v>0</v>
      </c>
      <c r="AB59" s="53">
        <v>0</v>
      </c>
      <c r="AC59" s="60">
        <v>21.76</v>
      </c>
      <c r="AD59" s="60">
        <v>0</v>
      </c>
      <c r="AE59" s="60">
        <v>0</v>
      </c>
      <c r="AF59" s="60">
        <v>49.53</v>
      </c>
      <c r="AG59" s="60">
        <v>0</v>
      </c>
      <c r="AH59" s="60">
        <v>0</v>
      </c>
      <c r="AI59" s="60">
        <v>4.3899999999999997</v>
      </c>
      <c r="AJ59" s="46">
        <v>8.57</v>
      </c>
      <c r="AK59" s="46">
        <v>3.83</v>
      </c>
      <c r="AL59" s="46">
        <v>0</v>
      </c>
      <c r="AM59" s="46">
        <v>4.3</v>
      </c>
      <c r="AN59" s="46">
        <v>0</v>
      </c>
      <c r="AO59" s="46">
        <f t="shared" si="2"/>
        <v>5.3270967741935484</v>
      </c>
      <c r="AP59" s="67">
        <f t="shared" si="3"/>
        <v>2.6635483870967742</v>
      </c>
    </row>
    <row r="60" spans="1:42" x14ac:dyDescent="0.3">
      <c r="A60" s="5">
        <v>59</v>
      </c>
      <c r="B60" s="6" t="s">
        <v>65</v>
      </c>
      <c r="C60" s="12" t="s">
        <v>230</v>
      </c>
      <c r="D60" s="6"/>
      <c r="E60" s="6" t="s">
        <v>130</v>
      </c>
      <c r="F60" s="6" t="s">
        <v>121</v>
      </c>
      <c r="G60" s="6" t="s">
        <v>35</v>
      </c>
      <c r="H60" s="5">
        <v>2</v>
      </c>
      <c r="I60" s="67" t="s">
        <v>161</v>
      </c>
      <c r="J60" s="51">
        <v>4.0999999999999996</v>
      </c>
      <c r="K60" s="51">
        <v>0</v>
      </c>
      <c r="L60" s="51">
        <v>10.73</v>
      </c>
      <c r="M60" s="51">
        <v>1.76</v>
      </c>
      <c r="N60" s="51">
        <v>12.04</v>
      </c>
      <c r="O60" s="51">
        <v>0</v>
      </c>
      <c r="P60" s="51">
        <v>6.47</v>
      </c>
      <c r="Q60" s="51">
        <v>7.18</v>
      </c>
      <c r="R60" s="51">
        <v>2.27</v>
      </c>
      <c r="S60" s="51">
        <v>4.92</v>
      </c>
      <c r="T60" s="51">
        <v>23.46</v>
      </c>
      <c r="U60" s="51">
        <v>0.03</v>
      </c>
      <c r="V60" s="51">
        <v>11.93</v>
      </c>
      <c r="W60" s="51">
        <v>4.37</v>
      </c>
      <c r="X60" s="51">
        <v>16.059999999999999</v>
      </c>
      <c r="Y60" s="51">
        <v>0</v>
      </c>
      <c r="Z60" s="51">
        <v>0</v>
      </c>
      <c r="AA60" s="51">
        <v>19.61</v>
      </c>
      <c r="AB60" s="51">
        <v>0.99</v>
      </c>
      <c r="AC60" s="60">
        <v>19.04</v>
      </c>
      <c r="AD60" s="60">
        <v>6.29</v>
      </c>
      <c r="AE60" s="60">
        <v>24.91</v>
      </c>
      <c r="AF60" s="60">
        <v>0</v>
      </c>
      <c r="AG60" s="60">
        <v>13.81</v>
      </c>
      <c r="AH60" s="60">
        <v>0</v>
      </c>
      <c r="AI60" s="60">
        <v>8.61</v>
      </c>
      <c r="AJ60" s="60">
        <v>28.49</v>
      </c>
      <c r="AK60" s="60">
        <v>9.83</v>
      </c>
      <c r="AL60" s="46">
        <v>0</v>
      </c>
      <c r="AM60" s="46">
        <v>14.32</v>
      </c>
      <c r="AN60" s="46">
        <v>0</v>
      </c>
      <c r="AO60" s="46">
        <f t="shared" si="2"/>
        <v>8.1038709677419352</v>
      </c>
      <c r="AP60" s="67">
        <f t="shared" si="3"/>
        <v>4.0519354838709676</v>
      </c>
    </row>
    <row r="61" spans="1:42" x14ac:dyDescent="0.3">
      <c r="A61" s="5">
        <v>60</v>
      </c>
      <c r="B61" s="6" t="s">
        <v>65</v>
      </c>
      <c r="C61" s="12" t="s">
        <v>231</v>
      </c>
      <c r="D61" s="6" t="s">
        <v>128</v>
      </c>
      <c r="E61" s="6" t="s">
        <v>19</v>
      </c>
      <c r="F61" s="6" t="s">
        <v>13</v>
      </c>
      <c r="G61" s="6" t="s">
        <v>35</v>
      </c>
      <c r="H61" s="5">
        <v>6</v>
      </c>
      <c r="I61" s="67" t="s">
        <v>161</v>
      </c>
      <c r="J61" s="47">
        <v>39.090000000000003</v>
      </c>
      <c r="K61" s="51">
        <v>0</v>
      </c>
      <c r="L61" s="51">
        <v>0</v>
      </c>
      <c r="M61" s="51">
        <v>27.47</v>
      </c>
      <c r="N61" s="51">
        <v>63.83</v>
      </c>
      <c r="O61" s="47">
        <v>43.47</v>
      </c>
      <c r="P61" s="47">
        <v>37.549999999999997</v>
      </c>
      <c r="Q61" s="47">
        <v>40.98</v>
      </c>
      <c r="R61" s="47">
        <v>0</v>
      </c>
      <c r="S61" s="51">
        <v>16.760000000000002</v>
      </c>
      <c r="T61" s="51">
        <v>54.09</v>
      </c>
      <c r="U61" s="47">
        <v>69.5</v>
      </c>
      <c r="V61" s="51">
        <v>47</v>
      </c>
      <c r="W61" s="51">
        <v>56.84</v>
      </c>
      <c r="X61" s="51">
        <v>46.37</v>
      </c>
      <c r="Y61" s="51">
        <v>8.58</v>
      </c>
      <c r="Z61" s="51">
        <v>0</v>
      </c>
      <c r="AA61" s="51">
        <v>77.86</v>
      </c>
      <c r="AB61" s="51">
        <v>54.67</v>
      </c>
      <c r="AC61" s="51">
        <v>27.68</v>
      </c>
      <c r="AD61" s="51">
        <v>52.39</v>
      </c>
      <c r="AE61" s="51">
        <v>50.42</v>
      </c>
      <c r="AF61" s="51">
        <v>4.55</v>
      </c>
      <c r="AG61" s="51">
        <v>0</v>
      </c>
      <c r="AH61" s="51">
        <v>0</v>
      </c>
      <c r="AI61" s="51">
        <v>35.25</v>
      </c>
      <c r="AJ61" s="51">
        <v>52.86</v>
      </c>
      <c r="AK61" s="51">
        <v>45.58</v>
      </c>
      <c r="AL61" s="46">
        <v>0.04</v>
      </c>
      <c r="AM61" s="46">
        <v>0</v>
      </c>
      <c r="AN61" s="46">
        <v>0</v>
      </c>
      <c r="AO61" s="46">
        <f t="shared" si="2"/>
        <v>30.736451612903224</v>
      </c>
      <c r="AP61" s="67">
        <f t="shared" si="3"/>
        <v>5.1227419354838704</v>
      </c>
    </row>
    <row r="62" spans="1:42" x14ac:dyDescent="0.3">
      <c r="A62" s="5">
        <v>61</v>
      </c>
      <c r="B62" s="6" t="s">
        <v>65</v>
      </c>
      <c r="C62" s="12" t="s">
        <v>231</v>
      </c>
      <c r="D62" s="6" t="s">
        <v>128</v>
      </c>
      <c r="E62" s="6" t="s">
        <v>19</v>
      </c>
      <c r="F62" s="6" t="s">
        <v>40</v>
      </c>
      <c r="G62" s="6" t="s">
        <v>35</v>
      </c>
      <c r="H62" s="5">
        <v>1</v>
      </c>
      <c r="I62" s="67" t="s">
        <v>161</v>
      </c>
      <c r="J62" s="47">
        <v>16.399999999999999</v>
      </c>
      <c r="K62" s="51">
        <v>0</v>
      </c>
      <c r="L62" s="51">
        <v>0</v>
      </c>
      <c r="M62" s="51">
        <v>9.3800000000000008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  <c r="AC62" s="51">
        <v>0</v>
      </c>
      <c r="AD62" s="51">
        <v>0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0</v>
      </c>
      <c r="AL62" s="51">
        <v>0</v>
      </c>
      <c r="AM62" s="51">
        <v>0</v>
      </c>
      <c r="AN62" s="51">
        <v>0</v>
      </c>
      <c r="AO62" s="46">
        <f t="shared" si="2"/>
        <v>0.8316129032258065</v>
      </c>
      <c r="AP62" s="67">
        <f t="shared" si="3"/>
        <v>0.8316129032258065</v>
      </c>
    </row>
    <row r="63" spans="1:42" x14ac:dyDescent="0.3">
      <c r="A63" s="5">
        <v>62</v>
      </c>
      <c r="B63" s="6" t="s">
        <v>65</v>
      </c>
      <c r="C63" s="12" t="s">
        <v>232</v>
      </c>
      <c r="D63" s="6" t="s">
        <v>128</v>
      </c>
      <c r="E63" s="6" t="s">
        <v>12</v>
      </c>
      <c r="F63" s="6" t="s">
        <v>121</v>
      </c>
      <c r="G63" s="6" t="s">
        <v>35</v>
      </c>
      <c r="H63" s="5">
        <v>20</v>
      </c>
      <c r="I63" s="67" t="s">
        <v>163</v>
      </c>
      <c r="J63" s="45">
        <v>48.18</v>
      </c>
      <c r="K63" s="46">
        <v>58.46</v>
      </c>
      <c r="L63" s="46">
        <v>49.13</v>
      </c>
      <c r="M63" s="46">
        <v>52.99</v>
      </c>
      <c r="N63" s="46">
        <v>39.06</v>
      </c>
      <c r="O63" s="46">
        <v>52.68</v>
      </c>
      <c r="P63" s="46">
        <v>69.91</v>
      </c>
      <c r="Q63" s="46">
        <v>63.22</v>
      </c>
      <c r="R63" s="46">
        <v>75.010000000000005</v>
      </c>
      <c r="S63" s="46">
        <v>52.32</v>
      </c>
      <c r="T63" s="46">
        <v>55.75</v>
      </c>
      <c r="U63" s="46">
        <v>56.95</v>
      </c>
      <c r="V63" s="46">
        <v>77.75</v>
      </c>
      <c r="W63" s="46">
        <v>68.77</v>
      </c>
      <c r="X63" s="46">
        <v>50.65</v>
      </c>
      <c r="Y63" s="46">
        <v>60.43</v>
      </c>
      <c r="Z63" s="46">
        <v>31.18</v>
      </c>
      <c r="AA63" s="46">
        <v>73.84</v>
      </c>
      <c r="AB63" s="46">
        <v>85.57</v>
      </c>
      <c r="AC63" s="60">
        <v>69.430000000000007</v>
      </c>
      <c r="AD63" s="60">
        <v>71.900000000000006</v>
      </c>
      <c r="AE63" s="60">
        <v>51.15</v>
      </c>
      <c r="AF63" s="60">
        <v>50.56</v>
      </c>
      <c r="AG63" s="46">
        <v>32.270000000000003</v>
      </c>
      <c r="AH63" s="46">
        <v>7.77</v>
      </c>
      <c r="AI63" s="46">
        <v>36.14</v>
      </c>
      <c r="AJ63" s="46">
        <v>32.33</v>
      </c>
      <c r="AK63" s="46">
        <v>42.42</v>
      </c>
      <c r="AL63" s="46">
        <v>31.52</v>
      </c>
      <c r="AM63" s="46">
        <v>63.32</v>
      </c>
      <c r="AN63" s="46">
        <v>21.56</v>
      </c>
      <c r="AO63" s="46">
        <f t="shared" si="2"/>
        <v>52.652258064516133</v>
      </c>
      <c r="AP63" s="67">
        <f t="shared" si="3"/>
        <v>2.6326129032258065</v>
      </c>
    </row>
    <row r="64" spans="1:42" x14ac:dyDescent="0.3">
      <c r="A64" s="5">
        <v>63</v>
      </c>
      <c r="B64" s="6" t="s">
        <v>65</v>
      </c>
      <c r="C64" s="12" t="s">
        <v>254</v>
      </c>
      <c r="D64" s="6"/>
      <c r="E64" s="6" t="s">
        <v>12</v>
      </c>
      <c r="F64" s="6" t="s">
        <v>121</v>
      </c>
      <c r="G64" s="6" t="s">
        <v>35</v>
      </c>
      <c r="H64" s="5">
        <v>10</v>
      </c>
      <c r="I64" s="67" t="s">
        <v>163</v>
      </c>
      <c r="J64" s="45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60"/>
      <c r="AD64" s="60"/>
      <c r="AE64" s="60"/>
      <c r="AF64" s="60"/>
      <c r="AG64" s="46"/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v>0</v>
      </c>
      <c r="AN64" s="46">
        <v>0</v>
      </c>
      <c r="AO64" s="46">
        <f t="shared" si="2"/>
        <v>0</v>
      </c>
      <c r="AP64" s="67">
        <f t="shared" si="3"/>
        <v>0</v>
      </c>
    </row>
    <row r="65" spans="1:42" x14ac:dyDescent="0.3">
      <c r="A65" s="5">
        <v>64</v>
      </c>
      <c r="B65" s="6" t="s">
        <v>65</v>
      </c>
      <c r="C65" s="12" t="s">
        <v>233</v>
      </c>
      <c r="D65" s="6" t="s">
        <v>128</v>
      </c>
      <c r="E65" s="6" t="s">
        <v>12</v>
      </c>
      <c r="F65" s="6" t="s">
        <v>121</v>
      </c>
      <c r="G65" s="6" t="s">
        <v>35</v>
      </c>
      <c r="H65" s="5">
        <v>2</v>
      </c>
      <c r="I65" s="67" t="s">
        <v>162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46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f t="shared" si="2"/>
        <v>0</v>
      </c>
      <c r="AP65" s="67">
        <f t="shared" si="3"/>
        <v>0</v>
      </c>
    </row>
    <row r="66" spans="1:42" x14ac:dyDescent="0.3">
      <c r="A66" s="5">
        <v>65</v>
      </c>
      <c r="B66" s="6" t="s">
        <v>65</v>
      </c>
      <c r="C66" s="12" t="s">
        <v>233</v>
      </c>
      <c r="D66" s="6" t="s">
        <v>128</v>
      </c>
      <c r="E66" s="6" t="s">
        <v>12</v>
      </c>
      <c r="F66" s="6" t="s">
        <v>40</v>
      </c>
      <c r="G66" s="6" t="s">
        <v>35</v>
      </c>
      <c r="H66" s="5">
        <v>2</v>
      </c>
      <c r="I66" s="67" t="s">
        <v>162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f t="shared" ref="AO66:AO80" si="4">AVERAGE(J66:AN66)</f>
        <v>0</v>
      </c>
      <c r="AP66" s="67">
        <f t="shared" ref="AP66:AP80" si="5">AO66/H66</f>
        <v>0</v>
      </c>
    </row>
    <row r="67" spans="1:42" x14ac:dyDescent="0.3">
      <c r="A67" s="5">
        <v>66</v>
      </c>
      <c r="B67" s="6" t="s">
        <v>65</v>
      </c>
      <c r="C67" t="s">
        <v>252</v>
      </c>
      <c r="D67" s="6" t="s">
        <v>236</v>
      </c>
      <c r="E67" s="6" t="s">
        <v>12</v>
      </c>
      <c r="F67" s="6" t="s">
        <v>121</v>
      </c>
      <c r="G67" s="6" t="s">
        <v>35</v>
      </c>
      <c r="H67" s="5">
        <v>3</v>
      </c>
      <c r="I67" s="67" t="s">
        <v>160</v>
      </c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6"/>
      <c r="U67" s="46"/>
      <c r="V67" s="46"/>
      <c r="W67" s="46"/>
      <c r="X67" s="46"/>
      <c r="Y67" s="46"/>
      <c r="Z67" s="46"/>
      <c r="AA67" s="46">
        <v>2.11</v>
      </c>
      <c r="AB67" s="46">
        <v>0.46</v>
      </c>
      <c r="AC67" s="60">
        <v>10.16</v>
      </c>
      <c r="AD67" s="60">
        <f>16.77-14.89</f>
        <v>1.879999999999999</v>
      </c>
      <c r="AE67" s="60">
        <v>0.82</v>
      </c>
      <c r="AF67" s="60">
        <v>5.77</v>
      </c>
      <c r="AG67" s="60">
        <v>8.76</v>
      </c>
      <c r="AH67" s="60">
        <v>0</v>
      </c>
      <c r="AI67" s="60">
        <v>0.03</v>
      </c>
      <c r="AJ67" s="46">
        <v>8.92</v>
      </c>
      <c r="AK67" s="46">
        <v>4.99</v>
      </c>
      <c r="AL67" s="46">
        <v>4.6399999999999997</v>
      </c>
      <c r="AM67" s="46">
        <v>6.58</v>
      </c>
      <c r="AN67" s="46">
        <v>5.56</v>
      </c>
      <c r="AO67" s="46">
        <f t="shared" si="4"/>
        <v>4.3342857142857145</v>
      </c>
      <c r="AP67" s="67">
        <f t="shared" si="5"/>
        <v>1.4447619047619049</v>
      </c>
    </row>
    <row r="68" spans="1:42" x14ac:dyDescent="0.3">
      <c r="A68" s="5">
        <v>67</v>
      </c>
      <c r="B68" s="6" t="s">
        <v>65</v>
      </c>
      <c r="C68" s="12" t="s">
        <v>238</v>
      </c>
      <c r="D68" s="6" t="s">
        <v>236</v>
      </c>
      <c r="E68" s="6" t="s">
        <v>12</v>
      </c>
      <c r="F68" s="6" t="s">
        <v>121</v>
      </c>
      <c r="G68" s="6" t="s">
        <v>35</v>
      </c>
      <c r="H68" s="5">
        <v>3</v>
      </c>
      <c r="I68" s="67" t="s">
        <v>160</v>
      </c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6"/>
      <c r="U68" s="46"/>
      <c r="V68" s="46"/>
      <c r="W68" s="46"/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46">
        <v>0</v>
      </c>
      <c r="AK68" s="46">
        <v>0</v>
      </c>
      <c r="AL68" s="46">
        <v>0</v>
      </c>
      <c r="AM68" s="46">
        <v>0</v>
      </c>
      <c r="AN68" s="46">
        <v>0</v>
      </c>
      <c r="AO68" s="46">
        <f t="shared" si="4"/>
        <v>0</v>
      </c>
      <c r="AP68" s="67">
        <f t="shared" si="5"/>
        <v>0</v>
      </c>
    </row>
    <row r="69" spans="1:42" x14ac:dyDescent="0.3">
      <c r="A69" s="5">
        <v>68</v>
      </c>
      <c r="B69" s="6" t="s">
        <v>65</v>
      </c>
      <c r="C69" s="12" t="s">
        <v>238</v>
      </c>
      <c r="D69" s="6" t="s">
        <v>236</v>
      </c>
      <c r="E69" s="6" t="s">
        <v>12</v>
      </c>
      <c r="F69" s="6" t="s">
        <v>95</v>
      </c>
      <c r="G69" s="6" t="s">
        <v>80</v>
      </c>
      <c r="H69" s="5">
        <v>1</v>
      </c>
      <c r="I69" s="67" t="s">
        <v>160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60">
        <v>0</v>
      </c>
      <c r="AD69" s="60">
        <v>0</v>
      </c>
      <c r="AE69" s="60">
        <v>0</v>
      </c>
      <c r="AF69" s="60">
        <v>0</v>
      </c>
      <c r="AG69" s="60">
        <v>0</v>
      </c>
      <c r="AH69" s="60">
        <v>0</v>
      </c>
      <c r="AI69" s="60">
        <v>0</v>
      </c>
      <c r="AJ69" s="46">
        <v>0</v>
      </c>
      <c r="AK69" s="46">
        <v>0</v>
      </c>
      <c r="AL69" s="46">
        <v>0</v>
      </c>
      <c r="AM69" s="46">
        <v>0</v>
      </c>
      <c r="AN69" s="46">
        <v>0</v>
      </c>
      <c r="AO69" s="46">
        <f t="shared" si="4"/>
        <v>0</v>
      </c>
      <c r="AP69" s="67">
        <f t="shared" si="5"/>
        <v>0</v>
      </c>
    </row>
    <row r="70" spans="1:42" x14ac:dyDescent="0.3">
      <c r="A70" s="5">
        <v>69</v>
      </c>
      <c r="B70" s="6" t="s">
        <v>65</v>
      </c>
      <c r="C70" s="12" t="s">
        <v>235</v>
      </c>
      <c r="D70" s="6" t="s">
        <v>236</v>
      </c>
      <c r="E70" s="6" t="s">
        <v>12</v>
      </c>
      <c r="F70" s="6" t="s">
        <v>121</v>
      </c>
      <c r="G70" s="6" t="s">
        <v>35</v>
      </c>
      <c r="H70" s="5">
        <v>3</v>
      </c>
      <c r="I70" s="67" t="s">
        <v>160</v>
      </c>
      <c r="J70" s="45">
        <v>6.95</v>
      </c>
      <c r="K70" s="45">
        <v>4.9400000000000004</v>
      </c>
      <c r="L70" s="45">
        <v>6.24</v>
      </c>
      <c r="M70" s="45">
        <v>6.27</v>
      </c>
      <c r="N70" s="45">
        <v>4.71</v>
      </c>
      <c r="O70" s="46">
        <v>5.99</v>
      </c>
      <c r="P70" s="46">
        <v>8.4</v>
      </c>
      <c r="Q70" s="46">
        <v>3.67</v>
      </c>
      <c r="R70" s="46">
        <v>3.82</v>
      </c>
      <c r="S70" s="46">
        <v>5.37</v>
      </c>
      <c r="T70" s="46">
        <v>4.8600000000000003</v>
      </c>
      <c r="U70" s="46">
        <v>4.3</v>
      </c>
      <c r="V70" s="46">
        <v>4.74</v>
      </c>
      <c r="W70" s="46">
        <v>3.71</v>
      </c>
      <c r="X70" s="46">
        <v>3.47</v>
      </c>
      <c r="Y70" s="46">
        <v>5.87</v>
      </c>
      <c r="Z70" s="46">
        <v>3.7</v>
      </c>
      <c r="AA70" s="46">
        <v>3.71</v>
      </c>
      <c r="AB70" s="46">
        <v>8.0299999999999994</v>
      </c>
      <c r="AC70" s="60">
        <v>5</v>
      </c>
      <c r="AD70" s="60">
        <v>2.81</v>
      </c>
      <c r="AE70" s="60">
        <v>6.95</v>
      </c>
      <c r="AF70" s="60">
        <v>5.26</v>
      </c>
      <c r="AG70" s="54">
        <v>0.03</v>
      </c>
      <c r="AH70" s="46">
        <v>0</v>
      </c>
      <c r="AI70" s="46">
        <v>5.53</v>
      </c>
      <c r="AJ70" s="46">
        <v>0</v>
      </c>
      <c r="AK70" s="46">
        <v>9.08</v>
      </c>
      <c r="AL70" s="46">
        <v>2.79</v>
      </c>
      <c r="AM70" s="46">
        <v>6.82</v>
      </c>
      <c r="AN70" s="46">
        <v>0</v>
      </c>
      <c r="AO70" s="46">
        <f t="shared" si="4"/>
        <v>4.613548387096774</v>
      </c>
      <c r="AP70" s="67">
        <f t="shared" si="5"/>
        <v>1.5378494623655914</v>
      </c>
    </row>
    <row r="71" spans="1:42" x14ac:dyDescent="0.3">
      <c r="A71" s="5">
        <v>70</v>
      </c>
      <c r="B71" s="6" t="s">
        <v>65</v>
      </c>
      <c r="C71" s="12" t="s">
        <v>237</v>
      </c>
      <c r="D71" s="6" t="s">
        <v>236</v>
      </c>
      <c r="E71" s="6" t="s">
        <v>12</v>
      </c>
      <c r="F71" s="6" t="s">
        <v>121</v>
      </c>
      <c r="G71" s="6" t="s">
        <v>35</v>
      </c>
      <c r="H71" s="5">
        <v>3</v>
      </c>
      <c r="I71" s="67" t="s">
        <v>160</v>
      </c>
      <c r="J71" s="45">
        <v>8.0299999999999994</v>
      </c>
      <c r="K71" s="45">
        <v>12.22</v>
      </c>
      <c r="L71" s="45">
        <v>6.93</v>
      </c>
      <c r="M71" s="45">
        <v>3.09</v>
      </c>
      <c r="N71" s="45">
        <v>0</v>
      </c>
      <c r="O71" s="46">
        <v>6.83</v>
      </c>
      <c r="P71" s="46">
        <v>6.01</v>
      </c>
      <c r="Q71" s="46">
        <v>6.52</v>
      </c>
      <c r="R71" s="46">
        <v>9.7100000000000009</v>
      </c>
      <c r="S71" s="46">
        <v>13.16</v>
      </c>
      <c r="T71" s="46">
        <v>17.670000000000002</v>
      </c>
      <c r="U71" s="46">
        <v>10.97</v>
      </c>
      <c r="V71" s="46">
        <v>6.5</v>
      </c>
      <c r="W71" s="46">
        <v>13.66</v>
      </c>
      <c r="X71" s="46">
        <v>9.67</v>
      </c>
      <c r="Y71" s="46">
        <v>11.45</v>
      </c>
      <c r="Z71" s="46">
        <v>9.1199999999999992</v>
      </c>
      <c r="AA71" s="46">
        <v>4.3</v>
      </c>
      <c r="AB71" s="46">
        <v>0.02</v>
      </c>
      <c r="AC71" s="60">
        <v>9.85</v>
      </c>
      <c r="AD71" s="60">
        <v>13.75</v>
      </c>
      <c r="AE71" s="60">
        <v>15.23</v>
      </c>
      <c r="AF71" s="60">
        <v>14.92</v>
      </c>
      <c r="AG71" s="54">
        <v>10.18</v>
      </c>
      <c r="AH71" s="46">
        <v>0</v>
      </c>
      <c r="AI71" s="46">
        <v>0</v>
      </c>
      <c r="AJ71" s="46">
        <v>10.31</v>
      </c>
      <c r="AK71" s="46">
        <v>1.76</v>
      </c>
      <c r="AL71" s="46">
        <v>9.02</v>
      </c>
      <c r="AM71" s="46">
        <v>9.2200000000000006</v>
      </c>
      <c r="AN71" s="46">
        <v>9.9</v>
      </c>
      <c r="AO71" s="46">
        <f t="shared" si="4"/>
        <v>8.387096774193548</v>
      </c>
      <c r="AP71" s="67">
        <f t="shared" si="5"/>
        <v>2.7956989247311825</v>
      </c>
    </row>
    <row r="72" spans="1:42" x14ac:dyDescent="0.3">
      <c r="A72" s="5">
        <v>71</v>
      </c>
      <c r="B72" s="6" t="s">
        <v>65</v>
      </c>
      <c r="C72" s="12" t="s">
        <v>245</v>
      </c>
      <c r="D72" s="6" t="s">
        <v>236</v>
      </c>
      <c r="E72" s="6" t="s">
        <v>12</v>
      </c>
      <c r="F72" s="6" t="s">
        <v>121</v>
      </c>
      <c r="G72" s="6" t="s">
        <v>35</v>
      </c>
      <c r="H72" s="5">
        <v>3</v>
      </c>
      <c r="I72" s="67" t="s">
        <v>160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46">
        <v>0</v>
      </c>
      <c r="AI72" s="46">
        <v>0</v>
      </c>
      <c r="AJ72" s="46">
        <v>0</v>
      </c>
      <c r="AK72" s="46">
        <v>0</v>
      </c>
      <c r="AL72" s="46">
        <v>0</v>
      </c>
      <c r="AM72" s="46">
        <v>0</v>
      </c>
      <c r="AN72" s="46">
        <v>0</v>
      </c>
      <c r="AO72" s="46">
        <f t="shared" si="4"/>
        <v>0</v>
      </c>
      <c r="AP72" s="67">
        <f t="shared" si="5"/>
        <v>0</v>
      </c>
    </row>
    <row r="73" spans="1:42" x14ac:dyDescent="0.3">
      <c r="A73" s="5">
        <v>72</v>
      </c>
      <c r="B73" s="6" t="s">
        <v>65</v>
      </c>
      <c r="C73" t="s">
        <v>253</v>
      </c>
      <c r="D73" s="6" t="s">
        <v>236</v>
      </c>
      <c r="E73" s="6" t="s">
        <v>12</v>
      </c>
      <c r="F73" s="6" t="s">
        <v>121</v>
      </c>
      <c r="G73" s="6" t="s">
        <v>35</v>
      </c>
      <c r="H73" s="5">
        <v>3</v>
      </c>
      <c r="I73" s="67" t="s">
        <v>160</v>
      </c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6"/>
      <c r="U73" s="46"/>
      <c r="V73" s="46"/>
      <c r="W73" s="46"/>
      <c r="X73" s="46"/>
      <c r="Y73" s="46"/>
      <c r="Z73" s="46"/>
      <c r="AA73" s="46">
        <v>0</v>
      </c>
      <c r="AB73" s="46">
        <v>0</v>
      </c>
      <c r="AC73" s="60">
        <v>0</v>
      </c>
      <c r="AD73" s="60">
        <v>0</v>
      </c>
      <c r="AE73" s="60">
        <v>0</v>
      </c>
      <c r="AF73" s="60">
        <v>0</v>
      </c>
      <c r="AG73" s="60">
        <v>0</v>
      </c>
      <c r="AH73" s="46">
        <v>0</v>
      </c>
      <c r="AI73" s="46">
        <v>0</v>
      </c>
      <c r="AJ73" s="46">
        <v>0</v>
      </c>
      <c r="AK73" s="46">
        <v>0</v>
      </c>
      <c r="AL73" s="46">
        <v>0</v>
      </c>
      <c r="AM73" s="46">
        <v>0</v>
      </c>
      <c r="AN73" s="46">
        <v>0</v>
      </c>
      <c r="AO73" s="46">
        <f t="shared" si="4"/>
        <v>0</v>
      </c>
      <c r="AP73" s="67">
        <f t="shared" si="5"/>
        <v>0</v>
      </c>
    </row>
    <row r="74" spans="1:42" x14ac:dyDescent="0.3">
      <c r="A74" s="5">
        <v>73</v>
      </c>
      <c r="B74" s="6" t="s">
        <v>65</v>
      </c>
      <c r="C74" s="39" t="s">
        <v>115</v>
      </c>
      <c r="D74" s="6" t="s">
        <v>113</v>
      </c>
      <c r="E74" s="6" t="s">
        <v>19</v>
      </c>
      <c r="F74" s="6" t="s">
        <v>116</v>
      </c>
      <c r="G74" s="6" t="s">
        <v>80</v>
      </c>
      <c r="H74" s="5">
        <v>1</v>
      </c>
      <c r="I74" s="67" t="s">
        <v>163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46">
        <v>0</v>
      </c>
      <c r="AK74" s="46">
        <v>0</v>
      </c>
      <c r="AL74" s="46">
        <v>0</v>
      </c>
      <c r="AM74" s="46">
        <v>0</v>
      </c>
      <c r="AN74" s="46">
        <v>0</v>
      </c>
      <c r="AO74" s="46">
        <f t="shared" si="4"/>
        <v>0</v>
      </c>
      <c r="AP74" s="67">
        <f t="shared" si="5"/>
        <v>0</v>
      </c>
    </row>
    <row r="75" spans="1:42" x14ac:dyDescent="0.3">
      <c r="A75" s="5">
        <v>74</v>
      </c>
      <c r="B75" s="6" t="s">
        <v>65</v>
      </c>
      <c r="C75" s="39" t="s">
        <v>117</v>
      </c>
      <c r="D75" s="6" t="s">
        <v>113</v>
      </c>
      <c r="E75" s="6" t="s">
        <v>19</v>
      </c>
      <c r="F75" s="6" t="s">
        <v>116</v>
      </c>
      <c r="G75" s="6" t="s">
        <v>80</v>
      </c>
      <c r="H75" s="5">
        <v>1</v>
      </c>
      <c r="I75" s="67" t="s">
        <v>163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46">
        <v>0</v>
      </c>
      <c r="AK75" s="46">
        <v>0</v>
      </c>
      <c r="AL75" s="46">
        <v>0</v>
      </c>
      <c r="AM75" s="46">
        <v>0</v>
      </c>
      <c r="AN75" s="46">
        <v>0</v>
      </c>
      <c r="AO75" s="46">
        <f t="shared" si="4"/>
        <v>0</v>
      </c>
      <c r="AP75" s="67">
        <f t="shared" si="5"/>
        <v>0</v>
      </c>
    </row>
    <row r="76" spans="1:42" x14ac:dyDescent="0.3">
      <c r="A76" s="5">
        <v>75</v>
      </c>
      <c r="B76" s="6" t="s">
        <v>65</v>
      </c>
      <c r="C76" s="6" t="s">
        <v>66</v>
      </c>
      <c r="D76" s="6" t="s">
        <v>67</v>
      </c>
      <c r="E76" s="6" t="s">
        <v>12</v>
      </c>
      <c r="F76" s="6" t="s">
        <v>13</v>
      </c>
      <c r="G76" s="6" t="s">
        <v>14</v>
      </c>
      <c r="H76" s="5">
        <v>96</v>
      </c>
      <c r="I76" s="67" t="s">
        <v>160</v>
      </c>
      <c r="J76" s="45">
        <v>0</v>
      </c>
      <c r="K76" s="45">
        <v>0</v>
      </c>
      <c r="L76" s="45">
        <v>0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53">
        <v>0</v>
      </c>
      <c r="AC76" s="61">
        <v>0</v>
      </c>
      <c r="AD76" s="61">
        <v>0</v>
      </c>
      <c r="AE76" s="61">
        <v>0</v>
      </c>
      <c r="AF76" s="61">
        <v>0</v>
      </c>
      <c r="AG76" s="61">
        <v>0</v>
      </c>
      <c r="AH76" s="61">
        <v>0</v>
      </c>
      <c r="AI76" s="61">
        <v>0</v>
      </c>
      <c r="AJ76" s="61">
        <v>0</v>
      </c>
      <c r="AK76" s="61">
        <v>0</v>
      </c>
      <c r="AL76" s="46">
        <v>0</v>
      </c>
      <c r="AM76" s="46">
        <v>0</v>
      </c>
      <c r="AN76" s="46">
        <v>0</v>
      </c>
      <c r="AO76" s="46">
        <f t="shared" si="4"/>
        <v>0</v>
      </c>
      <c r="AP76" s="67">
        <f t="shared" si="5"/>
        <v>0</v>
      </c>
    </row>
    <row r="77" spans="1:42" x14ac:dyDescent="0.3">
      <c r="A77" s="5">
        <v>76</v>
      </c>
      <c r="B77" s="6" t="s">
        <v>65</v>
      </c>
      <c r="C77" s="6" t="s">
        <v>70</v>
      </c>
      <c r="D77" s="6"/>
      <c r="E77" s="6" t="s">
        <v>12</v>
      </c>
      <c r="F77" s="6" t="s">
        <v>13</v>
      </c>
      <c r="G77" s="6" t="s">
        <v>14</v>
      </c>
      <c r="H77" s="5">
        <v>82</v>
      </c>
      <c r="I77" s="67" t="s">
        <v>160</v>
      </c>
      <c r="J77" s="45">
        <v>6.1050000000000004</v>
      </c>
      <c r="K77" s="45">
        <v>0</v>
      </c>
      <c r="L77" s="45">
        <v>0</v>
      </c>
      <c r="M77" s="46">
        <v>8.3689999999999998</v>
      </c>
      <c r="N77" s="46">
        <v>0.57599999999999996</v>
      </c>
      <c r="O77" s="46">
        <v>10.818</v>
      </c>
      <c r="P77" s="46">
        <v>7.7640000000000002</v>
      </c>
      <c r="Q77" s="46">
        <v>0</v>
      </c>
      <c r="R77" s="46">
        <v>0</v>
      </c>
      <c r="S77" s="46">
        <v>0</v>
      </c>
      <c r="T77" s="46">
        <v>0</v>
      </c>
      <c r="U77" s="46">
        <v>0.58699999999999997</v>
      </c>
      <c r="V77" s="46">
        <v>10.313000000000001</v>
      </c>
      <c r="W77" s="46">
        <v>0</v>
      </c>
      <c r="X77" s="46">
        <v>0</v>
      </c>
      <c r="Y77" s="46">
        <v>0</v>
      </c>
      <c r="Z77" s="46">
        <v>0</v>
      </c>
      <c r="AA77" s="46">
        <v>19.513999999999999</v>
      </c>
      <c r="AB77" s="53">
        <v>10.978</v>
      </c>
      <c r="AC77" s="61">
        <v>7.3209999999999997</v>
      </c>
      <c r="AD77" s="61">
        <v>0</v>
      </c>
      <c r="AE77" s="61">
        <v>0</v>
      </c>
      <c r="AF77" s="61">
        <v>0</v>
      </c>
      <c r="AG77" s="61">
        <v>0</v>
      </c>
      <c r="AH77" s="61">
        <v>0</v>
      </c>
      <c r="AI77" s="61">
        <v>22.029</v>
      </c>
      <c r="AJ77" s="61">
        <v>0.316</v>
      </c>
      <c r="AK77" s="61">
        <v>0</v>
      </c>
      <c r="AL77" s="46">
        <v>0</v>
      </c>
      <c r="AM77" s="46">
        <v>0</v>
      </c>
      <c r="AN77" s="46">
        <v>0</v>
      </c>
      <c r="AO77" s="46">
        <f t="shared" si="4"/>
        <v>3.3770967741935483</v>
      </c>
      <c r="AP77" s="67">
        <f t="shared" si="5"/>
        <v>4.1184107002360346E-2</v>
      </c>
    </row>
    <row r="78" spans="1:42" x14ac:dyDescent="0.3">
      <c r="A78" s="5">
        <v>77</v>
      </c>
      <c r="B78" s="6" t="s">
        <v>65</v>
      </c>
      <c r="C78" s="6" t="s">
        <v>74</v>
      </c>
      <c r="D78" s="6" t="s">
        <v>30</v>
      </c>
      <c r="E78" s="6" t="s">
        <v>19</v>
      </c>
      <c r="F78" s="6" t="s">
        <v>13</v>
      </c>
      <c r="G78" s="6" t="s">
        <v>14</v>
      </c>
      <c r="H78" s="5">
        <v>2</v>
      </c>
      <c r="I78" s="67" t="s">
        <v>163</v>
      </c>
      <c r="J78" s="45">
        <v>0</v>
      </c>
      <c r="K78" s="45">
        <v>0</v>
      </c>
      <c r="L78" s="45">
        <v>0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53">
        <v>0</v>
      </c>
      <c r="AC78" s="60">
        <v>0</v>
      </c>
      <c r="AD78" s="61">
        <v>0</v>
      </c>
      <c r="AE78" s="61">
        <v>0</v>
      </c>
      <c r="AF78" s="61">
        <v>0</v>
      </c>
      <c r="AG78" s="61">
        <v>0</v>
      </c>
      <c r="AH78" s="61">
        <v>0</v>
      </c>
      <c r="AI78" s="61">
        <v>0</v>
      </c>
      <c r="AJ78" s="46">
        <v>0</v>
      </c>
      <c r="AK78" s="46">
        <v>0</v>
      </c>
      <c r="AL78" s="46">
        <v>0</v>
      </c>
      <c r="AM78" s="46">
        <v>0</v>
      </c>
      <c r="AN78" s="46">
        <v>0</v>
      </c>
      <c r="AO78" s="46">
        <f t="shared" si="4"/>
        <v>0</v>
      </c>
      <c r="AP78" s="67">
        <f t="shared" si="5"/>
        <v>0</v>
      </c>
    </row>
    <row r="79" spans="1:42" x14ac:dyDescent="0.3">
      <c r="A79" s="5">
        <v>78</v>
      </c>
      <c r="B79" s="6" t="s">
        <v>65</v>
      </c>
      <c r="C79" s="39" t="s">
        <v>122</v>
      </c>
      <c r="D79" s="6" t="s">
        <v>30</v>
      </c>
      <c r="E79" s="6" t="s">
        <v>19</v>
      </c>
      <c r="F79" s="6" t="s">
        <v>13</v>
      </c>
      <c r="G79" s="6" t="s">
        <v>14</v>
      </c>
      <c r="H79" s="5">
        <v>3</v>
      </c>
      <c r="I79" s="67" t="s">
        <v>163</v>
      </c>
      <c r="J79" s="45">
        <v>0</v>
      </c>
      <c r="K79" s="45">
        <v>0</v>
      </c>
      <c r="L79" s="45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8">
        <v>0</v>
      </c>
      <c r="AD79" s="48">
        <v>0</v>
      </c>
      <c r="AE79" s="48">
        <v>0</v>
      </c>
      <c r="AF79" s="48">
        <v>0</v>
      </c>
      <c r="AG79" s="48">
        <v>0</v>
      </c>
      <c r="AH79" s="48">
        <v>0</v>
      </c>
      <c r="AI79" s="48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v>0</v>
      </c>
      <c r="AO79" s="46">
        <f t="shared" si="4"/>
        <v>0</v>
      </c>
      <c r="AP79" s="67">
        <f t="shared" si="5"/>
        <v>0</v>
      </c>
    </row>
    <row r="80" spans="1:42" x14ac:dyDescent="0.3">
      <c r="A80" s="5">
        <v>79</v>
      </c>
      <c r="B80" s="6" t="s">
        <v>65</v>
      </c>
      <c r="C80" s="39" t="s">
        <v>143</v>
      </c>
      <c r="D80" s="6" t="s">
        <v>128</v>
      </c>
      <c r="E80" s="6" t="s">
        <v>12</v>
      </c>
      <c r="F80" s="6" t="s">
        <v>121</v>
      </c>
      <c r="G80" s="6" t="s">
        <v>14</v>
      </c>
      <c r="H80" s="5">
        <v>2</v>
      </c>
      <c r="I80" s="67" t="s">
        <v>162</v>
      </c>
      <c r="J80" s="45">
        <v>0</v>
      </c>
      <c r="K80" s="45">
        <v>0</v>
      </c>
      <c r="L80" s="45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9.0310000000000006</v>
      </c>
      <c r="T80" s="46">
        <v>2.9009999999999998</v>
      </c>
      <c r="U80" s="46">
        <v>4.766</v>
      </c>
      <c r="V80" s="46">
        <v>0</v>
      </c>
      <c r="W80" s="46">
        <v>0.96099999999999997</v>
      </c>
      <c r="X80" s="46">
        <v>0</v>
      </c>
      <c r="Y80" s="46">
        <v>2.2810000000000001</v>
      </c>
      <c r="Z80" s="46">
        <v>0</v>
      </c>
      <c r="AA80" s="46">
        <v>0</v>
      </c>
      <c r="AB80" s="46">
        <v>0.33800000000000002</v>
      </c>
      <c r="AC80" s="48">
        <v>0</v>
      </c>
      <c r="AD80" s="48">
        <v>0</v>
      </c>
      <c r="AE80" s="48">
        <v>5.58</v>
      </c>
      <c r="AF80" s="48">
        <v>1.173</v>
      </c>
      <c r="AG80" s="48">
        <v>0</v>
      </c>
      <c r="AH80" s="48">
        <v>0</v>
      </c>
      <c r="AI80" s="48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f t="shared" si="4"/>
        <v>0.87196774193548388</v>
      </c>
      <c r="AP80" s="67">
        <f t="shared" si="5"/>
        <v>0.43598387096774194</v>
      </c>
    </row>
    <row r="81" spans="1:42" x14ac:dyDescent="0.3">
      <c r="A81" s="5"/>
      <c r="B81" s="6"/>
      <c r="C81" s="39"/>
      <c r="D81" s="6"/>
      <c r="E81" s="6"/>
      <c r="F81" s="6"/>
      <c r="G81" s="6"/>
      <c r="H81" s="5"/>
      <c r="I81" s="67"/>
      <c r="J81" s="45"/>
      <c r="K81" s="45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8"/>
      <c r="AG81" s="46"/>
      <c r="AH81" s="46"/>
      <c r="AI81" s="46"/>
      <c r="AJ81" s="46"/>
      <c r="AK81" s="46"/>
      <c r="AL81" s="46"/>
      <c r="AM81" s="46"/>
      <c r="AN81" s="46"/>
      <c r="AO81" s="46"/>
      <c r="AP81" s="12"/>
    </row>
    <row r="82" spans="1:42" x14ac:dyDescent="0.3">
      <c r="A82" s="5"/>
      <c r="B82" s="6"/>
      <c r="C82" s="14"/>
      <c r="D82" s="14"/>
      <c r="E82" s="13"/>
      <c r="F82" s="13"/>
      <c r="G82" s="13" t="s">
        <v>79</v>
      </c>
      <c r="H82" s="52">
        <f>SUM(H2:H80)</f>
        <v>595</v>
      </c>
      <c r="I82" s="52">
        <f t="shared" ref="I82:AN82" si="6">SUM(I2:I80)</f>
        <v>0</v>
      </c>
      <c r="J82" s="44">
        <f t="shared" si="6"/>
        <v>1915.7149999999999</v>
      </c>
      <c r="K82" s="44">
        <f t="shared" si="6"/>
        <v>2042.9200000000003</v>
      </c>
      <c r="L82" s="44">
        <f t="shared" si="6"/>
        <v>1998.2200000000005</v>
      </c>
      <c r="M82" s="44">
        <f t="shared" si="6"/>
        <v>1980.7790000000002</v>
      </c>
      <c r="N82" s="44">
        <f t="shared" si="6"/>
        <v>2073.297</v>
      </c>
      <c r="O82" s="44">
        <f t="shared" si="6"/>
        <v>2214.0789999999993</v>
      </c>
      <c r="P82" s="44">
        <f t="shared" si="6"/>
        <v>2197.7250000000004</v>
      </c>
      <c r="Q82" s="44">
        <f t="shared" si="6"/>
        <v>2233.7510000000002</v>
      </c>
      <c r="R82" s="44">
        <f t="shared" si="6"/>
        <v>2208.9110000000005</v>
      </c>
      <c r="S82" s="44">
        <f t="shared" si="6"/>
        <v>2030.212</v>
      </c>
      <c r="T82" s="44">
        <f t="shared" si="6"/>
        <v>1868.3719999999998</v>
      </c>
      <c r="U82" s="44">
        <f t="shared" si="6"/>
        <v>2279.0240000000003</v>
      </c>
      <c r="V82" s="44">
        <f t="shared" si="6"/>
        <v>2163.5340000000001</v>
      </c>
      <c r="W82" s="44">
        <f t="shared" si="6"/>
        <v>2056.1419999999994</v>
      </c>
      <c r="X82" s="44">
        <f t="shared" si="6"/>
        <v>2110.2219999999998</v>
      </c>
      <c r="Y82" s="44">
        <f t="shared" si="6"/>
        <v>2059.5410000000002</v>
      </c>
      <c r="Z82" s="44">
        <f t="shared" si="6"/>
        <v>1903.3199999999997</v>
      </c>
      <c r="AA82" s="44">
        <f t="shared" si="6"/>
        <v>1994.1839999999991</v>
      </c>
      <c r="AB82" s="44">
        <f t="shared" si="6"/>
        <v>1954.5160000000001</v>
      </c>
      <c r="AC82" s="44">
        <f t="shared" si="6"/>
        <v>2019.8709999999999</v>
      </c>
      <c r="AD82" s="44">
        <f t="shared" si="6"/>
        <v>2058.67</v>
      </c>
      <c r="AE82" s="44">
        <f t="shared" si="6"/>
        <v>1991.4600000000003</v>
      </c>
      <c r="AF82" s="44">
        <f t="shared" si="6"/>
        <v>2123.6579999999999</v>
      </c>
      <c r="AG82" s="44">
        <f t="shared" si="6"/>
        <v>1897.12</v>
      </c>
      <c r="AH82" s="44">
        <f t="shared" si="6"/>
        <v>1763.45</v>
      </c>
      <c r="AI82" s="44">
        <f t="shared" si="6"/>
        <v>1692.6789999999999</v>
      </c>
      <c r="AJ82" s="44">
        <f t="shared" si="6"/>
        <v>1899.5739999999996</v>
      </c>
      <c r="AK82" s="44">
        <f t="shared" si="6"/>
        <v>2149.39</v>
      </c>
      <c r="AL82" s="44">
        <f t="shared" si="6"/>
        <v>2276.73</v>
      </c>
      <c r="AM82" s="44">
        <f t="shared" si="6"/>
        <v>2359.2300000000005</v>
      </c>
      <c r="AN82" s="44">
        <f t="shared" si="6"/>
        <v>1947.8999999999996</v>
      </c>
      <c r="AO82" s="46">
        <f>AVERAGE(J82:AN82)</f>
        <v>2047.2321290322582</v>
      </c>
      <c r="AP82" s="67">
        <f>AO82/H82</f>
        <v>3.4407262672811063</v>
      </c>
    </row>
    <row r="83" spans="1:42" x14ac:dyDescent="0.3">
      <c r="I83" s="28"/>
      <c r="J83" s="27"/>
      <c r="K83" s="28"/>
      <c r="L83"/>
      <c r="AL83" s="50"/>
      <c r="AM83" s="50"/>
      <c r="AN83" s="50"/>
      <c r="AO83" t="s">
        <v>239</v>
      </c>
    </row>
    <row r="84" spans="1:42" x14ac:dyDescent="0.3">
      <c r="AO84" s="50"/>
    </row>
  </sheetData>
  <autoFilter ref="A1:I80" xr:uid="{00000000-0009-0000-0000-000018000000}"/>
  <pageMargins left="0.7" right="0.7" top="0.75" bottom="0.75" header="0.3" footer="0.3"/>
  <pageSetup scale="1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M3"/>
  <sheetViews>
    <sheetView topLeftCell="A34" zoomScaleNormal="100" workbookViewId="0">
      <selection activeCell="F29" sqref="F29"/>
    </sheetView>
  </sheetViews>
  <sheetFormatPr defaultRowHeight="14.4" x14ac:dyDescent="0.3"/>
  <cols>
    <col min="1" max="12" width="15.5546875" bestFit="1" customWidth="1"/>
    <col min="13" max="13" width="10.77734375" bestFit="1" customWidth="1"/>
    <col min="14" max="14" width="11.33203125" customWidth="1"/>
    <col min="15" max="24" width="16.5546875" bestFit="1" customWidth="1"/>
    <col min="25" max="26" width="21.6640625" bestFit="1" customWidth="1"/>
  </cols>
  <sheetData>
    <row r="2" spans="1:13" x14ac:dyDescent="0.3">
      <c r="A2" s="29" t="s">
        <v>144</v>
      </c>
    </row>
    <row r="3" spans="1:13" x14ac:dyDescent="0.3">
      <c r="A3" s="12" t="s">
        <v>175</v>
      </c>
      <c r="B3" s="12" t="s">
        <v>58</v>
      </c>
      <c r="C3" s="12" t="s">
        <v>65</v>
      </c>
      <c r="D3" s="12" t="s">
        <v>222</v>
      </c>
      <c r="E3" s="12" t="s">
        <v>134</v>
      </c>
      <c r="F3" s="12" t="s">
        <v>9</v>
      </c>
      <c r="G3" s="12" t="s">
        <v>55</v>
      </c>
      <c r="H3" s="12" t="s">
        <v>119</v>
      </c>
      <c r="I3" s="12" t="s">
        <v>221</v>
      </c>
      <c r="J3" s="12" t="s">
        <v>246</v>
      </c>
      <c r="K3" s="12" t="s">
        <v>49</v>
      </c>
      <c r="L3" s="12" t="s">
        <v>52</v>
      </c>
      <c r="M3" s="12" t="s">
        <v>83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H102"/>
  <sheetViews>
    <sheetView topLeftCell="A76" workbookViewId="0">
      <selection activeCell="F29" sqref="F29"/>
    </sheetView>
  </sheetViews>
  <sheetFormatPr defaultRowHeight="14.4" x14ac:dyDescent="0.3"/>
  <cols>
    <col min="1" max="1" width="52.109375" customWidth="1"/>
    <col min="2" max="2" width="10.6640625" customWidth="1"/>
    <col min="3" max="17" width="15.109375" customWidth="1"/>
    <col min="18" max="24" width="15.109375" bestFit="1" customWidth="1"/>
    <col min="25" max="32" width="15.109375" customWidth="1"/>
    <col min="33" max="33" width="15" customWidth="1"/>
    <col min="34" max="34" width="13.5546875" customWidth="1"/>
  </cols>
  <sheetData>
    <row r="1" spans="1:34" x14ac:dyDescent="0.3">
      <c r="A1" s="30" t="s">
        <v>1</v>
      </c>
      <c r="B1" s="12" t="s">
        <v>82</v>
      </c>
    </row>
    <row r="2" spans="1:34" x14ac:dyDescent="0.3">
      <c r="A2" s="30" t="s">
        <v>158</v>
      </c>
      <c r="B2" s="12" t="s">
        <v>82</v>
      </c>
    </row>
    <row r="4" spans="1:34" ht="43.2" x14ac:dyDescent="0.3">
      <c r="A4" s="30" t="s">
        <v>2</v>
      </c>
      <c r="B4" s="12" t="s">
        <v>84</v>
      </c>
      <c r="C4" s="12" t="s">
        <v>257</v>
      </c>
      <c r="D4" s="12" t="s">
        <v>258</v>
      </c>
      <c r="E4" s="12" t="s">
        <v>259</v>
      </c>
      <c r="F4" s="12" t="s">
        <v>262</v>
      </c>
      <c r="G4" s="12" t="s">
        <v>263</v>
      </c>
      <c r="H4" s="12" t="s">
        <v>265</v>
      </c>
      <c r="I4" s="12" t="s">
        <v>266</v>
      </c>
      <c r="J4" s="12" t="s">
        <v>268</v>
      </c>
      <c r="K4" s="12" t="s">
        <v>267</v>
      </c>
      <c r="L4" s="12" t="s">
        <v>275</v>
      </c>
      <c r="M4" s="12" t="s">
        <v>276</v>
      </c>
      <c r="N4" s="12" t="s">
        <v>278</v>
      </c>
      <c r="O4" s="12" t="s">
        <v>279</v>
      </c>
      <c r="P4" s="12" t="s">
        <v>280</v>
      </c>
      <c r="Q4" s="12" t="s">
        <v>281</v>
      </c>
      <c r="R4" s="12" t="s">
        <v>282</v>
      </c>
      <c r="S4" s="12" t="s">
        <v>284</v>
      </c>
      <c r="T4" s="12" t="s">
        <v>285</v>
      </c>
      <c r="U4" s="12" t="s">
        <v>286</v>
      </c>
      <c r="V4" s="12" t="s">
        <v>287</v>
      </c>
      <c r="W4" s="12" t="s">
        <v>288</v>
      </c>
      <c r="X4" s="12" t="s">
        <v>289</v>
      </c>
      <c r="Y4" s="12" t="s">
        <v>291</v>
      </c>
      <c r="Z4" s="12" t="s">
        <v>292</v>
      </c>
      <c r="AA4" s="12" t="s">
        <v>293</v>
      </c>
      <c r="AB4" s="12" t="s">
        <v>294</v>
      </c>
      <c r="AC4" s="12" t="s">
        <v>295</v>
      </c>
      <c r="AD4" s="12" t="s">
        <v>296</v>
      </c>
      <c r="AE4" s="31" t="s">
        <v>299</v>
      </c>
      <c r="AF4" s="12" t="s">
        <v>300</v>
      </c>
      <c r="AG4" s="12" t="s">
        <v>85</v>
      </c>
      <c r="AH4" s="66" t="s">
        <v>155</v>
      </c>
    </row>
    <row r="5" spans="1:34" x14ac:dyDescent="0.3">
      <c r="A5" s="12" t="s">
        <v>133</v>
      </c>
      <c r="B5" s="12">
        <v>5</v>
      </c>
      <c r="C5" s="31">
        <v>45.69</v>
      </c>
      <c r="D5" s="31">
        <v>35.26</v>
      </c>
      <c r="E5" s="31">
        <v>31.73</v>
      </c>
      <c r="F5" s="31">
        <v>52.17</v>
      </c>
      <c r="G5" s="31">
        <v>35.85</v>
      </c>
      <c r="H5" s="31">
        <v>38.01</v>
      </c>
      <c r="I5" s="31">
        <v>45.15</v>
      </c>
      <c r="J5" s="31">
        <v>52.23</v>
      </c>
      <c r="K5" s="31">
        <v>34.76</v>
      </c>
      <c r="L5" s="31">
        <v>37.53</v>
      </c>
      <c r="M5" s="31">
        <v>34.39</v>
      </c>
      <c r="N5" s="31">
        <v>39.57</v>
      </c>
      <c r="O5" s="31">
        <v>33.229999999999997</v>
      </c>
      <c r="P5" s="31">
        <v>48.82</v>
      </c>
      <c r="Q5" s="31">
        <v>32.409999999999997</v>
      </c>
      <c r="R5" s="31">
        <v>27.82</v>
      </c>
      <c r="S5" s="31">
        <v>57.34</v>
      </c>
      <c r="T5" s="31">
        <v>28.01</v>
      </c>
      <c r="U5" s="31">
        <v>44.88</v>
      </c>
      <c r="V5" s="31">
        <v>37.479999999999997</v>
      </c>
      <c r="W5" s="31">
        <v>36.72</v>
      </c>
      <c r="X5" s="31">
        <v>49.56</v>
      </c>
      <c r="Y5" s="31">
        <v>53.71</v>
      </c>
      <c r="Z5" s="31">
        <v>30.88</v>
      </c>
      <c r="AA5" s="31">
        <v>43.36</v>
      </c>
      <c r="AB5" s="31">
        <v>39.630000000000003</v>
      </c>
      <c r="AC5" s="31">
        <v>38.299999999999997</v>
      </c>
      <c r="AD5" s="31">
        <v>28.77</v>
      </c>
      <c r="AE5" s="31">
        <v>61.46</v>
      </c>
      <c r="AF5" s="31">
        <v>52.85</v>
      </c>
      <c r="AG5" s="31">
        <v>40.919000000000004</v>
      </c>
      <c r="AH5" s="31">
        <v>8.1838000000000015</v>
      </c>
    </row>
    <row r="6" spans="1:34" x14ac:dyDescent="0.3">
      <c r="A6" s="12" t="s">
        <v>242</v>
      </c>
      <c r="B6" s="12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</row>
    <row r="7" spans="1:34" x14ac:dyDescent="0.3">
      <c r="A7" s="12" t="s">
        <v>241</v>
      </c>
      <c r="B7" s="12">
        <v>1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  <c r="AH7" s="31">
        <v>0</v>
      </c>
    </row>
    <row r="8" spans="1:34" x14ac:dyDescent="0.3">
      <c r="A8" s="12" t="s">
        <v>240</v>
      </c>
      <c r="B8" s="12">
        <v>1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</row>
    <row r="9" spans="1:34" x14ac:dyDescent="0.3">
      <c r="A9" s="12" t="s">
        <v>70</v>
      </c>
      <c r="B9" s="12">
        <v>82</v>
      </c>
      <c r="C9" s="31">
        <v>21</v>
      </c>
      <c r="D9" s="31">
        <v>6.5229999999999997</v>
      </c>
      <c r="E9" s="31">
        <v>19.460999999999999</v>
      </c>
      <c r="F9" s="31">
        <v>11.859</v>
      </c>
      <c r="G9" s="31">
        <v>6.8860000000000001</v>
      </c>
      <c r="H9" s="31">
        <v>0</v>
      </c>
      <c r="I9" s="31">
        <v>0</v>
      </c>
      <c r="J9" s="31">
        <v>8.1829999999999998</v>
      </c>
      <c r="K9" s="31">
        <v>0</v>
      </c>
      <c r="L9" s="31">
        <v>0</v>
      </c>
      <c r="M9" s="31">
        <v>0</v>
      </c>
      <c r="N9" s="31">
        <v>0.34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10.249000000000001</v>
      </c>
      <c r="V9" s="31">
        <v>0</v>
      </c>
      <c r="W9" s="31">
        <v>0</v>
      </c>
      <c r="X9" s="31">
        <v>12.709</v>
      </c>
      <c r="Y9" s="31">
        <v>0</v>
      </c>
      <c r="Z9" s="31">
        <v>0.40500000000000003</v>
      </c>
      <c r="AA9" s="31">
        <v>12.085000000000001</v>
      </c>
      <c r="AB9" s="31">
        <v>3.6999999999999998E-2</v>
      </c>
      <c r="AC9" s="31">
        <v>0</v>
      </c>
      <c r="AD9" s="31">
        <v>0</v>
      </c>
      <c r="AE9" s="31">
        <v>11.321999999999999</v>
      </c>
      <c r="AF9" s="31">
        <v>8.7309999999999999</v>
      </c>
      <c r="AG9" s="31">
        <v>4.3263333333333343</v>
      </c>
      <c r="AH9" s="31">
        <v>5.2760162601626026E-2</v>
      </c>
    </row>
    <row r="10" spans="1:34" x14ac:dyDescent="0.3">
      <c r="A10" s="12" t="s">
        <v>252</v>
      </c>
      <c r="B10" s="12">
        <v>3</v>
      </c>
      <c r="C10" s="31">
        <v>7.56</v>
      </c>
      <c r="D10" s="31">
        <v>4.84</v>
      </c>
      <c r="E10" s="31">
        <v>4.9800000000000004</v>
      </c>
      <c r="F10" s="31">
        <v>0.52</v>
      </c>
      <c r="G10" s="31">
        <v>6.1</v>
      </c>
      <c r="H10" s="31">
        <v>11.95</v>
      </c>
      <c r="I10" s="31">
        <v>10.36</v>
      </c>
      <c r="J10" s="31">
        <v>5.13</v>
      </c>
      <c r="K10" s="31">
        <v>0</v>
      </c>
      <c r="L10" s="31">
        <v>5.13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1.84</v>
      </c>
      <c r="U10" s="31">
        <v>3.3</v>
      </c>
      <c r="V10" s="31">
        <v>0</v>
      </c>
      <c r="W10" s="31">
        <v>5.09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0.02</v>
      </c>
      <c r="AE10" s="31">
        <v>0.38</v>
      </c>
      <c r="AF10" s="31">
        <v>3.1</v>
      </c>
      <c r="AG10" s="31">
        <v>2.3433333333333333</v>
      </c>
      <c r="AH10" s="31">
        <v>0.78111111111111109</v>
      </c>
    </row>
    <row r="11" spans="1:34" x14ac:dyDescent="0.3">
      <c r="A11" s="12" t="s">
        <v>261</v>
      </c>
      <c r="B11" s="12">
        <v>16</v>
      </c>
      <c r="C11" s="31"/>
      <c r="D11" s="31"/>
      <c r="E11" s="31">
        <v>0</v>
      </c>
      <c r="F11" s="31">
        <v>0</v>
      </c>
      <c r="G11" s="31">
        <v>0</v>
      </c>
      <c r="H11" s="31">
        <v>0.53</v>
      </c>
      <c r="I11" s="31">
        <v>0.98</v>
      </c>
      <c r="J11" s="31">
        <v>0.35</v>
      </c>
      <c r="K11" s="31">
        <v>0</v>
      </c>
      <c r="L11" s="31">
        <v>0</v>
      </c>
      <c r="M11" s="31">
        <v>0</v>
      </c>
      <c r="N11" s="31"/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1.48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0.1237037037037037</v>
      </c>
      <c r="AH11" s="31">
        <v>7.7314814814814815E-3</v>
      </c>
    </row>
    <row r="12" spans="1:34" x14ac:dyDescent="0.3">
      <c r="A12" s="12" t="s">
        <v>245</v>
      </c>
      <c r="B12" s="12">
        <v>3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  <c r="AH12" s="31">
        <v>0</v>
      </c>
    </row>
    <row r="13" spans="1:34" x14ac:dyDescent="0.3">
      <c r="A13" s="12" t="s">
        <v>237</v>
      </c>
      <c r="B13" s="12">
        <v>3</v>
      </c>
      <c r="C13" s="31">
        <v>13.14</v>
      </c>
      <c r="D13" s="31">
        <v>11.35</v>
      </c>
      <c r="E13" s="31">
        <v>0</v>
      </c>
      <c r="F13" s="31">
        <v>11.58</v>
      </c>
      <c r="G13" s="31">
        <v>4.24</v>
      </c>
      <c r="H13" s="31">
        <v>8.59</v>
      </c>
      <c r="I13" s="31">
        <v>7.47</v>
      </c>
      <c r="J13" s="31">
        <v>4.24</v>
      </c>
      <c r="K13" s="31">
        <v>8.59</v>
      </c>
      <c r="L13" s="31">
        <v>8.49</v>
      </c>
      <c r="M13" s="31">
        <v>6.97</v>
      </c>
      <c r="N13" s="31">
        <v>9.33</v>
      </c>
      <c r="O13" s="31">
        <v>10.29</v>
      </c>
      <c r="P13" s="31">
        <v>8.3800000000000008</v>
      </c>
      <c r="Q13" s="31">
        <v>4.95</v>
      </c>
      <c r="R13" s="31">
        <v>5.99</v>
      </c>
      <c r="S13" s="31">
        <v>11.88</v>
      </c>
      <c r="T13" s="31">
        <v>10.58</v>
      </c>
      <c r="U13" s="31">
        <v>5.67</v>
      </c>
      <c r="V13" s="31">
        <v>6.79</v>
      </c>
      <c r="W13" s="31">
        <v>2.88</v>
      </c>
      <c r="X13" s="31">
        <v>0</v>
      </c>
      <c r="Y13" s="31">
        <v>2.88</v>
      </c>
      <c r="Z13" s="31">
        <v>4.49</v>
      </c>
      <c r="AA13" s="31">
        <v>0</v>
      </c>
      <c r="AB13" s="31">
        <v>0</v>
      </c>
      <c r="AC13" s="31">
        <v>5.37</v>
      </c>
      <c r="AD13" s="31">
        <v>4.29</v>
      </c>
      <c r="AE13" s="31">
        <v>4.2699999999999996</v>
      </c>
      <c r="AF13" s="31">
        <v>7.25</v>
      </c>
      <c r="AG13" s="31">
        <v>6.3316666666666661</v>
      </c>
      <c r="AH13" s="31">
        <v>2.1105555555555555</v>
      </c>
    </row>
    <row r="14" spans="1:34" x14ac:dyDescent="0.3">
      <c r="A14" s="12" t="s">
        <v>253</v>
      </c>
      <c r="B14" s="12">
        <v>3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0</v>
      </c>
    </row>
    <row r="15" spans="1:34" x14ac:dyDescent="0.3">
      <c r="A15" s="12" t="s">
        <v>235</v>
      </c>
      <c r="B15" s="12">
        <v>3</v>
      </c>
      <c r="C15" s="31">
        <v>5.14</v>
      </c>
      <c r="D15" s="31">
        <v>5.07</v>
      </c>
      <c r="E15" s="31">
        <v>0</v>
      </c>
      <c r="F15" s="31">
        <v>8.5</v>
      </c>
      <c r="G15" s="31">
        <v>5.07</v>
      </c>
      <c r="H15" s="31">
        <v>12.67</v>
      </c>
      <c r="I15" s="31">
        <v>7.32</v>
      </c>
      <c r="J15" s="31">
        <v>10.47</v>
      </c>
      <c r="K15" s="31">
        <v>10.58</v>
      </c>
      <c r="L15" s="31">
        <v>7.34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2.4053333333333335</v>
      </c>
      <c r="AH15" s="31">
        <v>0.80177777777777781</v>
      </c>
    </row>
    <row r="16" spans="1:34" x14ac:dyDescent="0.3">
      <c r="A16" s="12" t="s">
        <v>238</v>
      </c>
      <c r="B16" s="12">
        <v>4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</row>
    <row r="17" spans="1:34" x14ac:dyDescent="0.3">
      <c r="A17" s="12" t="s">
        <v>93</v>
      </c>
      <c r="B17" s="12">
        <v>1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</row>
    <row r="18" spans="1:34" x14ac:dyDescent="0.3">
      <c r="A18" s="12" t="s">
        <v>66</v>
      </c>
      <c r="B18" s="12">
        <v>87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</row>
    <row r="19" spans="1:34" x14ac:dyDescent="0.3">
      <c r="A19" s="12" t="s">
        <v>74</v>
      </c>
      <c r="B19" s="12">
        <v>2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</row>
    <row r="20" spans="1:34" x14ac:dyDescent="0.3">
      <c r="A20" s="12" t="s">
        <v>59</v>
      </c>
      <c r="B20" s="12">
        <v>6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</row>
    <row r="21" spans="1:34" x14ac:dyDescent="0.3">
      <c r="A21" s="12" t="s">
        <v>27</v>
      </c>
      <c r="B21" s="12">
        <v>4</v>
      </c>
      <c r="C21" s="31"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  <c r="AH21" s="31">
        <v>0</v>
      </c>
    </row>
    <row r="22" spans="1:34" x14ac:dyDescent="0.3">
      <c r="A22" s="12" t="s">
        <v>226</v>
      </c>
      <c r="B22" s="12">
        <v>10</v>
      </c>
      <c r="C22" s="31">
        <v>18.559999999999999</v>
      </c>
      <c r="D22" s="31">
        <v>39.46</v>
      </c>
      <c r="E22" s="31">
        <v>36.799999999999997</v>
      </c>
      <c r="F22" s="31">
        <v>39.57</v>
      </c>
      <c r="G22" s="31">
        <v>35.75</v>
      </c>
      <c r="H22" s="31">
        <v>17.61</v>
      </c>
      <c r="I22" s="31">
        <v>2.76</v>
      </c>
      <c r="J22" s="31">
        <v>15.95</v>
      </c>
      <c r="K22" s="31">
        <v>20.100000000000001</v>
      </c>
      <c r="L22" s="31">
        <v>40.19</v>
      </c>
      <c r="M22" s="31">
        <v>30.72</v>
      </c>
      <c r="N22" s="31">
        <v>17.329999999999998</v>
      </c>
      <c r="O22" s="31">
        <v>20.48</v>
      </c>
      <c r="P22" s="31">
        <v>31.21</v>
      </c>
      <c r="Q22" s="31">
        <v>9.5500000000000007</v>
      </c>
      <c r="R22" s="31">
        <v>25.65</v>
      </c>
      <c r="S22" s="31">
        <v>27.29</v>
      </c>
      <c r="T22" s="31">
        <v>0.06</v>
      </c>
      <c r="U22" s="31">
        <v>42.04</v>
      </c>
      <c r="V22" s="31">
        <v>32.21</v>
      </c>
      <c r="W22" s="31">
        <v>9.75</v>
      </c>
      <c r="X22" s="31">
        <v>11.04</v>
      </c>
      <c r="Y22" s="31">
        <v>27.61</v>
      </c>
      <c r="Z22" s="31">
        <v>16</v>
      </c>
      <c r="AA22" s="31">
        <v>9</v>
      </c>
      <c r="AB22" s="31">
        <v>41.5</v>
      </c>
      <c r="AC22" s="31">
        <v>25.87</v>
      </c>
      <c r="AD22" s="31">
        <v>8.83</v>
      </c>
      <c r="AE22" s="31">
        <v>28.08</v>
      </c>
      <c r="AF22" s="31">
        <v>42.96</v>
      </c>
      <c r="AG22" s="31">
        <v>24.131000000000004</v>
      </c>
      <c r="AH22" s="31">
        <v>2.4131000000000005</v>
      </c>
    </row>
    <row r="23" spans="1:34" x14ac:dyDescent="0.3">
      <c r="A23" s="12" t="s">
        <v>217</v>
      </c>
      <c r="B23" s="12">
        <v>20</v>
      </c>
      <c r="C23" s="31">
        <v>64.94</v>
      </c>
      <c r="D23" s="31">
        <v>101.47</v>
      </c>
      <c r="E23" s="31">
        <v>92.97</v>
      </c>
      <c r="F23" s="31">
        <v>84.4</v>
      </c>
      <c r="G23" s="31">
        <v>90.62</v>
      </c>
      <c r="H23" s="31">
        <v>81.59</v>
      </c>
      <c r="I23" s="31">
        <v>52.81</v>
      </c>
      <c r="J23" s="31">
        <v>61.11</v>
      </c>
      <c r="K23" s="31">
        <v>64.72</v>
      </c>
      <c r="L23" s="31">
        <v>81.510000000000005</v>
      </c>
      <c r="M23" s="31">
        <v>52.38</v>
      </c>
      <c r="N23" s="31">
        <v>36.770000000000003</v>
      </c>
      <c r="O23" s="31">
        <v>60.79</v>
      </c>
      <c r="P23" s="31">
        <v>50.63</v>
      </c>
      <c r="Q23" s="31">
        <v>56.89</v>
      </c>
      <c r="R23" s="31">
        <v>68.62</v>
      </c>
      <c r="S23" s="31">
        <v>79.06</v>
      </c>
      <c r="T23" s="31">
        <v>82.58</v>
      </c>
      <c r="U23" s="31">
        <v>34.9</v>
      </c>
      <c r="V23" s="31">
        <v>42.64</v>
      </c>
      <c r="W23" s="31">
        <v>44.78</v>
      </c>
      <c r="X23" s="31">
        <v>52.28</v>
      </c>
      <c r="Y23" s="31">
        <v>63.29</v>
      </c>
      <c r="Z23" s="31">
        <v>77.790000000000006</v>
      </c>
      <c r="AA23" s="31">
        <v>81.209999999999994</v>
      </c>
      <c r="AB23" s="31">
        <v>76.83</v>
      </c>
      <c r="AC23" s="31">
        <v>77.98</v>
      </c>
      <c r="AD23" s="31">
        <v>34.35</v>
      </c>
      <c r="AE23" s="31">
        <v>47.95</v>
      </c>
      <c r="AF23" s="31">
        <v>71.42</v>
      </c>
      <c r="AG23" s="31">
        <v>65.642666666666656</v>
      </c>
      <c r="AH23" s="31">
        <v>3.2821333333333329</v>
      </c>
    </row>
    <row r="24" spans="1:34" x14ac:dyDescent="0.3">
      <c r="A24" s="12" t="s">
        <v>199</v>
      </c>
      <c r="B24" s="12">
        <v>6</v>
      </c>
      <c r="C24" s="31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</row>
    <row r="25" spans="1:34" x14ac:dyDescent="0.3">
      <c r="A25" s="12" t="s">
        <v>200</v>
      </c>
      <c r="B25" s="12">
        <v>9</v>
      </c>
      <c r="C25" s="31">
        <v>84.87</v>
      </c>
      <c r="D25" s="31">
        <v>98.78</v>
      </c>
      <c r="E25" s="31">
        <v>101.7</v>
      </c>
      <c r="F25" s="31">
        <v>101.98</v>
      </c>
      <c r="G25" s="31">
        <v>87.45</v>
      </c>
      <c r="H25" s="31">
        <v>86.84</v>
      </c>
      <c r="I25" s="31">
        <v>99.06</v>
      </c>
      <c r="J25" s="31">
        <v>92.68</v>
      </c>
      <c r="K25" s="31">
        <v>113.95</v>
      </c>
      <c r="L25" s="31">
        <v>86.43</v>
      </c>
      <c r="M25" s="31">
        <v>97.7</v>
      </c>
      <c r="N25" s="31">
        <v>77.81</v>
      </c>
      <c r="O25" s="31">
        <v>52.21</v>
      </c>
      <c r="P25" s="31">
        <v>101.49</v>
      </c>
      <c r="Q25" s="31">
        <v>80.95</v>
      </c>
      <c r="R25" s="31">
        <v>86.69</v>
      </c>
      <c r="S25" s="31">
        <v>74.42</v>
      </c>
      <c r="T25" s="31">
        <v>53.3</v>
      </c>
      <c r="U25" s="31">
        <v>74.709999999999994</v>
      </c>
      <c r="V25" s="31">
        <v>86.18</v>
      </c>
      <c r="W25" s="31">
        <v>95.01</v>
      </c>
      <c r="X25" s="31">
        <v>88.21</v>
      </c>
      <c r="Y25" s="31">
        <v>90.33</v>
      </c>
      <c r="Z25" s="31">
        <v>71.19</v>
      </c>
      <c r="AA25" s="31">
        <v>76.37</v>
      </c>
      <c r="AB25" s="31">
        <v>93.36</v>
      </c>
      <c r="AC25" s="31">
        <v>94.13</v>
      </c>
      <c r="AD25" s="31">
        <v>60.84</v>
      </c>
      <c r="AE25" s="31">
        <v>81.56</v>
      </c>
      <c r="AF25" s="31">
        <v>64.16</v>
      </c>
      <c r="AG25" s="31">
        <v>85.145333333333355</v>
      </c>
      <c r="AH25" s="31">
        <v>9.4605925925925956</v>
      </c>
    </row>
    <row r="26" spans="1:34" x14ac:dyDescent="0.3">
      <c r="A26" s="12" t="s">
        <v>201</v>
      </c>
      <c r="B26" s="12">
        <v>3</v>
      </c>
      <c r="C26" s="31">
        <v>31.31</v>
      </c>
      <c r="D26" s="31">
        <v>31.78</v>
      </c>
      <c r="E26" s="31">
        <v>15.37</v>
      </c>
      <c r="F26" s="31">
        <v>24.96</v>
      </c>
      <c r="G26" s="31">
        <v>28.03</v>
      </c>
      <c r="H26" s="31">
        <v>17.79</v>
      </c>
      <c r="I26" s="31">
        <v>22.13</v>
      </c>
      <c r="J26" s="31">
        <v>23.36</v>
      </c>
      <c r="K26" s="31">
        <v>35.54</v>
      </c>
      <c r="L26" s="31">
        <v>25.85</v>
      </c>
      <c r="M26" s="31">
        <v>21.42</v>
      </c>
      <c r="N26" s="31">
        <v>29.51</v>
      </c>
      <c r="O26" s="31">
        <v>20.38</v>
      </c>
      <c r="P26" s="31">
        <v>21.48</v>
      </c>
      <c r="Q26" s="31">
        <v>33.54</v>
      </c>
      <c r="R26" s="31">
        <v>13.4</v>
      </c>
      <c r="S26" s="31">
        <v>8.2899999999999991</v>
      </c>
      <c r="T26" s="31">
        <v>22.65</v>
      </c>
      <c r="U26" s="31">
        <v>15.87</v>
      </c>
      <c r="V26" s="31">
        <v>20.07</v>
      </c>
      <c r="W26" s="31">
        <v>21.87</v>
      </c>
      <c r="X26" s="31">
        <v>9.73</v>
      </c>
      <c r="Y26" s="31">
        <v>29.26</v>
      </c>
      <c r="Z26" s="31">
        <v>17.79</v>
      </c>
      <c r="AA26" s="31">
        <v>28.28</v>
      </c>
      <c r="AB26" s="31">
        <v>17.690000000000001</v>
      </c>
      <c r="AC26" s="31">
        <v>15.62</v>
      </c>
      <c r="AD26" s="31">
        <v>8.49</v>
      </c>
      <c r="AE26" s="31">
        <v>13.99</v>
      </c>
      <c r="AF26" s="31">
        <v>27.95</v>
      </c>
      <c r="AG26" s="31">
        <v>21.780000000000005</v>
      </c>
      <c r="AH26" s="31">
        <v>7.2600000000000016</v>
      </c>
    </row>
    <row r="27" spans="1:34" x14ac:dyDescent="0.3">
      <c r="A27" s="12" t="s">
        <v>209</v>
      </c>
      <c r="B27" s="12">
        <v>5</v>
      </c>
      <c r="C27" s="31">
        <v>22.34</v>
      </c>
      <c r="D27" s="31">
        <v>9.41</v>
      </c>
      <c r="E27" s="31">
        <v>15.47</v>
      </c>
      <c r="F27" s="31">
        <v>8.69</v>
      </c>
      <c r="G27" s="31">
        <v>18.14</v>
      </c>
      <c r="H27" s="31">
        <v>2.6</v>
      </c>
      <c r="I27" s="31">
        <v>13.81</v>
      </c>
      <c r="J27" s="31">
        <v>0.02</v>
      </c>
      <c r="K27" s="31">
        <v>4.9000000000000004</v>
      </c>
      <c r="L27" s="31">
        <v>8.61</v>
      </c>
      <c r="M27" s="31">
        <v>17.09</v>
      </c>
      <c r="N27" s="31">
        <v>9.77</v>
      </c>
      <c r="O27" s="31">
        <v>14.64</v>
      </c>
      <c r="P27" s="31">
        <v>0</v>
      </c>
      <c r="Q27" s="31">
        <v>14.93</v>
      </c>
      <c r="R27" s="31">
        <v>3.89</v>
      </c>
      <c r="S27" s="31">
        <v>3.29</v>
      </c>
      <c r="T27" s="31">
        <v>13.6</v>
      </c>
      <c r="U27" s="31">
        <v>14.92</v>
      </c>
      <c r="V27" s="31">
        <v>0</v>
      </c>
      <c r="W27" s="31">
        <v>0</v>
      </c>
      <c r="X27" s="31">
        <v>23.09</v>
      </c>
      <c r="Y27" s="31">
        <v>11.87</v>
      </c>
      <c r="Z27" s="31">
        <v>15.85</v>
      </c>
      <c r="AA27" s="31">
        <v>18.670000000000002</v>
      </c>
      <c r="AB27" s="31">
        <v>9.48</v>
      </c>
      <c r="AC27" s="31">
        <v>9.1999999999999993</v>
      </c>
      <c r="AD27" s="31">
        <v>0</v>
      </c>
      <c r="AE27" s="31">
        <v>15.87</v>
      </c>
      <c r="AF27" s="31">
        <v>12.58</v>
      </c>
      <c r="AG27" s="31">
        <v>10.424333333333331</v>
      </c>
      <c r="AH27" s="31">
        <v>2.0848666666666662</v>
      </c>
    </row>
    <row r="28" spans="1:34" x14ac:dyDescent="0.3">
      <c r="A28" s="12" t="s">
        <v>212</v>
      </c>
      <c r="B28" s="12">
        <v>7</v>
      </c>
      <c r="C28" s="31">
        <v>102.05</v>
      </c>
      <c r="D28" s="31">
        <v>85.99</v>
      </c>
      <c r="E28" s="31">
        <v>100.18</v>
      </c>
      <c r="F28" s="31">
        <v>94.68</v>
      </c>
      <c r="G28" s="31">
        <v>101.38</v>
      </c>
      <c r="H28" s="31">
        <v>104.95</v>
      </c>
      <c r="I28" s="31">
        <v>80.790000000000006</v>
      </c>
      <c r="J28" s="31">
        <v>116.8</v>
      </c>
      <c r="K28" s="31">
        <v>24.41</v>
      </c>
      <c r="L28" s="31">
        <v>67.010000000000005</v>
      </c>
      <c r="M28" s="31">
        <v>78.510000000000005</v>
      </c>
      <c r="N28" s="31">
        <v>97.3</v>
      </c>
      <c r="O28" s="31">
        <v>124.07</v>
      </c>
      <c r="P28" s="31">
        <v>86.83</v>
      </c>
      <c r="Q28" s="31">
        <v>65.98</v>
      </c>
      <c r="R28" s="31">
        <v>131.58000000000001</v>
      </c>
      <c r="S28" s="31">
        <v>99.35</v>
      </c>
      <c r="T28" s="31">
        <v>93.92</v>
      </c>
      <c r="U28" s="31">
        <v>78.05</v>
      </c>
      <c r="V28" s="31">
        <v>132.5</v>
      </c>
      <c r="W28" s="31">
        <v>88.2</v>
      </c>
      <c r="X28" s="31">
        <v>75.31</v>
      </c>
      <c r="Y28" s="31">
        <v>122.04</v>
      </c>
      <c r="Z28" s="31">
        <v>162.94999999999999</v>
      </c>
      <c r="AA28" s="31">
        <v>89.54</v>
      </c>
      <c r="AB28" s="31">
        <v>101.51</v>
      </c>
      <c r="AC28" s="31">
        <v>113.03</v>
      </c>
      <c r="AD28" s="31">
        <v>101.53</v>
      </c>
      <c r="AE28" s="31">
        <v>73.25</v>
      </c>
      <c r="AF28" s="31">
        <v>172.85</v>
      </c>
      <c r="AG28" s="31">
        <v>98.884666666666661</v>
      </c>
      <c r="AH28" s="31">
        <v>14.126380952380952</v>
      </c>
    </row>
    <row r="29" spans="1:34" x14ac:dyDescent="0.3">
      <c r="A29" s="12" t="s">
        <v>227</v>
      </c>
      <c r="B29" s="12">
        <v>13</v>
      </c>
      <c r="C29" s="31">
        <v>31.73</v>
      </c>
      <c r="D29" s="31">
        <v>54.88</v>
      </c>
      <c r="E29" s="31">
        <v>51.6</v>
      </c>
      <c r="F29" s="31">
        <v>47.21</v>
      </c>
      <c r="G29" s="31">
        <v>46.5</v>
      </c>
      <c r="H29" s="31">
        <v>33.81</v>
      </c>
      <c r="I29" s="31">
        <v>29.11</v>
      </c>
      <c r="J29" s="31">
        <v>45.13</v>
      </c>
      <c r="K29" s="31">
        <v>29.56</v>
      </c>
      <c r="L29" s="31">
        <v>28.85</v>
      </c>
      <c r="M29" s="31">
        <v>29.14</v>
      </c>
      <c r="N29" s="31">
        <v>33.78</v>
      </c>
      <c r="O29" s="31">
        <v>20.440000000000001</v>
      </c>
      <c r="P29" s="31">
        <v>50.44</v>
      </c>
      <c r="Q29" s="31">
        <v>31.49</v>
      </c>
      <c r="R29" s="31">
        <v>48.11</v>
      </c>
      <c r="S29" s="31">
        <v>25.93</v>
      </c>
      <c r="T29" s="31">
        <v>41.96</v>
      </c>
      <c r="U29" s="31">
        <v>43.85</v>
      </c>
      <c r="V29" s="31">
        <v>65.25</v>
      </c>
      <c r="W29" s="31">
        <v>39.07</v>
      </c>
      <c r="X29" s="31">
        <v>27.8</v>
      </c>
      <c r="Y29" s="31">
        <v>50.57</v>
      </c>
      <c r="Z29" s="31">
        <v>56.79</v>
      </c>
      <c r="AA29" s="31">
        <v>44.14</v>
      </c>
      <c r="AB29" s="31">
        <v>67.040000000000006</v>
      </c>
      <c r="AC29" s="31">
        <v>70.72</v>
      </c>
      <c r="AD29" s="31">
        <v>18.84</v>
      </c>
      <c r="AE29" s="31">
        <v>71.56</v>
      </c>
      <c r="AF29" s="31">
        <v>51.44</v>
      </c>
      <c r="AG29" s="31">
        <v>42.891333333333336</v>
      </c>
      <c r="AH29" s="31">
        <v>3.2993333333333337</v>
      </c>
    </row>
    <row r="30" spans="1:34" x14ac:dyDescent="0.3">
      <c r="A30" s="12" t="s">
        <v>218</v>
      </c>
      <c r="B30" s="12">
        <v>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3.26</v>
      </c>
      <c r="P30" s="31">
        <v>0</v>
      </c>
      <c r="Q30" s="31">
        <v>0</v>
      </c>
      <c r="R30" s="31">
        <v>9.1300000000000008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31">
        <v>0.41300000000000003</v>
      </c>
      <c r="AH30" s="31">
        <v>0.13766666666666669</v>
      </c>
    </row>
    <row r="31" spans="1:34" x14ac:dyDescent="0.3">
      <c r="A31" s="12" t="s">
        <v>225</v>
      </c>
      <c r="B31" s="12">
        <v>16</v>
      </c>
      <c r="C31" s="31">
        <v>0</v>
      </c>
      <c r="D31" s="31">
        <v>0</v>
      </c>
      <c r="E31" s="31">
        <v>0</v>
      </c>
      <c r="F31" s="31">
        <v>6.22</v>
      </c>
      <c r="G31" s="31">
        <v>12.02</v>
      </c>
      <c r="H31" s="31">
        <v>16.989999999999998</v>
      </c>
      <c r="I31" s="31">
        <v>6.21</v>
      </c>
      <c r="J31" s="31">
        <v>13.56</v>
      </c>
      <c r="K31" s="31">
        <v>9.16</v>
      </c>
      <c r="L31" s="31">
        <v>8.89</v>
      </c>
      <c r="M31" s="31">
        <v>8.24</v>
      </c>
      <c r="N31" s="31">
        <v>10.92</v>
      </c>
      <c r="O31" s="31">
        <v>0</v>
      </c>
      <c r="P31" s="31">
        <v>0.01</v>
      </c>
      <c r="Q31" s="31">
        <v>8.84</v>
      </c>
      <c r="R31" s="31">
        <v>6.24</v>
      </c>
      <c r="S31" s="31">
        <v>0.41</v>
      </c>
      <c r="T31" s="31">
        <v>7.64</v>
      </c>
      <c r="U31" s="31">
        <v>7.84</v>
      </c>
      <c r="V31" s="31">
        <v>6.4</v>
      </c>
      <c r="W31" s="31">
        <v>6.81</v>
      </c>
      <c r="X31" s="31">
        <v>1.26</v>
      </c>
      <c r="Y31" s="31">
        <v>0</v>
      </c>
      <c r="Z31" s="31">
        <v>0</v>
      </c>
      <c r="AA31" s="31">
        <v>0</v>
      </c>
      <c r="AB31" s="31">
        <v>5.74</v>
      </c>
      <c r="AC31" s="31">
        <v>20.13</v>
      </c>
      <c r="AD31" s="31">
        <v>39.78</v>
      </c>
      <c r="AE31" s="31">
        <v>35.49</v>
      </c>
      <c r="AF31" s="31">
        <v>36.340000000000003</v>
      </c>
      <c r="AG31" s="31">
        <v>9.1713333333333331</v>
      </c>
      <c r="AH31" s="31">
        <v>0.57320833333333332</v>
      </c>
    </row>
    <row r="32" spans="1:34" x14ac:dyDescent="0.3">
      <c r="A32" s="12" t="s">
        <v>248</v>
      </c>
      <c r="B32" s="12">
        <v>1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2.8</v>
      </c>
      <c r="J32" s="31">
        <v>0</v>
      </c>
      <c r="K32" s="31">
        <v>0</v>
      </c>
      <c r="L32" s="31">
        <v>0</v>
      </c>
      <c r="M32" s="31">
        <v>0</v>
      </c>
      <c r="N32" s="31">
        <v>2.9</v>
      </c>
      <c r="O32" s="31">
        <v>0</v>
      </c>
      <c r="P32" s="31">
        <v>2.64</v>
      </c>
      <c r="Q32" s="31">
        <v>0</v>
      </c>
      <c r="R32" s="31">
        <v>0</v>
      </c>
      <c r="S32" s="31">
        <v>0</v>
      </c>
      <c r="T32" s="31">
        <v>0</v>
      </c>
      <c r="U32" s="31">
        <v>2.42</v>
      </c>
      <c r="V32" s="31">
        <v>0</v>
      </c>
      <c r="W32" s="31">
        <v>0</v>
      </c>
      <c r="X32" s="31">
        <v>2.2200000000000002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0</v>
      </c>
      <c r="AE32" s="31">
        <v>0</v>
      </c>
      <c r="AF32" s="31">
        <v>0</v>
      </c>
      <c r="AG32" s="31">
        <v>0.4326666666666667</v>
      </c>
      <c r="AH32" s="31">
        <v>0.4326666666666667</v>
      </c>
    </row>
    <row r="33" spans="1:34" x14ac:dyDescent="0.3">
      <c r="A33" s="12" t="s">
        <v>220</v>
      </c>
      <c r="B33" s="12">
        <v>19</v>
      </c>
      <c r="C33" s="31">
        <v>27.97</v>
      </c>
      <c r="D33" s="31">
        <v>22.16</v>
      </c>
      <c r="E33" s="31">
        <v>26.97</v>
      </c>
      <c r="F33" s="31">
        <v>23.7</v>
      </c>
      <c r="G33" s="31">
        <v>28.46</v>
      </c>
      <c r="H33" s="31">
        <v>27.64</v>
      </c>
      <c r="I33" s="31">
        <v>19.32</v>
      </c>
      <c r="J33" s="31">
        <v>20.34</v>
      </c>
      <c r="K33" s="31">
        <v>28.05</v>
      </c>
      <c r="L33" s="31">
        <v>32.11</v>
      </c>
      <c r="M33" s="31">
        <v>23.8</v>
      </c>
      <c r="N33" s="31">
        <v>30.58</v>
      </c>
      <c r="O33" s="31">
        <v>32.99</v>
      </c>
      <c r="P33" s="31">
        <v>22.51</v>
      </c>
      <c r="Q33" s="31">
        <v>32.86</v>
      </c>
      <c r="R33" s="31">
        <v>39.39</v>
      </c>
      <c r="S33" s="31">
        <v>19.28</v>
      </c>
      <c r="T33" s="31">
        <v>29.57</v>
      </c>
      <c r="U33" s="31">
        <v>39.56</v>
      </c>
      <c r="V33" s="31">
        <v>33.03</v>
      </c>
      <c r="W33" s="31">
        <v>28.64</v>
      </c>
      <c r="X33" s="31">
        <v>19.690000000000001</v>
      </c>
      <c r="Y33" s="31">
        <v>23.19</v>
      </c>
      <c r="Z33" s="31">
        <v>23.8</v>
      </c>
      <c r="AA33" s="31">
        <v>8.31</v>
      </c>
      <c r="AB33" s="31">
        <v>11.05</v>
      </c>
      <c r="AC33" s="31">
        <v>28.04</v>
      </c>
      <c r="AD33" s="31">
        <v>18.23</v>
      </c>
      <c r="AE33" s="31">
        <v>26.9</v>
      </c>
      <c r="AF33" s="31">
        <v>21.46</v>
      </c>
      <c r="AG33" s="31">
        <v>25.653333333333329</v>
      </c>
      <c r="AH33" s="31">
        <v>1.350175438596491</v>
      </c>
    </row>
    <row r="34" spans="1:34" x14ac:dyDescent="0.3">
      <c r="A34" s="12" t="s">
        <v>210</v>
      </c>
      <c r="B34" s="12">
        <v>10</v>
      </c>
      <c r="C34" s="31">
        <v>97.2</v>
      </c>
      <c r="D34" s="31">
        <v>99.91</v>
      </c>
      <c r="E34" s="31">
        <v>83.88</v>
      </c>
      <c r="F34" s="31">
        <v>105.24</v>
      </c>
      <c r="G34" s="31">
        <v>105.03</v>
      </c>
      <c r="H34" s="31">
        <v>100.29</v>
      </c>
      <c r="I34" s="31">
        <v>85.91</v>
      </c>
      <c r="J34" s="31">
        <v>79.790000000000006</v>
      </c>
      <c r="K34" s="31">
        <v>117.88</v>
      </c>
      <c r="L34" s="31">
        <v>67.12</v>
      </c>
      <c r="M34" s="31">
        <v>105.63</v>
      </c>
      <c r="N34" s="31">
        <v>96.75</v>
      </c>
      <c r="O34" s="31">
        <v>84.13</v>
      </c>
      <c r="P34" s="31">
        <v>112.49</v>
      </c>
      <c r="Q34" s="31">
        <v>89.23</v>
      </c>
      <c r="R34" s="31">
        <v>64</v>
      </c>
      <c r="S34" s="31">
        <v>94.48</v>
      </c>
      <c r="T34" s="31">
        <v>92.22</v>
      </c>
      <c r="U34" s="31">
        <v>99.92</v>
      </c>
      <c r="V34" s="31">
        <v>87.08</v>
      </c>
      <c r="W34" s="31">
        <v>80.900000000000006</v>
      </c>
      <c r="X34" s="31">
        <v>78.34</v>
      </c>
      <c r="Y34" s="31">
        <v>97.36</v>
      </c>
      <c r="Z34" s="31">
        <v>89</v>
      </c>
      <c r="AA34" s="31">
        <v>104.1</v>
      </c>
      <c r="AB34" s="31">
        <v>94.3</v>
      </c>
      <c r="AC34" s="31">
        <v>84.98</v>
      </c>
      <c r="AD34" s="31">
        <v>103.94</v>
      </c>
      <c r="AE34" s="31">
        <v>95.87</v>
      </c>
      <c r="AF34" s="31">
        <v>96.97</v>
      </c>
      <c r="AG34" s="31">
        <v>93.131333333333316</v>
      </c>
      <c r="AH34" s="31">
        <v>9.3131333333333313</v>
      </c>
    </row>
    <row r="35" spans="1:34" x14ac:dyDescent="0.3">
      <c r="A35" s="12" t="s">
        <v>211</v>
      </c>
      <c r="B35" s="12">
        <v>3</v>
      </c>
      <c r="C35" s="31">
        <v>15.83</v>
      </c>
      <c r="D35" s="31">
        <v>10.57</v>
      </c>
      <c r="E35" s="31">
        <v>7.55</v>
      </c>
      <c r="F35" s="31">
        <v>7.8</v>
      </c>
      <c r="G35" s="31">
        <v>7.26</v>
      </c>
      <c r="H35" s="31">
        <v>5.34</v>
      </c>
      <c r="I35" s="31">
        <v>0</v>
      </c>
      <c r="J35" s="31">
        <v>18.329999999999998</v>
      </c>
      <c r="K35" s="31">
        <v>11.22</v>
      </c>
      <c r="L35" s="31">
        <v>12.52</v>
      </c>
      <c r="M35" s="31">
        <v>12.01</v>
      </c>
      <c r="N35" s="31">
        <v>9.5299999999999994</v>
      </c>
      <c r="O35" s="31">
        <v>2.89</v>
      </c>
      <c r="P35" s="31">
        <v>4.54</v>
      </c>
      <c r="Q35" s="31">
        <v>18.07</v>
      </c>
      <c r="R35" s="31">
        <v>11.32</v>
      </c>
      <c r="S35" s="31">
        <v>13.74</v>
      </c>
      <c r="T35" s="31">
        <v>8.15</v>
      </c>
      <c r="U35" s="31">
        <v>10.89</v>
      </c>
      <c r="V35" s="31">
        <v>13.08</v>
      </c>
      <c r="W35" s="31">
        <v>0</v>
      </c>
      <c r="X35" s="31">
        <v>0.03</v>
      </c>
      <c r="Y35" s="31">
        <v>20.58</v>
      </c>
      <c r="Z35" s="31">
        <v>12.46</v>
      </c>
      <c r="AA35" s="31">
        <v>9.01</v>
      </c>
      <c r="AB35" s="31">
        <v>12.93</v>
      </c>
      <c r="AC35" s="31">
        <v>8.16</v>
      </c>
      <c r="AD35" s="31">
        <v>0</v>
      </c>
      <c r="AE35" s="31">
        <v>16.190000000000001</v>
      </c>
      <c r="AF35" s="31">
        <v>6.4</v>
      </c>
      <c r="AG35" s="31">
        <v>9.5466666666666651</v>
      </c>
      <c r="AH35" s="31">
        <v>3.1822222222222218</v>
      </c>
    </row>
    <row r="36" spans="1:34" x14ac:dyDescent="0.3">
      <c r="A36" s="12" t="s">
        <v>205</v>
      </c>
      <c r="B36" s="12">
        <v>3</v>
      </c>
      <c r="C36" s="31">
        <v>66.8</v>
      </c>
      <c r="D36" s="31">
        <v>55.74</v>
      </c>
      <c r="E36" s="31">
        <v>56.62</v>
      </c>
      <c r="F36" s="31">
        <v>68.62</v>
      </c>
      <c r="G36" s="31">
        <v>65.41</v>
      </c>
      <c r="H36" s="31">
        <v>63.03</v>
      </c>
      <c r="I36" s="31">
        <v>54.26</v>
      </c>
      <c r="J36" s="31">
        <v>57.46</v>
      </c>
      <c r="K36" s="31">
        <v>40.31</v>
      </c>
      <c r="L36" s="31">
        <v>48.4</v>
      </c>
      <c r="M36" s="31">
        <v>42.6</v>
      </c>
      <c r="N36" s="31">
        <v>21.58</v>
      </c>
      <c r="O36" s="31">
        <v>47.54</v>
      </c>
      <c r="P36" s="31">
        <v>39.020000000000003</v>
      </c>
      <c r="Q36" s="31">
        <v>76.47</v>
      </c>
      <c r="R36" s="31">
        <v>50.01</v>
      </c>
      <c r="S36" s="31">
        <v>43.24</v>
      </c>
      <c r="T36" s="31">
        <v>59.22</v>
      </c>
      <c r="U36" s="31">
        <v>61.56</v>
      </c>
      <c r="V36" s="31">
        <v>54.54</v>
      </c>
      <c r="W36" s="31">
        <v>66.900000000000006</v>
      </c>
      <c r="X36" s="31">
        <v>57.36</v>
      </c>
      <c r="Y36" s="31">
        <v>59.7</v>
      </c>
      <c r="Z36" s="31">
        <v>103.94</v>
      </c>
      <c r="AA36" s="31">
        <v>64.849999999999994</v>
      </c>
      <c r="AB36" s="31">
        <v>57.57</v>
      </c>
      <c r="AC36" s="31">
        <v>65.14</v>
      </c>
      <c r="AD36" s="31">
        <v>70.14</v>
      </c>
      <c r="AE36" s="31">
        <v>77.7</v>
      </c>
      <c r="AF36" s="31">
        <v>39.049999999999997</v>
      </c>
      <c r="AG36" s="31">
        <v>57.826000000000008</v>
      </c>
      <c r="AH36" s="31">
        <v>19.275333333333336</v>
      </c>
    </row>
    <row r="37" spans="1:34" x14ac:dyDescent="0.3">
      <c r="A37" s="12" t="s">
        <v>213</v>
      </c>
      <c r="B37" s="12">
        <v>3</v>
      </c>
      <c r="C37" s="31">
        <v>78.739999999999995</v>
      </c>
      <c r="D37" s="31">
        <v>71.900000000000006</v>
      </c>
      <c r="E37" s="31">
        <v>66.58</v>
      </c>
      <c r="F37" s="31">
        <v>52.25</v>
      </c>
      <c r="G37" s="31">
        <v>56.94</v>
      </c>
      <c r="H37" s="31">
        <v>72.3</v>
      </c>
      <c r="I37" s="31">
        <v>84.1</v>
      </c>
      <c r="J37" s="31">
        <v>60.16</v>
      </c>
      <c r="K37" s="31">
        <v>48.38</v>
      </c>
      <c r="L37" s="31">
        <v>63.8</v>
      </c>
      <c r="M37" s="31">
        <v>69.989999999999995</v>
      </c>
      <c r="N37" s="31">
        <v>43.64</v>
      </c>
      <c r="O37" s="31">
        <v>61.59</v>
      </c>
      <c r="P37" s="31">
        <v>31.91</v>
      </c>
      <c r="Q37" s="31">
        <v>73.19</v>
      </c>
      <c r="R37" s="31">
        <v>73.37</v>
      </c>
      <c r="S37" s="31">
        <v>45.96</v>
      </c>
      <c r="T37" s="31">
        <v>12.57</v>
      </c>
      <c r="U37" s="31">
        <v>25.93</v>
      </c>
      <c r="V37" s="31">
        <v>23.58</v>
      </c>
      <c r="W37" s="31">
        <v>11.22</v>
      </c>
      <c r="X37" s="31">
        <v>23.8</v>
      </c>
      <c r="Y37" s="31">
        <v>16.559999999999999</v>
      </c>
      <c r="Z37" s="31">
        <v>25.95</v>
      </c>
      <c r="AA37" s="31">
        <v>21.89</v>
      </c>
      <c r="AB37" s="31">
        <v>4.99</v>
      </c>
      <c r="AC37" s="31">
        <v>24.94</v>
      </c>
      <c r="AD37" s="31">
        <v>6.8</v>
      </c>
      <c r="AE37" s="31">
        <v>37.54</v>
      </c>
      <c r="AF37" s="31">
        <v>23.18</v>
      </c>
      <c r="AG37" s="31">
        <v>43.791666666666657</v>
      </c>
      <c r="AH37" s="31">
        <v>14.59722222222222</v>
      </c>
    </row>
    <row r="38" spans="1:34" x14ac:dyDescent="0.3">
      <c r="A38" s="12" t="s">
        <v>202</v>
      </c>
      <c r="B38" s="12">
        <v>8</v>
      </c>
      <c r="C38" s="31">
        <v>30.47</v>
      </c>
      <c r="D38" s="31">
        <v>60.43</v>
      </c>
      <c r="E38" s="31">
        <v>70.73</v>
      </c>
      <c r="F38" s="31">
        <v>85.05</v>
      </c>
      <c r="G38" s="31">
        <v>38.090000000000003</v>
      </c>
      <c r="H38" s="31">
        <v>51.77</v>
      </c>
      <c r="I38" s="31">
        <v>63.03</v>
      </c>
      <c r="J38" s="31">
        <v>82.65</v>
      </c>
      <c r="K38" s="31">
        <v>76.17</v>
      </c>
      <c r="L38" s="31">
        <v>89.1</v>
      </c>
      <c r="M38" s="31">
        <v>74.33</v>
      </c>
      <c r="N38" s="31">
        <v>102.89</v>
      </c>
      <c r="O38" s="31">
        <v>73.180000000000007</v>
      </c>
      <c r="P38" s="31">
        <v>48.08</v>
      </c>
      <c r="Q38" s="31">
        <v>50.21</v>
      </c>
      <c r="R38" s="31">
        <v>67.63</v>
      </c>
      <c r="S38" s="31">
        <v>75.510000000000005</v>
      </c>
      <c r="T38" s="31">
        <v>100.24</v>
      </c>
      <c r="U38" s="31">
        <v>110.21</v>
      </c>
      <c r="V38" s="31">
        <v>70.72</v>
      </c>
      <c r="W38" s="31">
        <v>68.58</v>
      </c>
      <c r="X38" s="31">
        <v>95.29</v>
      </c>
      <c r="Y38" s="31">
        <v>75.19</v>
      </c>
      <c r="Z38" s="31">
        <v>81.569999999999993</v>
      </c>
      <c r="AA38" s="31">
        <v>54.87</v>
      </c>
      <c r="AB38" s="31">
        <v>77.25</v>
      </c>
      <c r="AC38" s="31">
        <v>48.21</v>
      </c>
      <c r="AD38" s="31">
        <v>69.91</v>
      </c>
      <c r="AE38" s="31">
        <v>15.64</v>
      </c>
      <c r="AF38" s="31">
        <v>63.27</v>
      </c>
      <c r="AG38" s="31">
        <v>69.009</v>
      </c>
      <c r="AH38" s="31">
        <v>8.626125</v>
      </c>
    </row>
    <row r="39" spans="1:34" x14ac:dyDescent="0.3">
      <c r="A39" s="12" t="s">
        <v>206</v>
      </c>
      <c r="B39" s="12">
        <v>1</v>
      </c>
      <c r="C39" s="31">
        <v>0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31">
        <v>0</v>
      </c>
      <c r="AH39" s="31">
        <v>0</v>
      </c>
    </row>
    <row r="40" spans="1:34" x14ac:dyDescent="0.3">
      <c r="A40" s="12" t="s">
        <v>215</v>
      </c>
      <c r="B40" s="12">
        <v>9</v>
      </c>
      <c r="C40" s="31">
        <v>25.360000000000003</v>
      </c>
      <c r="D40" s="31">
        <v>35.479999999999997</v>
      </c>
      <c r="E40" s="31">
        <v>29.91</v>
      </c>
      <c r="F40" s="31">
        <v>52.81</v>
      </c>
      <c r="G40" s="31">
        <v>49.37</v>
      </c>
      <c r="H40" s="31">
        <v>38.669999999999995</v>
      </c>
      <c r="I40" s="31">
        <v>81.78</v>
      </c>
      <c r="J40" s="31">
        <v>28.080000000000002</v>
      </c>
      <c r="K40" s="31">
        <v>41.53</v>
      </c>
      <c r="L40" s="31">
        <v>16.16</v>
      </c>
      <c r="M40" s="31">
        <v>23.6</v>
      </c>
      <c r="N40" s="31">
        <v>27.35</v>
      </c>
      <c r="O40" s="31">
        <v>11.62</v>
      </c>
      <c r="P40" s="31">
        <v>22.66</v>
      </c>
      <c r="Q40" s="31">
        <v>10.79</v>
      </c>
      <c r="R40" s="31">
        <v>28.88</v>
      </c>
      <c r="S40" s="31">
        <v>5.69</v>
      </c>
      <c r="T40" s="31">
        <v>38.619999999999997</v>
      </c>
      <c r="U40" s="31">
        <v>26.46</v>
      </c>
      <c r="V40" s="31">
        <v>13.93</v>
      </c>
      <c r="W40" s="31">
        <v>6.5</v>
      </c>
      <c r="X40" s="31">
        <v>3.81</v>
      </c>
      <c r="Y40" s="31">
        <v>5.48</v>
      </c>
      <c r="Z40" s="31">
        <v>10.16</v>
      </c>
      <c r="AA40" s="31">
        <v>9.7200000000000006</v>
      </c>
      <c r="AB40" s="31">
        <v>4.8899999999999997</v>
      </c>
      <c r="AC40" s="31">
        <v>17.96</v>
      </c>
      <c r="AD40" s="31">
        <v>30.24</v>
      </c>
      <c r="AE40" s="31">
        <v>21.14</v>
      </c>
      <c r="AF40" s="31">
        <v>23.77</v>
      </c>
      <c r="AG40" s="31">
        <v>24.747333333333334</v>
      </c>
      <c r="AH40" s="31">
        <v>3.9841666666666669</v>
      </c>
    </row>
    <row r="41" spans="1:34" x14ac:dyDescent="0.3">
      <c r="A41" s="12" t="s">
        <v>229</v>
      </c>
      <c r="B41" s="12">
        <v>2</v>
      </c>
      <c r="C41" s="31">
        <v>0</v>
      </c>
      <c r="D41" s="31">
        <v>45.88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44.55</v>
      </c>
      <c r="S41" s="31">
        <v>0</v>
      </c>
      <c r="T41" s="31">
        <v>0</v>
      </c>
      <c r="U41" s="31">
        <v>43.86</v>
      </c>
      <c r="V41" s="31">
        <v>0</v>
      </c>
      <c r="W41" s="31">
        <v>0</v>
      </c>
      <c r="X41" s="31">
        <v>46.88</v>
      </c>
      <c r="Y41" s="31">
        <v>0</v>
      </c>
      <c r="Z41" s="31">
        <v>22.27</v>
      </c>
      <c r="AA41" s="31">
        <v>0</v>
      </c>
      <c r="AB41" s="31">
        <v>50.16</v>
      </c>
      <c r="AC41" s="31">
        <v>0</v>
      </c>
      <c r="AD41" s="31">
        <v>0</v>
      </c>
      <c r="AE41" s="31">
        <v>42.77</v>
      </c>
      <c r="AF41" s="31">
        <v>2.97</v>
      </c>
      <c r="AG41" s="31">
        <v>9.9780000000000015</v>
      </c>
      <c r="AH41" s="31">
        <v>4.9890000000000008</v>
      </c>
    </row>
    <row r="42" spans="1:34" x14ac:dyDescent="0.3">
      <c r="A42" s="12" t="s">
        <v>233</v>
      </c>
      <c r="B42" s="12">
        <v>4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</row>
    <row r="43" spans="1:34" x14ac:dyDescent="0.3">
      <c r="A43" s="12" t="s">
        <v>224</v>
      </c>
      <c r="B43" s="12">
        <v>5</v>
      </c>
      <c r="C43" s="31">
        <v>47.28</v>
      </c>
      <c r="D43" s="31">
        <v>41.13</v>
      </c>
      <c r="E43" s="31">
        <v>54.21</v>
      </c>
      <c r="F43" s="31">
        <v>54.45</v>
      </c>
      <c r="G43" s="31">
        <v>53.78</v>
      </c>
      <c r="H43" s="31">
        <v>50.23</v>
      </c>
      <c r="I43" s="31">
        <v>66.47</v>
      </c>
      <c r="J43" s="31">
        <v>52.72</v>
      </c>
      <c r="K43" s="31">
        <v>45.27</v>
      </c>
      <c r="L43" s="31">
        <v>45.48</v>
      </c>
      <c r="M43" s="31">
        <v>48.69</v>
      </c>
      <c r="N43" s="31">
        <v>54.38</v>
      </c>
      <c r="O43" s="31">
        <v>59.77</v>
      </c>
      <c r="P43" s="31">
        <v>52.51</v>
      </c>
      <c r="Q43" s="31">
        <v>57.6</v>
      </c>
      <c r="R43" s="31">
        <v>64.319999999999993</v>
      </c>
      <c r="S43" s="31">
        <v>64.7</v>
      </c>
      <c r="T43" s="31">
        <v>57.35</v>
      </c>
      <c r="U43" s="31">
        <v>56.39</v>
      </c>
      <c r="V43" s="31">
        <v>81.39</v>
      </c>
      <c r="W43" s="31">
        <v>67.069999999999993</v>
      </c>
      <c r="X43" s="31">
        <v>67.790000000000006</v>
      </c>
      <c r="Y43" s="31">
        <v>46.84</v>
      </c>
      <c r="Z43" s="31">
        <v>66.05</v>
      </c>
      <c r="AA43" s="31">
        <v>32.06</v>
      </c>
      <c r="AB43" s="31">
        <v>61.75</v>
      </c>
      <c r="AC43" s="31">
        <v>52.49</v>
      </c>
      <c r="AD43" s="31">
        <v>62</v>
      </c>
      <c r="AE43" s="31">
        <v>50.16</v>
      </c>
      <c r="AF43" s="31">
        <v>72.069999999999993</v>
      </c>
      <c r="AG43" s="31">
        <v>56.213333333333331</v>
      </c>
      <c r="AH43" s="31">
        <v>11.242666666666667</v>
      </c>
    </row>
    <row r="44" spans="1:34" x14ac:dyDescent="0.3">
      <c r="A44" s="12" t="s">
        <v>230</v>
      </c>
      <c r="B44" s="12">
        <v>2</v>
      </c>
      <c r="C44" s="31">
        <v>0</v>
      </c>
      <c r="D44" s="31">
        <v>10.26</v>
      </c>
      <c r="E44" s="31">
        <v>1.29</v>
      </c>
      <c r="F44" s="31">
        <v>8.44</v>
      </c>
      <c r="G44" s="31">
        <v>20.89</v>
      </c>
      <c r="H44" s="31">
        <v>15.96</v>
      </c>
      <c r="I44" s="31">
        <v>4.84</v>
      </c>
      <c r="J44" s="31">
        <v>0.57999999999999996</v>
      </c>
      <c r="K44" s="31">
        <v>13.51</v>
      </c>
      <c r="L44" s="31">
        <v>4.68</v>
      </c>
      <c r="M44" s="31">
        <v>12.65</v>
      </c>
      <c r="N44" s="31">
        <v>0</v>
      </c>
      <c r="O44" s="31">
        <v>5.09</v>
      </c>
      <c r="P44" s="31">
        <v>0</v>
      </c>
      <c r="Q44" s="31">
        <v>0</v>
      </c>
      <c r="R44" s="31">
        <v>4.8600000000000003</v>
      </c>
      <c r="S44" s="31">
        <v>4.7300000000000004</v>
      </c>
      <c r="T44" s="31">
        <v>0.43</v>
      </c>
      <c r="U44" s="31">
        <v>10.37</v>
      </c>
      <c r="V44" s="31">
        <v>17.649999999999999</v>
      </c>
      <c r="W44" s="31">
        <v>13.84</v>
      </c>
      <c r="X44" s="31">
        <v>11.18</v>
      </c>
      <c r="Y44" s="31">
        <v>0</v>
      </c>
      <c r="Z44" s="31">
        <v>20.41</v>
      </c>
      <c r="AA44" s="31">
        <v>10.15</v>
      </c>
      <c r="AB44" s="31">
        <v>0</v>
      </c>
      <c r="AC44" s="31">
        <v>4.28</v>
      </c>
      <c r="AD44" s="31">
        <v>2.76</v>
      </c>
      <c r="AE44" s="31">
        <v>2.64</v>
      </c>
      <c r="AF44" s="31">
        <v>2.85</v>
      </c>
      <c r="AG44" s="31">
        <v>6.8113333333333346</v>
      </c>
      <c r="AH44" s="31">
        <v>3.4056666666666673</v>
      </c>
    </row>
    <row r="45" spans="1:34" x14ac:dyDescent="0.3">
      <c r="A45" s="12" t="s">
        <v>231</v>
      </c>
      <c r="B45" s="12">
        <v>7</v>
      </c>
      <c r="C45" s="31">
        <v>47.63</v>
      </c>
      <c r="D45" s="31">
        <v>53.32</v>
      </c>
      <c r="E45" s="31">
        <v>90.27</v>
      </c>
      <c r="F45" s="31">
        <v>73.88</v>
      </c>
      <c r="G45" s="31">
        <v>63.68</v>
      </c>
      <c r="H45" s="31">
        <v>13.48</v>
      </c>
      <c r="I45" s="31">
        <v>4.6500000000000004</v>
      </c>
      <c r="J45" s="31">
        <v>79.95</v>
      </c>
      <c r="K45" s="31">
        <v>62.63</v>
      </c>
      <c r="L45" s="31">
        <v>75.47</v>
      </c>
      <c r="M45" s="31">
        <v>0</v>
      </c>
      <c r="N45" s="31">
        <v>63.88</v>
      </c>
      <c r="O45" s="31">
        <v>0</v>
      </c>
      <c r="P45" s="31">
        <v>7.76</v>
      </c>
      <c r="Q45" s="31">
        <v>61.92</v>
      </c>
      <c r="R45" s="31">
        <v>41.96</v>
      </c>
      <c r="S45" s="31">
        <v>0</v>
      </c>
      <c r="T45" s="31">
        <v>53.05</v>
      </c>
      <c r="U45" s="31">
        <v>24.69</v>
      </c>
      <c r="V45" s="31">
        <v>12.31</v>
      </c>
      <c r="W45" s="31">
        <v>1.8</v>
      </c>
      <c r="X45" s="31">
        <v>28.26</v>
      </c>
      <c r="Y45" s="31">
        <v>23.39</v>
      </c>
      <c r="Z45" s="31">
        <v>29.79</v>
      </c>
      <c r="AA45" s="31">
        <v>43.1</v>
      </c>
      <c r="AB45" s="31">
        <v>37.65</v>
      </c>
      <c r="AC45" s="31">
        <v>7.75</v>
      </c>
      <c r="AD45" s="31">
        <v>0.96</v>
      </c>
      <c r="AE45" s="31">
        <v>42.16</v>
      </c>
      <c r="AF45" s="31">
        <v>29.73</v>
      </c>
      <c r="AG45" s="31">
        <v>35.837333333333326</v>
      </c>
      <c r="AH45" s="31">
        <v>5.972888888888888</v>
      </c>
    </row>
    <row r="46" spans="1:34" x14ac:dyDescent="0.3">
      <c r="A46" s="12" t="s">
        <v>207</v>
      </c>
      <c r="B46" s="12">
        <v>4</v>
      </c>
      <c r="C46" s="31">
        <v>34.99</v>
      </c>
      <c r="D46" s="31">
        <v>61.57</v>
      </c>
      <c r="E46" s="31">
        <v>41.44</v>
      </c>
      <c r="F46" s="31">
        <v>21.72</v>
      </c>
      <c r="G46" s="31">
        <v>50.39</v>
      </c>
      <c r="H46" s="31">
        <v>28.31</v>
      </c>
      <c r="I46" s="31">
        <v>0</v>
      </c>
      <c r="J46" s="31">
        <v>11.14</v>
      </c>
      <c r="K46" s="31">
        <v>60.19</v>
      </c>
      <c r="L46" s="31">
        <v>45.7</v>
      </c>
      <c r="M46" s="31">
        <v>15.68</v>
      </c>
      <c r="N46" s="31">
        <v>27.89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17.8</v>
      </c>
      <c r="AA46" s="31">
        <v>83.59</v>
      </c>
      <c r="AB46" s="31">
        <v>0</v>
      </c>
      <c r="AC46" s="31">
        <v>33.14</v>
      </c>
      <c r="AD46" s="31">
        <v>11.15</v>
      </c>
      <c r="AE46" s="31">
        <v>48.47</v>
      </c>
      <c r="AF46" s="31">
        <v>7.02</v>
      </c>
      <c r="AG46" s="31">
        <v>20.00633333333333</v>
      </c>
      <c r="AH46" s="31">
        <v>10.003166666666665</v>
      </c>
    </row>
    <row r="47" spans="1:34" x14ac:dyDescent="0.3">
      <c r="A47" s="12" t="s">
        <v>214</v>
      </c>
      <c r="B47" s="12">
        <v>9</v>
      </c>
      <c r="C47" s="31">
        <v>222.25</v>
      </c>
      <c r="D47" s="31">
        <v>91.84</v>
      </c>
      <c r="E47" s="31">
        <v>129.15</v>
      </c>
      <c r="F47" s="31">
        <v>160.03</v>
      </c>
      <c r="G47" s="31">
        <v>164.05</v>
      </c>
      <c r="H47" s="31">
        <v>155.24</v>
      </c>
      <c r="I47" s="31">
        <v>210.95</v>
      </c>
      <c r="J47" s="31">
        <v>229.32</v>
      </c>
      <c r="K47" s="31">
        <v>204.98</v>
      </c>
      <c r="L47" s="31">
        <v>108.52</v>
      </c>
      <c r="M47" s="31">
        <v>123.07</v>
      </c>
      <c r="N47" s="31">
        <v>191.57</v>
      </c>
      <c r="O47" s="31">
        <v>164.03</v>
      </c>
      <c r="P47" s="31">
        <v>188.57</v>
      </c>
      <c r="Q47" s="31">
        <v>93.51</v>
      </c>
      <c r="R47" s="31">
        <v>274.83</v>
      </c>
      <c r="S47" s="31">
        <v>189.56</v>
      </c>
      <c r="T47" s="31">
        <v>133.86000000000001</v>
      </c>
      <c r="U47" s="31">
        <v>135.91</v>
      </c>
      <c r="V47" s="31">
        <v>176.11</v>
      </c>
      <c r="W47" s="31">
        <v>158.94999999999999</v>
      </c>
      <c r="X47" s="31">
        <v>188.75</v>
      </c>
      <c r="Y47" s="31">
        <v>148.33000000000001</v>
      </c>
      <c r="Z47" s="31">
        <v>145.26</v>
      </c>
      <c r="AA47" s="31">
        <v>99.61</v>
      </c>
      <c r="AB47" s="31">
        <v>112.64</v>
      </c>
      <c r="AC47" s="31">
        <v>61.79</v>
      </c>
      <c r="AD47" s="31">
        <v>171.22</v>
      </c>
      <c r="AE47" s="31">
        <v>155.04</v>
      </c>
      <c r="AF47" s="31">
        <v>178.07</v>
      </c>
      <c r="AG47" s="31">
        <v>158.90033333333335</v>
      </c>
      <c r="AH47" s="31">
        <v>17.655592592592594</v>
      </c>
    </row>
    <row r="48" spans="1:34" x14ac:dyDescent="0.3">
      <c r="A48" s="12" t="s">
        <v>228</v>
      </c>
      <c r="B48" s="12">
        <v>1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</row>
    <row r="49" spans="1:34" x14ac:dyDescent="0.3">
      <c r="A49" s="12" t="s">
        <v>94</v>
      </c>
      <c r="B49" s="12">
        <v>2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0</v>
      </c>
    </row>
    <row r="50" spans="1:34" x14ac:dyDescent="0.3">
      <c r="A50" s="12" t="s">
        <v>219</v>
      </c>
      <c r="B50" s="12">
        <v>40</v>
      </c>
      <c r="C50" s="31">
        <v>187.15</v>
      </c>
      <c r="D50" s="31">
        <v>264.02999999999997</v>
      </c>
      <c r="E50" s="31">
        <v>309.14999999999998</v>
      </c>
      <c r="F50" s="31">
        <v>238.86</v>
      </c>
      <c r="G50" s="31">
        <v>241.89</v>
      </c>
      <c r="H50" s="31">
        <v>281.08</v>
      </c>
      <c r="I50" s="31">
        <v>340.89</v>
      </c>
      <c r="J50" s="31">
        <v>165.75</v>
      </c>
      <c r="K50" s="31">
        <v>145.07</v>
      </c>
      <c r="L50" s="31">
        <v>272.7</v>
      </c>
      <c r="M50" s="31">
        <v>310.39999999999998</v>
      </c>
      <c r="N50" s="31">
        <v>316.13</v>
      </c>
      <c r="O50" s="31">
        <v>363.25</v>
      </c>
      <c r="P50" s="31">
        <v>416.82</v>
      </c>
      <c r="Q50" s="31">
        <v>197.2</v>
      </c>
      <c r="R50" s="31">
        <v>179</v>
      </c>
      <c r="S50" s="31">
        <v>177.66</v>
      </c>
      <c r="T50" s="31">
        <v>166.07</v>
      </c>
      <c r="U50" s="31">
        <v>171.64</v>
      </c>
      <c r="V50" s="31">
        <v>182.14</v>
      </c>
      <c r="W50" s="31">
        <v>191.9</v>
      </c>
      <c r="X50" s="31">
        <v>192.7</v>
      </c>
      <c r="Y50" s="31">
        <v>103.03</v>
      </c>
      <c r="Z50" s="31">
        <v>197.64</v>
      </c>
      <c r="AA50" s="31">
        <v>175.68</v>
      </c>
      <c r="AB50" s="31">
        <v>209.57</v>
      </c>
      <c r="AC50" s="31">
        <v>211.78</v>
      </c>
      <c r="AD50" s="31">
        <v>390.9</v>
      </c>
      <c r="AE50" s="31">
        <v>195.68</v>
      </c>
      <c r="AF50" s="31">
        <v>174.04</v>
      </c>
      <c r="AG50" s="31">
        <v>232.32666666666665</v>
      </c>
      <c r="AH50" s="31">
        <v>5.8081666666666667</v>
      </c>
    </row>
    <row r="51" spans="1:34" x14ac:dyDescent="0.3">
      <c r="A51" s="12" t="s">
        <v>117</v>
      </c>
      <c r="B51" s="12">
        <v>1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  <c r="AH51" s="31">
        <v>0</v>
      </c>
    </row>
    <row r="52" spans="1:34" x14ac:dyDescent="0.3">
      <c r="A52" s="12" t="s">
        <v>115</v>
      </c>
      <c r="B52" s="12">
        <v>1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0</v>
      </c>
      <c r="AE52" s="31">
        <v>0</v>
      </c>
      <c r="AF52" s="31">
        <v>0</v>
      </c>
      <c r="AG52" s="31">
        <v>0</v>
      </c>
      <c r="AH52" s="31">
        <v>0</v>
      </c>
    </row>
    <row r="53" spans="1:34" x14ac:dyDescent="0.3">
      <c r="A53" s="12" t="s">
        <v>223</v>
      </c>
      <c r="B53" s="12">
        <v>2</v>
      </c>
      <c r="C53" s="31">
        <v>0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</row>
    <row r="54" spans="1:34" x14ac:dyDescent="0.3">
      <c r="A54" s="12" t="s">
        <v>122</v>
      </c>
      <c r="B54" s="12">
        <v>3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0</v>
      </c>
      <c r="AE54" s="31">
        <v>0</v>
      </c>
      <c r="AF54" s="31">
        <v>0</v>
      </c>
      <c r="AG54" s="31">
        <v>0</v>
      </c>
      <c r="AH54" s="31">
        <v>0</v>
      </c>
    </row>
    <row r="55" spans="1:34" x14ac:dyDescent="0.3">
      <c r="A55" s="12" t="s">
        <v>143</v>
      </c>
      <c r="B55" s="12">
        <v>2</v>
      </c>
      <c r="C55" s="31">
        <v>0</v>
      </c>
      <c r="D55" s="31">
        <v>2.2839999999999998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7.024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0.31026666666666664</v>
      </c>
      <c r="AH55" s="31">
        <v>0.15513333333333332</v>
      </c>
    </row>
    <row r="56" spans="1:34" x14ac:dyDescent="0.3">
      <c r="A56" s="12" t="s">
        <v>208</v>
      </c>
      <c r="B56" s="12">
        <v>10</v>
      </c>
      <c r="C56" s="31">
        <v>52.45</v>
      </c>
      <c r="D56" s="31">
        <v>82.92</v>
      </c>
      <c r="E56" s="31">
        <v>116.58</v>
      </c>
      <c r="F56" s="31">
        <v>56.92</v>
      </c>
      <c r="G56" s="31">
        <v>72.790000000000006</v>
      </c>
      <c r="H56" s="31">
        <v>82.95</v>
      </c>
      <c r="I56" s="31">
        <v>86.98</v>
      </c>
      <c r="J56" s="31">
        <v>66.72</v>
      </c>
      <c r="K56" s="31">
        <v>85.63</v>
      </c>
      <c r="L56" s="31">
        <v>50</v>
      </c>
      <c r="M56" s="31">
        <v>88.19</v>
      </c>
      <c r="N56" s="31">
        <v>104.7</v>
      </c>
      <c r="O56" s="31">
        <v>59.09</v>
      </c>
      <c r="P56" s="31">
        <v>64.42</v>
      </c>
      <c r="Q56" s="31">
        <v>74.67</v>
      </c>
      <c r="R56" s="31">
        <v>94.66</v>
      </c>
      <c r="S56" s="31">
        <v>56.46</v>
      </c>
      <c r="T56" s="31">
        <v>88</v>
      </c>
      <c r="U56" s="31">
        <v>54.97</v>
      </c>
      <c r="V56" s="31">
        <v>54.74</v>
      </c>
      <c r="W56" s="31">
        <v>84.68</v>
      </c>
      <c r="X56" s="31">
        <v>53.66</v>
      </c>
      <c r="Y56" s="31">
        <v>85.15</v>
      </c>
      <c r="Z56" s="31">
        <v>80.31</v>
      </c>
      <c r="AA56" s="31">
        <v>79.66</v>
      </c>
      <c r="AB56" s="31">
        <v>60.28</v>
      </c>
      <c r="AC56" s="31">
        <v>79.33</v>
      </c>
      <c r="AD56" s="31">
        <v>43.23</v>
      </c>
      <c r="AE56" s="31">
        <v>54.54</v>
      </c>
      <c r="AF56" s="31">
        <v>63.36</v>
      </c>
      <c r="AG56" s="31">
        <v>72.601333333333343</v>
      </c>
      <c r="AH56" s="31">
        <v>7.260133333333334</v>
      </c>
    </row>
    <row r="57" spans="1:34" x14ac:dyDescent="0.3">
      <c r="A57" s="12" t="s">
        <v>244</v>
      </c>
      <c r="B57" s="12">
        <v>3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0.31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1.0333333333333333E-2</v>
      </c>
      <c r="AH57" s="31">
        <v>5.1666666666666666E-3</v>
      </c>
    </row>
    <row r="58" spans="1:34" x14ac:dyDescent="0.3">
      <c r="A58" s="12" t="s">
        <v>256</v>
      </c>
      <c r="B58" s="12">
        <v>6</v>
      </c>
      <c r="C58" s="31">
        <v>30.91</v>
      </c>
      <c r="D58" s="31">
        <v>15.09</v>
      </c>
      <c r="E58" s="31">
        <v>25.01</v>
      </c>
      <c r="F58" s="31">
        <v>26.61</v>
      </c>
      <c r="G58" s="31">
        <v>11.3</v>
      </c>
      <c r="H58" s="31">
        <v>22.42</v>
      </c>
      <c r="I58" s="31">
        <v>16.32</v>
      </c>
      <c r="J58" s="31">
        <v>12.93</v>
      </c>
      <c r="K58" s="31">
        <v>23.1</v>
      </c>
      <c r="L58" s="31">
        <v>9.66</v>
      </c>
      <c r="M58" s="31">
        <v>26.52</v>
      </c>
      <c r="N58" s="31">
        <v>8.11</v>
      </c>
      <c r="O58" s="31">
        <v>18.32</v>
      </c>
      <c r="P58" s="31">
        <v>17.66</v>
      </c>
      <c r="Q58" s="31">
        <v>23.59</v>
      </c>
      <c r="R58" s="31">
        <v>20.49</v>
      </c>
      <c r="S58" s="31">
        <v>19.96</v>
      </c>
      <c r="T58" s="31">
        <v>8.82</v>
      </c>
      <c r="U58" s="31">
        <v>29.23</v>
      </c>
      <c r="V58" s="31">
        <v>19.41</v>
      </c>
      <c r="W58" s="31">
        <v>28.46</v>
      </c>
      <c r="X58" s="31">
        <v>31.2</v>
      </c>
      <c r="Y58" s="31">
        <v>28.09</v>
      </c>
      <c r="Z58" s="31">
        <v>42.69</v>
      </c>
      <c r="AA58" s="31">
        <v>56.01</v>
      </c>
      <c r="AB58" s="31">
        <v>15.67</v>
      </c>
      <c r="AC58" s="31">
        <v>19.88</v>
      </c>
      <c r="AD58" s="31">
        <v>45.97</v>
      </c>
      <c r="AE58" s="31">
        <v>29.27</v>
      </c>
      <c r="AF58" s="31">
        <v>37.549999999999997</v>
      </c>
      <c r="AG58" s="31">
        <v>24.008333333333329</v>
      </c>
      <c r="AH58" s="31">
        <v>4.0013888888888882</v>
      </c>
    </row>
    <row r="59" spans="1:34" x14ac:dyDescent="0.3">
      <c r="A59" s="12" t="s">
        <v>196</v>
      </c>
      <c r="B59" s="12">
        <v>10</v>
      </c>
      <c r="C59" s="31">
        <v>72.91</v>
      </c>
      <c r="D59" s="31">
        <v>91.76</v>
      </c>
      <c r="E59" s="31">
        <v>56.26</v>
      </c>
      <c r="F59" s="31">
        <v>57.46</v>
      </c>
      <c r="G59" s="31">
        <v>77.8</v>
      </c>
      <c r="H59" s="31">
        <v>158.08000000000001</v>
      </c>
      <c r="I59" s="31">
        <v>113.57</v>
      </c>
      <c r="J59" s="31">
        <v>57.19</v>
      </c>
      <c r="K59" s="31">
        <v>58.67</v>
      </c>
      <c r="L59" s="31">
        <v>59.86</v>
      </c>
      <c r="M59" s="31">
        <v>45.1</v>
      </c>
      <c r="N59" s="31">
        <v>18.34</v>
      </c>
      <c r="O59" s="31">
        <v>47.86</v>
      </c>
      <c r="P59" s="31">
        <v>69.349999999999994</v>
      </c>
      <c r="Q59" s="31">
        <v>71.2</v>
      </c>
      <c r="R59" s="31">
        <v>71.739999999999995</v>
      </c>
      <c r="S59" s="31">
        <v>82.08</v>
      </c>
      <c r="T59" s="31">
        <v>107.91</v>
      </c>
      <c r="U59" s="31">
        <v>115.32</v>
      </c>
      <c r="V59" s="31">
        <v>72.430000000000007</v>
      </c>
      <c r="W59" s="31">
        <v>63.43</v>
      </c>
      <c r="X59" s="31">
        <v>113.65</v>
      </c>
      <c r="Y59" s="31">
        <v>134.57</v>
      </c>
      <c r="Z59" s="31">
        <v>137.19999999999999</v>
      </c>
      <c r="AA59" s="31">
        <v>152.62</v>
      </c>
      <c r="AB59" s="31">
        <v>130.61000000000001</v>
      </c>
      <c r="AC59" s="31">
        <v>118.21</v>
      </c>
      <c r="AD59" s="31">
        <v>94.74</v>
      </c>
      <c r="AE59" s="31">
        <v>128.41999999999999</v>
      </c>
      <c r="AF59" s="31">
        <v>143.44999999999999</v>
      </c>
      <c r="AG59" s="31">
        <v>90.726333333333329</v>
      </c>
      <c r="AH59" s="31">
        <v>9.0726333333333322</v>
      </c>
    </row>
    <row r="60" spans="1:34" x14ac:dyDescent="0.3">
      <c r="A60" s="12" t="s">
        <v>174</v>
      </c>
      <c r="B60" s="12">
        <v>11</v>
      </c>
      <c r="C60" s="31">
        <v>98.53</v>
      </c>
      <c r="D60" s="31">
        <v>43.57</v>
      </c>
      <c r="E60" s="31">
        <v>22.46</v>
      </c>
      <c r="F60" s="31">
        <v>96.35</v>
      </c>
      <c r="G60" s="31">
        <v>113.97999999999999</v>
      </c>
      <c r="H60" s="31">
        <v>115.45</v>
      </c>
      <c r="I60" s="31">
        <v>52.68</v>
      </c>
      <c r="J60" s="31">
        <v>77.900000000000006</v>
      </c>
      <c r="K60" s="31">
        <v>83.99</v>
      </c>
      <c r="L60" s="31">
        <v>93.43</v>
      </c>
      <c r="M60" s="31">
        <v>96.23</v>
      </c>
      <c r="N60" s="31">
        <v>136.57</v>
      </c>
      <c r="O60" s="31">
        <v>115.01</v>
      </c>
      <c r="P60" s="31">
        <v>102.78</v>
      </c>
      <c r="Q60" s="31">
        <v>110.89</v>
      </c>
      <c r="R60" s="31">
        <v>73.12</v>
      </c>
      <c r="S60" s="31">
        <v>18.02</v>
      </c>
      <c r="T60" s="31">
        <v>75.350000000000009</v>
      </c>
      <c r="U60" s="31">
        <v>108.63</v>
      </c>
      <c r="V60" s="31">
        <v>151.77000000000001</v>
      </c>
      <c r="W60" s="31">
        <v>90.32</v>
      </c>
      <c r="X60" s="31">
        <v>78.61</v>
      </c>
      <c r="Y60" s="31">
        <v>114.15</v>
      </c>
      <c r="Z60" s="31">
        <v>115.66</v>
      </c>
      <c r="AA60" s="31">
        <v>53.29</v>
      </c>
      <c r="AB60" s="31">
        <v>63.12</v>
      </c>
      <c r="AC60" s="31">
        <v>110.36</v>
      </c>
      <c r="AD60" s="31">
        <v>99.35</v>
      </c>
      <c r="AE60" s="31">
        <v>98.85</v>
      </c>
      <c r="AF60" s="31">
        <v>88.54</v>
      </c>
      <c r="AG60" s="31">
        <v>89.965333333333334</v>
      </c>
      <c r="AH60" s="31">
        <v>14.418433333333333</v>
      </c>
    </row>
    <row r="61" spans="1:34" x14ac:dyDescent="0.3">
      <c r="A61" s="12" t="s">
        <v>277</v>
      </c>
      <c r="B61" s="12">
        <v>1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>
        <v>10.72</v>
      </c>
      <c r="P61" s="31">
        <v>14.85</v>
      </c>
      <c r="Q61" s="31">
        <v>8.5299999999999994</v>
      </c>
      <c r="R61" s="31">
        <v>0</v>
      </c>
      <c r="S61" s="31">
        <v>0.01</v>
      </c>
      <c r="T61" s="31">
        <v>0</v>
      </c>
      <c r="U61" s="31">
        <v>22.18</v>
      </c>
      <c r="V61" s="31">
        <v>7.35</v>
      </c>
      <c r="W61" s="31">
        <v>7.48</v>
      </c>
      <c r="X61" s="31">
        <v>17.55</v>
      </c>
      <c r="Y61" s="31">
        <v>14.49</v>
      </c>
      <c r="Z61" s="31">
        <v>19.11</v>
      </c>
      <c r="AA61" s="31">
        <v>8.2799999999999994</v>
      </c>
      <c r="AB61" s="31">
        <v>30.72</v>
      </c>
      <c r="AC61" s="31">
        <v>14.35</v>
      </c>
      <c r="AD61" s="31">
        <v>7.32</v>
      </c>
      <c r="AE61" s="31">
        <v>7.65</v>
      </c>
      <c r="AF61" s="31">
        <v>14.07</v>
      </c>
      <c r="AG61" s="31">
        <v>11.369999999999997</v>
      </c>
      <c r="AH61" s="31">
        <v>11.369999999999997</v>
      </c>
    </row>
    <row r="62" spans="1:34" x14ac:dyDescent="0.3">
      <c r="A62" s="12" t="s">
        <v>204</v>
      </c>
      <c r="B62" s="12">
        <v>6</v>
      </c>
      <c r="C62" s="31">
        <v>14.76</v>
      </c>
      <c r="D62" s="31">
        <v>31.38</v>
      </c>
      <c r="E62" s="31">
        <v>33.46</v>
      </c>
      <c r="F62" s="31">
        <v>33.200000000000003</v>
      </c>
      <c r="G62" s="31">
        <v>12.68</v>
      </c>
      <c r="H62" s="31">
        <v>24.14</v>
      </c>
      <c r="I62" s="31">
        <v>8.14</v>
      </c>
      <c r="J62" s="31">
        <v>29.79</v>
      </c>
      <c r="K62" s="31">
        <v>40.94</v>
      </c>
      <c r="L62" s="31">
        <v>26.78</v>
      </c>
      <c r="M62" s="31">
        <v>14.38</v>
      </c>
      <c r="N62" s="31">
        <v>25.94</v>
      </c>
      <c r="O62" s="31">
        <v>29.86</v>
      </c>
      <c r="P62" s="31">
        <v>21.2</v>
      </c>
      <c r="Q62" s="31">
        <v>23.71</v>
      </c>
      <c r="R62" s="31">
        <v>13.65</v>
      </c>
      <c r="S62" s="31">
        <v>24.95</v>
      </c>
      <c r="T62" s="31">
        <v>29.15</v>
      </c>
      <c r="U62" s="31">
        <v>22.82</v>
      </c>
      <c r="V62" s="31">
        <v>44.37</v>
      </c>
      <c r="W62" s="31">
        <v>22.18</v>
      </c>
      <c r="X62" s="31">
        <v>24.96</v>
      </c>
      <c r="Y62" s="31">
        <v>16.32</v>
      </c>
      <c r="Z62" s="31">
        <v>18.13</v>
      </c>
      <c r="AA62" s="31">
        <v>22.13</v>
      </c>
      <c r="AB62" s="31">
        <v>27.24</v>
      </c>
      <c r="AC62" s="31">
        <v>22.49</v>
      </c>
      <c r="AD62" s="31">
        <v>29.49</v>
      </c>
      <c r="AE62" s="31">
        <v>30.48</v>
      </c>
      <c r="AF62" s="31">
        <v>37.99</v>
      </c>
      <c r="AG62" s="31">
        <v>25.223666666666666</v>
      </c>
      <c r="AH62" s="31">
        <v>4.2039444444444447</v>
      </c>
    </row>
    <row r="63" spans="1:34" x14ac:dyDescent="0.3">
      <c r="A63" s="12" t="s">
        <v>232</v>
      </c>
      <c r="B63" s="12">
        <v>20</v>
      </c>
      <c r="C63" s="31">
        <v>52.68</v>
      </c>
      <c r="D63" s="31">
        <v>55.55</v>
      </c>
      <c r="E63" s="31">
        <v>60.48</v>
      </c>
      <c r="F63" s="31">
        <v>57.31</v>
      </c>
      <c r="G63" s="31">
        <v>60.23</v>
      </c>
      <c r="H63" s="31">
        <v>52.46</v>
      </c>
      <c r="I63" s="31">
        <v>34.51</v>
      </c>
      <c r="J63" s="31">
        <v>35.31</v>
      </c>
      <c r="K63" s="31">
        <v>51.38</v>
      </c>
      <c r="L63" s="31">
        <v>41.64</v>
      </c>
      <c r="M63" s="31">
        <v>36.173999999999999</v>
      </c>
      <c r="N63" s="31">
        <v>30.62</v>
      </c>
      <c r="O63" s="31">
        <v>37.979999999999997</v>
      </c>
      <c r="P63" s="31">
        <v>34.86</v>
      </c>
      <c r="Q63" s="31">
        <v>30.25</v>
      </c>
      <c r="R63" s="31">
        <v>33.630000000000003</v>
      </c>
      <c r="S63" s="31">
        <v>29.14</v>
      </c>
      <c r="T63" s="31">
        <v>40.31</v>
      </c>
      <c r="U63" s="31">
        <v>27.35</v>
      </c>
      <c r="V63" s="31">
        <v>41.2</v>
      </c>
      <c r="W63" s="31">
        <v>14.93</v>
      </c>
      <c r="X63" s="31">
        <v>31.79</v>
      </c>
      <c r="Y63" s="31">
        <v>25.18</v>
      </c>
      <c r="Z63" s="31">
        <v>33.799999999999997</v>
      </c>
      <c r="AA63" s="31">
        <v>30.57</v>
      </c>
      <c r="AB63" s="31">
        <v>15.17</v>
      </c>
      <c r="AC63" s="31">
        <v>16.78</v>
      </c>
      <c r="AD63" s="31">
        <v>1.54</v>
      </c>
      <c r="AE63" s="31">
        <v>9.94</v>
      </c>
      <c r="AF63" s="31">
        <v>16.04</v>
      </c>
      <c r="AG63" s="31">
        <v>34.626799999999996</v>
      </c>
      <c r="AH63" s="31">
        <v>1.7313399999999999</v>
      </c>
    </row>
    <row r="64" spans="1:34" x14ac:dyDescent="0.3">
      <c r="A64" s="12" t="s">
        <v>264</v>
      </c>
      <c r="B64" s="12">
        <v>3</v>
      </c>
      <c r="C64" s="31"/>
      <c r="D64" s="31"/>
      <c r="E64" s="31"/>
      <c r="F64" s="31"/>
      <c r="G64" s="31"/>
      <c r="H64" s="31"/>
      <c r="I64" s="31">
        <v>23.06</v>
      </c>
      <c r="J64" s="31">
        <v>103.44</v>
      </c>
      <c r="K64" s="31">
        <v>76.099999999999994</v>
      </c>
      <c r="L64" s="31">
        <v>41.88</v>
      </c>
      <c r="M64" s="31">
        <v>62.84</v>
      </c>
      <c r="N64" s="31">
        <v>62.31</v>
      </c>
      <c r="O64" s="31">
        <v>81.180000000000007</v>
      </c>
      <c r="P64" s="31">
        <v>61.56</v>
      </c>
      <c r="Q64" s="31">
        <v>54.79</v>
      </c>
      <c r="R64" s="31">
        <v>77.62</v>
      </c>
      <c r="S64" s="31">
        <v>100.96</v>
      </c>
      <c r="T64" s="31">
        <v>47.32</v>
      </c>
      <c r="U64" s="31">
        <v>74.209999999999994</v>
      </c>
      <c r="V64" s="31">
        <v>67.03</v>
      </c>
      <c r="W64" s="31">
        <v>62.58</v>
      </c>
      <c r="X64" s="31">
        <v>20.81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31">
        <v>0</v>
      </c>
      <c r="AF64" s="31">
        <v>0</v>
      </c>
      <c r="AG64" s="31">
        <v>42.403750000000002</v>
      </c>
      <c r="AH64" s="31">
        <v>14.134583333333333</v>
      </c>
    </row>
    <row r="65" spans="1:34" x14ac:dyDescent="0.3">
      <c r="A65" s="12" t="s">
        <v>271</v>
      </c>
      <c r="B65" s="12">
        <v>9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34.56</v>
      </c>
      <c r="Z65" s="31">
        <v>0</v>
      </c>
      <c r="AA65" s="31">
        <v>0</v>
      </c>
      <c r="AB65" s="31">
        <v>0</v>
      </c>
      <c r="AC65" s="31">
        <v>7.9200000000000008</v>
      </c>
      <c r="AD65" s="31">
        <v>0</v>
      </c>
      <c r="AE65" s="31">
        <v>0</v>
      </c>
      <c r="AF65" s="31">
        <v>0</v>
      </c>
      <c r="AG65" s="31">
        <v>3.2558461538461536</v>
      </c>
      <c r="AH65" s="31">
        <v>2.9562307692307694</v>
      </c>
    </row>
    <row r="66" spans="1:34" x14ac:dyDescent="0.3">
      <c r="A66" s="12" t="s">
        <v>249</v>
      </c>
      <c r="B66" s="12">
        <v>8</v>
      </c>
      <c r="C66" s="31">
        <v>28.45</v>
      </c>
      <c r="D66" s="31">
        <v>119.79</v>
      </c>
      <c r="E66" s="31">
        <v>136.13</v>
      </c>
      <c r="F66" s="31">
        <v>120.63</v>
      </c>
      <c r="G66" s="31">
        <v>149.32</v>
      </c>
      <c r="H66" s="31">
        <v>107.84</v>
      </c>
      <c r="I66" s="31">
        <v>145.76</v>
      </c>
      <c r="J66" s="31">
        <v>117.59</v>
      </c>
      <c r="K66" s="31">
        <v>137</v>
      </c>
      <c r="L66" s="31">
        <v>96.57</v>
      </c>
      <c r="M66" s="31">
        <v>116.81</v>
      </c>
      <c r="N66" s="31">
        <v>86.14</v>
      </c>
      <c r="O66" s="31">
        <v>147.46</v>
      </c>
      <c r="P66" s="31">
        <v>129.99</v>
      </c>
      <c r="Q66" s="31">
        <v>98.31</v>
      </c>
      <c r="R66" s="31">
        <v>144.29</v>
      </c>
      <c r="S66" s="31">
        <v>89.25</v>
      </c>
      <c r="T66" s="31">
        <v>133.16</v>
      </c>
      <c r="U66" s="31">
        <v>139.24</v>
      </c>
      <c r="V66" s="31">
        <v>96.16</v>
      </c>
      <c r="W66" s="31">
        <v>90.89</v>
      </c>
      <c r="X66" s="31">
        <v>123.89</v>
      </c>
      <c r="Y66" s="31">
        <v>118.5</v>
      </c>
      <c r="Z66" s="31">
        <v>99.47</v>
      </c>
      <c r="AA66" s="31">
        <v>95.44</v>
      </c>
      <c r="AB66" s="31">
        <v>56.05</v>
      </c>
      <c r="AC66" s="31">
        <v>71.180000000000007</v>
      </c>
      <c r="AD66" s="31">
        <v>80.25</v>
      </c>
      <c r="AE66" s="31">
        <v>158.55000000000001</v>
      </c>
      <c r="AF66" s="31">
        <v>134.91</v>
      </c>
      <c r="AG66" s="31">
        <v>112.30066666666663</v>
      </c>
      <c r="AH66" s="31">
        <v>14.037583333333329</v>
      </c>
    </row>
    <row r="67" spans="1:34" x14ac:dyDescent="0.3">
      <c r="A67" s="12" t="s">
        <v>254</v>
      </c>
      <c r="B67" s="12">
        <v>10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0.19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0.04</v>
      </c>
      <c r="AD67" s="31">
        <v>0</v>
      </c>
      <c r="AE67" s="31">
        <v>0</v>
      </c>
      <c r="AF67" s="31">
        <v>0</v>
      </c>
      <c r="AG67" s="31">
        <v>7.6666666666666671E-3</v>
      </c>
      <c r="AH67" s="31">
        <v>7.6666666666666669E-4</v>
      </c>
    </row>
    <row r="68" spans="1:34" x14ac:dyDescent="0.3">
      <c r="A68" s="12" t="s">
        <v>270</v>
      </c>
      <c r="B68" s="12">
        <v>5</v>
      </c>
      <c r="C68" s="31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0.28999999999999998</v>
      </c>
      <c r="J68" s="31">
        <v>0</v>
      </c>
      <c r="K68" s="31">
        <v>0.25</v>
      </c>
      <c r="L68" s="31">
        <v>0</v>
      </c>
      <c r="M68" s="31">
        <v>0.22</v>
      </c>
      <c r="N68" s="31">
        <v>0</v>
      </c>
      <c r="O68" s="31">
        <v>0</v>
      </c>
      <c r="P68" s="31">
        <v>8.25</v>
      </c>
      <c r="Q68" s="31">
        <v>7</v>
      </c>
      <c r="R68" s="31">
        <v>22.3</v>
      </c>
      <c r="S68" s="31">
        <v>24.7</v>
      </c>
      <c r="T68" s="31">
        <v>19.93</v>
      </c>
      <c r="U68" s="31">
        <v>17.62</v>
      </c>
      <c r="V68" s="31">
        <v>136.34</v>
      </c>
      <c r="W68" s="31">
        <v>0</v>
      </c>
      <c r="X68" s="31">
        <v>0</v>
      </c>
      <c r="Y68" s="31">
        <v>0</v>
      </c>
      <c r="Z68" s="31">
        <v>0</v>
      </c>
      <c r="AA68" s="31">
        <v>3.92</v>
      </c>
      <c r="AB68" s="31">
        <v>11.06</v>
      </c>
      <c r="AC68" s="31">
        <v>13.36</v>
      </c>
      <c r="AD68" s="31">
        <v>0</v>
      </c>
      <c r="AE68" s="31">
        <v>0.9</v>
      </c>
      <c r="AF68" s="31">
        <v>0.75</v>
      </c>
      <c r="AG68" s="31">
        <v>8.9305555555555554</v>
      </c>
      <c r="AH68" s="31">
        <v>6.0467222222222219</v>
      </c>
    </row>
    <row r="69" spans="1:34" x14ac:dyDescent="0.3">
      <c r="A69" s="12" t="s">
        <v>269</v>
      </c>
      <c r="B69" s="12">
        <v>5</v>
      </c>
      <c r="C69" s="31">
        <v>24.51</v>
      </c>
      <c r="D69" s="31">
        <v>20.56</v>
      </c>
      <c r="E69" s="31">
        <v>45.93</v>
      </c>
      <c r="F69" s="31">
        <v>52.74</v>
      </c>
      <c r="G69" s="31">
        <v>71.8</v>
      </c>
      <c r="H69" s="31">
        <v>86.47</v>
      </c>
      <c r="I69" s="31">
        <v>66.42</v>
      </c>
      <c r="J69" s="31">
        <v>84.06</v>
      </c>
      <c r="K69" s="31">
        <v>49.97</v>
      </c>
      <c r="L69" s="31">
        <v>50.48</v>
      </c>
      <c r="M69" s="31">
        <v>53.32</v>
      </c>
      <c r="N69" s="31">
        <v>89.68</v>
      </c>
      <c r="O69" s="31">
        <v>93.63</v>
      </c>
      <c r="P69" s="31">
        <v>89.75</v>
      </c>
      <c r="Q69" s="31">
        <v>77.77</v>
      </c>
      <c r="R69" s="31">
        <v>90.29</v>
      </c>
      <c r="S69" s="31">
        <v>133.54</v>
      </c>
      <c r="T69" s="31">
        <v>53.36</v>
      </c>
      <c r="U69" s="31">
        <v>114.67</v>
      </c>
      <c r="V69" s="31">
        <v>63.92</v>
      </c>
      <c r="W69" s="31">
        <v>96.1</v>
      </c>
      <c r="X69" s="31">
        <v>99.29</v>
      </c>
      <c r="Y69" s="31">
        <v>79.760000000000005</v>
      </c>
      <c r="Z69" s="31">
        <v>79.8</v>
      </c>
      <c r="AA69" s="31">
        <v>89.68</v>
      </c>
      <c r="AB69" s="31">
        <v>74.260000000000005</v>
      </c>
      <c r="AC69" s="31">
        <v>91.72</v>
      </c>
      <c r="AD69" s="31">
        <v>85.21</v>
      </c>
      <c r="AE69" s="31">
        <v>108.45</v>
      </c>
      <c r="AF69" s="31">
        <v>88.18</v>
      </c>
      <c r="AG69" s="31">
        <v>76.843999999999994</v>
      </c>
      <c r="AH69" s="31">
        <v>15.368799999999998</v>
      </c>
    </row>
    <row r="70" spans="1:34" x14ac:dyDescent="0.3">
      <c r="A70" s="12" t="s">
        <v>203</v>
      </c>
      <c r="B70" s="12">
        <v>27</v>
      </c>
      <c r="C70" s="31">
        <v>181.81</v>
      </c>
      <c r="D70" s="31">
        <v>192.69</v>
      </c>
      <c r="E70" s="31">
        <v>126.57</v>
      </c>
      <c r="F70" s="31">
        <v>150.32</v>
      </c>
      <c r="G70" s="31">
        <v>99.98</v>
      </c>
      <c r="H70" s="31">
        <v>183.45</v>
      </c>
      <c r="I70" s="31">
        <v>171.47000000000003</v>
      </c>
      <c r="J70" s="31">
        <v>258.59000000000003</v>
      </c>
      <c r="K70" s="31">
        <v>105.31</v>
      </c>
      <c r="L70" s="31">
        <v>220.71</v>
      </c>
      <c r="M70" s="31">
        <v>128.22</v>
      </c>
      <c r="N70" s="31">
        <v>162.64999999999998</v>
      </c>
      <c r="O70" s="31">
        <v>190.62</v>
      </c>
      <c r="P70" s="31">
        <v>210.24</v>
      </c>
      <c r="Q70" s="31">
        <v>195.49</v>
      </c>
      <c r="R70" s="31">
        <v>179.95000000000002</v>
      </c>
      <c r="S70" s="31">
        <v>171.57000000000002</v>
      </c>
      <c r="T70" s="31">
        <v>273.84999999999997</v>
      </c>
      <c r="U70" s="31">
        <v>261.18</v>
      </c>
      <c r="V70" s="31">
        <v>250.34</v>
      </c>
      <c r="W70" s="31">
        <v>205.19</v>
      </c>
      <c r="X70" s="31">
        <v>342.82</v>
      </c>
      <c r="Y70" s="31">
        <v>281.61</v>
      </c>
      <c r="Z70" s="31">
        <v>265.51</v>
      </c>
      <c r="AA70" s="31">
        <v>246.53</v>
      </c>
      <c r="AB70" s="31">
        <v>288.14</v>
      </c>
      <c r="AC70" s="31">
        <v>283.93</v>
      </c>
      <c r="AD70" s="31">
        <v>225.41</v>
      </c>
      <c r="AE70" s="31">
        <v>299.60999999999996</v>
      </c>
      <c r="AF70" s="31">
        <v>300.2</v>
      </c>
      <c r="AG70" s="31">
        <v>215.13199999999998</v>
      </c>
      <c r="AH70" s="31">
        <v>18.092277777777774</v>
      </c>
    </row>
    <row r="71" spans="1:34" x14ac:dyDescent="0.3">
      <c r="A71" s="12" t="s">
        <v>283</v>
      </c>
      <c r="B71" s="12">
        <v>5</v>
      </c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>
        <v>0</v>
      </c>
      <c r="S71" s="31">
        <v>0</v>
      </c>
      <c r="T71" s="31">
        <v>25.3</v>
      </c>
      <c r="U71" s="31">
        <v>33.35</v>
      </c>
      <c r="V71" s="31">
        <v>29.7</v>
      </c>
      <c r="W71" s="31">
        <v>34.93</v>
      </c>
      <c r="X71" s="31">
        <v>26.83</v>
      </c>
      <c r="Y71" s="31">
        <v>38.549999999999997</v>
      </c>
      <c r="Z71" s="31">
        <v>34.78</v>
      </c>
      <c r="AA71" s="31">
        <v>11.75</v>
      </c>
      <c r="AB71" s="31">
        <v>10.64</v>
      </c>
      <c r="AC71" s="31">
        <v>18.07</v>
      </c>
      <c r="AD71" s="31">
        <v>14.85</v>
      </c>
      <c r="AE71" s="31">
        <v>37.5</v>
      </c>
      <c r="AF71" s="31">
        <v>22.61</v>
      </c>
      <c r="AG71" s="31">
        <v>22.590666666666671</v>
      </c>
      <c r="AH71" s="31">
        <v>4.518133333333334</v>
      </c>
    </row>
    <row r="72" spans="1:34" x14ac:dyDescent="0.3">
      <c r="A72" s="12" t="s">
        <v>247</v>
      </c>
      <c r="B72" s="12">
        <v>5</v>
      </c>
      <c r="C72" s="31">
        <v>61.36</v>
      </c>
      <c r="D72" s="31">
        <v>25.37</v>
      </c>
      <c r="E72" s="31">
        <v>24.34</v>
      </c>
      <c r="F72" s="31">
        <v>32.82</v>
      </c>
      <c r="G72" s="31">
        <v>34.130000000000003</v>
      </c>
      <c r="H72" s="31">
        <v>6.51</v>
      </c>
      <c r="I72" s="31">
        <v>44.5</v>
      </c>
      <c r="J72" s="31">
        <v>36.07</v>
      </c>
      <c r="K72" s="31">
        <v>40.270000000000003</v>
      </c>
      <c r="L72" s="31">
        <v>16.53</v>
      </c>
      <c r="M72" s="31">
        <v>38.69</v>
      </c>
      <c r="N72" s="31">
        <v>18.05</v>
      </c>
      <c r="O72" s="31">
        <v>25.17</v>
      </c>
      <c r="P72" s="31">
        <v>31.23</v>
      </c>
      <c r="Q72" s="31">
        <v>16.64</v>
      </c>
      <c r="R72" s="31">
        <v>32.340000000000003</v>
      </c>
      <c r="S72" s="31">
        <v>0.4</v>
      </c>
      <c r="T72" s="31">
        <v>41.78</v>
      </c>
      <c r="U72" s="31">
        <v>25.29</v>
      </c>
      <c r="V72" s="31">
        <v>16.079999999999998</v>
      </c>
      <c r="W72" s="31">
        <v>22.35</v>
      </c>
      <c r="X72" s="31">
        <v>17.64</v>
      </c>
      <c r="Y72" s="31">
        <v>17.54</v>
      </c>
      <c r="Z72" s="31">
        <v>19.71</v>
      </c>
      <c r="AA72" s="31">
        <v>22.14</v>
      </c>
      <c r="AB72" s="31">
        <v>19.46</v>
      </c>
      <c r="AC72" s="31">
        <v>22.52</v>
      </c>
      <c r="AD72" s="31">
        <v>23.58</v>
      </c>
      <c r="AE72" s="31">
        <v>23.61</v>
      </c>
      <c r="AF72" s="31">
        <v>20.9</v>
      </c>
      <c r="AG72" s="31">
        <v>25.900666666666666</v>
      </c>
      <c r="AH72" s="31">
        <v>5.180133333333333</v>
      </c>
    </row>
    <row r="73" spans="1:34" x14ac:dyDescent="0.3">
      <c r="A73" s="12" t="s">
        <v>216</v>
      </c>
      <c r="B73" s="12">
        <v>7</v>
      </c>
      <c r="C73" s="31">
        <v>155.46</v>
      </c>
      <c r="D73" s="31">
        <v>108.82</v>
      </c>
      <c r="E73" s="31">
        <v>172.11</v>
      </c>
      <c r="F73" s="31">
        <v>129.01</v>
      </c>
      <c r="G73" s="31">
        <v>116.21</v>
      </c>
      <c r="H73" s="31">
        <v>173.55</v>
      </c>
      <c r="I73" s="31">
        <v>138.47999999999999</v>
      </c>
      <c r="J73" s="31">
        <v>166.76</v>
      </c>
      <c r="K73" s="31">
        <v>114.85</v>
      </c>
      <c r="L73" s="31">
        <v>87.76</v>
      </c>
      <c r="M73" s="31">
        <v>108.88</v>
      </c>
      <c r="N73" s="31">
        <v>114.97</v>
      </c>
      <c r="O73" s="31">
        <v>100.52</v>
      </c>
      <c r="P73" s="31">
        <v>117.86</v>
      </c>
      <c r="Q73" s="31">
        <v>127.22</v>
      </c>
      <c r="R73" s="31">
        <v>102.52</v>
      </c>
      <c r="S73" s="31">
        <v>100.68</v>
      </c>
      <c r="T73" s="31">
        <v>113.79</v>
      </c>
      <c r="U73" s="31">
        <v>123.77</v>
      </c>
      <c r="V73" s="31">
        <v>102.66</v>
      </c>
      <c r="W73" s="31">
        <v>120.52</v>
      </c>
      <c r="X73" s="31">
        <v>111.28</v>
      </c>
      <c r="Y73" s="31">
        <v>68.08</v>
      </c>
      <c r="Z73" s="31">
        <v>84.85</v>
      </c>
      <c r="AA73" s="31">
        <v>107.26</v>
      </c>
      <c r="AB73" s="31">
        <v>53.77</v>
      </c>
      <c r="AC73" s="31">
        <v>79.59</v>
      </c>
      <c r="AD73" s="31">
        <v>113.7</v>
      </c>
      <c r="AE73" s="31">
        <v>102.49</v>
      </c>
      <c r="AF73" s="31">
        <v>107.67</v>
      </c>
      <c r="AG73" s="31">
        <v>114.16966666666666</v>
      </c>
      <c r="AH73" s="31">
        <v>16.309952380952378</v>
      </c>
    </row>
    <row r="74" spans="1:34" x14ac:dyDescent="0.3">
      <c r="A74" s="12" t="s">
        <v>243</v>
      </c>
      <c r="B74" s="12">
        <v>1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</v>
      </c>
      <c r="Z74" s="31">
        <v>0</v>
      </c>
      <c r="AA74" s="31">
        <v>0</v>
      </c>
      <c r="AB74" s="31">
        <v>0</v>
      </c>
      <c r="AC74" s="31">
        <v>0</v>
      </c>
      <c r="AD74" s="31">
        <v>0</v>
      </c>
      <c r="AE74" s="31">
        <v>0</v>
      </c>
      <c r="AF74" s="31">
        <v>0</v>
      </c>
      <c r="AG74" s="31">
        <v>0</v>
      </c>
      <c r="AH74" s="31">
        <v>0</v>
      </c>
    </row>
    <row r="75" spans="1:34" x14ac:dyDescent="0.3">
      <c r="A75" s="12" t="s">
        <v>234</v>
      </c>
      <c r="B75" s="12">
        <v>8</v>
      </c>
      <c r="C75" s="31">
        <v>14.8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31">
        <v>0</v>
      </c>
      <c r="AD75" s="31">
        <v>0</v>
      </c>
      <c r="AE75" s="31">
        <v>0</v>
      </c>
      <c r="AF75" s="31">
        <v>0</v>
      </c>
      <c r="AG75" s="31">
        <v>0.49333333333333335</v>
      </c>
      <c r="AH75" s="31">
        <v>6.1666666666666668E-2</v>
      </c>
    </row>
    <row r="76" spans="1:34" x14ac:dyDescent="0.3">
      <c r="A76" s="12" t="s">
        <v>260</v>
      </c>
      <c r="B76" s="12">
        <v>3</v>
      </c>
      <c r="C76" s="31"/>
      <c r="D76" s="31"/>
      <c r="E76" s="31"/>
      <c r="F76" s="31">
        <v>0.92</v>
      </c>
      <c r="G76" s="31">
        <v>132.66</v>
      </c>
      <c r="H76" s="31">
        <v>145.37</v>
      </c>
      <c r="I76" s="31">
        <v>95.09</v>
      </c>
      <c r="J76" s="31">
        <v>58.92</v>
      </c>
      <c r="K76" s="31">
        <v>100.97</v>
      </c>
      <c r="L76" s="31">
        <v>47.61</v>
      </c>
      <c r="M76" s="31">
        <v>158.57</v>
      </c>
      <c r="N76" s="31">
        <v>184.54</v>
      </c>
      <c r="O76" s="31">
        <v>177.34</v>
      </c>
      <c r="P76" s="31">
        <v>168.46</v>
      </c>
      <c r="Q76" s="31">
        <v>174.86</v>
      </c>
      <c r="R76" s="31">
        <v>146.75</v>
      </c>
      <c r="S76" s="31">
        <v>127.17</v>
      </c>
      <c r="T76" s="31">
        <v>178.39</v>
      </c>
      <c r="U76" s="31">
        <v>157.61000000000001</v>
      </c>
      <c r="V76" s="31">
        <v>138.08000000000001</v>
      </c>
      <c r="W76" s="31">
        <v>157.1</v>
      </c>
      <c r="X76" s="31">
        <v>171.38</v>
      </c>
      <c r="Y76" s="31">
        <v>138.57</v>
      </c>
      <c r="Z76" s="31">
        <v>136.31</v>
      </c>
      <c r="AA76" s="31">
        <v>115.81</v>
      </c>
      <c r="AB76" s="31">
        <v>183.56</v>
      </c>
      <c r="AC76" s="31">
        <v>144.05000000000001</v>
      </c>
      <c r="AD76" s="31">
        <v>160.07</v>
      </c>
      <c r="AE76" s="31">
        <v>166.74</v>
      </c>
      <c r="AF76" s="31">
        <v>196.44</v>
      </c>
      <c r="AG76" s="31">
        <v>139.38296296296298</v>
      </c>
      <c r="AH76" s="31">
        <v>46.460987654320995</v>
      </c>
    </row>
    <row r="77" spans="1:34" x14ac:dyDescent="0.3">
      <c r="A77" s="12" t="s">
        <v>110</v>
      </c>
      <c r="B77" s="12">
        <v>1</v>
      </c>
      <c r="C77" s="31">
        <v>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31">
        <v>0</v>
      </c>
      <c r="AD77" s="31">
        <v>0</v>
      </c>
      <c r="AE77" s="31">
        <v>0</v>
      </c>
      <c r="AF77" s="31">
        <v>0</v>
      </c>
      <c r="AG77" s="31">
        <v>0</v>
      </c>
      <c r="AH77" s="31">
        <v>0</v>
      </c>
    </row>
    <row r="78" spans="1:34" x14ac:dyDescent="0.3">
      <c r="A78" s="12" t="s">
        <v>297</v>
      </c>
      <c r="B78" s="12">
        <v>6</v>
      </c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3.1</v>
      </c>
      <c r="AA78" s="31">
        <v>40.74</v>
      </c>
      <c r="AB78" s="31">
        <v>0</v>
      </c>
      <c r="AC78" s="31">
        <v>0</v>
      </c>
      <c r="AD78" s="31">
        <v>0</v>
      </c>
      <c r="AE78" s="31">
        <v>0</v>
      </c>
      <c r="AF78" s="31">
        <v>0</v>
      </c>
      <c r="AG78" s="31">
        <v>3.3723076923076927</v>
      </c>
      <c r="AH78" s="31">
        <v>0.56205128205128208</v>
      </c>
    </row>
    <row r="79" spans="1:34" x14ac:dyDescent="0.3">
      <c r="A79" s="12" t="s">
        <v>298</v>
      </c>
      <c r="B79" s="12">
        <v>4</v>
      </c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>
        <v>0</v>
      </c>
      <c r="AC79" s="31">
        <v>0</v>
      </c>
      <c r="AD79" s="31">
        <v>38.229999999999997</v>
      </c>
      <c r="AE79" s="31">
        <v>12.79</v>
      </c>
      <c r="AF79" s="31">
        <v>0</v>
      </c>
      <c r="AG79" s="31">
        <v>10.203999999999999</v>
      </c>
      <c r="AH79" s="31">
        <v>2.5509999999999997</v>
      </c>
    </row>
    <row r="80" spans="1:34" x14ac:dyDescent="0.3">
      <c r="A80" s="12" t="s">
        <v>83</v>
      </c>
      <c r="B80" s="12">
        <v>633</v>
      </c>
      <c r="C80" s="31">
        <v>2118.63</v>
      </c>
      <c r="D80" s="31">
        <v>2198.817</v>
      </c>
      <c r="E80" s="31">
        <v>2257.3410000000003</v>
      </c>
      <c r="F80" s="31">
        <v>2259.4790000000003</v>
      </c>
      <c r="G80" s="31">
        <v>2376.1559999999995</v>
      </c>
      <c r="H80" s="31">
        <v>2495.9600000000005</v>
      </c>
      <c r="I80" s="31">
        <v>2394.23</v>
      </c>
      <c r="J80" s="31">
        <v>2440.7530000000006</v>
      </c>
      <c r="K80" s="31">
        <v>2220.1999999999994</v>
      </c>
      <c r="L80" s="31">
        <v>2130.5000000000005</v>
      </c>
      <c r="M80" s="31">
        <v>2213.154</v>
      </c>
      <c r="N80" s="31">
        <v>2394.12</v>
      </c>
      <c r="O80" s="31">
        <v>2407.6539999999995</v>
      </c>
      <c r="P80" s="31">
        <v>2491.2599999999998</v>
      </c>
      <c r="Q80" s="31">
        <v>2195.5</v>
      </c>
      <c r="R80" s="31">
        <v>2474.59</v>
      </c>
      <c r="S80" s="31">
        <v>2100.7000000000007</v>
      </c>
      <c r="T80" s="31">
        <v>2343.91</v>
      </c>
      <c r="U80" s="31">
        <v>2523.7190000000001</v>
      </c>
      <c r="V80" s="31">
        <v>2486.6599999999994</v>
      </c>
      <c r="W80" s="31">
        <v>2147.6200000000003</v>
      </c>
      <c r="X80" s="31">
        <v>2433.9290000000001</v>
      </c>
      <c r="Y80" s="31">
        <v>2266.3300000000004</v>
      </c>
      <c r="Z80" s="31">
        <v>2470.665</v>
      </c>
      <c r="AA80" s="31">
        <v>2255.4250000000002</v>
      </c>
      <c r="AB80" s="31">
        <v>2227.317</v>
      </c>
      <c r="AC80" s="31">
        <v>2232.79</v>
      </c>
      <c r="AD80" s="31">
        <v>2306.9299999999998</v>
      </c>
      <c r="AE80" s="12">
        <v>2542.8720000000003</v>
      </c>
      <c r="AF80" s="31">
        <v>2565.1410000000001</v>
      </c>
      <c r="AG80" s="31">
        <v>2382.9748594017096</v>
      </c>
      <c r="AH80" s="31">
        <v>372.91227308457894</v>
      </c>
    </row>
    <row r="96" spans="1:2" x14ac:dyDescent="0.3">
      <c r="A96" s="30" t="s">
        <v>1</v>
      </c>
      <c r="B96" s="12" t="s">
        <v>82</v>
      </c>
    </row>
    <row r="98" spans="1:32" x14ac:dyDescent="0.3">
      <c r="A98" s="30" t="s">
        <v>158</v>
      </c>
      <c r="B98" s="30" t="s">
        <v>2</v>
      </c>
      <c r="C98" s="12" t="s">
        <v>257</v>
      </c>
      <c r="D98" s="12" t="s">
        <v>258</v>
      </c>
      <c r="E98" s="12" t="s">
        <v>259</v>
      </c>
      <c r="F98" s="12" t="s">
        <v>262</v>
      </c>
      <c r="G98" s="12" t="s">
        <v>263</v>
      </c>
      <c r="H98" s="12" t="s">
        <v>265</v>
      </c>
      <c r="I98" s="12" t="s">
        <v>266</v>
      </c>
      <c r="J98" s="12" t="s">
        <v>268</v>
      </c>
      <c r="K98" s="12" t="s">
        <v>267</v>
      </c>
      <c r="L98" s="12" t="s">
        <v>275</v>
      </c>
      <c r="M98" s="12" t="s">
        <v>276</v>
      </c>
      <c r="N98" s="12" t="s">
        <v>278</v>
      </c>
      <c r="O98" s="12" t="s">
        <v>279</v>
      </c>
      <c r="P98" s="12" t="s">
        <v>280</v>
      </c>
      <c r="Q98" s="12" t="s">
        <v>281</v>
      </c>
      <c r="R98" s="12" t="s">
        <v>282</v>
      </c>
      <c r="S98" s="12" t="s">
        <v>284</v>
      </c>
      <c r="T98" s="12" t="s">
        <v>285</v>
      </c>
      <c r="U98" s="12" t="s">
        <v>286</v>
      </c>
      <c r="V98" s="12" t="s">
        <v>287</v>
      </c>
      <c r="W98" s="12" t="s">
        <v>288</v>
      </c>
      <c r="X98" s="12" t="s">
        <v>289</v>
      </c>
      <c r="Y98" s="12" t="s">
        <v>291</v>
      </c>
      <c r="Z98" s="12" t="s">
        <v>292</v>
      </c>
      <c r="AA98" s="12" t="s">
        <v>293</v>
      </c>
      <c r="AB98" s="12" t="s">
        <v>294</v>
      </c>
      <c r="AC98" s="12" t="s">
        <v>295</v>
      </c>
      <c r="AD98" s="12" t="s">
        <v>296</v>
      </c>
      <c r="AE98" s="12" t="s">
        <v>299</v>
      </c>
      <c r="AF98" s="12" t="s">
        <v>300</v>
      </c>
    </row>
    <row r="99" spans="1:32" x14ac:dyDescent="0.3">
      <c r="A99" s="12" t="s">
        <v>273</v>
      </c>
      <c r="B99" s="12"/>
      <c r="C99" s="12">
        <v>1872.99</v>
      </c>
      <c r="D99" s="12">
        <v>1867.16</v>
      </c>
      <c r="E99" s="12">
        <v>1982.8300000000004</v>
      </c>
      <c r="F99" s="12">
        <v>1996.04</v>
      </c>
      <c r="G99" s="12">
        <v>2103.4199999999996</v>
      </c>
      <c r="H99" s="12">
        <v>2299.8399999999997</v>
      </c>
      <c r="I99" s="12">
        <v>2234.33</v>
      </c>
      <c r="J99" s="12">
        <v>2204.6699999999992</v>
      </c>
      <c r="K99" s="12">
        <v>1914.6499999999996</v>
      </c>
      <c r="L99" s="12">
        <v>1871.41</v>
      </c>
      <c r="M99" s="12">
        <v>2058.5140000000001</v>
      </c>
      <c r="N99" s="12">
        <v>2182.4599999999996</v>
      </c>
      <c r="O99" s="12">
        <v>2312.6600000000003</v>
      </c>
      <c r="P99" s="12">
        <v>2341.2600000000011</v>
      </c>
      <c r="Q99" s="12">
        <v>2007.1399999999999</v>
      </c>
      <c r="R99" s="12">
        <v>2254.8400000000006</v>
      </c>
      <c r="S99" s="12">
        <v>1976.6800000000003</v>
      </c>
      <c r="T99" s="12">
        <v>2182.1299999999992</v>
      </c>
      <c r="U99" s="12">
        <v>2314.9600000000005</v>
      </c>
      <c r="V99" s="12">
        <v>2207.3200000000006</v>
      </c>
      <c r="W99" s="12">
        <v>2007.13</v>
      </c>
      <c r="X99" s="12">
        <v>2233.2599999999998</v>
      </c>
      <c r="Y99" s="12">
        <v>2085.9099999999994</v>
      </c>
      <c r="Z99" s="12">
        <v>2286.5200000000004</v>
      </c>
      <c r="AA99" s="12">
        <v>1997.9299999999998</v>
      </c>
      <c r="AB99" s="12">
        <v>2017.3600000000004</v>
      </c>
      <c r="AC99" s="12">
        <v>2051.2200000000003</v>
      </c>
      <c r="AD99" s="12">
        <v>2218.42</v>
      </c>
      <c r="AE99" s="12">
        <v>2294.41</v>
      </c>
      <c r="AF99" s="12">
        <v>2410.6300000000006</v>
      </c>
    </row>
    <row r="100" spans="1:32" x14ac:dyDescent="0.3">
      <c r="A100" s="12" t="s">
        <v>160</v>
      </c>
      <c r="B100" s="12"/>
      <c r="C100" s="12">
        <v>245.64</v>
      </c>
      <c r="D100" s="12">
        <v>329.37299999999999</v>
      </c>
      <c r="E100" s="12">
        <v>274.51099999999997</v>
      </c>
      <c r="F100" s="12">
        <v>263.43900000000002</v>
      </c>
      <c r="G100" s="12">
        <v>272.73600000000005</v>
      </c>
      <c r="H100" s="12">
        <v>196.11999999999998</v>
      </c>
      <c r="I100" s="12">
        <v>159.89999999999998</v>
      </c>
      <c r="J100" s="12">
        <v>236.083</v>
      </c>
      <c r="K100" s="12">
        <v>305.54999999999995</v>
      </c>
      <c r="L100" s="12">
        <v>259.09000000000003</v>
      </c>
      <c r="M100" s="12">
        <v>154.64000000000001</v>
      </c>
      <c r="N100" s="12">
        <v>211.66000000000003</v>
      </c>
      <c r="O100" s="12">
        <v>87.97</v>
      </c>
      <c r="P100" s="12">
        <v>150</v>
      </c>
      <c r="Q100" s="12">
        <v>188.36</v>
      </c>
      <c r="R100" s="12">
        <v>219.75000000000003</v>
      </c>
      <c r="S100" s="12">
        <v>124.02</v>
      </c>
      <c r="T100" s="12">
        <v>161.78000000000003</v>
      </c>
      <c r="U100" s="12">
        <v>208.75900000000001</v>
      </c>
      <c r="V100" s="12">
        <v>279.34000000000003</v>
      </c>
      <c r="W100" s="12">
        <v>140.49</v>
      </c>
      <c r="X100" s="12">
        <v>200.66899999999998</v>
      </c>
      <c r="Y100" s="12">
        <v>180.42000000000002</v>
      </c>
      <c r="Z100" s="12">
        <v>184.14499999999998</v>
      </c>
      <c r="AA100" s="12">
        <v>257.495</v>
      </c>
      <c r="AB100" s="12">
        <v>209.95699999999999</v>
      </c>
      <c r="AC100" s="12">
        <v>181.56999999999996</v>
      </c>
      <c r="AD100" s="12">
        <v>88.51</v>
      </c>
      <c r="AE100" s="12">
        <v>248.46199999999999</v>
      </c>
      <c r="AF100" s="12">
        <v>154.51099999999997</v>
      </c>
    </row>
    <row r="101" spans="1:32" x14ac:dyDescent="0.3">
      <c r="A101" s="12" t="s">
        <v>272</v>
      </c>
      <c r="B101" s="12"/>
      <c r="C101" s="12">
        <v>0</v>
      </c>
      <c r="D101" s="12">
        <v>2.2839999999999998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7.024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</row>
    <row r="102" spans="1:32" x14ac:dyDescent="0.3">
      <c r="A102" s="12" t="s">
        <v>83</v>
      </c>
      <c r="B102" s="12"/>
      <c r="C102" s="12">
        <v>2118.63</v>
      </c>
      <c r="D102" s="12">
        <v>2198.817</v>
      </c>
      <c r="E102" s="12">
        <v>2257.3410000000003</v>
      </c>
      <c r="F102" s="12">
        <v>2259.4789999999998</v>
      </c>
      <c r="G102" s="12">
        <v>2376.1559999999995</v>
      </c>
      <c r="H102" s="12">
        <v>2495.9599999999996</v>
      </c>
      <c r="I102" s="12">
        <v>2394.23</v>
      </c>
      <c r="J102" s="12">
        <v>2440.7529999999992</v>
      </c>
      <c r="K102" s="12">
        <v>2220.1999999999998</v>
      </c>
      <c r="L102" s="12">
        <v>2130.5</v>
      </c>
      <c r="M102" s="12">
        <v>2213.154</v>
      </c>
      <c r="N102" s="12">
        <v>2394.1199999999994</v>
      </c>
      <c r="O102" s="12">
        <v>2407.654</v>
      </c>
      <c r="P102" s="12">
        <v>2491.2600000000011</v>
      </c>
      <c r="Q102" s="12">
        <v>2195.5</v>
      </c>
      <c r="R102" s="12">
        <v>2474.5900000000006</v>
      </c>
      <c r="S102" s="12">
        <v>2100.7000000000003</v>
      </c>
      <c r="T102" s="12">
        <v>2343.9099999999994</v>
      </c>
      <c r="U102" s="12">
        <v>2523.7190000000005</v>
      </c>
      <c r="V102" s="12">
        <v>2486.6600000000008</v>
      </c>
      <c r="W102" s="12">
        <v>2147.62</v>
      </c>
      <c r="X102" s="12">
        <v>2433.9289999999996</v>
      </c>
      <c r="Y102" s="12">
        <v>2266.3299999999995</v>
      </c>
      <c r="Z102" s="12">
        <v>2470.6650000000004</v>
      </c>
      <c r="AA102" s="12">
        <v>2255.4249999999997</v>
      </c>
      <c r="AB102" s="12">
        <v>2227.3170000000005</v>
      </c>
      <c r="AC102" s="12">
        <v>2232.7900000000004</v>
      </c>
      <c r="AD102" s="12">
        <v>2306.9300000000003</v>
      </c>
      <c r="AE102" s="12">
        <v>2542.8719999999998</v>
      </c>
      <c r="AF102" s="12">
        <v>2565.1410000000005</v>
      </c>
    </row>
  </sheetData>
  <pageMargins left="0.7" right="0.7" top="0.75" bottom="0.75" header="0.3" footer="0.3"/>
  <pageSetup orientation="portrait"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P95"/>
  <sheetViews>
    <sheetView zoomScaleNormal="100" workbookViewId="0">
      <pane xSplit="8" topLeftCell="R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40" width="10.44140625" customWidth="1"/>
    <col min="42" max="42" width="10.33203125" customWidth="1"/>
  </cols>
  <sheetData>
    <row r="1" spans="1:42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45383</v>
      </c>
      <c r="K1" s="16">
        <v>45384</v>
      </c>
      <c r="L1" s="16">
        <v>45385</v>
      </c>
      <c r="M1" s="16">
        <v>45386</v>
      </c>
      <c r="N1" s="16">
        <v>45387</v>
      </c>
      <c r="O1" s="16">
        <v>45388</v>
      </c>
      <c r="P1" s="16">
        <v>45389</v>
      </c>
      <c r="Q1" s="16">
        <v>45390</v>
      </c>
      <c r="R1" s="16">
        <v>45391</v>
      </c>
      <c r="S1" s="16">
        <v>45392</v>
      </c>
      <c r="T1" s="16">
        <v>45393</v>
      </c>
      <c r="U1" s="16">
        <v>45394</v>
      </c>
      <c r="V1" s="16">
        <v>45395</v>
      </c>
      <c r="W1" s="16">
        <v>45396</v>
      </c>
      <c r="X1" s="16">
        <v>45397</v>
      </c>
      <c r="Y1" s="16">
        <v>45398</v>
      </c>
      <c r="Z1" s="16">
        <v>45399</v>
      </c>
      <c r="AA1" s="16">
        <v>45400</v>
      </c>
      <c r="AB1" s="16">
        <v>45401</v>
      </c>
      <c r="AC1" s="16">
        <v>45402</v>
      </c>
      <c r="AD1" s="16">
        <v>45403</v>
      </c>
      <c r="AE1" s="16">
        <v>45404</v>
      </c>
      <c r="AF1" s="16">
        <v>45405</v>
      </c>
      <c r="AG1" s="16">
        <v>45406</v>
      </c>
      <c r="AH1" s="16">
        <v>45407</v>
      </c>
      <c r="AI1" s="16">
        <v>45408</v>
      </c>
      <c r="AJ1" s="16">
        <v>45409</v>
      </c>
      <c r="AK1" s="16">
        <v>45410</v>
      </c>
      <c r="AL1" s="16">
        <v>45411</v>
      </c>
      <c r="AM1" s="16">
        <v>45412</v>
      </c>
      <c r="AN1" s="16"/>
      <c r="AO1" s="13" t="s">
        <v>8</v>
      </c>
      <c r="AP1" s="66" t="s">
        <v>154</v>
      </c>
    </row>
    <row r="2" spans="1:42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46">
        <v>0</v>
      </c>
      <c r="K2" s="45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59">
        <v>0</v>
      </c>
      <c r="X2" s="46">
        <v>0</v>
      </c>
      <c r="Y2" s="46">
        <v>0</v>
      </c>
      <c r="Z2" s="46">
        <v>0</v>
      </c>
      <c r="AA2" s="46">
        <v>0</v>
      </c>
      <c r="AB2" s="53">
        <v>0</v>
      </c>
      <c r="AC2" s="60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46">
        <v>0</v>
      </c>
      <c r="AK2" s="46">
        <v>0</v>
      </c>
      <c r="AL2" s="46">
        <v>0</v>
      </c>
      <c r="AM2" s="46">
        <v>0</v>
      </c>
      <c r="AN2" s="46">
        <f>SUBTOTAL(9,J2:AM2)</f>
        <v>0</v>
      </c>
      <c r="AO2" s="46">
        <f>AVERAGE(J2:AM2)</f>
        <v>0</v>
      </c>
      <c r="AP2" s="67">
        <f t="shared" ref="AP2:AP33" si="0">AO2/H2</f>
        <v>0</v>
      </c>
    </row>
    <row r="3" spans="1:42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46">
        <v>84.87</v>
      </c>
      <c r="K3" s="45">
        <v>98.78</v>
      </c>
      <c r="L3" s="46">
        <v>101.7</v>
      </c>
      <c r="M3" s="46">
        <v>101.98</v>
      </c>
      <c r="N3" s="46">
        <v>87.45</v>
      </c>
      <c r="O3" s="46">
        <v>86.84</v>
      </c>
      <c r="P3" s="46">
        <v>99.06</v>
      </c>
      <c r="Q3" s="46">
        <v>92.68</v>
      </c>
      <c r="R3" s="46">
        <v>113.95</v>
      </c>
      <c r="S3" s="46">
        <v>86.43</v>
      </c>
      <c r="T3" s="46">
        <v>97.7</v>
      </c>
      <c r="U3" s="46">
        <v>77.81</v>
      </c>
      <c r="V3" s="46">
        <v>52.21</v>
      </c>
      <c r="W3" s="46">
        <v>101.49</v>
      </c>
      <c r="X3" s="46">
        <v>80.95</v>
      </c>
      <c r="Y3" s="46">
        <v>86.69</v>
      </c>
      <c r="Z3" s="46">
        <v>74.42</v>
      </c>
      <c r="AA3" s="46">
        <v>53.3</v>
      </c>
      <c r="AB3" s="53">
        <v>74.709999999999994</v>
      </c>
      <c r="AC3" s="60">
        <v>86.18</v>
      </c>
      <c r="AD3" s="60">
        <v>95.01</v>
      </c>
      <c r="AE3" s="60">
        <v>88.21</v>
      </c>
      <c r="AF3" s="60">
        <v>90.33</v>
      </c>
      <c r="AG3" s="54">
        <v>71.19</v>
      </c>
      <c r="AH3" s="46">
        <v>76.37</v>
      </c>
      <c r="AI3" s="46">
        <v>93.36</v>
      </c>
      <c r="AJ3" s="46">
        <v>94.13</v>
      </c>
      <c r="AK3" s="46">
        <v>60.84</v>
      </c>
      <c r="AL3" s="46">
        <v>81.56</v>
      </c>
      <c r="AM3" s="46">
        <v>64.16</v>
      </c>
      <c r="AN3" s="46">
        <f t="shared" ref="AN3:AN4" si="1">SUBTOTAL(9,J3:AM3)</f>
        <v>2554.3600000000006</v>
      </c>
      <c r="AO3" s="46">
        <f t="shared" ref="AO3:AO66" si="2">AVERAGE(J3:AM3)</f>
        <v>85.145333333333355</v>
      </c>
      <c r="AP3" s="67">
        <f t="shared" si="0"/>
        <v>9.4605925925925956</v>
      </c>
    </row>
    <row r="4" spans="1:42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46">
        <v>31.31</v>
      </c>
      <c r="K4" s="45">
        <v>31.78</v>
      </c>
      <c r="L4" s="46">
        <v>15.37</v>
      </c>
      <c r="M4" s="46">
        <v>24.96</v>
      </c>
      <c r="N4" s="46">
        <v>28.03</v>
      </c>
      <c r="O4" s="46">
        <v>17.79</v>
      </c>
      <c r="P4" s="46">
        <v>22.13</v>
      </c>
      <c r="Q4" s="46">
        <v>23.36</v>
      </c>
      <c r="R4" s="46">
        <v>35.54</v>
      </c>
      <c r="S4" s="46">
        <v>25.85</v>
      </c>
      <c r="T4" s="46">
        <v>21.42</v>
      </c>
      <c r="U4" s="46">
        <v>29.51</v>
      </c>
      <c r="V4" s="46">
        <v>20.38</v>
      </c>
      <c r="W4" s="46">
        <v>21.48</v>
      </c>
      <c r="X4" s="46">
        <v>33.54</v>
      </c>
      <c r="Y4" s="46">
        <v>13.4</v>
      </c>
      <c r="Z4" s="46">
        <v>8.2899999999999991</v>
      </c>
      <c r="AA4" s="46">
        <v>22.65</v>
      </c>
      <c r="AB4" s="53">
        <v>15.87</v>
      </c>
      <c r="AC4" s="60">
        <v>20.07</v>
      </c>
      <c r="AD4" s="60">
        <v>21.87</v>
      </c>
      <c r="AE4" s="60">
        <v>9.73</v>
      </c>
      <c r="AF4" s="60">
        <v>29.26</v>
      </c>
      <c r="AG4" s="54">
        <v>17.79</v>
      </c>
      <c r="AH4" s="46">
        <v>28.28</v>
      </c>
      <c r="AI4" s="46">
        <v>17.690000000000001</v>
      </c>
      <c r="AJ4" s="46">
        <v>15.62</v>
      </c>
      <c r="AK4" s="46">
        <v>8.49</v>
      </c>
      <c r="AL4" s="46">
        <v>13.99</v>
      </c>
      <c r="AM4" s="46">
        <v>27.95</v>
      </c>
      <c r="AN4" s="46">
        <f t="shared" si="1"/>
        <v>653.40000000000009</v>
      </c>
      <c r="AO4" s="46">
        <f t="shared" si="2"/>
        <v>21.780000000000005</v>
      </c>
      <c r="AP4" s="67">
        <f t="shared" si="0"/>
        <v>7.2600000000000016</v>
      </c>
    </row>
    <row r="5" spans="1:42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45">
        <v>30.47</v>
      </c>
      <c r="K5" s="45">
        <v>60.43</v>
      </c>
      <c r="L5" s="45">
        <v>70.73</v>
      </c>
      <c r="M5" s="45">
        <v>85.05</v>
      </c>
      <c r="N5" s="45">
        <v>38.090000000000003</v>
      </c>
      <c r="O5" s="45">
        <v>51.77</v>
      </c>
      <c r="P5" s="45">
        <v>63.03</v>
      </c>
      <c r="Q5" s="45">
        <v>82.65</v>
      </c>
      <c r="R5" s="45">
        <v>76.17</v>
      </c>
      <c r="S5" s="46">
        <v>89.1</v>
      </c>
      <c r="T5" s="46">
        <v>74.33</v>
      </c>
      <c r="U5" s="46">
        <v>102.89</v>
      </c>
      <c r="V5" s="46">
        <v>73.180000000000007</v>
      </c>
      <c r="W5" s="46">
        <v>48.08</v>
      </c>
      <c r="X5" s="46">
        <v>50.21</v>
      </c>
      <c r="Y5" s="46">
        <v>67.63</v>
      </c>
      <c r="Z5" s="46">
        <v>75.510000000000005</v>
      </c>
      <c r="AA5" s="46">
        <v>100.24</v>
      </c>
      <c r="AB5" s="46">
        <v>110.21</v>
      </c>
      <c r="AC5" s="46">
        <v>70.72</v>
      </c>
      <c r="AD5" s="46">
        <v>68.58</v>
      </c>
      <c r="AE5" s="62">
        <v>95.29</v>
      </c>
      <c r="AF5" s="46">
        <v>75.19</v>
      </c>
      <c r="AG5" s="46">
        <v>81.569999999999993</v>
      </c>
      <c r="AH5" s="46">
        <v>54.87</v>
      </c>
      <c r="AI5" s="46">
        <v>77.25</v>
      </c>
      <c r="AJ5" s="46">
        <v>48.21</v>
      </c>
      <c r="AK5" s="46">
        <v>69.91</v>
      </c>
      <c r="AL5" s="46">
        <v>15.64</v>
      </c>
      <c r="AM5" s="46">
        <v>63.27</v>
      </c>
      <c r="AN5" s="46"/>
      <c r="AO5" s="46">
        <f t="shared" si="2"/>
        <v>69.009</v>
      </c>
      <c r="AP5" s="67">
        <f t="shared" si="0"/>
        <v>8.626125</v>
      </c>
    </row>
    <row r="6" spans="1:42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24</v>
      </c>
      <c r="I6" s="74" t="s">
        <v>273</v>
      </c>
      <c r="J6" s="45">
        <v>171.99</v>
      </c>
      <c r="K6" s="45">
        <v>187.87</v>
      </c>
      <c r="L6" s="45">
        <v>116.47</v>
      </c>
      <c r="M6" s="45">
        <v>129.35</v>
      </c>
      <c r="N6" s="45">
        <v>91.04</v>
      </c>
      <c r="O6" s="45">
        <v>160.63999999999999</v>
      </c>
      <c r="P6" s="45">
        <v>165.86</v>
      </c>
      <c r="Q6" s="45">
        <v>234.02</v>
      </c>
      <c r="R6" s="45">
        <v>105.31</v>
      </c>
      <c r="S6" s="45">
        <v>220.49</v>
      </c>
      <c r="T6" s="46">
        <v>128.22</v>
      </c>
      <c r="U6" s="46">
        <v>159.76</v>
      </c>
      <c r="V6" s="46">
        <v>181.9</v>
      </c>
      <c r="W6" s="46">
        <v>210.24</v>
      </c>
      <c r="X6" s="46">
        <v>181.9</v>
      </c>
      <c r="Y6" s="46">
        <v>175.18</v>
      </c>
      <c r="Z6" s="46">
        <v>159.58000000000001</v>
      </c>
      <c r="AA6" s="46">
        <v>266.01</v>
      </c>
      <c r="AB6" s="46">
        <v>245.39</v>
      </c>
      <c r="AC6" s="46">
        <v>230.05</v>
      </c>
      <c r="AD6" s="46">
        <v>204.44</v>
      </c>
      <c r="AE6" s="46">
        <v>320.42</v>
      </c>
      <c r="AF6" s="46">
        <v>270.05</v>
      </c>
      <c r="AG6" s="46">
        <v>254.27</v>
      </c>
      <c r="AH6" s="46">
        <v>246.53</v>
      </c>
      <c r="AI6" s="46">
        <v>279.83</v>
      </c>
      <c r="AJ6" s="46">
        <v>268.07</v>
      </c>
      <c r="AK6" s="46">
        <v>225.41</v>
      </c>
      <c r="AL6" s="46">
        <v>286.77</v>
      </c>
      <c r="AM6" s="46">
        <v>291.14</v>
      </c>
      <c r="AN6" s="46"/>
      <c r="AO6" s="46">
        <f t="shared" si="2"/>
        <v>205.60666666666665</v>
      </c>
      <c r="AP6" s="67">
        <f t="shared" si="0"/>
        <v>8.5669444444444434</v>
      </c>
    </row>
    <row r="7" spans="1:42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45">
        <v>9.82</v>
      </c>
      <c r="K7" s="45">
        <v>4.82</v>
      </c>
      <c r="L7" s="46">
        <v>10.1</v>
      </c>
      <c r="M7" s="46">
        <v>20.97</v>
      </c>
      <c r="N7" s="46">
        <v>8.94</v>
      </c>
      <c r="O7" s="46">
        <v>22.81</v>
      </c>
      <c r="P7" s="46">
        <v>5.61</v>
      </c>
      <c r="Q7" s="46">
        <v>24.57</v>
      </c>
      <c r="R7" s="46">
        <v>0</v>
      </c>
      <c r="S7" s="46">
        <v>0.22</v>
      </c>
      <c r="T7" s="46">
        <v>0</v>
      </c>
      <c r="U7" s="46">
        <v>2.89</v>
      </c>
      <c r="V7" s="46">
        <v>8.7200000000000006</v>
      </c>
      <c r="W7" s="46">
        <v>0</v>
      </c>
      <c r="X7" s="46">
        <v>13.59</v>
      </c>
      <c r="Y7" s="46">
        <v>4.7699999999999996</v>
      </c>
      <c r="Z7" s="46">
        <v>11.99</v>
      </c>
      <c r="AA7" s="46">
        <v>7.84</v>
      </c>
      <c r="AB7" s="53">
        <v>15.79</v>
      </c>
      <c r="AC7" s="46">
        <v>20.29</v>
      </c>
      <c r="AD7" s="46">
        <v>0.75</v>
      </c>
      <c r="AE7" s="46">
        <v>22.4</v>
      </c>
      <c r="AF7" s="60">
        <v>11.56</v>
      </c>
      <c r="AG7" s="54">
        <v>11.24</v>
      </c>
      <c r="AH7" s="46">
        <v>0</v>
      </c>
      <c r="AI7" s="46">
        <v>8.31</v>
      </c>
      <c r="AJ7" s="46">
        <v>15.86</v>
      </c>
      <c r="AK7" s="46">
        <v>0</v>
      </c>
      <c r="AL7" s="46">
        <v>12.84</v>
      </c>
      <c r="AM7" s="46">
        <v>9.06</v>
      </c>
      <c r="AN7" s="46"/>
      <c r="AO7" s="46">
        <f t="shared" si="2"/>
        <v>9.5253333333333323</v>
      </c>
      <c r="AP7" s="67">
        <f t="shared" si="0"/>
        <v>9.5253333333333323</v>
      </c>
    </row>
    <row r="8" spans="1:42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124</v>
      </c>
      <c r="G8" s="6" t="s">
        <v>80</v>
      </c>
      <c r="H8" s="5">
        <v>2</v>
      </c>
      <c r="I8" s="74" t="s">
        <v>273</v>
      </c>
      <c r="J8" s="45">
        <v>0</v>
      </c>
      <c r="K8" s="45">
        <v>0</v>
      </c>
      <c r="L8" s="45">
        <v>0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/>
      <c r="AO8" s="46">
        <f t="shared" si="2"/>
        <v>0</v>
      </c>
      <c r="AP8" s="67">
        <f t="shared" si="0"/>
        <v>0</v>
      </c>
    </row>
    <row r="9" spans="1:42" ht="15.6" x14ac:dyDescent="0.3">
      <c r="A9" s="5">
        <v>8</v>
      </c>
      <c r="B9" s="6" t="s">
        <v>9</v>
      </c>
      <c r="C9" s="12" t="s">
        <v>204</v>
      </c>
      <c r="D9" s="6" t="s">
        <v>128</v>
      </c>
      <c r="E9" s="6" t="s">
        <v>12</v>
      </c>
      <c r="F9" s="6" t="s">
        <v>13</v>
      </c>
      <c r="G9" s="6" t="s">
        <v>35</v>
      </c>
      <c r="H9" s="5">
        <v>6</v>
      </c>
      <c r="I9" s="74" t="s">
        <v>273</v>
      </c>
      <c r="J9" s="45">
        <v>14.76</v>
      </c>
      <c r="K9" s="45">
        <v>31.38</v>
      </c>
      <c r="L9" s="46">
        <v>33.46</v>
      </c>
      <c r="M9" s="46">
        <v>33.200000000000003</v>
      </c>
      <c r="N9" s="46">
        <v>12.68</v>
      </c>
      <c r="O9" s="46">
        <v>24.14</v>
      </c>
      <c r="P9" s="46">
        <v>8.14</v>
      </c>
      <c r="Q9" s="46">
        <v>29.79</v>
      </c>
      <c r="R9" s="46">
        <v>40.94</v>
      </c>
      <c r="S9" s="46">
        <v>26.78</v>
      </c>
      <c r="T9" s="46">
        <v>14.38</v>
      </c>
      <c r="U9" s="46">
        <v>25.94</v>
      </c>
      <c r="V9" s="46">
        <v>29.86</v>
      </c>
      <c r="W9" s="46">
        <v>21.2</v>
      </c>
      <c r="X9" s="46">
        <v>23.71</v>
      </c>
      <c r="Y9" s="46">
        <v>13.65</v>
      </c>
      <c r="Z9" s="46">
        <v>24.95</v>
      </c>
      <c r="AA9" s="46">
        <v>29.15</v>
      </c>
      <c r="AB9" s="53">
        <v>22.82</v>
      </c>
      <c r="AC9" s="60">
        <v>44.37</v>
      </c>
      <c r="AD9" s="60">
        <v>22.18</v>
      </c>
      <c r="AE9" s="60">
        <v>24.96</v>
      </c>
      <c r="AF9" s="60">
        <v>16.32</v>
      </c>
      <c r="AG9" s="54">
        <v>18.13</v>
      </c>
      <c r="AH9" s="46">
        <v>22.13</v>
      </c>
      <c r="AI9" s="46">
        <v>27.24</v>
      </c>
      <c r="AJ9" s="46">
        <v>22.49</v>
      </c>
      <c r="AK9" s="46">
        <v>29.49</v>
      </c>
      <c r="AL9" s="46">
        <v>30.48</v>
      </c>
      <c r="AM9" s="46">
        <v>37.99</v>
      </c>
      <c r="AN9" s="46"/>
      <c r="AO9" s="46">
        <f t="shared" si="2"/>
        <v>25.223666666666666</v>
      </c>
      <c r="AP9" s="67">
        <f t="shared" si="0"/>
        <v>4.2039444444444447</v>
      </c>
    </row>
    <row r="10" spans="1:42" ht="15.6" x14ac:dyDescent="0.3">
      <c r="A10" s="5">
        <v>9</v>
      </c>
      <c r="B10" s="6" t="s">
        <v>9</v>
      </c>
      <c r="C10" s="12" t="s">
        <v>205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3</v>
      </c>
      <c r="I10" s="74" t="s">
        <v>273</v>
      </c>
      <c r="J10" s="45">
        <v>66.8</v>
      </c>
      <c r="K10" s="45">
        <v>55.74</v>
      </c>
      <c r="L10" s="46">
        <v>56.62</v>
      </c>
      <c r="M10" s="46">
        <v>68.62</v>
      </c>
      <c r="N10" s="46">
        <v>65.41</v>
      </c>
      <c r="O10" s="46">
        <v>63.03</v>
      </c>
      <c r="P10" s="46">
        <v>54.26</v>
      </c>
      <c r="Q10" s="46">
        <v>57.46</v>
      </c>
      <c r="R10" s="46">
        <v>40.31</v>
      </c>
      <c r="S10" s="46">
        <v>48.4</v>
      </c>
      <c r="T10" s="46">
        <v>42.6</v>
      </c>
      <c r="U10" s="46">
        <v>21.58</v>
      </c>
      <c r="V10" s="46">
        <v>47.54</v>
      </c>
      <c r="W10" s="46">
        <v>39.020000000000003</v>
      </c>
      <c r="X10" s="46">
        <v>76.47</v>
      </c>
      <c r="Y10" s="46">
        <v>50.01</v>
      </c>
      <c r="Z10" s="46">
        <v>43.24</v>
      </c>
      <c r="AA10" s="46">
        <v>59.22</v>
      </c>
      <c r="AB10" s="53">
        <v>61.56</v>
      </c>
      <c r="AC10" s="60">
        <v>54.54</v>
      </c>
      <c r="AD10" s="60">
        <v>66.900000000000006</v>
      </c>
      <c r="AE10" s="60">
        <v>57.36</v>
      </c>
      <c r="AF10" s="46">
        <v>59.7</v>
      </c>
      <c r="AG10" s="54">
        <v>103.94</v>
      </c>
      <c r="AH10" s="46">
        <v>64.849999999999994</v>
      </c>
      <c r="AI10" s="46">
        <v>57.57</v>
      </c>
      <c r="AJ10" s="46">
        <v>65.14</v>
      </c>
      <c r="AK10" s="46">
        <v>70.14</v>
      </c>
      <c r="AL10" s="46">
        <v>77.7</v>
      </c>
      <c r="AM10" s="46">
        <v>39.049999999999997</v>
      </c>
      <c r="AN10" s="46"/>
      <c r="AO10" s="46">
        <f t="shared" si="2"/>
        <v>57.826000000000008</v>
      </c>
      <c r="AP10" s="67">
        <f t="shared" si="0"/>
        <v>19.275333333333336</v>
      </c>
    </row>
    <row r="11" spans="1:42" x14ac:dyDescent="0.3">
      <c r="A11" s="5">
        <v>10</v>
      </c>
      <c r="B11" s="6" t="s">
        <v>9</v>
      </c>
      <c r="C11" s="12" t="s">
        <v>248</v>
      </c>
      <c r="D11" s="6" t="s">
        <v>128</v>
      </c>
      <c r="E11" s="6" t="s">
        <v>19</v>
      </c>
      <c r="F11" s="6" t="s">
        <v>13</v>
      </c>
      <c r="G11" s="6" t="s">
        <v>35</v>
      </c>
      <c r="H11" s="5">
        <v>1</v>
      </c>
      <c r="I11" s="67" t="s">
        <v>160</v>
      </c>
      <c r="J11" s="45">
        <v>0</v>
      </c>
      <c r="K11" s="45">
        <v>0</v>
      </c>
      <c r="L11" s="46">
        <v>0</v>
      </c>
      <c r="M11" s="46">
        <v>0</v>
      </c>
      <c r="N11" s="46">
        <v>0</v>
      </c>
      <c r="O11" s="46">
        <v>0</v>
      </c>
      <c r="P11" s="46">
        <v>2.8</v>
      </c>
      <c r="Q11" s="46">
        <v>0</v>
      </c>
      <c r="R11" s="46">
        <v>0</v>
      </c>
      <c r="S11" s="46">
        <v>0</v>
      </c>
      <c r="T11" s="46">
        <v>0</v>
      </c>
      <c r="U11" s="46">
        <v>2.9</v>
      </c>
      <c r="V11" s="46">
        <v>0</v>
      </c>
      <c r="W11" s="46">
        <v>2.64</v>
      </c>
      <c r="X11" s="46">
        <v>0</v>
      </c>
      <c r="Y11" s="46">
        <v>0</v>
      </c>
      <c r="Z11" s="46">
        <v>0</v>
      </c>
      <c r="AA11" s="46">
        <v>0</v>
      </c>
      <c r="AB11" s="53">
        <v>2.42</v>
      </c>
      <c r="AC11" s="46">
        <v>0</v>
      </c>
      <c r="AD11" s="60">
        <v>0</v>
      </c>
      <c r="AE11" s="60">
        <v>2.2200000000000002</v>
      </c>
      <c r="AF11" s="60">
        <v>0</v>
      </c>
      <c r="AG11" s="54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0</v>
      </c>
      <c r="AN11" s="46">
        <f t="shared" ref="AN11:AN14" si="3">SUBTOTAL(9,J11:AM11)</f>
        <v>12.98</v>
      </c>
      <c r="AO11" s="46">
        <f t="shared" si="2"/>
        <v>0.4326666666666667</v>
      </c>
      <c r="AP11" s="67">
        <f t="shared" si="0"/>
        <v>0.4326666666666667</v>
      </c>
    </row>
    <row r="12" spans="1:42" x14ac:dyDescent="0.3">
      <c r="A12" s="5">
        <v>11</v>
      </c>
      <c r="B12" s="6" t="s">
        <v>9</v>
      </c>
      <c r="C12" s="12" t="s">
        <v>206</v>
      </c>
      <c r="D12" s="6" t="s">
        <v>63</v>
      </c>
      <c r="E12" s="6" t="s">
        <v>12</v>
      </c>
      <c r="F12" s="6" t="s">
        <v>95</v>
      </c>
      <c r="G12" s="6" t="s">
        <v>80</v>
      </c>
      <c r="H12" s="5">
        <v>1</v>
      </c>
      <c r="I12" s="67" t="s">
        <v>160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46">
        <v>0</v>
      </c>
      <c r="AM12" s="46">
        <v>0</v>
      </c>
      <c r="AN12" s="46">
        <f t="shared" si="3"/>
        <v>0</v>
      </c>
      <c r="AO12" s="46">
        <f t="shared" si="2"/>
        <v>0</v>
      </c>
      <c r="AP12" s="67">
        <f t="shared" si="0"/>
        <v>0</v>
      </c>
    </row>
    <row r="13" spans="1:42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13</v>
      </c>
      <c r="G13" s="6" t="s">
        <v>35</v>
      </c>
      <c r="H13" s="5">
        <v>2</v>
      </c>
      <c r="I13" s="67" t="s">
        <v>160</v>
      </c>
      <c r="J13" s="45">
        <v>0</v>
      </c>
      <c r="K13" s="45">
        <v>0</v>
      </c>
      <c r="L13" s="45">
        <v>0</v>
      </c>
      <c r="M13" s="45">
        <v>0</v>
      </c>
      <c r="N13" s="45">
        <v>5.49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  <c r="T13" s="45">
        <v>0</v>
      </c>
      <c r="U13" s="45">
        <v>0</v>
      </c>
      <c r="V13" s="45">
        <v>0</v>
      </c>
      <c r="W13" s="45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46">
        <v>0</v>
      </c>
      <c r="AM13" s="46">
        <v>0</v>
      </c>
      <c r="AN13" s="46">
        <f t="shared" si="3"/>
        <v>5.49</v>
      </c>
      <c r="AO13" s="46">
        <f t="shared" si="2"/>
        <v>0.183</v>
      </c>
      <c r="AP13" s="67">
        <f t="shared" si="0"/>
        <v>9.1499999999999998E-2</v>
      </c>
    </row>
    <row r="14" spans="1:42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160</v>
      </c>
      <c r="J14" s="45">
        <v>34.99</v>
      </c>
      <c r="K14" s="45">
        <v>61.57</v>
      </c>
      <c r="L14" s="45">
        <v>41.44</v>
      </c>
      <c r="M14" s="45">
        <v>21.72</v>
      </c>
      <c r="N14" s="45">
        <v>44.9</v>
      </c>
      <c r="O14" s="45">
        <v>28.31</v>
      </c>
      <c r="P14" s="45">
        <v>0</v>
      </c>
      <c r="Q14" s="45">
        <v>11.14</v>
      </c>
      <c r="R14" s="45">
        <v>60.19</v>
      </c>
      <c r="S14" s="45">
        <v>45.7</v>
      </c>
      <c r="T14" s="46">
        <v>15.68</v>
      </c>
      <c r="U14" s="46">
        <v>27.89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60">
        <v>0</v>
      </c>
      <c r="AF14" s="60">
        <v>0</v>
      </c>
      <c r="AG14" s="73">
        <v>17.8</v>
      </c>
      <c r="AH14" s="60">
        <v>83.59</v>
      </c>
      <c r="AI14" s="60">
        <v>0</v>
      </c>
      <c r="AJ14" s="46">
        <v>33.14</v>
      </c>
      <c r="AK14" s="46">
        <v>11.15</v>
      </c>
      <c r="AL14" s="46">
        <v>48.47</v>
      </c>
      <c r="AM14" s="46">
        <v>7.02</v>
      </c>
      <c r="AN14" s="46">
        <f t="shared" si="3"/>
        <v>594.69999999999993</v>
      </c>
      <c r="AO14" s="46">
        <f t="shared" si="2"/>
        <v>19.823333333333331</v>
      </c>
      <c r="AP14" s="67">
        <f t="shared" si="0"/>
        <v>9.9116666666666653</v>
      </c>
    </row>
    <row r="15" spans="1:42" ht="15.6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74" t="s">
        <v>273</v>
      </c>
      <c r="J15" s="45">
        <v>52.45</v>
      </c>
      <c r="K15" s="45">
        <v>82.92</v>
      </c>
      <c r="L15" s="46">
        <v>116.58</v>
      </c>
      <c r="M15" s="46">
        <v>56.92</v>
      </c>
      <c r="N15" s="46">
        <v>72.790000000000006</v>
      </c>
      <c r="O15" s="46">
        <v>82.95</v>
      </c>
      <c r="P15" s="46">
        <v>86.98</v>
      </c>
      <c r="Q15" s="46">
        <v>66.72</v>
      </c>
      <c r="R15" s="46">
        <v>85.63</v>
      </c>
      <c r="S15" s="46">
        <v>50</v>
      </c>
      <c r="T15" s="46">
        <v>88.19</v>
      </c>
      <c r="U15" s="46">
        <v>104.7</v>
      </c>
      <c r="V15" s="46">
        <v>59.09</v>
      </c>
      <c r="W15" s="46">
        <v>64.42</v>
      </c>
      <c r="X15" s="46">
        <v>74.67</v>
      </c>
      <c r="Y15" s="46">
        <v>94.66</v>
      </c>
      <c r="Z15" s="46">
        <v>56.46</v>
      </c>
      <c r="AA15" s="46">
        <v>88</v>
      </c>
      <c r="AB15" s="53">
        <v>54.97</v>
      </c>
      <c r="AC15" s="60">
        <v>54.74</v>
      </c>
      <c r="AD15" s="60">
        <v>84.68</v>
      </c>
      <c r="AE15" s="60">
        <v>53.66</v>
      </c>
      <c r="AF15" s="60">
        <v>85.15</v>
      </c>
      <c r="AG15" s="54">
        <v>80.31</v>
      </c>
      <c r="AH15" s="46">
        <v>79.66</v>
      </c>
      <c r="AI15" s="46">
        <v>60.28</v>
      </c>
      <c r="AJ15" s="46">
        <v>79.33</v>
      </c>
      <c r="AK15" s="46">
        <v>43.23</v>
      </c>
      <c r="AL15" s="46">
        <v>54.54</v>
      </c>
      <c r="AM15" s="46">
        <v>63.36</v>
      </c>
      <c r="AN15" s="46"/>
      <c r="AO15" s="46">
        <f t="shared" si="2"/>
        <v>72.601333333333343</v>
      </c>
      <c r="AP15" s="67">
        <f t="shared" si="0"/>
        <v>7.260133333333334</v>
      </c>
    </row>
    <row r="16" spans="1:42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2</v>
      </c>
      <c r="I16" s="67" t="s">
        <v>160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0.31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46">
        <v>0</v>
      </c>
      <c r="AM16" s="46">
        <v>0</v>
      </c>
      <c r="AN16" s="46">
        <f t="shared" ref="AN16:AN17" si="4">SUBTOTAL(9,J16:AM16)</f>
        <v>0.31</v>
      </c>
      <c r="AO16" s="46">
        <f t="shared" si="2"/>
        <v>1.0333333333333333E-2</v>
      </c>
      <c r="AP16" s="67">
        <f t="shared" si="0"/>
        <v>5.1666666666666666E-3</v>
      </c>
    </row>
    <row r="17" spans="1:42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46">
        <v>0</v>
      </c>
      <c r="AM17" s="46">
        <v>0</v>
      </c>
      <c r="AN17" s="46">
        <f t="shared" si="4"/>
        <v>0</v>
      </c>
      <c r="AO17" s="46">
        <f t="shared" si="2"/>
        <v>0</v>
      </c>
      <c r="AP17" s="67">
        <f t="shared" si="0"/>
        <v>0</v>
      </c>
    </row>
    <row r="18" spans="1:42" ht="15.6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10</v>
      </c>
      <c r="I18" s="74" t="s">
        <v>273</v>
      </c>
      <c r="J18" s="45">
        <v>72.91</v>
      </c>
      <c r="K18" s="45">
        <v>91.76</v>
      </c>
      <c r="L18" s="45">
        <v>56.26</v>
      </c>
      <c r="M18" s="45">
        <v>57.46</v>
      </c>
      <c r="N18" s="45">
        <v>77.8</v>
      </c>
      <c r="O18" s="45">
        <v>158.08000000000001</v>
      </c>
      <c r="P18" s="45">
        <v>113.57</v>
      </c>
      <c r="Q18" s="45">
        <v>57.19</v>
      </c>
      <c r="R18" s="45">
        <v>58.67</v>
      </c>
      <c r="S18" s="45">
        <v>59.86</v>
      </c>
      <c r="T18" s="46">
        <v>45.1</v>
      </c>
      <c r="U18" s="46">
        <v>18.34</v>
      </c>
      <c r="V18" s="46">
        <v>47.86</v>
      </c>
      <c r="W18" s="46">
        <v>69.349999999999994</v>
      </c>
      <c r="X18" s="46">
        <v>71.2</v>
      </c>
      <c r="Y18" s="46">
        <v>71.739999999999995</v>
      </c>
      <c r="Z18" s="46">
        <v>82.08</v>
      </c>
      <c r="AA18" s="46">
        <v>107.91</v>
      </c>
      <c r="AB18" s="46">
        <v>115.32</v>
      </c>
      <c r="AC18" s="46">
        <v>72.430000000000007</v>
      </c>
      <c r="AD18" s="46">
        <v>63.43</v>
      </c>
      <c r="AE18" s="46">
        <v>113.65</v>
      </c>
      <c r="AF18" s="46">
        <v>134.57</v>
      </c>
      <c r="AG18" s="46">
        <v>137.19999999999999</v>
      </c>
      <c r="AH18" s="46">
        <v>152.62</v>
      </c>
      <c r="AI18" s="46">
        <v>130.61000000000001</v>
      </c>
      <c r="AJ18" s="46">
        <v>118.21</v>
      </c>
      <c r="AK18" s="46">
        <v>94.74</v>
      </c>
      <c r="AL18" s="46">
        <v>128.41999999999999</v>
      </c>
      <c r="AM18" s="46">
        <v>143.44999999999999</v>
      </c>
      <c r="AN18" s="46"/>
      <c r="AO18" s="46">
        <f t="shared" si="2"/>
        <v>90.726333333333329</v>
      </c>
      <c r="AP18" s="67">
        <f t="shared" si="0"/>
        <v>9.0726333333333322</v>
      </c>
    </row>
    <row r="19" spans="1:42" x14ac:dyDescent="0.3">
      <c r="A19" s="5">
        <v>18</v>
      </c>
      <c r="B19" s="6" t="s">
        <v>9</v>
      </c>
      <c r="C19" s="12" t="s">
        <v>271</v>
      </c>
      <c r="D19" s="6" t="s">
        <v>128</v>
      </c>
      <c r="E19" s="6" t="s">
        <v>12</v>
      </c>
      <c r="F19" s="6" t="s">
        <v>13</v>
      </c>
      <c r="G19" s="6" t="s">
        <v>35</v>
      </c>
      <c r="H19" s="5">
        <v>5</v>
      </c>
      <c r="I19" s="67" t="s">
        <v>160</v>
      </c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v>0</v>
      </c>
      <c r="AN19" s="46">
        <f t="shared" ref="AN19:AN22" si="5">SUBTOTAL(9,J19:AM19)</f>
        <v>0</v>
      </c>
      <c r="AO19" s="46">
        <f t="shared" si="2"/>
        <v>0</v>
      </c>
      <c r="AP19" s="67">
        <f t="shared" si="0"/>
        <v>0</v>
      </c>
    </row>
    <row r="20" spans="1:42" x14ac:dyDescent="0.3">
      <c r="A20" s="5">
        <v>19</v>
      </c>
      <c r="B20" s="6" t="s">
        <v>9</v>
      </c>
      <c r="C20" s="12" t="s">
        <v>271</v>
      </c>
      <c r="D20" s="6" t="s">
        <v>128</v>
      </c>
      <c r="E20" s="6" t="s">
        <v>12</v>
      </c>
      <c r="F20" s="6" t="s">
        <v>95</v>
      </c>
      <c r="G20" s="6" t="s">
        <v>80</v>
      </c>
      <c r="H20" s="5">
        <v>1</v>
      </c>
      <c r="I20" s="67" t="s">
        <v>160</v>
      </c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0.44</v>
      </c>
      <c r="AK20" s="46">
        <v>0</v>
      </c>
      <c r="AL20" s="46">
        <v>0</v>
      </c>
      <c r="AM20" s="46">
        <v>0</v>
      </c>
      <c r="AN20" s="46">
        <f t="shared" si="5"/>
        <v>0.44</v>
      </c>
      <c r="AO20" s="46">
        <f t="shared" si="2"/>
        <v>2.1999999999999999E-2</v>
      </c>
      <c r="AP20" s="67">
        <f t="shared" si="0"/>
        <v>2.1999999999999999E-2</v>
      </c>
    </row>
    <row r="21" spans="1:42" x14ac:dyDescent="0.3">
      <c r="A21" s="5">
        <v>20</v>
      </c>
      <c r="B21" s="6" t="s">
        <v>9</v>
      </c>
      <c r="C21" s="12" t="s">
        <v>271</v>
      </c>
      <c r="D21" s="6" t="s">
        <v>128</v>
      </c>
      <c r="E21" s="6" t="s">
        <v>12</v>
      </c>
      <c r="F21" s="6" t="s">
        <v>251</v>
      </c>
      <c r="G21" s="6" t="s">
        <v>80</v>
      </c>
      <c r="H21" s="5">
        <v>2</v>
      </c>
      <c r="I21" s="67" t="s">
        <v>160</v>
      </c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6"/>
      <c r="U21" s="46"/>
      <c r="V21" s="46"/>
      <c r="W21" s="46"/>
      <c r="X21" s="46"/>
      <c r="Y21" s="46"/>
      <c r="Z21" s="46"/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7.79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f t="shared" si="5"/>
        <v>7.79</v>
      </c>
      <c r="AO21" s="46">
        <f t="shared" si="2"/>
        <v>0.59923076923076923</v>
      </c>
      <c r="AP21" s="67">
        <f t="shared" si="0"/>
        <v>0.29961538461538462</v>
      </c>
    </row>
    <row r="22" spans="1:42" x14ac:dyDescent="0.3">
      <c r="A22" s="5">
        <v>21</v>
      </c>
      <c r="B22" s="6" t="s">
        <v>9</v>
      </c>
      <c r="C22" s="12" t="s">
        <v>271</v>
      </c>
      <c r="D22" s="6" t="s">
        <v>128</v>
      </c>
      <c r="E22" s="6" t="s">
        <v>12</v>
      </c>
      <c r="F22" s="6" t="s">
        <v>290</v>
      </c>
      <c r="G22" s="6" t="s">
        <v>80</v>
      </c>
      <c r="H22" s="5">
        <v>1</v>
      </c>
      <c r="I22" s="67" t="s">
        <v>160</v>
      </c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6"/>
      <c r="U22" s="46"/>
      <c r="V22" s="46"/>
      <c r="W22" s="46"/>
      <c r="X22" s="46"/>
      <c r="Y22" s="46"/>
      <c r="Z22" s="46"/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26.77</v>
      </c>
      <c r="AG22" s="46">
        <v>0</v>
      </c>
      <c r="AH22" s="46">
        <v>0</v>
      </c>
      <c r="AI22" s="46">
        <v>0</v>
      </c>
      <c r="AJ22" s="46">
        <v>7.48</v>
      </c>
      <c r="AK22" s="46">
        <v>0</v>
      </c>
      <c r="AL22" s="46">
        <v>0</v>
      </c>
      <c r="AM22" s="46">
        <v>0</v>
      </c>
      <c r="AN22" s="46">
        <f t="shared" si="5"/>
        <v>34.25</v>
      </c>
      <c r="AO22" s="46">
        <f t="shared" si="2"/>
        <v>2.6346153846153846</v>
      </c>
      <c r="AP22" s="67">
        <f t="shared" si="0"/>
        <v>2.6346153846153846</v>
      </c>
    </row>
    <row r="23" spans="1:42" ht="15.6" x14ac:dyDescent="0.3">
      <c r="A23" s="5">
        <v>22</v>
      </c>
      <c r="B23" s="6" t="s">
        <v>9</v>
      </c>
      <c r="C23" s="12" t="s">
        <v>269</v>
      </c>
      <c r="D23" s="6" t="s">
        <v>128</v>
      </c>
      <c r="E23" s="6" t="s">
        <v>12</v>
      </c>
      <c r="F23" s="6" t="s">
        <v>13</v>
      </c>
      <c r="G23" s="6" t="s">
        <v>35</v>
      </c>
      <c r="H23" s="5">
        <v>5</v>
      </c>
      <c r="I23" s="74" t="s">
        <v>273</v>
      </c>
      <c r="J23" s="45">
        <v>24.51</v>
      </c>
      <c r="K23" s="45">
        <v>20.56</v>
      </c>
      <c r="L23" s="45">
        <v>45.93</v>
      </c>
      <c r="M23" s="45">
        <v>52.74</v>
      </c>
      <c r="N23" s="45">
        <v>71.8</v>
      </c>
      <c r="O23" s="45">
        <v>86.47</v>
      </c>
      <c r="P23" s="45">
        <v>66.42</v>
      </c>
      <c r="Q23" s="45">
        <v>84.06</v>
      </c>
      <c r="R23" s="45">
        <v>49.97</v>
      </c>
      <c r="S23" s="45">
        <v>50.48</v>
      </c>
      <c r="T23" s="46">
        <v>53.32</v>
      </c>
      <c r="U23" s="46">
        <v>89.68</v>
      </c>
      <c r="V23" s="46">
        <v>93.63</v>
      </c>
      <c r="W23" s="46">
        <v>89.75</v>
      </c>
      <c r="X23" s="46">
        <v>77.77</v>
      </c>
      <c r="Y23" s="46">
        <v>90.29</v>
      </c>
      <c r="Z23" s="46">
        <v>133.54</v>
      </c>
      <c r="AA23" s="46">
        <v>53.36</v>
      </c>
      <c r="AB23" s="46">
        <v>114.67</v>
      </c>
      <c r="AC23" s="46">
        <v>63.92</v>
      </c>
      <c r="AD23" s="46">
        <v>96.1</v>
      </c>
      <c r="AE23" s="46">
        <v>99.29</v>
      </c>
      <c r="AF23" s="46">
        <v>79.760000000000005</v>
      </c>
      <c r="AG23" s="46">
        <v>79.8</v>
      </c>
      <c r="AH23" s="46">
        <v>89.68</v>
      </c>
      <c r="AI23" s="46">
        <v>74.260000000000005</v>
      </c>
      <c r="AJ23" s="46">
        <v>91.72</v>
      </c>
      <c r="AK23" s="46">
        <v>85.21</v>
      </c>
      <c r="AL23" s="46">
        <v>108.45</v>
      </c>
      <c r="AM23" s="46">
        <v>88.18</v>
      </c>
      <c r="AN23" s="46"/>
      <c r="AO23" s="46">
        <f t="shared" si="2"/>
        <v>76.843999999999994</v>
      </c>
      <c r="AP23" s="67">
        <f t="shared" si="0"/>
        <v>15.368799999999998</v>
      </c>
    </row>
    <row r="24" spans="1:42" x14ac:dyDescent="0.3">
      <c r="A24" s="5">
        <v>23</v>
      </c>
      <c r="B24" s="6" t="s">
        <v>9</v>
      </c>
      <c r="C24" s="12" t="s">
        <v>270</v>
      </c>
      <c r="D24" s="6" t="s">
        <v>128</v>
      </c>
      <c r="E24" s="6" t="s">
        <v>12</v>
      </c>
      <c r="F24" s="6" t="s">
        <v>13</v>
      </c>
      <c r="G24" s="6" t="s">
        <v>35</v>
      </c>
      <c r="H24" s="5">
        <v>1</v>
      </c>
      <c r="I24" s="67" t="s">
        <v>160</v>
      </c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6"/>
      <c r="U24" s="46"/>
      <c r="V24" s="46">
        <v>0</v>
      </c>
      <c r="W24" s="46">
        <v>0</v>
      </c>
      <c r="X24" s="46">
        <v>0</v>
      </c>
      <c r="Y24" s="46">
        <v>0</v>
      </c>
      <c r="Z24" s="46">
        <v>0</v>
      </c>
      <c r="AA24" s="46">
        <v>1.54</v>
      </c>
      <c r="AB24" s="46">
        <v>0</v>
      </c>
      <c r="AC24" s="46">
        <v>0</v>
      </c>
      <c r="AD24" s="46">
        <v>0</v>
      </c>
      <c r="AE24" s="46">
        <v>0</v>
      </c>
      <c r="AF24" s="46">
        <v>0</v>
      </c>
      <c r="AG24" s="46">
        <v>0</v>
      </c>
      <c r="AH24" s="46">
        <v>0</v>
      </c>
      <c r="AI24" s="46">
        <v>0</v>
      </c>
      <c r="AJ24" s="46">
        <v>0</v>
      </c>
      <c r="AK24" s="46">
        <v>0</v>
      </c>
      <c r="AL24" s="46">
        <v>0</v>
      </c>
      <c r="AM24" s="46">
        <v>0</v>
      </c>
      <c r="AN24" s="46">
        <f t="shared" ref="AN24:AN27" si="6">SUBTOTAL(9,J24:AM24)</f>
        <v>1.54</v>
      </c>
      <c r="AO24" s="46">
        <f t="shared" si="2"/>
        <v>8.5555555555555551E-2</v>
      </c>
      <c r="AP24" s="67">
        <f t="shared" si="0"/>
        <v>8.5555555555555551E-2</v>
      </c>
    </row>
    <row r="25" spans="1:42" x14ac:dyDescent="0.3">
      <c r="A25" s="5">
        <v>24</v>
      </c>
      <c r="B25" s="6" t="s">
        <v>9</v>
      </c>
      <c r="C25" s="12" t="s">
        <v>270</v>
      </c>
      <c r="D25" s="6" t="s">
        <v>128</v>
      </c>
      <c r="E25" s="6" t="s">
        <v>12</v>
      </c>
      <c r="F25" s="6" t="s">
        <v>40</v>
      </c>
      <c r="G25" s="6" t="s">
        <v>35</v>
      </c>
      <c r="H25" s="5">
        <v>1</v>
      </c>
      <c r="I25" s="67" t="s">
        <v>160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45">
        <v>0</v>
      </c>
      <c r="T25" s="45">
        <v>0</v>
      </c>
      <c r="U25" s="45">
        <v>0</v>
      </c>
      <c r="V25" s="45">
        <v>0</v>
      </c>
      <c r="W25" s="45">
        <v>0</v>
      </c>
      <c r="X25" s="46">
        <v>0</v>
      </c>
      <c r="Y25" s="46">
        <v>0</v>
      </c>
      <c r="Z25" s="46">
        <v>2.46</v>
      </c>
      <c r="AA25" s="46">
        <v>0.56000000000000005</v>
      </c>
      <c r="AB25" s="46">
        <v>0</v>
      </c>
      <c r="AC25" s="46">
        <v>87.65</v>
      </c>
      <c r="AD25" s="46">
        <v>0</v>
      </c>
      <c r="AE25" s="46">
        <v>0</v>
      </c>
      <c r="AF25" s="46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0.9</v>
      </c>
      <c r="AM25" s="46">
        <v>0.75</v>
      </c>
      <c r="AN25" s="46">
        <f t="shared" si="6"/>
        <v>92.320000000000007</v>
      </c>
      <c r="AO25" s="46">
        <f t="shared" si="2"/>
        <v>3.0773333333333337</v>
      </c>
      <c r="AP25" s="67">
        <f t="shared" si="0"/>
        <v>3.0773333333333337</v>
      </c>
    </row>
    <row r="26" spans="1:42" x14ac:dyDescent="0.3">
      <c r="A26" s="5">
        <v>25</v>
      </c>
      <c r="B26" s="6" t="s">
        <v>9</v>
      </c>
      <c r="C26" s="12" t="s">
        <v>270</v>
      </c>
      <c r="D26" s="6" t="s">
        <v>128</v>
      </c>
      <c r="E26" s="6" t="s">
        <v>12</v>
      </c>
      <c r="F26" s="6" t="s">
        <v>124</v>
      </c>
      <c r="G26" s="6" t="s">
        <v>80</v>
      </c>
      <c r="H26" s="5">
        <v>1</v>
      </c>
      <c r="I26" s="67" t="s">
        <v>160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  <c r="T26" s="45">
        <v>0</v>
      </c>
      <c r="U26" s="45">
        <v>0</v>
      </c>
      <c r="V26" s="45">
        <v>0</v>
      </c>
      <c r="W26" s="45">
        <v>0</v>
      </c>
      <c r="X26" s="46">
        <v>0</v>
      </c>
      <c r="Y26" s="46">
        <v>0</v>
      </c>
      <c r="Z26" s="46">
        <v>0</v>
      </c>
      <c r="AA26" s="46">
        <v>0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0</v>
      </c>
      <c r="AI26" s="46">
        <v>0</v>
      </c>
      <c r="AJ26" s="46">
        <v>0</v>
      </c>
      <c r="AK26" s="46">
        <v>0</v>
      </c>
      <c r="AL26" s="46">
        <v>0</v>
      </c>
      <c r="AM26" s="46">
        <v>0</v>
      </c>
      <c r="AN26" s="46">
        <f t="shared" si="6"/>
        <v>0</v>
      </c>
      <c r="AO26" s="46">
        <f t="shared" si="2"/>
        <v>0</v>
      </c>
      <c r="AP26" s="67">
        <f t="shared" si="0"/>
        <v>0</v>
      </c>
    </row>
    <row r="27" spans="1:42" x14ac:dyDescent="0.3">
      <c r="A27" s="5">
        <v>26</v>
      </c>
      <c r="B27" s="6" t="s">
        <v>9</v>
      </c>
      <c r="C27" s="12" t="s">
        <v>270</v>
      </c>
      <c r="D27" s="6" t="s">
        <v>128</v>
      </c>
      <c r="E27" s="6" t="s">
        <v>12</v>
      </c>
      <c r="F27" s="6" t="s">
        <v>251</v>
      </c>
      <c r="G27" s="6" t="s">
        <v>80</v>
      </c>
      <c r="H27" s="5">
        <v>2</v>
      </c>
      <c r="I27" s="67" t="s">
        <v>160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0.28999999999999998</v>
      </c>
      <c r="Q27" s="45">
        <v>0</v>
      </c>
      <c r="R27" s="45">
        <v>0.25</v>
      </c>
      <c r="S27" s="45">
        <v>0</v>
      </c>
      <c r="T27" s="46">
        <v>0.22</v>
      </c>
      <c r="U27" s="46">
        <v>0</v>
      </c>
      <c r="V27" s="46">
        <v>0</v>
      </c>
      <c r="W27" s="46">
        <v>8.25</v>
      </c>
      <c r="X27" s="46">
        <v>7</v>
      </c>
      <c r="Y27" s="46">
        <v>22.3</v>
      </c>
      <c r="Z27" s="46">
        <v>22.24</v>
      </c>
      <c r="AA27" s="46">
        <v>17.829999999999998</v>
      </c>
      <c r="AB27" s="46">
        <v>17.62</v>
      </c>
      <c r="AC27" s="46">
        <v>48.69</v>
      </c>
      <c r="AD27" s="46">
        <v>0</v>
      </c>
      <c r="AE27" s="46">
        <v>0</v>
      </c>
      <c r="AF27" s="46">
        <v>0</v>
      </c>
      <c r="AG27" s="46">
        <v>0</v>
      </c>
      <c r="AH27" s="46">
        <v>3.92</v>
      </c>
      <c r="AI27" s="46">
        <v>11.06</v>
      </c>
      <c r="AJ27" s="46">
        <v>13.36</v>
      </c>
      <c r="AK27" s="46">
        <v>0</v>
      </c>
      <c r="AL27" s="46">
        <v>0</v>
      </c>
      <c r="AM27" s="46">
        <v>0</v>
      </c>
      <c r="AN27" s="46">
        <f t="shared" si="6"/>
        <v>173.02999999999997</v>
      </c>
      <c r="AO27" s="46">
        <f t="shared" si="2"/>
        <v>5.7676666666666661</v>
      </c>
      <c r="AP27" s="67">
        <f t="shared" si="0"/>
        <v>2.883833333333333</v>
      </c>
    </row>
    <row r="28" spans="1:42" ht="15.6" x14ac:dyDescent="0.3">
      <c r="A28" s="5">
        <v>27</v>
      </c>
      <c r="B28" s="6" t="s">
        <v>9</v>
      </c>
      <c r="C28" s="12" t="s">
        <v>234</v>
      </c>
      <c r="D28" s="6" t="s">
        <v>128</v>
      </c>
      <c r="E28" s="6" t="s">
        <v>12</v>
      </c>
      <c r="F28" s="6" t="s">
        <v>13</v>
      </c>
      <c r="G28" s="6" t="s">
        <v>35</v>
      </c>
      <c r="H28" s="5">
        <v>8</v>
      </c>
      <c r="I28" s="74" t="s">
        <v>273</v>
      </c>
      <c r="J28" s="45">
        <v>14.8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/>
      <c r="AO28" s="46">
        <f t="shared" si="2"/>
        <v>0.49333333333333335</v>
      </c>
      <c r="AP28" s="67">
        <f t="shared" si="0"/>
        <v>6.1666666666666668E-2</v>
      </c>
    </row>
    <row r="29" spans="1:42" x14ac:dyDescent="0.3">
      <c r="A29" s="5">
        <v>28</v>
      </c>
      <c r="B29" s="6" t="s">
        <v>9</v>
      </c>
      <c r="C29" s="12" t="s">
        <v>243</v>
      </c>
      <c r="D29" s="6" t="s">
        <v>128</v>
      </c>
      <c r="E29" s="6" t="s">
        <v>12</v>
      </c>
      <c r="F29" s="6" t="s">
        <v>124</v>
      </c>
      <c r="G29" s="6" t="s">
        <v>80</v>
      </c>
      <c r="H29" s="5">
        <v>1</v>
      </c>
      <c r="I29" s="67" t="s">
        <v>160</v>
      </c>
      <c r="J29" s="46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6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0</v>
      </c>
      <c r="AM29" s="46">
        <v>0</v>
      </c>
      <c r="AN29" s="46">
        <f>SUBTOTAL(9,J29:AM29)</f>
        <v>0</v>
      </c>
      <c r="AO29" s="46">
        <f t="shared" si="2"/>
        <v>0</v>
      </c>
      <c r="AP29" s="67">
        <f t="shared" si="0"/>
        <v>0</v>
      </c>
    </row>
    <row r="30" spans="1:42" ht="15.6" x14ac:dyDescent="0.3">
      <c r="A30" s="5">
        <v>29</v>
      </c>
      <c r="B30" s="6" t="s">
        <v>9</v>
      </c>
      <c r="C30" s="12" t="s">
        <v>260</v>
      </c>
      <c r="D30" s="6" t="s">
        <v>128</v>
      </c>
      <c r="E30" s="6" t="s">
        <v>12</v>
      </c>
      <c r="F30" s="6" t="s">
        <v>13</v>
      </c>
      <c r="G30" s="6" t="s">
        <v>35</v>
      </c>
      <c r="H30" s="5">
        <v>3</v>
      </c>
      <c r="I30" s="74" t="s">
        <v>273</v>
      </c>
      <c r="J30" s="46"/>
      <c r="K30" s="45"/>
      <c r="L30" s="45"/>
      <c r="M30" s="45">
        <v>0.92</v>
      </c>
      <c r="N30" s="45">
        <v>132.66</v>
      </c>
      <c r="O30" s="45">
        <v>145.37</v>
      </c>
      <c r="P30" s="45">
        <v>95.09</v>
      </c>
      <c r="Q30" s="45">
        <v>58.92</v>
      </c>
      <c r="R30" s="45">
        <v>100.97</v>
      </c>
      <c r="S30" s="45">
        <v>47.61</v>
      </c>
      <c r="T30" s="46">
        <v>158.57</v>
      </c>
      <c r="U30" s="46">
        <v>184.54</v>
      </c>
      <c r="V30" s="46">
        <v>177.34</v>
      </c>
      <c r="W30" s="46">
        <v>168.46</v>
      </c>
      <c r="X30" s="46">
        <v>174.86</v>
      </c>
      <c r="Y30" s="46">
        <v>146.75</v>
      </c>
      <c r="Z30" s="46">
        <v>127.17</v>
      </c>
      <c r="AA30" s="46">
        <v>178.39</v>
      </c>
      <c r="AB30" s="46">
        <v>157.61000000000001</v>
      </c>
      <c r="AC30" s="46">
        <v>138.08000000000001</v>
      </c>
      <c r="AD30" s="46">
        <v>157.1</v>
      </c>
      <c r="AE30" s="46">
        <v>171.38</v>
      </c>
      <c r="AF30" s="46">
        <v>138.57</v>
      </c>
      <c r="AG30" s="46">
        <v>136.31</v>
      </c>
      <c r="AH30" s="46">
        <v>115.81</v>
      </c>
      <c r="AI30" s="46">
        <v>183.56</v>
      </c>
      <c r="AJ30" s="46">
        <v>145.05000000000001</v>
      </c>
      <c r="AK30" s="46">
        <v>160.07</v>
      </c>
      <c r="AL30" s="46">
        <v>166.74</v>
      </c>
      <c r="AM30" s="46">
        <v>196.44</v>
      </c>
      <c r="AN30" s="46"/>
      <c r="AO30" s="46">
        <f t="shared" si="2"/>
        <v>139.42000000000002</v>
      </c>
      <c r="AP30" s="67">
        <f t="shared" si="0"/>
        <v>46.473333333333336</v>
      </c>
    </row>
    <row r="31" spans="1:42" ht="15.6" x14ac:dyDescent="0.3">
      <c r="A31" s="5">
        <v>30</v>
      </c>
      <c r="B31" s="6" t="s">
        <v>9</v>
      </c>
      <c r="C31" s="12" t="s">
        <v>264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3</v>
      </c>
      <c r="I31" s="74" t="s">
        <v>273</v>
      </c>
      <c r="J31" s="46"/>
      <c r="K31" s="45"/>
      <c r="L31" s="45"/>
      <c r="M31" s="45"/>
      <c r="N31" s="45"/>
      <c r="O31" s="45"/>
      <c r="P31" s="45">
        <v>23.06</v>
      </c>
      <c r="Q31" s="45">
        <v>103.44</v>
      </c>
      <c r="R31" s="45">
        <v>76.099999999999994</v>
      </c>
      <c r="S31" s="45">
        <v>41.88</v>
      </c>
      <c r="T31" s="46">
        <v>62.84</v>
      </c>
      <c r="U31" s="46">
        <v>62.31</v>
      </c>
      <c r="V31" s="46">
        <v>81.180000000000007</v>
      </c>
      <c r="W31" s="46">
        <v>61.56</v>
      </c>
      <c r="X31" s="46">
        <v>54.79</v>
      </c>
      <c r="Y31" s="46">
        <v>77.62</v>
      </c>
      <c r="Z31" s="46">
        <v>100.96</v>
      </c>
      <c r="AA31" s="46">
        <v>47.32</v>
      </c>
      <c r="AB31" s="46">
        <v>74.209999999999994</v>
      </c>
      <c r="AC31" s="46">
        <v>67.03</v>
      </c>
      <c r="AD31" s="46">
        <v>62.58</v>
      </c>
      <c r="AE31" s="46">
        <v>20.81</v>
      </c>
      <c r="AF31" s="46">
        <v>0</v>
      </c>
      <c r="AG31" s="46">
        <v>0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/>
      <c r="AO31" s="46">
        <f>AVERAGE(J31:AM31)</f>
        <v>42.403750000000002</v>
      </c>
      <c r="AP31" s="67">
        <f t="shared" si="0"/>
        <v>14.134583333333333</v>
      </c>
    </row>
    <row r="32" spans="1:42" ht="15.6" x14ac:dyDescent="0.3">
      <c r="A32" s="5">
        <v>31</v>
      </c>
      <c r="B32" s="6" t="s">
        <v>9</v>
      </c>
      <c r="C32" s="12" t="s">
        <v>277</v>
      </c>
      <c r="D32" s="6" t="s">
        <v>128</v>
      </c>
      <c r="E32" s="6" t="s">
        <v>12</v>
      </c>
      <c r="F32" s="6" t="s">
        <v>13</v>
      </c>
      <c r="G32" s="6" t="s">
        <v>35</v>
      </c>
      <c r="H32" s="5">
        <v>1</v>
      </c>
      <c r="I32" s="74" t="s">
        <v>273</v>
      </c>
      <c r="J32" s="46"/>
      <c r="K32" s="45"/>
      <c r="L32" s="45"/>
      <c r="M32" s="45"/>
      <c r="N32" s="45"/>
      <c r="O32" s="45"/>
      <c r="P32" s="45"/>
      <c r="Q32" s="45"/>
      <c r="R32" s="45"/>
      <c r="S32" s="45"/>
      <c r="T32" s="46"/>
      <c r="U32" s="46"/>
      <c r="V32" s="46">
        <v>10.72</v>
      </c>
      <c r="W32" s="46">
        <v>14.85</v>
      </c>
      <c r="X32" s="46">
        <v>8.5299999999999994</v>
      </c>
      <c r="Y32" s="46">
        <v>0</v>
      </c>
      <c r="Z32" s="46">
        <v>0.01</v>
      </c>
      <c r="AA32" s="46">
        <v>0</v>
      </c>
      <c r="AB32" s="46">
        <v>22.18</v>
      </c>
      <c r="AC32" s="46">
        <v>7.35</v>
      </c>
      <c r="AD32" s="46">
        <v>7.48</v>
      </c>
      <c r="AE32" s="46">
        <v>17.55</v>
      </c>
      <c r="AF32" s="46">
        <v>14.49</v>
      </c>
      <c r="AG32" s="46">
        <v>19.11</v>
      </c>
      <c r="AH32" s="46">
        <v>8.2799999999999994</v>
      </c>
      <c r="AI32" s="46">
        <v>30.72</v>
      </c>
      <c r="AJ32" s="46">
        <v>14.35</v>
      </c>
      <c r="AK32" s="46">
        <v>7.32</v>
      </c>
      <c r="AL32" s="46">
        <v>7.65</v>
      </c>
      <c r="AM32" s="46">
        <v>14.07</v>
      </c>
      <c r="AN32" s="46"/>
      <c r="AO32" s="46">
        <f>AVERAGE(J32:AM32)</f>
        <v>11.369999999999997</v>
      </c>
      <c r="AP32" s="67">
        <f t="shared" si="0"/>
        <v>11.369999999999997</v>
      </c>
    </row>
    <row r="33" spans="1:42" ht="15.6" x14ac:dyDescent="0.3">
      <c r="A33" s="5">
        <v>32</v>
      </c>
      <c r="B33" s="6" t="s">
        <v>9</v>
      </c>
      <c r="C33" s="12" t="s">
        <v>283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5</v>
      </c>
      <c r="I33" s="74" t="s">
        <v>273</v>
      </c>
      <c r="J33" s="46"/>
      <c r="K33" s="45"/>
      <c r="L33" s="45"/>
      <c r="M33" s="45"/>
      <c r="N33" s="45"/>
      <c r="O33" s="45"/>
      <c r="P33" s="45"/>
      <c r="Q33" s="45"/>
      <c r="R33" s="45"/>
      <c r="S33" s="45"/>
      <c r="T33" s="46"/>
      <c r="U33" s="46"/>
      <c r="V33" s="46"/>
      <c r="W33" s="46"/>
      <c r="X33" s="46"/>
      <c r="Y33" s="46">
        <v>0</v>
      </c>
      <c r="Z33" s="46">
        <v>0</v>
      </c>
      <c r="AA33" s="46">
        <v>25.3</v>
      </c>
      <c r="AB33" s="46">
        <v>33.35</v>
      </c>
      <c r="AC33" s="46">
        <v>29.7</v>
      </c>
      <c r="AD33" s="46">
        <v>34.93</v>
      </c>
      <c r="AE33" s="46">
        <v>26.83</v>
      </c>
      <c r="AF33" s="46">
        <v>38.549999999999997</v>
      </c>
      <c r="AG33" s="46">
        <v>34.78</v>
      </c>
      <c r="AH33" s="46">
        <v>11.75</v>
      </c>
      <c r="AI33" s="46">
        <v>10.64</v>
      </c>
      <c r="AJ33" s="46">
        <v>18.07</v>
      </c>
      <c r="AK33" s="46">
        <v>14.85</v>
      </c>
      <c r="AL33" s="46">
        <v>37.5</v>
      </c>
      <c r="AM33" s="46">
        <v>22.61</v>
      </c>
      <c r="AN33" s="46"/>
      <c r="AO33" s="46">
        <f>AVERAGE(J33:AM33)</f>
        <v>22.590666666666671</v>
      </c>
      <c r="AP33" s="67">
        <f t="shared" si="0"/>
        <v>4.518133333333334</v>
      </c>
    </row>
    <row r="34" spans="1:42" x14ac:dyDescent="0.3">
      <c r="A34" s="5">
        <v>33</v>
      </c>
      <c r="B34" s="6" t="s">
        <v>9</v>
      </c>
      <c r="C34" s="6" t="s">
        <v>93</v>
      </c>
      <c r="D34" s="6" t="s">
        <v>26</v>
      </c>
      <c r="E34" s="6" t="s">
        <v>19</v>
      </c>
      <c r="F34" s="6" t="s">
        <v>13</v>
      </c>
      <c r="G34" s="6" t="s">
        <v>14</v>
      </c>
      <c r="H34" s="5">
        <v>1</v>
      </c>
      <c r="I34" s="67" t="s">
        <v>160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  <c r="T34" s="45">
        <v>0</v>
      </c>
      <c r="U34" s="45">
        <v>0</v>
      </c>
      <c r="V34" s="45">
        <v>0</v>
      </c>
      <c r="W34" s="45">
        <v>0</v>
      </c>
      <c r="X34" s="45">
        <v>0</v>
      </c>
      <c r="Y34" s="45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/>
      <c r="AO34" s="46">
        <f t="shared" si="2"/>
        <v>0</v>
      </c>
      <c r="AP34" s="67">
        <f t="shared" ref="AP34:AP65" si="7">AO34/H34</f>
        <v>0</v>
      </c>
    </row>
    <row r="35" spans="1:42" x14ac:dyDescent="0.3">
      <c r="A35" s="5">
        <v>34</v>
      </c>
      <c r="B35" s="6" t="s">
        <v>9</v>
      </c>
      <c r="C35" s="6" t="s">
        <v>27</v>
      </c>
      <c r="D35" s="6" t="s">
        <v>28</v>
      </c>
      <c r="E35" s="6" t="s">
        <v>19</v>
      </c>
      <c r="F35" s="6" t="s">
        <v>13</v>
      </c>
      <c r="G35" s="6" t="s">
        <v>14</v>
      </c>
      <c r="H35" s="5">
        <v>4</v>
      </c>
      <c r="I35" s="67" t="s">
        <v>160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60">
        <v>0</v>
      </c>
      <c r="AM35" s="60">
        <v>0</v>
      </c>
      <c r="AN35" s="60"/>
      <c r="AO35" s="46">
        <f t="shared" si="2"/>
        <v>0</v>
      </c>
      <c r="AP35" s="67">
        <f t="shared" si="7"/>
        <v>0</v>
      </c>
    </row>
    <row r="36" spans="1:42" x14ac:dyDescent="0.3">
      <c r="A36" s="5">
        <v>35</v>
      </c>
      <c r="B36" s="6" t="s">
        <v>9</v>
      </c>
      <c r="C36" s="6" t="s">
        <v>94</v>
      </c>
      <c r="D36" s="6" t="s">
        <v>32</v>
      </c>
      <c r="E36" s="6" t="s">
        <v>19</v>
      </c>
      <c r="F36" s="6" t="s">
        <v>13</v>
      </c>
      <c r="G36" s="6" t="s">
        <v>14</v>
      </c>
      <c r="H36" s="5">
        <v>2</v>
      </c>
      <c r="I36" s="67" t="s">
        <v>160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  <c r="T36" s="45">
        <v>0</v>
      </c>
      <c r="U36" s="45">
        <v>0</v>
      </c>
      <c r="V36" s="45">
        <v>0</v>
      </c>
      <c r="W36" s="45">
        <v>0</v>
      </c>
      <c r="X36" s="45">
        <v>0</v>
      </c>
      <c r="Y36" s="45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60">
        <v>0</v>
      </c>
      <c r="AM36" s="60">
        <v>0</v>
      </c>
      <c r="AN36" s="60"/>
      <c r="AO36" s="46">
        <f t="shared" si="2"/>
        <v>0</v>
      </c>
      <c r="AP36" s="67">
        <f t="shared" si="7"/>
        <v>0</v>
      </c>
    </row>
    <row r="37" spans="1:42" ht="15.6" x14ac:dyDescent="0.3">
      <c r="A37" s="5">
        <v>36</v>
      </c>
      <c r="B37" s="6" t="s">
        <v>49</v>
      </c>
      <c r="C37" s="12" t="s">
        <v>209</v>
      </c>
      <c r="D37" s="6" t="s">
        <v>128</v>
      </c>
      <c r="E37" s="6" t="s">
        <v>12</v>
      </c>
      <c r="F37" s="6" t="s">
        <v>13</v>
      </c>
      <c r="G37" s="6" t="s">
        <v>35</v>
      </c>
      <c r="H37" s="5">
        <v>5</v>
      </c>
      <c r="I37" s="74" t="s">
        <v>273</v>
      </c>
      <c r="J37" s="45">
        <v>22.34</v>
      </c>
      <c r="K37" s="45">
        <v>9.41</v>
      </c>
      <c r="L37" s="46">
        <v>15.47</v>
      </c>
      <c r="M37" s="46">
        <v>8.69</v>
      </c>
      <c r="N37" s="46">
        <v>18.14</v>
      </c>
      <c r="O37" s="46">
        <v>2.6</v>
      </c>
      <c r="P37" s="46">
        <v>13.81</v>
      </c>
      <c r="Q37" s="46">
        <v>0.02</v>
      </c>
      <c r="R37" s="46">
        <v>4.9000000000000004</v>
      </c>
      <c r="S37" s="46">
        <v>8.61</v>
      </c>
      <c r="T37" s="46">
        <v>17.09</v>
      </c>
      <c r="U37" s="46">
        <v>9.77</v>
      </c>
      <c r="V37" s="46">
        <v>14.64</v>
      </c>
      <c r="W37" s="46">
        <v>0</v>
      </c>
      <c r="X37" s="46">
        <v>14.93</v>
      </c>
      <c r="Y37" s="46">
        <v>3.89</v>
      </c>
      <c r="Z37" s="46">
        <v>3.29</v>
      </c>
      <c r="AA37" s="46">
        <v>13.6</v>
      </c>
      <c r="AB37" s="53">
        <v>14.92</v>
      </c>
      <c r="AC37" s="60">
        <v>0</v>
      </c>
      <c r="AD37" s="60">
        <v>0</v>
      </c>
      <c r="AE37" s="60">
        <v>23.09</v>
      </c>
      <c r="AF37" s="60">
        <v>11.87</v>
      </c>
      <c r="AG37" s="54">
        <v>15.85</v>
      </c>
      <c r="AH37" s="46">
        <v>18.670000000000002</v>
      </c>
      <c r="AI37" s="46">
        <v>9.48</v>
      </c>
      <c r="AJ37" s="46">
        <v>9.1999999999999993</v>
      </c>
      <c r="AK37" s="46">
        <v>0</v>
      </c>
      <c r="AL37" s="46">
        <v>15.87</v>
      </c>
      <c r="AM37" s="46">
        <v>12.58</v>
      </c>
      <c r="AN37" s="46"/>
      <c r="AO37" s="46">
        <f t="shared" ref="AO37:AO49" si="8">AVERAGE(J37:AM37)</f>
        <v>10.424333333333331</v>
      </c>
      <c r="AP37" s="67">
        <f t="shared" si="7"/>
        <v>2.0848666666666662</v>
      </c>
    </row>
    <row r="38" spans="1:42" ht="15.6" x14ac:dyDescent="0.3">
      <c r="A38" s="5">
        <v>37</v>
      </c>
      <c r="B38" s="6" t="s">
        <v>49</v>
      </c>
      <c r="C38" s="12" t="s">
        <v>210</v>
      </c>
      <c r="D38" s="6" t="s">
        <v>128</v>
      </c>
      <c r="E38" s="6" t="s">
        <v>12</v>
      </c>
      <c r="F38" s="6" t="s">
        <v>13</v>
      </c>
      <c r="G38" s="6" t="s">
        <v>35</v>
      </c>
      <c r="H38" s="5">
        <v>10</v>
      </c>
      <c r="I38" s="74" t="s">
        <v>273</v>
      </c>
      <c r="J38" s="45">
        <v>97.2</v>
      </c>
      <c r="K38" s="45">
        <v>99.91</v>
      </c>
      <c r="L38" s="46">
        <v>83.88</v>
      </c>
      <c r="M38" s="46">
        <v>105.24</v>
      </c>
      <c r="N38" s="46">
        <v>105.03</v>
      </c>
      <c r="O38" s="46">
        <v>100.29</v>
      </c>
      <c r="P38" s="46">
        <v>85.91</v>
      </c>
      <c r="Q38" s="46">
        <v>79.790000000000006</v>
      </c>
      <c r="R38" s="46">
        <v>117.88</v>
      </c>
      <c r="S38" s="46">
        <v>67.12</v>
      </c>
      <c r="T38" s="46">
        <v>105.63</v>
      </c>
      <c r="U38" s="46">
        <v>96.75</v>
      </c>
      <c r="V38" s="46">
        <v>84.13</v>
      </c>
      <c r="W38" s="46">
        <v>112.49</v>
      </c>
      <c r="X38" s="46">
        <v>89.23</v>
      </c>
      <c r="Y38" s="46">
        <v>64</v>
      </c>
      <c r="Z38" s="46">
        <v>94.48</v>
      </c>
      <c r="AA38" s="46">
        <v>92.22</v>
      </c>
      <c r="AB38" s="46">
        <v>99.92</v>
      </c>
      <c r="AC38" s="60">
        <v>87.08</v>
      </c>
      <c r="AD38" s="60">
        <v>80.900000000000006</v>
      </c>
      <c r="AE38" s="60">
        <v>78.34</v>
      </c>
      <c r="AF38" s="60">
        <v>97.36</v>
      </c>
      <c r="AG38" s="60">
        <v>89</v>
      </c>
      <c r="AH38" s="60">
        <v>104.1</v>
      </c>
      <c r="AI38" s="60">
        <v>94.3</v>
      </c>
      <c r="AJ38" s="46">
        <v>84.98</v>
      </c>
      <c r="AK38" s="46">
        <v>103.94</v>
      </c>
      <c r="AL38" s="46">
        <v>95.87</v>
      </c>
      <c r="AM38" s="46">
        <v>96.97</v>
      </c>
      <c r="AN38" s="46"/>
      <c r="AO38" s="46">
        <f t="shared" si="8"/>
        <v>93.131333333333316</v>
      </c>
      <c r="AP38" s="67">
        <f t="shared" si="7"/>
        <v>9.3131333333333313</v>
      </c>
    </row>
    <row r="39" spans="1:42" ht="15.6" x14ac:dyDescent="0.3">
      <c r="A39" s="5">
        <v>38</v>
      </c>
      <c r="B39" s="6" t="s">
        <v>52</v>
      </c>
      <c r="C39" s="12" t="s">
        <v>211</v>
      </c>
      <c r="D39" s="6" t="s">
        <v>128</v>
      </c>
      <c r="E39" s="6" t="s">
        <v>12</v>
      </c>
      <c r="F39" s="6" t="s">
        <v>13</v>
      </c>
      <c r="G39" s="6" t="s">
        <v>35</v>
      </c>
      <c r="H39" s="5">
        <v>3</v>
      </c>
      <c r="I39" s="74" t="s">
        <v>273</v>
      </c>
      <c r="J39" s="45">
        <v>15.83</v>
      </c>
      <c r="K39" s="45">
        <v>10.57</v>
      </c>
      <c r="L39" s="46">
        <v>7.55</v>
      </c>
      <c r="M39" s="46">
        <v>7.8</v>
      </c>
      <c r="N39" s="46">
        <v>7.26</v>
      </c>
      <c r="O39" s="46">
        <v>5.34</v>
      </c>
      <c r="P39" s="46">
        <v>0</v>
      </c>
      <c r="Q39" s="46">
        <v>18.329999999999998</v>
      </c>
      <c r="R39" s="46">
        <v>11.22</v>
      </c>
      <c r="S39" s="46">
        <v>12.52</v>
      </c>
      <c r="T39" s="46">
        <v>12.01</v>
      </c>
      <c r="U39" s="46">
        <v>9.5299999999999994</v>
      </c>
      <c r="V39" s="46">
        <v>2.89</v>
      </c>
      <c r="W39" s="46">
        <v>4.54</v>
      </c>
      <c r="X39" s="46">
        <v>18.07</v>
      </c>
      <c r="Y39" s="46">
        <v>11.32</v>
      </c>
      <c r="Z39" s="46">
        <v>13.74</v>
      </c>
      <c r="AA39" s="46">
        <v>8.15</v>
      </c>
      <c r="AB39" s="53">
        <v>10.89</v>
      </c>
      <c r="AC39" s="60">
        <v>13.08</v>
      </c>
      <c r="AD39" s="60">
        <v>0</v>
      </c>
      <c r="AE39" s="60">
        <v>0.03</v>
      </c>
      <c r="AF39" s="60">
        <v>20.58</v>
      </c>
      <c r="AG39" s="54">
        <v>12.46</v>
      </c>
      <c r="AH39" s="46">
        <v>9.01</v>
      </c>
      <c r="AI39" s="46">
        <v>12.93</v>
      </c>
      <c r="AJ39" s="46">
        <v>8.16</v>
      </c>
      <c r="AK39" s="46">
        <v>0</v>
      </c>
      <c r="AL39" s="46">
        <v>16.190000000000001</v>
      </c>
      <c r="AM39" s="46">
        <v>6.4</v>
      </c>
      <c r="AN39" s="46"/>
      <c r="AO39" s="46">
        <f t="shared" si="8"/>
        <v>9.5466666666666651</v>
      </c>
      <c r="AP39" s="67">
        <f t="shared" si="7"/>
        <v>3.1822222222222218</v>
      </c>
    </row>
    <row r="40" spans="1:42" ht="15.6" x14ac:dyDescent="0.3">
      <c r="A40" s="5">
        <v>39</v>
      </c>
      <c r="B40" s="6" t="s">
        <v>52</v>
      </c>
      <c r="C40" s="12" t="s">
        <v>212</v>
      </c>
      <c r="D40" s="6" t="s">
        <v>128</v>
      </c>
      <c r="E40" s="6" t="s">
        <v>12</v>
      </c>
      <c r="F40" s="6" t="s">
        <v>13</v>
      </c>
      <c r="G40" s="6" t="s">
        <v>35</v>
      </c>
      <c r="H40" s="5">
        <v>7</v>
      </c>
      <c r="I40" s="74" t="s">
        <v>273</v>
      </c>
      <c r="J40" s="45">
        <v>102.05</v>
      </c>
      <c r="K40" s="45">
        <v>85.99</v>
      </c>
      <c r="L40" s="46">
        <v>100.18</v>
      </c>
      <c r="M40" s="46">
        <v>94.68</v>
      </c>
      <c r="N40" s="46">
        <v>101.38</v>
      </c>
      <c r="O40" s="46">
        <v>104.95</v>
      </c>
      <c r="P40" s="46">
        <v>80.790000000000006</v>
      </c>
      <c r="Q40" s="46">
        <v>116.8</v>
      </c>
      <c r="R40" s="46">
        <v>24.41</v>
      </c>
      <c r="S40" s="46">
        <v>67.010000000000005</v>
      </c>
      <c r="T40" s="46">
        <v>78.510000000000005</v>
      </c>
      <c r="U40" s="46">
        <v>97.3</v>
      </c>
      <c r="V40" s="46">
        <v>124.07</v>
      </c>
      <c r="W40" s="46">
        <v>86.83</v>
      </c>
      <c r="X40" s="46">
        <v>65.98</v>
      </c>
      <c r="Y40" s="46">
        <v>131.58000000000001</v>
      </c>
      <c r="Z40" s="46">
        <v>99.35</v>
      </c>
      <c r="AA40" s="46">
        <v>93.92</v>
      </c>
      <c r="AB40" s="53">
        <v>78.05</v>
      </c>
      <c r="AC40" s="60">
        <v>132.5</v>
      </c>
      <c r="AD40" s="62">
        <v>88.2</v>
      </c>
      <c r="AE40" s="60">
        <v>75.31</v>
      </c>
      <c r="AF40" s="60">
        <v>122.04</v>
      </c>
      <c r="AG40" s="54">
        <v>162.94999999999999</v>
      </c>
      <c r="AH40" s="46">
        <v>89.54</v>
      </c>
      <c r="AI40" s="46">
        <v>101.51</v>
      </c>
      <c r="AJ40" s="46">
        <v>103.03</v>
      </c>
      <c r="AK40" s="46">
        <v>101.53</v>
      </c>
      <c r="AL40" s="46">
        <v>73.25</v>
      </c>
      <c r="AM40" s="46">
        <v>172.85</v>
      </c>
      <c r="AN40" s="46"/>
      <c r="AO40" s="46">
        <f t="shared" si="8"/>
        <v>98.551333333333332</v>
      </c>
      <c r="AP40" s="67">
        <f t="shared" si="7"/>
        <v>14.078761904761905</v>
      </c>
    </row>
    <row r="41" spans="1:42" ht="15.6" x14ac:dyDescent="0.3">
      <c r="A41" s="5">
        <v>40</v>
      </c>
      <c r="B41" s="6" t="s">
        <v>134</v>
      </c>
      <c r="C41" s="6" t="s">
        <v>133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5</v>
      </c>
      <c r="I41" s="74" t="s">
        <v>273</v>
      </c>
      <c r="J41" s="45">
        <v>45.69</v>
      </c>
      <c r="K41" s="45">
        <v>35.26</v>
      </c>
      <c r="L41" s="46">
        <v>31.73</v>
      </c>
      <c r="M41" s="46">
        <v>52.17</v>
      </c>
      <c r="N41" s="46">
        <v>35.85</v>
      </c>
      <c r="O41" s="46">
        <v>38.01</v>
      </c>
      <c r="P41" s="46">
        <v>45.15</v>
      </c>
      <c r="Q41" s="46">
        <v>52.23</v>
      </c>
      <c r="R41" s="46">
        <v>34.76</v>
      </c>
      <c r="S41" s="46">
        <v>37.53</v>
      </c>
      <c r="T41" s="46">
        <v>34.39</v>
      </c>
      <c r="U41" s="46">
        <v>39.57</v>
      </c>
      <c r="V41" s="46">
        <v>33.229999999999997</v>
      </c>
      <c r="W41" s="46">
        <v>48.82</v>
      </c>
      <c r="X41" s="46">
        <v>32.409999999999997</v>
      </c>
      <c r="Y41" s="46">
        <v>27.82</v>
      </c>
      <c r="Z41" s="46">
        <v>57.34</v>
      </c>
      <c r="AA41" s="46">
        <v>28.01</v>
      </c>
      <c r="AB41" s="53">
        <v>44.88</v>
      </c>
      <c r="AC41" s="60">
        <v>37.479999999999997</v>
      </c>
      <c r="AD41" s="60">
        <v>36.72</v>
      </c>
      <c r="AE41" s="60">
        <v>49.56</v>
      </c>
      <c r="AF41" s="60">
        <v>53.71</v>
      </c>
      <c r="AG41" s="54">
        <v>30.88</v>
      </c>
      <c r="AH41" s="46">
        <v>43.36</v>
      </c>
      <c r="AI41" s="46">
        <v>39.630000000000003</v>
      </c>
      <c r="AJ41" s="46">
        <v>38.299999999999997</v>
      </c>
      <c r="AK41" s="46">
        <v>28.77</v>
      </c>
      <c r="AL41" s="46">
        <v>61.46</v>
      </c>
      <c r="AM41" s="46">
        <v>52.85</v>
      </c>
      <c r="AN41" s="46"/>
      <c r="AO41" s="46">
        <f t="shared" si="8"/>
        <v>40.919000000000004</v>
      </c>
      <c r="AP41" s="67">
        <f t="shared" si="7"/>
        <v>8.1838000000000015</v>
      </c>
    </row>
    <row r="42" spans="1:42" ht="15.6" x14ac:dyDescent="0.3">
      <c r="A42" s="5">
        <v>41</v>
      </c>
      <c r="B42" s="12" t="s">
        <v>246</v>
      </c>
      <c r="C42" s="12" t="s">
        <v>247</v>
      </c>
      <c r="D42" s="6" t="s">
        <v>128</v>
      </c>
      <c r="E42" s="6" t="s">
        <v>12</v>
      </c>
      <c r="F42" s="6" t="s">
        <v>13</v>
      </c>
      <c r="G42" s="6" t="s">
        <v>35</v>
      </c>
      <c r="H42" s="5">
        <v>5</v>
      </c>
      <c r="I42" s="74" t="s">
        <v>273</v>
      </c>
      <c r="J42" s="45">
        <v>61.36</v>
      </c>
      <c r="K42" s="45">
        <v>25.37</v>
      </c>
      <c r="L42" s="46">
        <v>24.34</v>
      </c>
      <c r="M42" s="46">
        <v>32.82</v>
      </c>
      <c r="N42" s="46">
        <v>34.130000000000003</v>
      </c>
      <c r="O42" s="46">
        <v>6.51</v>
      </c>
      <c r="P42" s="46">
        <v>44.5</v>
      </c>
      <c r="Q42" s="46">
        <v>36.07</v>
      </c>
      <c r="R42" s="46">
        <v>40.270000000000003</v>
      </c>
      <c r="S42" s="46">
        <v>16.53</v>
      </c>
      <c r="T42" s="46">
        <v>38.69</v>
      </c>
      <c r="U42" s="46">
        <v>18.05</v>
      </c>
      <c r="V42" s="46">
        <v>25.17</v>
      </c>
      <c r="W42" s="46">
        <v>31.23</v>
      </c>
      <c r="X42" s="46">
        <v>16.64</v>
      </c>
      <c r="Y42" s="46">
        <v>32.340000000000003</v>
      </c>
      <c r="Z42" s="46">
        <v>0.4</v>
      </c>
      <c r="AA42" s="46">
        <v>41.78</v>
      </c>
      <c r="AB42" s="53">
        <v>25.29</v>
      </c>
      <c r="AC42" s="60">
        <v>16.079999999999998</v>
      </c>
      <c r="AD42" s="60">
        <v>22.35</v>
      </c>
      <c r="AE42" s="60">
        <v>17.64</v>
      </c>
      <c r="AF42" s="60">
        <v>17.54</v>
      </c>
      <c r="AG42" s="54">
        <v>19.71</v>
      </c>
      <c r="AH42" s="46">
        <v>22.14</v>
      </c>
      <c r="AI42" s="46">
        <v>19.46</v>
      </c>
      <c r="AJ42" s="46">
        <v>22.52</v>
      </c>
      <c r="AK42" s="46">
        <v>23.58</v>
      </c>
      <c r="AL42" s="46">
        <v>23.61</v>
      </c>
      <c r="AM42" s="46">
        <v>20.9</v>
      </c>
      <c r="AN42" s="46"/>
      <c r="AO42" s="46">
        <f t="shared" si="8"/>
        <v>25.900666666666666</v>
      </c>
      <c r="AP42" s="67">
        <f t="shared" si="7"/>
        <v>5.180133333333333</v>
      </c>
    </row>
    <row r="43" spans="1:42" ht="15.6" x14ac:dyDescent="0.3">
      <c r="A43" s="5">
        <v>42</v>
      </c>
      <c r="B43" s="6" t="s">
        <v>58</v>
      </c>
      <c r="C43" s="12" t="s">
        <v>213</v>
      </c>
      <c r="D43" s="6" t="s">
        <v>61</v>
      </c>
      <c r="E43" s="6" t="s">
        <v>12</v>
      </c>
      <c r="F43" s="6" t="s">
        <v>13</v>
      </c>
      <c r="G43" s="6" t="s">
        <v>35</v>
      </c>
      <c r="H43" s="5">
        <v>3</v>
      </c>
      <c r="I43" s="74" t="s">
        <v>273</v>
      </c>
      <c r="J43" s="45">
        <v>78.739999999999995</v>
      </c>
      <c r="K43" s="45">
        <v>71.900000000000006</v>
      </c>
      <c r="L43" s="46">
        <v>66.58</v>
      </c>
      <c r="M43" s="46">
        <v>52.25</v>
      </c>
      <c r="N43" s="46">
        <v>56.94</v>
      </c>
      <c r="O43" s="46">
        <v>72.3</v>
      </c>
      <c r="P43" s="46">
        <v>84.1</v>
      </c>
      <c r="Q43" s="46">
        <v>60.16</v>
      </c>
      <c r="R43" s="46">
        <v>48.38</v>
      </c>
      <c r="S43" s="46">
        <v>63.8</v>
      </c>
      <c r="T43" s="46">
        <v>69.989999999999995</v>
      </c>
      <c r="U43" s="46">
        <v>43.64</v>
      </c>
      <c r="V43" s="46">
        <v>61.59</v>
      </c>
      <c r="W43" s="46">
        <v>31.91</v>
      </c>
      <c r="X43" s="46">
        <v>73.19</v>
      </c>
      <c r="Y43" s="46">
        <v>73.37</v>
      </c>
      <c r="Z43" s="46">
        <v>45.96</v>
      </c>
      <c r="AA43" s="46">
        <v>12.57</v>
      </c>
      <c r="AB43" s="53">
        <v>25.93</v>
      </c>
      <c r="AC43" s="60">
        <v>23.58</v>
      </c>
      <c r="AD43" s="60">
        <v>11.22</v>
      </c>
      <c r="AE43" s="60">
        <v>23.8</v>
      </c>
      <c r="AF43" s="60">
        <v>16.559999999999999</v>
      </c>
      <c r="AG43" s="54">
        <v>25.95</v>
      </c>
      <c r="AH43" s="46">
        <v>21.89</v>
      </c>
      <c r="AI43" s="46">
        <v>4.99</v>
      </c>
      <c r="AJ43" s="46">
        <v>24.94</v>
      </c>
      <c r="AK43" s="46">
        <v>6.8</v>
      </c>
      <c r="AL43" s="46">
        <v>37.54</v>
      </c>
      <c r="AM43" s="46">
        <v>23.18</v>
      </c>
      <c r="AN43" s="46"/>
      <c r="AO43" s="46">
        <f t="shared" si="8"/>
        <v>43.791666666666657</v>
      </c>
      <c r="AP43" s="67">
        <f t="shared" si="7"/>
        <v>14.59722222222222</v>
      </c>
    </row>
    <row r="44" spans="1:42" ht="15.6" x14ac:dyDescent="0.3">
      <c r="A44" s="5">
        <v>43</v>
      </c>
      <c r="B44" s="6" t="s">
        <v>58</v>
      </c>
      <c r="C44" s="12" t="s">
        <v>214</v>
      </c>
      <c r="D44" s="6" t="s">
        <v>61</v>
      </c>
      <c r="E44" s="6" t="s">
        <v>12</v>
      </c>
      <c r="F44" s="6" t="s">
        <v>13</v>
      </c>
      <c r="G44" s="6" t="s">
        <v>35</v>
      </c>
      <c r="H44" s="5">
        <v>9</v>
      </c>
      <c r="I44" s="74" t="s">
        <v>273</v>
      </c>
      <c r="J44" s="45">
        <v>222.25</v>
      </c>
      <c r="K44" s="45">
        <v>91.84</v>
      </c>
      <c r="L44" s="46">
        <v>129.15</v>
      </c>
      <c r="M44" s="46">
        <v>160.03</v>
      </c>
      <c r="N44" s="46">
        <v>164.05</v>
      </c>
      <c r="O44" s="46">
        <v>155.24</v>
      </c>
      <c r="P44" s="46">
        <v>210.95</v>
      </c>
      <c r="Q44" s="46">
        <v>229.32</v>
      </c>
      <c r="R44" s="46">
        <v>204.98</v>
      </c>
      <c r="S44" s="46">
        <v>108.52</v>
      </c>
      <c r="T44" s="46">
        <v>123.07</v>
      </c>
      <c r="U44" s="46">
        <v>191.57</v>
      </c>
      <c r="V44" s="46">
        <v>164.03</v>
      </c>
      <c r="W44" s="46">
        <v>188.57</v>
      </c>
      <c r="X44" s="46">
        <v>93.51</v>
      </c>
      <c r="Y44" s="46">
        <v>274.83</v>
      </c>
      <c r="Z44" s="46">
        <v>189.56</v>
      </c>
      <c r="AA44" s="46">
        <v>133.86000000000001</v>
      </c>
      <c r="AB44" s="53">
        <v>135.91</v>
      </c>
      <c r="AC44" s="60">
        <v>176.11</v>
      </c>
      <c r="AD44" s="60">
        <v>158.94999999999999</v>
      </c>
      <c r="AE44" s="60">
        <v>188.75</v>
      </c>
      <c r="AF44" s="60">
        <v>148.33000000000001</v>
      </c>
      <c r="AG44" s="54">
        <v>145.26</v>
      </c>
      <c r="AH44" s="46">
        <v>99.61</v>
      </c>
      <c r="AI44" s="46">
        <v>112.64</v>
      </c>
      <c r="AJ44" s="46">
        <v>61.79</v>
      </c>
      <c r="AK44" s="46">
        <v>171.22</v>
      </c>
      <c r="AL44" s="46">
        <v>155.04</v>
      </c>
      <c r="AM44" s="46">
        <v>178.07</v>
      </c>
      <c r="AN44" s="46"/>
      <c r="AO44" s="46">
        <f t="shared" si="8"/>
        <v>158.90033333333335</v>
      </c>
      <c r="AP44" s="67">
        <f t="shared" si="7"/>
        <v>17.655592592592594</v>
      </c>
    </row>
    <row r="45" spans="1:42" ht="15.6" x14ac:dyDescent="0.3">
      <c r="A45" s="5">
        <v>44</v>
      </c>
      <c r="B45" s="6" t="s">
        <v>58</v>
      </c>
      <c r="C45" s="12" t="s">
        <v>215</v>
      </c>
      <c r="D45" s="6" t="s">
        <v>63</v>
      </c>
      <c r="E45" s="6" t="s">
        <v>19</v>
      </c>
      <c r="F45" s="6" t="s">
        <v>13</v>
      </c>
      <c r="G45" s="12" t="s">
        <v>35</v>
      </c>
      <c r="H45" s="5">
        <v>8</v>
      </c>
      <c r="I45" s="74" t="s">
        <v>273</v>
      </c>
      <c r="J45" s="45">
        <v>25.35</v>
      </c>
      <c r="K45" s="45">
        <v>34.69</v>
      </c>
      <c r="L45" s="46">
        <v>29.91</v>
      </c>
      <c r="M45" s="46">
        <v>42.38</v>
      </c>
      <c r="N45" s="46">
        <v>49.37</v>
      </c>
      <c r="O45" s="46">
        <v>38.409999999999997</v>
      </c>
      <c r="P45" s="59">
        <v>72.16</v>
      </c>
      <c r="Q45" s="46">
        <v>24.51</v>
      </c>
      <c r="R45" s="46">
        <v>41.53</v>
      </c>
      <c r="S45" s="46">
        <v>16.16</v>
      </c>
      <c r="T45" s="46">
        <v>23.6</v>
      </c>
      <c r="U45" s="46">
        <v>27.35</v>
      </c>
      <c r="V45" s="46">
        <v>11.62</v>
      </c>
      <c r="W45" s="46">
        <v>22.66</v>
      </c>
      <c r="X45" s="46">
        <v>10.79</v>
      </c>
      <c r="Y45" s="46">
        <v>28.88</v>
      </c>
      <c r="Z45" s="46">
        <v>5.69</v>
      </c>
      <c r="AA45" s="46">
        <v>38.619999999999997</v>
      </c>
      <c r="AB45" s="53">
        <v>26.46</v>
      </c>
      <c r="AC45" s="60">
        <v>13.93</v>
      </c>
      <c r="AD45" s="60">
        <v>6.5</v>
      </c>
      <c r="AE45" s="60">
        <v>3.81</v>
      </c>
      <c r="AF45" s="60">
        <v>2.33</v>
      </c>
      <c r="AG45" s="60">
        <v>10.16</v>
      </c>
      <c r="AH45" s="60">
        <v>9.7200000000000006</v>
      </c>
      <c r="AI45" s="60">
        <v>4.8899999999999997</v>
      </c>
      <c r="AJ45" s="46">
        <v>17.96</v>
      </c>
      <c r="AK45" s="46">
        <v>30.24</v>
      </c>
      <c r="AL45" s="46">
        <v>18.43</v>
      </c>
      <c r="AM45" s="46">
        <v>23.77</v>
      </c>
      <c r="AN45" s="46"/>
      <c r="AO45" s="46">
        <f t="shared" si="8"/>
        <v>23.729333333333333</v>
      </c>
      <c r="AP45" s="67">
        <f t="shared" si="7"/>
        <v>2.9661666666666666</v>
      </c>
    </row>
    <row r="46" spans="1:42" ht="15.6" x14ac:dyDescent="0.3">
      <c r="A46" s="5">
        <v>45</v>
      </c>
      <c r="B46" s="6" t="s">
        <v>58</v>
      </c>
      <c r="C46" s="12" t="s">
        <v>215</v>
      </c>
      <c r="D46" s="6" t="s">
        <v>63</v>
      </c>
      <c r="E46" s="6" t="s">
        <v>19</v>
      </c>
      <c r="F46" s="6" t="s">
        <v>64</v>
      </c>
      <c r="G46" s="6" t="s">
        <v>80</v>
      </c>
      <c r="H46" s="5">
        <v>1</v>
      </c>
      <c r="I46" s="74" t="s">
        <v>273</v>
      </c>
      <c r="J46" s="45">
        <v>0.01</v>
      </c>
      <c r="K46" s="45">
        <v>0.79</v>
      </c>
      <c r="L46" s="45">
        <v>0</v>
      </c>
      <c r="M46" s="46">
        <v>10.43</v>
      </c>
      <c r="N46" s="46">
        <v>0</v>
      </c>
      <c r="O46" s="46">
        <v>0.26</v>
      </c>
      <c r="P46" s="46">
        <v>9.6199999999999992</v>
      </c>
      <c r="Q46" s="46">
        <v>3.57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60">
        <v>0</v>
      </c>
      <c r="AF46" s="60">
        <v>3.15</v>
      </c>
      <c r="AG46" s="54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2.71</v>
      </c>
      <c r="AM46" s="46">
        <v>0</v>
      </c>
      <c r="AN46" s="46"/>
      <c r="AO46" s="46">
        <f t="shared" si="8"/>
        <v>1.018</v>
      </c>
      <c r="AP46" s="67">
        <f t="shared" si="7"/>
        <v>1.018</v>
      </c>
    </row>
    <row r="47" spans="1:42" ht="15.6" x14ac:dyDescent="0.3">
      <c r="A47" s="5">
        <v>46</v>
      </c>
      <c r="B47" s="6" t="s">
        <v>58</v>
      </c>
      <c r="C47" s="12" t="s">
        <v>216</v>
      </c>
      <c r="D47" s="6" t="s">
        <v>128</v>
      </c>
      <c r="E47" s="6" t="s">
        <v>12</v>
      </c>
      <c r="F47" s="6" t="s">
        <v>13</v>
      </c>
      <c r="G47" s="12" t="s">
        <v>35</v>
      </c>
      <c r="H47" s="5">
        <v>7</v>
      </c>
      <c r="I47" s="74" t="s">
        <v>273</v>
      </c>
      <c r="J47" s="45">
        <v>155.46</v>
      </c>
      <c r="K47" s="45">
        <v>116.63</v>
      </c>
      <c r="L47" s="46">
        <v>172.11</v>
      </c>
      <c r="M47" s="46">
        <v>129.01</v>
      </c>
      <c r="N47" s="46">
        <v>116.21</v>
      </c>
      <c r="O47" s="46">
        <v>173.55</v>
      </c>
      <c r="P47" s="46">
        <v>138.47999999999999</v>
      </c>
      <c r="Q47" s="46">
        <v>166.76</v>
      </c>
      <c r="R47" s="46">
        <v>114.85</v>
      </c>
      <c r="S47" s="46">
        <v>87.76</v>
      </c>
      <c r="T47" s="46">
        <v>108.88</v>
      </c>
      <c r="U47" s="46">
        <v>114.97</v>
      </c>
      <c r="V47" s="46">
        <v>100.52</v>
      </c>
      <c r="W47" s="46">
        <v>117.86</v>
      </c>
      <c r="X47" s="46">
        <v>127.22</v>
      </c>
      <c r="Y47" s="46">
        <v>102.52</v>
      </c>
      <c r="Z47" s="46">
        <v>100.68</v>
      </c>
      <c r="AA47" s="46">
        <v>113.79</v>
      </c>
      <c r="AB47" s="53">
        <v>123.77</v>
      </c>
      <c r="AC47" s="60">
        <v>102.66</v>
      </c>
      <c r="AD47" s="60">
        <v>120.52</v>
      </c>
      <c r="AE47" s="60">
        <v>111.28</v>
      </c>
      <c r="AF47" s="60">
        <v>68.08</v>
      </c>
      <c r="AG47" s="54">
        <v>84.85</v>
      </c>
      <c r="AH47" s="46">
        <v>107.26</v>
      </c>
      <c r="AI47" s="46">
        <v>53.77</v>
      </c>
      <c r="AJ47" s="46">
        <v>79.59</v>
      </c>
      <c r="AK47" s="46">
        <v>113.7</v>
      </c>
      <c r="AL47" s="46">
        <v>102.49</v>
      </c>
      <c r="AM47" s="46">
        <v>107.67</v>
      </c>
      <c r="AN47" s="46"/>
      <c r="AO47" s="46">
        <f t="shared" si="8"/>
        <v>114.42999999999999</v>
      </c>
      <c r="AP47" s="67">
        <f t="shared" si="7"/>
        <v>16.347142857142856</v>
      </c>
    </row>
    <row r="48" spans="1:42" ht="15.6" x14ac:dyDescent="0.3">
      <c r="A48" s="5">
        <v>47</v>
      </c>
      <c r="B48" s="6" t="s">
        <v>58</v>
      </c>
      <c r="C48" s="12" t="s">
        <v>249</v>
      </c>
      <c r="D48" s="6" t="s">
        <v>128</v>
      </c>
      <c r="E48" s="6" t="s">
        <v>12</v>
      </c>
      <c r="F48" s="6" t="s">
        <v>13</v>
      </c>
      <c r="G48" s="12" t="s">
        <v>35</v>
      </c>
      <c r="H48" s="5">
        <v>8</v>
      </c>
      <c r="I48" s="74" t="s">
        <v>273</v>
      </c>
      <c r="J48" s="45">
        <v>28.45</v>
      </c>
      <c r="K48" s="45">
        <v>119.79</v>
      </c>
      <c r="L48" s="46">
        <v>136.13</v>
      </c>
      <c r="M48" s="46">
        <v>120.63</v>
      </c>
      <c r="N48" s="46">
        <v>149.32</v>
      </c>
      <c r="O48" s="46">
        <v>107.84</v>
      </c>
      <c r="P48" s="46">
        <v>145.76</v>
      </c>
      <c r="Q48" s="46">
        <v>117.59</v>
      </c>
      <c r="R48" s="46">
        <v>137</v>
      </c>
      <c r="S48" s="46">
        <v>96.57</v>
      </c>
      <c r="T48" s="46">
        <v>116.81</v>
      </c>
      <c r="U48" s="46">
        <v>86.14</v>
      </c>
      <c r="V48" s="46">
        <v>147.46</v>
      </c>
      <c r="W48" s="46">
        <v>129.99</v>
      </c>
      <c r="X48" s="46">
        <v>98.31</v>
      </c>
      <c r="Y48" s="46">
        <v>144.29</v>
      </c>
      <c r="Z48" s="46">
        <v>89.25</v>
      </c>
      <c r="AA48" s="46">
        <v>133.16</v>
      </c>
      <c r="AB48" s="53">
        <v>139.24</v>
      </c>
      <c r="AC48" s="60">
        <v>96.16</v>
      </c>
      <c r="AD48" s="60">
        <v>90.89</v>
      </c>
      <c r="AE48" s="60">
        <v>123.89</v>
      </c>
      <c r="AF48" s="60">
        <v>118.5</v>
      </c>
      <c r="AG48" s="54">
        <v>99.47</v>
      </c>
      <c r="AH48" s="46">
        <v>95.44</v>
      </c>
      <c r="AI48" s="46">
        <v>56.05</v>
      </c>
      <c r="AJ48" s="46">
        <v>71.180000000000007</v>
      </c>
      <c r="AK48" s="46">
        <v>80.25</v>
      </c>
      <c r="AL48" s="46">
        <v>158.55000000000001</v>
      </c>
      <c r="AM48" s="46">
        <v>134.91</v>
      </c>
      <c r="AN48" s="46"/>
      <c r="AO48" s="46">
        <f t="shared" si="8"/>
        <v>112.30066666666663</v>
      </c>
      <c r="AP48" s="67">
        <f t="shared" si="7"/>
        <v>14.037583333333329</v>
      </c>
    </row>
    <row r="49" spans="1:42" ht="15.6" x14ac:dyDescent="0.3">
      <c r="A49" s="5">
        <v>48</v>
      </c>
      <c r="B49" s="6" t="s">
        <v>58</v>
      </c>
      <c r="C49" s="12" t="s">
        <v>256</v>
      </c>
      <c r="D49" s="6" t="s">
        <v>128</v>
      </c>
      <c r="E49" s="6" t="s">
        <v>12</v>
      </c>
      <c r="F49" s="6" t="s">
        <v>13</v>
      </c>
      <c r="G49" s="12" t="s">
        <v>35</v>
      </c>
      <c r="H49" s="5">
        <v>6</v>
      </c>
      <c r="I49" s="74" t="s">
        <v>273</v>
      </c>
      <c r="J49" s="45">
        <v>30.91</v>
      </c>
      <c r="K49" s="45">
        <v>15.09</v>
      </c>
      <c r="L49" s="46">
        <v>25.01</v>
      </c>
      <c r="M49" s="46">
        <v>26.61</v>
      </c>
      <c r="N49" s="46">
        <v>11.3</v>
      </c>
      <c r="O49" s="46">
        <v>22.42</v>
      </c>
      <c r="P49" s="46">
        <v>16.32</v>
      </c>
      <c r="Q49" s="46">
        <v>12.93</v>
      </c>
      <c r="R49" s="46">
        <v>23.1</v>
      </c>
      <c r="S49" s="46">
        <v>9.66</v>
      </c>
      <c r="T49" s="46">
        <v>26.52</v>
      </c>
      <c r="U49" s="46">
        <v>8.11</v>
      </c>
      <c r="V49" s="46">
        <v>18.32</v>
      </c>
      <c r="W49" s="46">
        <v>17.66</v>
      </c>
      <c r="X49" s="46">
        <v>23.59</v>
      </c>
      <c r="Y49" s="46">
        <v>20.49</v>
      </c>
      <c r="Z49" s="46">
        <v>19.96</v>
      </c>
      <c r="AA49" s="46">
        <v>8.82</v>
      </c>
      <c r="AB49" s="53">
        <v>29.23</v>
      </c>
      <c r="AC49" s="60">
        <v>19.41</v>
      </c>
      <c r="AD49" s="60">
        <v>28.46</v>
      </c>
      <c r="AE49" s="60">
        <v>31.2</v>
      </c>
      <c r="AF49" s="60">
        <v>28.09</v>
      </c>
      <c r="AG49" s="54">
        <v>42.69</v>
      </c>
      <c r="AH49" s="46">
        <v>56.01</v>
      </c>
      <c r="AI49" s="46">
        <v>15.67</v>
      </c>
      <c r="AJ49" s="46">
        <v>19.88</v>
      </c>
      <c r="AK49" s="46">
        <v>45.97</v>
      </c>
      <c r="AL49" s="46">
        <v>29.27</v>
      </c>
      <c r="AM49" s="46">
        <v>37.549999999999997</v>
      </c>
      <c r="AN49" s="46"/>
      <c r="AO49" s="46">
        <f t="shared" si="8"/>
        <v>24.008333333333329</v>
      </c>
      <c r="AP49" s="67">
        <f t="shared" si="7"/>
        <v>4.0013888888888882</v>
      </c>
    </row>
    <row r="50" spans="1:42" x14ac:dyDescent="0.3">
      <c r="A50" s="5">
        <v>49</v>
      </c>
      <c r="B50" s="6" t="s">
        <v>58</v>
      </c>
      <c r="C50" s="6" t="s">
        <v>59</v>
      </c>
      <c r="D50" s="6" t="s">
        <v>30</v>
      </c>
      <c r="E50" s="6" t="s">
        <v>19</v>
      </c>
      <c r="F50" s="6" t="s">
        <v>13</v>
      </c>
      <c r="G50" s="6" t="s">
        <v>14</v>
      </c>
      <c r="H50" s="5">
        <v>6</v>
      </c>
      <c r="I50" s="67" t="s">
        <v>160</v>
      </c>
      <c r="J50" s="45">
        <v>0</v>
      </c>
      <c r="K50" s="45">
        <v>0</v>
      </c>
      <c r="L50" s="45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5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46">
        <v>0</v>
      </c>
      <c r="AM50" s="46">
        <v>0</v>
      </c>
      <c r="AN50" s="46"/>
      <c r="AO50" s="46">
        <f t="shared" si="2"/>
        <v>0</v>
      </c>
      <c r="AP50" s="67">
        <f t="shared" si="7"/>
        <v>0</v>
      </c>
    </row>
    <row r="51" spans="1:42" ht="15.6" x14ac:dyDescent="0.3">
      <c r="A51" s="5">
        <v>50</v>
      </c>
      <c r="B51" s="6" t="s">
        <v>119</v>
      </c>
      <c r="C51" s="12" t="s">
        <v>217</v>
      </c>
      <c r="D51" s="6" t="s">
        <v>30</v>
      </c>
      <c r="E51" s="6" t="s">
        <v>12</v>
      </c>
      <c r="F51" s="6" t="s">
        <v>121</v>
      </c>
      <c r="G51" s="6" t="s">
        <v>35</v>
      </c>
      <c r="H51" s="5">
        <v>20</v>
      </c>
      <c r="I51" s="74" t="s">
        <v>273</v>
      </c>
      <c r="J51" s="45">
        <v>64.94</v>
      </c>
      <c r="K51" s="45">
        <v>101.47</v>
      </c>
      <c r="L51" s="46">
        <v>92.97</v>
      </c>
      <c r="M51" s="46">
        <v>84.4</v>
      </c>
      <c r="N51" s="46">
        <v>90.62</v>
      </c>
      <c r="O51" s="46">
        <v>81.59</v>
      </c>
      <c r="P51" s="46">
        <v>52.81</v>
      </c>
      <c r="Q51" s="46">
        <v>61.11</v>
      </c>
      <c r="R51" s="46">
        <v>64.72</v>
      </c>
      <c r="S51" s="46">
        <v>81.510000000000005</v>
      </c>
      <c r="T51" s="46">
        <v>52.38</v>
      </c>
      <c r="U51" s="46">
        <v>36.770000000000003</v>
      </c>
      <c r="V51" s="46">
        <v>60.79</v>
      </c>
      <c r="W51" s="46">
        <v>50.63</v>
      </c>
      <c r="X51" s="46">
        <v>56.89</v>
      </c>
      <c r="Y51" s="46">
        <v>68.62</v>
      </c>
      <c r="Z51" s="46">
        <v>79.06</v>
      </c>
      <c r="AA51" s="46">
        <v>82.58</v>
      </c>
      <c r="AB51" s="53">
        <v>34.9</v>
      </c>
      <c r="AC51" s="60">
        <v>42.64</v>
      </c>
      <c r="AD51" s="60">
        <v>44.78</v>
      </c>
      <c r="AE51" s="60">
        <v>52.28</v>
      </c>
      <c r="AF51" s="60">
        <v>63.29</v>
      </c>
      <c r="AG51" s="54">
        <v>77.790000000000006</v>
      </c>
      <c r="AH51" s="46">
        <v>81.209999999999994</v>
      </c>
      <c r="AI51" s="46">
        <v>76.83</v>
      </c>
      <c r="AJ51" s="46">
        <v>77.98</v>
      </c>
      <c r="AK51" s="46">
        <v>34.35</v>
      </c>
      <c r="AL51" s="46">
        <v>47.95</v>
      </c>
      <c r="AM51" s="46">
        <v>71.42</v>
      </c>
      <c r="AN51" s="46"/>
      <c r="AO51" s="46">
        <f t="shared" ref="AO51:AO57" si="9">AVERAGE(J51:AM51)</f>
        <v>65.642666666666656</v>
      </c>
      <c r="AP51" s="67">
        <f t="shared" si="7"/>
        <v>3.2821333333333329</v>
      </c>
    </row>
    <row r="52" spans="1:42" ht="15.6" x14ac:dyDescent="0.3">
      <c r="A52" s="5">
        <v>51</v>
      </c>
      <c r="B52" s="6" t="s">
        <v>119</v>
      </c>
      <c r="C52" s="12" t="s">
        <v>218</v>
      </c>
      <c r="D52" s="6" t="s">
        <v>128</v>
      </c>
      <c r="E52" s="6" t="s">
        <v>12</v>
      </c>
      <c r="F52" s="6" t="s">
        <v>121</v>
      </c>
      <c r="G52" s="6" t="s">
        <v>35</v>
      </c>
      <c r="H52" s="5">
        <v>3</v>
      </c>
      <c r="I52" s="74" t="s">
        <v>273</v>
      </c>
      <c r="J52" s="45">
        <v>0</v>
      </c>
      <c r="K52" s="45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3.26</v>
      </c>
      <c r="W52" s="46">
        <v>0</v>
      </c>
      <c r="X52" s="46">
        <v>0</v>
      </c>
      <c r="Y52" s="46">
        <v>9.1300000000000008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60">
        <v>0</v>
      </c>
      <c r="AF52" s="60">
        <v>0</v>
      </c>
      <c r="AG52" s="54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/>
      <c r="AO52" s="46">
        <f t="shared" si="9"/>
        <v>0.41300000000000003</v>
      </c>
      <c r="AP52" s="67">
        <f t="shared" si="7"/>
        <v>0.13766666666666669</v>
      </c>
    </row>
    <row r="53" spans="1:42" ht="15.6" x14ac:dyDescent="0.3">
      <c r="A53" s="5">
        <v>52</v>
      </c>
      <c r="B53" s="6" t="s">
        <v>55</v>
      </c>
      <c r="C53" s="12" t="s">
        <v>219</v>
      </c>
      <c r="D53" s="6" t="s">
        <v>57</v>
      </c>
      <c r="E53" s="6" t="s">
        <v>12</v>
      </c>
      <c r="F53" s="6" t="s">
        <v>13</v>
      </c>
      <c r="G53" s="6" t="s">
        <v>35</v>
      </c>
      <c r="H53" s="5">
        <v>40</v>
      </c>
      <c r="I53" s="74" t="s">
        <v>273</v>
      </c>
      <c r="J53" s="45">
        <v>187.15</v>
      </c>
      <c r="K53" s="45">
        <v>264.02999999999997</v>
      </c>
      <c r="L53" s="45">
        <v>311.72000000000003</v>
      </c>
      <c r="M53" s="46">
        <v>241.27</v>
      </c>
      <c r="N53" s="46">
        <v>241.89</v>
      </c>
      <c r="O53" s="46">
        <v>281.08</v>
      </c>
      <c r="P53" s="46">
        <v>340.89</v>
      </c>
      <c r="Q53" s="46">
        <v>165.75</v>
      </c>
      <c r="R53" s="46">
        <v>145.07</v>
      </c>
      <c r="S53" s="46">
        <v>272.7</v>
      </c>
      <c r="T53" s="46">
        <v>310.39999999999998</v>
      </c>
      <c r="U53" s="46">
        <v>316.13</v>
      </c>
      <c r="V53" s="46">
        <v>363.25</v>
      </c>
      <c r="W53" s="46">
        <v>416.82</v>
      </c>
      <c r="X53" s="46">
        <v>191.46</v>
      </c>
      <c r="Y53" s="46">
        <v>182.33</v>
      </c>
      <c r="Z53" s="46">
        <v>177.66</v>
      </c>
      <c r="AA53" s="46">
        <v>175.09</v>
      </c>
      <c r="AB53" s="53">
        <v>171.64</v>
      </c>
      <c r="AC53" s="60">
        <v>182.14</v>
      </c>
      <c r="AD53" s="60">
        <v>191.9</v>
      </c>
      <c r="AE53" s="60">
        <v>192.7</v>
      </c>
      <c r="AF53" s="60">
        <v>103.03</v>
      </c>
      <c r="AG53" s="54">
        <v>197.64</v>
      </c>
      <c r="AH53" s="46">
        <v>175.68</v>
      </c>
      <c r="AI53" s="46">
        <v>209.57</v>
      </c>
      <c r="AJ53" s="46">
        <v>211.78</v>
      </c>
      <c r="AK53" s="46">
        <v>390.9</v>
      </c>
      <c r="AL53" s="46">
        <v>195.68</v>
      </c>
      <c r="AM53" s="46">
        <v>174.04</v>
      </c>
      <c r="AN53" s="46"/>
      <c r="AO53" s="46">
        <f t="shared" si="9"/>
        <v>232.71300000000002</v>
      </c>
      <c r="AP53" s="67">
        <f t="shared" si="7"/>
        <v>5.8178250000000009</v>
      </c>
    </row>
    <row r="54" spans="1:42" ht="15.6" x14ac:dyDescent="0.3">
      <c r="A54" s="5">
        <v>53</v>
      </c>
      <c r="B54" s="12" t="s">
        <v>221</v>
      </c>
      <c r="C54" s="12" t="s">
        <v>220</v>
      </c>
      <c r="D54" s="6" t="s">
        <v>30</v>
      </c>
      <c r="E54" s="6" t="s">
        <v>12</v>
      </c>
      <c r="F54" s="6" t="s">
        <v>13</v>
      </c>
      <c r="G54" s="6" t="s">
        <v>35</v>
      </c>
      <c r="H54" s="5">
        <v>19</v>
      </c>
      <c r="I54" s="74" t="s">
        <v>273</v>
      </c>
      <c r="J54" s="45">
        <v>27.97</v>
      </c>
      <c r="K54" s="45">
        <v>22.16</v>
      </c>
      <c r="L54" s="45">
        <v>26.97</v>
      </c>
      <c r="M54" s="46">
        <v>23.7</v>
      </c>
      <c r="N54" s="46">
        <v>28.46</v>
      </c>
      <c r="O54" s="46">
        <v>27.64</v>
      </c>
      <c r="P54" s="46">
        <v>19.32</v>
      </c>
      <c r="Q54" s="46">
        <v>20.34</v>
      </c>
      <c r="R54" s="46">
        <v>28.05</v>
      </c>
      <c r="S54" s="46">
        <v>32.11</v>
      </c>
      <c r="T54" s="46">
        <v>23.8</v>
      </c>
      <c r="U54" s="46">
        <v>30.58</v>
      </c>
      <c r="V54" s="46">
        <v>32.99</v>
      </c>
      <c r="W54" s="46">
        <v>22.51</v>
      </c>
      <c r="X54" s="46">
        <v>32.86</v>
      </c>
      <c r="Y54" s="46">
        <v>39.39</v>
      </c>
      <c r="Z54" s="46">
        <v>19.28</v>
      </c>
      <c r="AA54" s="46">
        <v>29.57</v>
      </c>
      <c r="AB54" s="53">
        <v>39.56</v>
      </c>
      <c r="AC54" s="60">
        <v>33.03</v>
      </c>
      <c r="AD54" s="60">
        <v>28.64</v>
      </c>
      <c r="AE54" s="60">
        <v>19.690000000000001</v>
      </c>
      <c r="AF54" s="60">
        <v>23.19</v>
      </c>
      <c r="AG54" s="54">
        <v>23.8</v>
      </c>
      <c r="AH54" s="46">
        <v>8.31</v>
      </c>
      <c r="AI54" s="46">
        <v>11.05</v>
      </c>
      <c r="AJ54" s="46">
        <v>28.04</v>
      </c>
      <c r="AK54" s="46">
        <v>18.23</v>
      </c>
      <c r="AL54" s="46">
        <v>26.9</v>
      </c>
      <c r="AM54" s="46">
        <v>21.46</v>
      </c>
      <c r="AN54" s="46"/>
      <c r="AO54" s="46">
        <f t="shared" si="9"/>
        <v>25.653333333333329</v>
      </c>
      <c r="AP54" s="67">
        <f t="shared" si="7"/>
        <v>1.350175438596491</v>
      </c>
    </row>
    <row r="55" spans="1:42" x14ac:dyDescent="0.3">
      <c r="A55" s="5">
        <v>54</v>
      </c>
      <c r="B55" s="12" t="s">
        <v>222</v>
      </c>
      <c r="C55" s="12" t="s">
        <v>223</v>
      </c>
      <c r="D55" s="6" t="s">
        <v>69</v>
      </c>
      <c r="E55" s="6" t="s">
        <v>12</v>
      </c>
      <c r="F55" s="6" t="s">
        <v>40</v>
      </c>
      <c r="G55" s="6" t="s">
        <v>35</v>
      </c>
      <c r="H55" s="5">
        <v>2</v>
      </c>
      <c r="I55" s="67" t="s">
        <v>272</v>
      </c>
      <c r="J55" s="45">
        <v>0</v>
      </c>
      <c r="K55" s="45">
        <v>0</v>
      </c>
      <c r="L55" s="45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60">
        <v>0</v>
      </c>
      <c r="AF55" s="60">
        <v>0</v>
      </c>
      <c r="AG55" s="54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f>SUBTOTAL(9,J55:AM55)</f>
        <v>0</v>
      </c>
      <c r="AO55" s="46">
        <f t="shared" si="9"/>
        <v>0</v>
      </c>
      <c r="AP55" s="67">
        <f t="shared" si="7"/>
        <v>0</v>
      </c>
    </row>
    <row r="56" spans="1:42" ht="15.6" x14ac:dyDescent="0.3">
      <c r="A56" s="5">
        <v>55</v>
      </c>
      <c r="B56" s="12" t="s">
        <v>175</v>
      </c>
      <c r="C56" s="12" t="s">
        <v>174</v>
      </c>
      <c r="D56" s="6" t="s">
        <v>128</v>
      </c>
      <c r="E56" s="6" t="s">
        <v>12</v>
      </c>
      <c r="F56" s="6" t="s">
        <v>121</v>
      </c>
      <c r="G56" s="6" t="s">
        <v>35</v>
      </c>
      <c r="H56" s="5">
        <v>10</v>
      </c>
      <c r="I56" s="74" t="s">
        <v>273</v>
      </c>
      <c r="J56" s="45">
        <v>76.91</v>
      </c>
      <c r="K56" s="45">
        <f>55-11.43</f>
        <v>43.57</v>
      </c>
      <c r="L56" s="45">
        <v>22.46</v>
      </c>
      <c r="M56" s="46">
        <v>96.35</v>
      </c>
      <c r="N56" s="46">
        <v>93.41</v>
      </c>
      <c r="O56" s="46">
        <v>106.72</v>
      </c>
      <c r="P56" s="46">
        <v>52.68</v>
      </c>
      <c r="Q56" s="46">
        <v>77.900000000000006</v>
      </c>
      <c r="R56" s="46">
        <v>71.709999999999994</v>
      </c>
      <c r="S56" s="46">
        <v>93.43</v>
      </c>
      <c r="T56" s="46">
        <v>96.23</v>
      </c>
      <c r="U56" s="46">
        <v>136.57</v>
      </c>
      <c r="V56" s="46">
        <v>115.01</v>
      </c>
      <c r="W56" s="46">
        <v>102.78</v>
      </c>
      <c r="X56" s="46">
        <v>103.63</v>
      </c>
      <c r="Y56" s="46">
        <v>54.79</v>
      </c>
      <c r="Z56" s="46">
        <v>0</v>
      </c>
      <c r="AA56" s="46">
        <v>63.34</v>
      </c>
      <c r="AB56" s="53">
        <v>106.1</v>
      </c>
      <c r="AC56" s="60">
        <v>124.45</v>
      </c>
      <c r="AD56" s="60">
        <v>90.32</v>
      </c>
      <c r="AE56" s="60">
        <v>53.68</v>
      </c>
      <c r="AF56" s="60">
        <v>114.15</v>
      </c>
      <c r="AG56" s="60">
        <v>115.66</v>
      </c>
      <c r="AH56" s="60">
        <v>53.29</v>
      </c>
      <c r="AI56" s="60">
        <v>63.12</v>
      </c>
      <c r="AJ56" s="46">
        <v>110.36</v>
      </c>
      <c r="AK56" s="46">
        <v>99.35</v>
      </c>
      <c r="AL56" s="46">
        <v>91.72</v>
      </c>
      <c r="AM56" s="46">
        <v>88.54</v>
      </c>
      <c r="AN56" s="46"/>
      <c r="AO56" s="46">
        <f t="shared" si="9"/>
        <v>83.941000000000003</v>
      </c>
      <c r="AP56" s="67">
        <f t="shared" si="7"/>
        <v>8.3940999999999999</v>
      </c>
    </row>
    <row r="57" spans="1:42" ht="15.6" x14ac:dyDescent="0.3">
      <c r="A57" s="5">
        <v>56</v>
      </c>
      <c r="B57" s="12" t="s">
        <v>175</v>
      </c>
      <c r="C57" s="12" t="s">
        <v>174</v>
      </c>
      <c r="D57" s="6" t="s">
        <v>128</v>
      </c>
      <c r="E57" s="6" t="s">
        <v>12</v>
      </c>
      <c r="F57" s="6" t="s">
        <v>40</v>
      </c>
      <c r="G57" s="6" t="s">
        <v>35</v>
      </c>
      <c r="H57" s="5">
        <v>1</v>
      </c>
      <c r="I57" s="74" t="s">
        <v>273</v>
      </c>
      <c r="J57" s="45">
        <v>21.62</v>
      </c>
      <c r="K57" s="45">
        <v>0</v>
      </c>
      <c r="L57" s="45">
        <v>0</v>
      </c>
      <c r="M57" s="46">
        <v>0</v>
      </c>
      <c r="N57" s="46">
        <v>20.57</v>
      </c>
      <c r="O57" s="46">
        <v>8.73</v>
      </c>
      <c r="P57" s="46">
        <v>0</v>
      </c>
      <c r="Q57" s="46">
        <v>0</v>
      </c>
      <c r="R57" s="46">
        <v>12.28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7.26</v>
      </c>
      <c r="Y57" s="46">
        <v>18.329999999999998</v>
      </c>
      <c r="Z57" s="46">
        <v>18.02</v>
      </c>
      <c r="AA57" s="46">
        <v>12.01</v>
      </c>
      <c r="AB57" s="53">
        <v>2.5299999999999998</v>
      </c>
      <c r="AC57" s="60">
        <v>27.32</v>
      </c>
      <c r="AD57" s="60">
        <v>0</v>
      </c>
      <c r="AE57" s="60">
        <v>24.93</v>
      </c>
      <c r="AF57" s="60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46">
        <v>7.13</v>
      </c>
      <c r="AM57" s="46">
        <v>0</v>
      </c>
      <c r="AN57" s="46"/>
      <c r="AO57" s="46">
        <f t="shared" si="9"/>
        <v>6.0243333333333338</v>
      </c>
      <c r="AP57" s="67">
        <f t="shared" si="7"/>
        <v>6.0243333333333338</v>
      </c>
    </row>
    <row r="58" spans="1:42" x14ac:dyDescent="0.3">
      <c r="A58" s="5">
        <v>57</v>
      </c>
      <c r="B58" s="12" t="s">
        <v>175</v>
      </c>
      <c r="C58" s="12" t="s">
        <v>241</v>
      </c>
      <c r="D58" s="6" t="s">
        <v>128</v>
      </c>
      <c r="E58" s="6" t="s">
        <v>12</v>
      </c>
      <c r="F58" s="6" t="s">
        <v>124</v>
      </c>
      <c r="G58" s="6" t="s">
        <v>80</v>
      </c>
      <c r="H58" s="5">
        <v>1</v>
      </c>
      <c r="I58" s="67" t="s">
        <v>160</v>
      </c>
      <c r="J58" s="45">
        <v>0</v>
      </c>
      <c r="K58" s="45">
        <v>0</v>
      </c>
      <c r="L58" s="45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60">
        <v>0</v>
      </c>
      <c r="AL58" s="46">
        <v>0</v>
      </c>
      <c r="AM58" s="46">
        <v>0</v>
      </c>
      <c r="AN58" s="46">
        <f t="shared" ref="AN58:AN60" si="10">SUBTOTAL(9,J58:AM58)</f>
        <v>0</v>
      </c>
      <c r="AO58" s="46">
        <f t="shared" si="2"/>
        <v>0</v>
      </c>
      <c r="AP58" s="67">
        <f t="shared" si="7"/>
        <v>0</v>
      </c>
    </row>
    <row r="59" spans="1:42" x14ac:dyDescent="0.3">
      <c r="A59" s="5">
        <v>58</v>
      </c>
      <c r="B59" s="12" t="s">
        <v>175</v>
      </c>
      <c r="C59" s="12" t="s">
        <v>240</v>
      </c>
      <c r="D59" s="6" t="s">
        <v>128</v>
      </c>
      <c r="E59" s="6" t="s">
        <v>12</v>
      </c>
      <c r="F59" s="6" t="s">
        <v>124</v>
      </c>
      <c r="G59" s="6" t="s">
        <v>80</v>
      </c>
      <c r="H59" s="5">
        <v>1</v>
      </c>
      <c r="I59" s="67" t="s">
        <v>160</v>
      </c>
      <c r="J59" s="45">
        <v>0</v>
      </c>
      <c r="K59" s="45">
        <v>0</v>
      </c>
      <c r="L59" s="45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46">
        <v>0</v>
      </c>
      <c r="AM59" s="46">
        <v>0</v>
      </c>
      <c r="AN59" s="46">
        <f t="shared" si="10"/>
        <v>0</v>
      </c>
      <c r="AO59" s="46">
        <f t="shared" si="2"/>
        <v>0</v>
      </c>
      <c r="AP59" s="67">
        <f t="shared" si="7"/>
        <v>0</v>
      </c>
    </row>
    <row r="60" spans="1:42" x14ac:dyDescent="0.3">
      <c r="A60" s="5">
        <v>59</v>
      </c>
      <c r="B60" s="12" t="s">
        <v>175</v>
      </c>
      <c r="C60" s="12" t="s">
        <v>242</v>
      </c>
      <c r="D60" s="6" t="s">
        <v>128</v>
      </c>
      <c r="E60" s="6" t="s">
        <v>12</v>
      </c>
      <c r="F60" s="6" t="s">
        <v>124</v>
      </c>
      <c r="G60" s="6" t="s">
        <v>80</v>
      </c>
      <c r="H60" s="5">
        <v>1</v>
      </c>
      <c r="I60" s="67" t="s">
        <v>160</v>
      </c>
      <c r="J60" s="45">
        <v>0</v>
      </c>
      <c r="K60" s="45">
        <v>0</v>
      </c>
      <c r="L60" s="45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46">
        <v>0</v>
      </c>
      <c r="AM60" s="46">
        <v>0</v>
      </c>
      <c r="AN60" s="46">
        <f t="shared" si="10"/>
        <v>0</v>
      </c>
      <c r="AO60" s="46">
        <f t="shared" si="2"/>
        <v>0</v>
      </c>
      <c r="AP60" s="67">
        <f t="shared" si="7"/>
        <v>0</v>
      </c>
    </row>
    <row r="61" spans="1:42" ht="15.6" x14ac:dyDescent="0.3">
      <c r="A61" s="5">
        <v>60</v>
      </c>
      <c r="B61" s="6" t="s">
        <v>65</v>
      </c>
      <c r="C61" s="12" t="s">
        <v>224</v>
      </c>
      <c r="D61" s="6" t="s">
        <v>30</v>
      </c>
      <c r="E61" s="6" t="s">
        <v>12</v>
      </c>
      <c r="F61" s="6" t="s">
        <v>13</v>
      </c>
      <c r="G61" s="6" t="s">
        <v>35</v>
      </c>
      <c r="H61" s="5">
        <v>5</v>
      </c>
      <c r="I61" s="74" t="s">
        <v>273</v>
      </c>
      <c r="J61" s="45">
        <v>47.28</v>
      </c>
      <c r="K61" s="45">
        <v>41.13</v>
      </c>
      <c r="L61" s="46">
        <v>54.21</v>
      </c>
      <c r="M61" s="46">
        <v>54.45</v>
      </c>
      <c r="N61" s="46">
        <v>53.78</v>
      </c>
      <c r="O61" s="46">
        <v>56.16</v>
      </c>
      <c r="P61" s="46">
        <v>66.47</v>
      </c>
      <c r="Q61" s="46">
        <v>52.72</v>
      </c>
      <c r="R61" s="46">
        <v>45.27</v>
      </c>
      <c r="S61" s="46">
        <v>45.48</v>
      </c>
      <c r="T61" s="46">
        <v>48.69</v>
      </c>
      <c r="U61" s="46">
        <v>54.38</v>
      </c>
      <c r="V61" s="46">
        <v>59.77</v>
      </c>
      <c r="W61" s="46">
        <v>52.51</v>
      </c>
      <c r="X61" s="46">
        <v>57.6</v>
      </c>
      <c r="Y61" s="46">
        <v>64.319999999999993</v>
      </c>
      <c r="Z61" s="46">
        <v>64.7</v>
      </c>
      <c r="AA61" s="46">
        <v>57.35</v>
      </c>
      <c r="AB61" s="53">
        <v>56.39</v>
      </c>
      <c r="AC61" s="60">
        <v>81.39</v>
      </c>
      <c r="AD61" s="60">
        <v>67.069999999999993</v>
      </c>
      <c r="AE61" s="60">
        <v>67.790000000000006</v>
      </c>
      <c r="AF61" s="60">
        <v>46.84</v>
      </c>
      <c r="AG61" s="54">
        <v>66.05</v>
      </c>
      <c r="AH61" s="62">
        <v>32.06</v>
      </c>
      <c r="AI61" s="46">
        <v>61.75</v>
      </c>
      <c r="AJ61" s="46">
        <v>52.49</v>
      </c>
      <c r="AK61" s="46">
        <v>62</v>
      </c>
      <c r="AL61" s="46">
        <v>50.16</v>
      </c>
      <c r="AM61" s="46">
        <v>72.069999999999993</v>
      </c>
      <c r="AN61" s="46"/>
      <c r="AO61" s="46">
        <f>AVERAGE(J61:AM61)</f>
        <v>56.410999999999994</v>
      </c>
      <c r="AP61" s="67">
        <f t="shared" si="7"/>
        <v>11.2822</v>
      </c>
    </row>
    <row r="62" spans="1:42" ht="15.6" x14ac:dyDescent="0.3">
      <c r="A62" s="5">
        <v>61</v>
      </c>
      <c r="B62" s="6" t="s">
        <v>65</v>
      </c>
      <c r="C62" s="12" t="s">
        <v>225</v>
      </c>
      <c r="D62" s="6" t="s">
        <v>30</v>
      </c>
      <c r="E62" s="6" t="s">
        <v>12</v>
      </c>
      <c r="F62" s="6" t="s">
        <v>13</v>
      </c>
      <c r="G62" s="6" t="s">
        <v>35</v>
      </c>
      <c r="H62" s="5">
        <v>16</v>
      </c>
      <c r="I62" s="74" t="s">
        <v>273</v>
      </c>
      <c r="J62" s="45">
        <v>0</v>
      </c>
      <c r="K62" s="45">
        <v>0</v>
      </c>
      <c r="L62" s="46">
        <v>0</v>
      </c>
      <c r="M62" s="46">
        <v>6.22</v>
      </c>
      <c r="N62" s="46">
        <v>12.02</v>
      </c>
      <c r="O62" s="46">
        <v>16.989999999999998</v>
      </c>
      <c r="P62" s="46">
        <v>6.21</v>
      </c>
      <c r="Q62" s="46">
        <v>13.56</v>
      </c>
      <c r="R62" s="46">
        <v>9.16</v>
      </c>
      <c r="S62" s="46">
        <v>8.89</v>
      </c>
      <c r="T62" s="46">
        <v>8.24</v>
      </c>
      <c r="U62" s="46">
        <v>10.92</v>
      </c>
      <c r="V62" s="46">
        <v>0</v>
      </c>
      <c r="W62" s="46">
        <v>0.01</v>
      </c>
      <c r="X62" s="46">
        <v>8.84</v>
      </c>
      <c r="Y62" s="46">
        <v>6.24</v>
      </c>
      <c r="Z62" s="46">
        <v>0.41</v>
      </c>
      <c r="AA62" s="46">
        <v>7.64</v>
      </c>
      <c r="AB62" s="53">
        <v>7.84</v>
      </c>
      <c r="AC62" s="60">
        <v>6.4</v>
      </c>
      <c r="AD62" s="60">
        <v>6.81</v>
      </c>
      <c r="AE62" s="60">
        <v>1.26</v>
      </c>
      <c r="AF62" s="60">
        <v>0</v>
      </c>
      <c r="AG62" s="54">
        <v>0</v>
      </c>
      <c r="AH62" s="46">
        <v>0</v>
      </c>
      <c r="AI62" s="46">
        <v>5.74</v>
      </c>
      <c r="AJ62" s="46">
        <v>20.13</v>
      </c>
      <c r="AK62" s="46">
        <v>39.78</v>
      </c>
      <c r="AL62" s="46">
        <v>35.49</v>
      </c>
      <c r="AM62" s="46">
        <v>36.340000000000003</v>
      </c>
      <c r="AN62" s="46"/>
      <c r="AO62" s="46">
        <f>AVERAGE(J62:AM62)</f>
        <v>9.1713333333333331</v>
      </c>
      <c r="AP62" s="67">
        <f t="shared" si="7"/>
        <v>0.57320833333333332</v>
      </c>
    </row>
    <row r="63" spans="1:42" ht="15.6" x14ac:dyDescent="0.3">
      <c r="A63" s="5">
        <v>62</v>
      </c>
      <c r="B63" s="6" t="s">
        <v>65</v>
      </c>
      <c r="C63" s="12" t="s">
        <v>226</v>
      </c>
      <c r="D63" s="6" t="s">
        <v>30</v>
      </c>
      <c r="E63" s="6" t="s">
        <v>12</v>
      </c>
      <c r="F63" s="6" t="s">
        <v>13</v>
      </c>
      <c r="G63" s="6" t="s">
        <v>35</v>
      </c>
      <c r="H63" s="5">
        <v>10</v>
      </c>
      <c r="I63" s="74" t="s">
        <v>273</v>
      </c>
      <c r="J63" s="45">
        <v>18.559999999999999</v>
      </c>
      <c r="K63" s="45">
        <v>39.46</v>
      </c>
      <c r="L63" s="46">
        <v>36.799999999999997</v>
      </c>
      <c r="M63" s="46">
        <v>39.57</v>
      </c>
      <c r="N63" s="46">
        <v>35.75</v>
      </c>
      <c r="O63" s="46">
        <v>17.61</v>
      </c>
      <c r="P63" s="46">
        <v>2.76</v>
      </c>
      <c r="Q63" s="46">
        <v>15.95</v>
      </c>
      <c r="R63" s="46">
        <v>20.100000000000001</v>
      </c>
      <c r="S63" s="46">
        <v>40.19</v>
      </c>
      <c r="T63" s="46">
        <v>30.72</v>
      </c>
      <c r="U63" s="46">
        <v>17.329999999999998</v>
      </c>
      <c r="V63" s="46">
        <v>20.48</v>
      </c>
      <c r="W63" s="46">
        <v>31.21</v>
      </c>
      <c r="X63" s="46">
        <v>9.5500000000000007</v>
      </c>
      <c r="Y63" s="46">
        <v>25.65</v>
      </c>
      <c r="Z63" s="46">
        <v>27.29</v>
      </c>
      <c r="AA63" s="46">
        <v>0.06</v>
      </c>
      <c r="AB63" s="53">
        <v>42.04</v>
      </c>
      <c r="AC63" s="60">
        <v>32.21</v>
      </c>
      <c r="AD63" s="62">
        <v>9.75</v>
      </c>
      <c r="AE63" s="60">
        <v>11.04</v>
      </c>
      <c r="AF63" s="60">
        <v>27.61</v>
      </c>
      <c r="AG63" s="54">
        <v>16</v>
      </c>
      <c r="AH63" s="46">
        <v>9</v>
      </c>
      <c r="AI63" s="46">
        <v>41.5</v>
      </c>
      <c r="AJ63" s="46">
        <v>25.87</v>
      </c>
      <c r="AK63" s="46">
        <v>8.83</v>
      </c>
      <c r="AL63" s="46">
        <v>28.08</v>
      </c>
      <c r="AM63" s="46">
        <v>42.96</v>
      </c>
      <c r="AN63" s="46"/>
      <c r="AO63" s="46">
        <f>AVERAGE(J63:AM63)</f>
        <v>24.131000000000004</v>
      </c>
      <c r="AP63" s="67">
        <f t="shared" si="7"/>
        <v>2.4131000000000005</v>
      </c>
    </row>
    <row r="64" spans="1:42" ht="15.6" x14ac:dyDescent="0.3">
      <c r="A64" s="5">
        <v>63</v>
      </c>
      <c r="B64" s="6" t="s">
        <v>65</v>
      </c>
      <c r="C64" s="12" t="s">
        <v>227</v>
      </c>
      <c r="D64" s="6" t="s">
        <v>30</v>
      </c>
      <c r="E64" s="6" t="s">
        <v>12</v>
      </c>
      <c r="F64" s="6" t="s">
        <v>13</v>
      </c>
      <c r="G64" s="6" t="s">
        <v>35</v>
      </c>
      <c r="H64" s="5">
        <v>13</v>
      </c>
      <c r="I64" s="74" t="s">
        <v>273</v>
      </c>
      <c r="J64" s="45">
        <v>31.73</v>
      </c>
      <c r="K64" s="45">
        <v>54.88</v>
      </c>
      <c r="L64" s="45">
        <v>51.6</v>
      </c>
      <c r="M64" s="45">
        <v>47.21</v>
      </c>
      <c r="N64" s="45">
        <v>46.5</v>
      </c>
      <c r="O64" s="45">
        <v>33.81</v>
      </c>
      <c r="P64" s="45">
        <v>29.11</v>
      </c>
      <c r="Q64" s="46">
        <v>45.13</v>
      </c>
      <c r="R64" s="46">
        <v>29.56</v>
      </c>
      <c r="S64" s="46">
        <v>28.85</v>
      </c>
      <c r="T64" s="46">
        <v>29.14</v>
      </c>
      <c r="U64" s="46">
        <v>33.78</v>
      </c>
      <c r="V64" s="46">
        <v>20.440000000000001</v>
      </c>
      <c r="W64" s="46">
        <v>50.44</v>
      </c>
      <c r="X64" s="46">
        <v>31.49</v>
      </c>
      <c r="Y64" s="46">
        <v>48.11</v>
      </c>
      <c r="Z64" s="46">
        <v>25.93</v>
      </c>
      <c r="AA64" s="46">
        <v>41.96</v>
      </c>
      <c r="AB64" s="53">
        <v>43.85</v>
      </c>
      <c r="AC64" s="60">
        <v>65.25</v>
      </c>
      <c r="AD64" s="60">
        <v>39.07</v>
      </c>
      <c r="AE64" s="60">
        <v>27.8</v>
      </c>
      <c r="AF64" s="60">
        <v>50.57</v>
      </c>
      <c r="AG64" s="60">
        <v>56.79</v>
      </c>
      <c r="AH64" s="60">
        <v>44.14</v>
      </c>
      <c r="AI64" s="60">
        <v>67.040000000000006</v>
      </c>
      <c r="AJ64" s="60">
        <v>70.72</v>
      </c>
      <c r="AK64" s="60">
        <v>18.84</v>
      </c>
      <c r="AL64" s="46">
        <v>71.56</v>
      </c>
      <c r="AM64" s="46">
        <v>51.44</v>
      </c>
      <c r="AN64" s="46"/>
      <c r="AO64" s="46">
        <f>AVERAGE(J64:AM64)</f>
        <v>42.891333333333336</v>
      </c>
      <c r="AP64" s="67">
        <f t="shared" si="7"/>
        <v>3.2993333333333337</v>
      </c>
    </row>
    <row r="65" spans="1:42" ht="15.6" x14ac:dyDescent="0.3">
      <c r="A65" s="5">
        <v>64</v>
      </c>
      <c r="B65" s="6" t="s">
        <v>65</v>
      </c>
      <c r="C65" s="12" t="s">
        <v>297</v>
      </c>
      <c r="D65" s="6" t="s">
        <v>30</v>
      </c>
      <c r="E65" s="6" t="s">
        <v>12</v>
      </c>
      <c r="F65" s="6" t="s">
        <v>13</v>
      </c>
      <c r="G65" s="6" t="s">
        <v>35</v>
      </c>
      <c r="H65" s="5">
        <v>6</v>
      </c>
      <c r="I65" s="74" t="s">
        <v>273</v>
      </c>
      <c r="J65" s="45"/>
      <c r="K65" s="45"/>
      <c r="L65" s="45"/>
      <c r="M65" s="45"/>
      <c r="N65" s="45"/>
      <c r="O65" s="45"/>
      <c r="P65" s="45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>
        <v>0</v>
      </c>
      <c r="AB65" s="53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3.1</v>
      </c>
      <c r="AH65" s="60">
        <v>40.74</v>
      </c>
      <c r="AI65" s="60">
        <v>0</v>
      </c>
      <c r="AJ65" s="60">
        <v>0</v>
      </c>
      <c r="AK65" s="60">
        <v>0</v>
      </c>
      <c r="AL65" s="46">
        <v>0</v>
      </c>
      <c r="AM65" s="46">
        <v>0</v>
      </c>
      <c r="AN65" s="46"/>
      <c r="AO65" s="46">
        <f t="shared" si="2"/>
        <v>3.3723076923076927</v>
      </c>
      <c r="AP65" s="67">
        <f t="shared" si="7"/>
        <v>0.56205128205128208</v>
      </c>
    </row>
    <row r="66" spans="1:42" x14ac:dyDescent="0.3">
      <c r="A66" s="5">
        <v>65</v>
      </c>
      <c r="B66" s="6" t="s">
        <v>65</v>
      </c>
      <c r="C66" s="12" t="s">
        <v>228</v>
      </c>
      <c r="D66" s="6" t="s">
        <v>30</v>
      </c>
      <c r="E66" s="6" t="s">
        <v>12</v>
      </c>
      <c r="F66" s="6" t="s">
        <v>13</v>
      </c>
      <c r="G66" s="6" t="s">
        <v>35</v>
      </c>
      <c r="H66" s="5">
        <v>1</v>
      </c>
      <c r="I66" s="67" t="s">
        <v>272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46">
        <f t="shared" ref="AN66:AN71" si="11">SUBTOTAL(9,J66:AM66)</f>
        <v>0</v>
      </c>
      <c r="AO66" s="46">
        <f t="shared" si="2"/>
        <v>0</v>
      </c>
      <c r="AP66" s="67">
        <f t="shared" ref="AP66:AP91" si="12">AO66/H66</f>
        <v>0</v>
      </c>
    </row>
    <row r="67" spans="1:42" x14ac:dyDescent="0.3">
      <c r="A67" s="5">
        <v>66</v>
      </c>
      <c r="B67" s="6" t="s">
        <v>65</v>
      </c>
      <c r="C67" s="12" t="s">
        <v>110</v>
      </c>
      <c r="D67" s="6" t="s">
        <v>30</v>
      </c>
      <c r="E67" s="6" t="s">
        <v>12</v>
      </c>
      <c r="F67" s="6" t="s">
        <v>13</v>
      </c>
      <c r="G67" s="6" t="s">
        <v>35</v>
      </c>
      <c r="H67" s="5">
        <v>1</v>
      </c>
      <c r="I67" s="67" t="s">
        <v>272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f t="shared" si="11"/>
        <v>0</v>
      </c>
      <c r="AO67" s="46">
        <f t="shared" ref="AO67:AO91" si="13">AVERAGE(J67:AM67)</f>
        <v>0</v>
      </c>
      <c r="AP67" s="67">
        <f t="shared" si="12"/>
        <v>0</v>
      </c>
    </row>
    <row r="68" spans="1:42" x14ac:dyDescent="0.3">
      <c r="A68" s="5">
        <v>67</v>
      </c>
      <c r="B68" s="6" t="s">
        <v>65</v>
      </c>
      <c r="C68" s="12" t="s">
        <v>229</v>
      </c>
      <c r="D68" s="6" t="s">
        <v>128</v>
      </c>
      <c r="E68" s="6" t="s">
        <v>12</v>
      </c>
      <c r="F68" s="6" t="s">
        <v>40</v>
      </c>
      <c r="G68" s="6" t="s">
        <v>35</v>
      </c>
      <c r="H68" s="5">
        <v>2</v>
      </c>
      <c r="I68" s="67" t="s">
        <v>160</v>
      </c>
      <c r="J68" s="45">
        <v>0</v>
      </c>
      <c r="K68" s="45">
        <v>45.88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45">
        <v>0</v>
      </c>
      <c r="S68" s="45">
        <v>0</v>
      </c>
      <c r="T68" s="45">
        <v>0</v>
      </c>
      <c r="U68" s="45">
        <v>0</v>
      </c>
      <c r="V68" s="45">
        <v>0</v>
      </c>
      <c r="W68" s="45">
        <v>0</v>
      </c>
      <c r="X68" s="46">
        <v>0</v>
      </c>
      <c r="Y68" s="46">
        <v>44.55</v>
      </c>
      <c r="Z68" s="46">
        <v>0</v>
      </c>
      <c r="AA68" s="46">
        <v>0</v>
      </c>
      <c r="AB68" s="46">
        <v>43.86</v>
      </c>
      <c r="AC68" s="46">
        <v>0</v>
      </c>
      <c r="AD68" s="46">
        <v>0</v>
      </c>
      <c r="AE68" s="60">
        <v>46.88</v>
      </c>
      <c r="AF68" s="60">
        <v>0</v>
      </c>
      <c r="AG68" s="60">
        <v>22.27</v>
      </c>
      <c r="AH68" s="60">
        <v>0</v>
      </c>
      <c r="AI68" s="60">
        <v>50.16</v>
      </c>
      <c r="AJ68" s="46">
        <v>0</v>
      </c>
      <c r="AK68" s="46">
        <v>0</v>
      </c>
      <c r="AL68" s="46">
        <v>42.77</v>
      </c>
      <c r="AM68" s="46">
        <v>2.97</v>
      </c>
      <c r="AN68" s="46">
        <f t="shared" si="11"/>
        <v>299.34000000000003</v>
      </c>
      <c r="AO68" s="46">
        <f t="shared" si="13"/>
        <v>9.9780000000000015</v>
      </c>
      <c r="AP68" s="67">
        <f t="shared" si="12"/>
        <v>4.9890000000000008</v>
      </c>
    </row>
    <row r="69" spans="1:42" x14ac:dyDescent="0.3">
      <c r="A69" s="5">
        <v>68</v>
      </c>
      <c r="B69" s="6" t="s">
        <v>65</v>
      </c>
      <c r="C69" s="12" t="s">
        <v>230</v>
      </c>
      <c r="D69" s="6"/>
      <c r="E69" s="6" t="s">
        <v>130</v>
      </c>
      <c r="F69" s="6" t="s">
        <v>121</v>
      </c>
      <c r="G69" s="6" t="s">
        <v>35</v>
      </c>
      <c r="H69" s="5">
        <v>2</v>
      </c>
      <c r="I69" s="67" t="s">
        <v>160</v>
      </c>
      <c r="J69" s="51">
        <v>0</v>
      </c>
      <c r="K69" s="51">
        <v>10.26</v>
      </c>
      <c r="L69" s="51">
        <v>1.29</v>
      </c>
      <c r="M69" s="51">
        <v>8.44</v>
      </c>
      <c r="N69" s="51">
        <v>20.89</v>
      </c>
      <c r="O69" s="51">
        <v>15.96</v>
      </c>
      <c r="P69" s="51">
        <v>4.84</v>
      </c>
      <c r="Q69" s="51">
        <v>0.57999999999999996</v>
      </c>
      <c r="R69" s="51">
        <v>13.51</v>
      </c>
      <c r="S69" s="51">
        <v>4.68</v>
      </c>
      <c r="T69" s="51">
        <v>12.65</v>
      </c>
      <c r="U69" s="51">
        <v>0</v>
      </c>
      <c r="V69" s="51">
        <v>5.09</v>
      </c>
      <c r="W69" s="51">
        <v>0</v>
      </c>
      <c r="X69" s="51">
        <v>0</v>
      </c>
      <c r="Y69" s="51">
        <v>4.8600000000000003</v>
      </c>
      <c r="Z69" s="51">
        <v>4.7300000000000004</v>
      </c>
      <c r="AA69" s="51">
        <v>0.43</v>
      </c>
      <c r="AB69" s="51">
        <v>10.37</v>
      </c>
      <c r="AC69" s="60">
        <v>17.649999999999999</v>
      </c>
      <c r="AD69" s="60">
        <v>13.84</v>
      </c>
      <c r="AE69" s="60">
        <v>11.18</v>
      </c>
      <c r="AF69" s="60">
        <v>0</v>
      </c>
      <c r="AG69" s="60">
        <v>20.41</v>
      </c>
      <c r="AH69" s="60">
        <v>10.15</v>
      </c>
      <c r="AI69" s="60">
        <v>0</v>
      </c>
      <c r="AJ69" s="60">
        <v>4.28</v>
      </c>
      <c r="AK69" s="60">
        <v>2.76</v>
      </c>
      <c r="AL69" s="46">
        <v>2.64</v>
      </c>
      <c r="AM69" s="46">
        <v>2.85</v>
      </c>
      <c r="AN69" s="46">
        <f t="shared" si="11"/>
        <v>204.34000000000003</v>
      </c>
      <c r="AO69" s="46">
        <f t="shared" si="13"/>
        <v>6.8113333333333346</v>
      </c>
      <c r="AP69" s="67">
        <f t="shared" si="12"/>
        <v>3.4056666666666673</v>
      </c>
    </row>
    <row r="70" spans="1:42" x14ac:dyDescent="0.3">
      <c r="A70" s="5">
        <v>69</v>
      </c>
      <c r="B70" s="6" t="s">
        <v>65</v>
      </c>
      <c r="C70" s="12" t="s">
        <v>231</v>
      </c>
      <c r="D70" s="6" t="s">
        <v>128</v>
      </c>
      <c r="E70" s="6" t="s">
        <v>19</v>
      </c>
      <c r="F70" s="6" t="s">
        <v>13</v>
      </c>
      <c r="G70" s="6" t="s">
        <v>35</v>
      </c>
      <c r="H70" s="5">
        <v>6</v>
      </c>
      <c r="I70" s="67" t="s">
        <v>160</v>
      </c>
      <c r="J70" s="51">
        <v>47.63</v>
      </c>
      <c r="K70" s="51">
        <v>53.32</v>
      </c>
      <c r="L70" s="51">
        <v>90.27</v>
      </c>
      <c r="M70" s="51">
        <v>73.88</v>
      </c>
      <c r="N70" s="51">
        <v>63.68</v>
      </c>
      <c r="O70" s="51">
        <v>13.48</v>
      </c>
      <c r="P70" s="51">
        <v>4.6500000000000004</v>
      </c>
      <c r="Q70" s="51">
        <v>79.95</v>
      </c>
      <c r="R70" s="51">
        <v>62.63</v>
      </c>
      <c r="S70" s="51">
        <v>75.47</v>
      </c>
      <c r="T70" s="51">
        <v>0</v>
      </c>
      <c r="U70" s="51">
        <v>63.88</v>
      </c>
      <c r="V70" s="51">
        <v>0</v>
      </c>
      <c r="W70" s="51">
        <v>7.76</v>
      </c>
      <c r="X70" s="51">
        <v>61.92</v>
      </c>
      <c r="Y70" s="51">
        <v>41.96</v>
      </c>
      <c r="Z70" s="51">
        <v>0</v>
      </c>
      <c r="AA70" s="51">
        <v>53.05</v>
      </c>
      <c r="AB70" s="51">
        <v>24.69</v>
      </c>
      <c r="AC70" s="51">
        <v>12.31</v>
      </c>
      <c r="AD70" s="51">
        <v>1.8</v>
      </c>
      <c r="AE70" s="51">
        <v>28.26</v>
      </c>
      <c r="AF70" s="51">
        <v>23.39</v>
      </c>
      <c r="AG70" s="51">
        <v>29.79</v>
      </c>
      <c r="AH70" s="51">
        <v>43.1</v>
      </c>
      <c r="AI70" s="51">
        <v>37.65</v>
      </c>
      <c r="AJ70" s="51">
        <v>7.75</v>
      </c>
      <c r="AK70" s="51">
        <v>0.96</v>
      </c>
      <c r="AL70" s="46">
        <v>42.16</v>
      </c>
      <c r="AM70" s="46">
        <v>29.73</v>
      </c>
      <c r="AN70" s="46">
        <f t="shared" si="11"/>
        <v>1075.1199999999999</v>
      </c>
      <c r="AO70" s="46">
        <f t="shared" si="13"/>
        <v>35.837333333333326</v>
      </c>
      <c r="AP70" s="67">
        <f t="shared" si="12"/>
        <v>5.972888888888888</v>
      </c>
    </row>
    <row r="71" spans="1:42" x14ac:dyDescent="0.3">
      <c r="A71" s="5">
        <v>70</v>
      </c>
      <c r="B71" s="6" t="s">
        <v>65</v>
      </c>
      <c r="C71" s="12" t="s">
        <v>231</v>
      </c>
      <c r="D71" s="6" t="s">
        <v>128</v>
      </c>
      <c r="E71" s="6" t="s">
        <v>19</v>
      </c>
      <c r="F71" s="6" t="s">
        <v>40</v>
      </c>
      <c r="G71" s="6" t="s">
        <v>35</v>
      </c>
      <c r="H71" s="5">
        <v>1</v>
      </c>
      <c r="I71" s="67" t="s">
        <v>160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0</v>
      </c>
      <c r="Z71" s="51">
        <v>0</v>
      </c>
      <c r="AA71" s="51">
        <v>0</v>
      </c>
      <c r="AB71" s="51">
        <v>0</v>
      </c>
      <c r="AC71" s="51">
        <v>0</v>
      </c>
      <c r="AD71" s="51">
        <v>0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0</v>
      </c>
      <c r="AK71" s="51">
        <v>0</v>
      </c>
      <c r="AL71" s="51">
        <v>0</v>
      </c>
      <c r="AM71" s="51">
        <v>0</v>
      </c>
      <c r="AN71" s="46">
        <f t="shared" si="11"/>
        <v>0</v>
      </c>
      <c r="AO71" s="46">
        <f t="shared" si="13"/>
        <v>0</v>
      </c>
      <c r="AP71" s="67">
        <f t="shared" si="12"/>
        <v>0</v>
      </c>
    </row>
    <row r="72" spans="1:42" ht="15.6" x14ac:dyDescent="0.3">
      <c r="A72" s="5">
        <v>71</v>
      </c>
      <c r="B72" s="6" t="s">
        <v>65</v>
      </c>
      <c r="C72" s="12" t="s">
        <v>232</v>
      </c>
      <c r="D72" s="6" t="s">
        <v>128</v>
      </c>
      <c r="E72" s="6" t="s">
        <v>12</v>
      </c>
      <c r="F72" s="6" t="s">
        <v>121</v>
      </c>
      <c r="G72" s="6" t="s">
        <v>35</v>
      </c>
      <c r="H72" s="5">
        <v>20</v>
      </c>
      <c r="I72" s="74" t="s">
        <v>273</v>
      </c>
      <c r="J72" s="45">
        <v>52.68</v>
      </c>
      <c r="K72" s="46">
        <v>55.55</v>
      </c>
      <c r="L72" s="46">
        <v>60.48</v>
      </c>
      <c r="M72" s="46">
        <v>57.31</v>
      </c>
      <c r="N72" s="46">
        <v>60.23</v>
      </c>
      <c r="O72" s="46">
        <v>52.46</v>
      </c>
      <c r="P72" s="46">
        <v>34.51</v>
      </c>
      <c r="Q72" s="46">
        <v>35.31</v>
      </c>
      <c r="R72" s="46">
        <v>51.38</v>
      </c>
      <c r="S72" s="46">
        <v>41.64</v>
      </c>
      <c r="T72" s="46">
        <v>36.173999999999999</v>
      </c>
      <c r="U72" s="46">
        <v>30.62</v>
      </c>
      <c r="V72" s="46">
        <v>37.979999999999997</v>
      </c>
      <c r="W72" s="46">
        <v>34.86</v>
      </c>
      <c r="X72" s="46">
        <v>30.25</v>
      </c>
      <c r="Y72" s="46">
        <v>33.630000000000003</v>
      </c>
      <c r="Z72" s="46">
        <v>29.14</v>
      </c>
      <c r="AA72" s="46">
        <v>40.31</v>
      </c>
      <c r="AB72" s="46">
        <v>27.35</v>
      </c>
      <c r="AC72" s="60">
        <v>41.2</v>
      </c>
      <c r="AD72" s="60">
        <v>14.93</v>
      </c>
      <c r="AE72" s="60">
        <v>31.79</v>
      </c>
      <c r="AF72" s="60">
        <v>25.18</v>
      </c>
      <c r="AG72" s="46">
        <v>33.799999999999997</v>
      </c>
      <c r="AH72" s="46">
        <v>30.57</v>
      </c>
      <c r="AI72" s="46">
        <v>15.17</v>
      </c>
      <c r="AJ72" s="46">
        <v>16.78</v>
      </c>
      <c r="AK72" s="46">
        <v>1.54</v>
      </c>
      <c r="AL72" s="46">
        <v>9.94</v>
      </c>
      <c r="AM72" s="46">
        <v>16.04</v>
      </c>
      <c r="AN72" s="46"/>
      <c r="AO72" s="46">
        <f t="shared" si="13"/>
        <v>34.626799999999996</v>
      </c>
      <c r="AP72" s="67">
        <f t="shared" si="12"/>
        <v>1.7313399999999999</v>
      </c>
    </row>
    <row r="73" spans="1:42" ht="15.6" x14ac:dyDescent="0.3">
      <c r="A73" s="5">
        <v>72</v>
      </c>
      <c r="B73" s="6" t="s">
        <v>65</v>
      </c>
      <c r="C73" s="12" t="s">
        <v>254</v>
      </c>
      <c r="D73" s="6"/>
      <c r="E73" s="6" t="s">
        <v>12</v>
      </c>
      <c r="F73" s="6" t="s">
        <v>121</v>
      </c>
      <c r="G73" s="6" t="s">
        <v>35</v>
      </c>
      <c r="H73" s="5">
        <v>10</v>
      </c>
      <c r="I73" s="74" t="s">
        <v>273</v>
      </c>
      <c r="J73" s="45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0.19</v>
      </c>
      <c r="AC73" s="60">
        <v>0</v>
      </c>
      <c r="AD73" s="60">
        <v>0</v>
      </c>
      <c r="AE73" s="60">
        <v>0</v>
      </c>
      <c r="AF73" s="60">
        <v>0</v>
      </c>
      <c r="AG73" s="46">
        <v>0</v>
      </c>
      <c r="AH73" s="46">
        <v>0</v>
      </c>
      <c r="AI73" s="46">
        <v>0</v>
      </c>
      <c r="AJ73" s="46">
        <v>0.04</v>
      </c>
      <c r="AK73" s="46">
        <v>0</v>
      </c>
      <c r="AL73" s="46">
        <v>0</v>
      </c>
      <c r="AM73" s="46">
        <v>0</v>
      </c>
      <c r="AN73" s="46"/>
      <c r="AO73" s="46">
        <f t="shared" si="13"/>
        <v>7.6666666666666671E-3</v>
      </c>
      <c r="AP73" s="67">
        <f t="shared" si="12"/>
        <v>7.6666666666666669E-4</v>
      </c>
    </row>
    <row r="74" spans="1:42" x14ac:dyDescent="0.3">
      <c r="A74" s="5">
        <v>73</v>
      </c>
      <c r="B74" s="6" t="s">
        <v>65</v>
      </c>
      <c r="C74" s="12" t="s">
        <v>233</v>
      </c>
      <c r="D74" s="6" t="s">
        <v>128</v>
      </c>
      <c r="E74" s="6" t="s">
        <v>12</v>
      </c>
      <c r="F74" s="6" t="s">
        <v>121</v>
      </c>
      <c r="G74" s="6" t="s">
        <v>35</v>
      </c>
      <c r="H74" s="5">
        <v>2</v>
      </c>
      <c r="I74" s="67" t="s">
        <v>272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46">
        <v>0</v>
      </c>
      <c r="AM74" s="46">
        <v>0</v>
      </c>
      <c r="AN74" s="46">
        <f t="shared" ref="AN74:AN83" si="14">SUBTOTAL(9,J74:AM74)</f>
        <v>0</v>
      </c>
      <c r="AO74" s="46">
        <f t="shared" si="13"/>
        <v>0</v>
      </c>
      <c r="AP74" s="67">
        <f t="shared" si="12"/>
        <v>0</v>
      </c>
    </row>
    <row r="75" spans="1:42" x14ac:dyDescent="0.3">
      <c r="A75" s="5">
        <v>74</v>
      </c>
      <c r="B75" s="6" t="s">
        <v>65</v>
      </c>
      <c r="C75" s="12" t="s">
        <v>233</v>
      </c>
      <c r="D75" s="6" t="s">
        <v>128</v>
      </c>
      <c r="E75" s="6" t="s">
        <v>12</v>
      </c>
      <c r="F75" s="6" t="s">
        <v>40</v>
      </c>
      <c r="G75" s="6" t="s">
        <v>35</v>
      </c>
      <c r="H75" s="5">
        <v>2</v>
      </c>
      <c r="I75" s="67" t="s">
        <v>272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45">
        <v>0</v>
      </c>
      <c r="S75" s="45">
        <v>0</v>
      </c>
      <c r="T75" s="45">
        <v>0</v>
      </c>
      <c r="U75" s="45">
        <v>0</v>
      </c>
      <c r="V75" s="45">
        <v>0</v>
      </c>
      <c r="W75" s="45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46">
        <v>0</v>
      </c>
      <c r="AM75" s="46">
        <v>0</v>
      </c>
      <c r="AN75" s="46">
        <f t="shared" si="14"/>
        <v>0</v>
      </c>
      <c r="AO75" s="46">
        <f t="shared" si="13"/>
        <v>0</v>
      </c>
      <c r="AP75" s="67">
        <f t="shared" si="12"/>
        <v>0</v>
      </c>
    </row>
    <row r="76" spans="1:42" x14ac:dyDescent="0.3">
      <c r="A76" s="5">
        <v>75</v>
      </c>
      <c r="B76" s="6" t="s">
        <v>65</v>
      </c>
      <c r="C76" t="s">
        <v>252</v>
      </c>
      <c r="D76" s="6" t="s">
        <v>236</v>
      </c>
      <c r="E76" s="6" t="s">
        <v>12</v>
      </c>
      <c r="F76" s="6" t="s">
        <v>121</v>
      </c>
      <c r="G76" s="6" t="s">
        <v>35</v>
      </c>
      <c r="H76" s="5">
        <v>3</v>
      </c>
      <c r="I76" s="67" t="s">
        <v>160</v>
      </c>
      <c r="J76" s="45">
        <v>7.56</v>
      </c>
      <c r="K76" s="45">
        <v>4.84</v>
      </c>
      <c r="L76" s="45">
        <v>4.9800000000000004</v>
      </c>
      <c r="M76" s="45">
        <v>0.52</v>
      </c>
      <c r="N76" s="45">
        <v>6.1</v>
      </c>
      <c r="O76" s="45">
        <v>11.95</v>
      </c>
      <c r="P76" s="45">
        <v>10.36</v>
      </c>
      <c r="Q76" s="45">
        <v>5.13</v>
      </c>
      <c r="R76" s="45">
        <v>0</v>
      </c>
      <c r="S76" s="45">
        <v>5.13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1.84</v>
      </c>
      <c r="AB76" s="46">
        <v>3.3</v>
      </c>
      <c r="AC76" s="60">
        <v>0</v>
      </c>
      <c r="AD76" s="60">
        <v>5.09</v>
      </c>
      <c r="AE76" s="60">
        <v>0</v>
      </c>
      <c r="AF76" s="60">
        <v>0</v>
      </c>
      <c r="AG76" s="60">
        <v>0</v>
      </c>
      <c r="AH76" s="60">
        <v>0</v>
      </c>
      <c r="AI76" s="60">
        <v>0</v>
      </c>
      <c r="AJ76" s="46">
        <v>0</v>
      </c>
      <c r="AK76" s="46">
        <v>0.02</v>
      </c>
      <c r="AL76" s="46">
        <v>0.38</v>
      </c>
      <c r="AM76" s="46">
        <v>3.1</v>
      </c>
      <c r="AN76" s="46">
        <f t="shared" si="14"/>
        <v>70.3</v>
      </c>
      <c r="AO76" s="46">
        <f t="shared" si="13"/>
        <v>2.3433333333333333</v>
      </c>
      <c r="AP76" s="67">
        <f t="shared" si="12"/>
        <v>0.78111111111111109</v>
      </c>
    </row>
    <row r="77" spans="1:42" x14ac:dyDescent="0.3">
      <c r="A77" s="5">
        <v>76</v>
      </c>
      <c r="B77" s="6" t="s">
        <v>65</v>
      </c>
      <c r="C77" s="12" t="s">
        <v>238</v>
      </c>
      <c r="D77" s="6" t="s">
        <v>236</v>
      </c>
      <c r="E77" s="6" t="s">
        <v>12</v>
      </c>
      <c r="F77" s="6" t="s">
        <v>121</v>
      </c>
      <c r="G77" s="6" t="s">
        <v>35</v>
      </c>
      <c r="H77" s="5">
        <v>3</v>
      </c>
      <c r="I77" s="67" t="s">
        <v>160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45">
        <v>0</v>
      </c>
      <c r="S77" s="45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46">
        <v>0</v>
      </c>
      <c r="AM77" s="46">
        <v>0</v>
      </c>
      <c r="AN77" s="46">
        <f t="shared" si="14"/>
        <v>0</v>
      </c>
      <c r="AO77" s="46">
        <f t="shared" si="13"/>
        <v>0</v>
      </c>
      <c r="AP77" s="67">
        <f t="shared" si="12"/>
        <v>0</v>
      </c>
    </row>
    <row r="78" spans="1:42" x14ac:dyDescent="0.3">
      <c r="A78" s="5">
        <v>77</v>
      </c>
      <c r="B78" s="6" t="s">
        <v>65</v>
      </c>
      <c r="C78" s="12" t="s">
        <v>238</v>
      </c>
      <c r="D78" s="6" t="s">
        <v>236</v>
      </c>
      <c r="E78" s="6" t="s">
        <v>12</v>
      </c>
      <c r="F78" s="6" t="s">
        <v>95</v>
      </c>
      <c r="G78" s="6" t="s">
        <v>80</v>
      </c>
      <c r="H78" s="5">
        <v>1</v>
      </c>
      <c r="I78" s="67" t="s">
        <v>160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45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46">
        <v>0</v>
      </c>
      <c r="AM78" s="46">
        <v>0</v>
      </c>
      <c r="AN78" s="46">
        <f t="shared" si="14"/>
        <v>0</v>
      </c>
      <c r="AO78" s="46">
        <f t="shared" si="13"/>
        <v>0</v>
      </c>
      <c r="AP78" s="67">
        <f t="shared" si="12"/>
        <v>0</v>
      </c>
    </row>
    <row r="79" spans="1:42" x14ac:dyDescent="0.3">
      <c r="A79" s="5">
        <v>78</v>
      </c>
      <c r="B79" s="6" t="s">
        <v>65</v>
      </c>
      <c r="C79" s="12" t="s">
        <v>235</v>
      </c>
      <c r="D79" s="6" t="s">
        <v>236</v>
      </c>
      <c r="E79" s="6" t="s">
        <v>12</v>
      </c>
      <c r="F79" s="6" t="s">
        <v>121</v>
      </c>
      <c r="G79" s="6" t="s">
        <v>35</v>
      </c>
      <c r="H79" s="5">
        <v>3</v>
      </c>
      <c r="I79" s="67" t="s">
        <v>160</v>
      </c>
      <c r="J79" s="45">
        <v>5.14</v>
      </c>
      <c r="K79" s="45">
        <v>5.07</v>
      </c>
      <c r="L79" s="45">
        <v>0</v>
      </c>
      <c r="M79" s="45">
        <v>8.5</v>
      </c>
      <c r="N79" s="45">
        <v>5.07</v>
      </c>
      <c r="O79" s="46">
        <v>12.67</v>
      </c>
      <c r="P79" s="46">
        <v>7.32</v>
      </c>
      <c r="Q79" s="46">
        <v>10.47</v>
      </c>
      <c r="R79" s="46">
        <v>10.58</v>
      </c>
      <c r="S79" s="46">
        <v>7.34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60">
        <v>0</v>
      </c>
      <c r="AF79" s="60">
        <v>0</v>
      </c>
      <c r="AG79" s="54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f t="shared" si="14"/>
        <v>72.160000000000011</v>
      </c>
      <c r="AO79" s="46">
        <f t="shared" si="13"/>
        <v>2.4053333333333335</v>
      </c>
      <c r="AP79" s="67">
        <f t="shared" si="12"/>
        <v>0.80177777777777781</v>
      </c>
    </row>
    <row r="80" spans="1:42" x14ac:dyDescent="0.3">
      <c r="A80" s="5">
        <v>79</v>
      </c>
      <c r="B80" s="6" t="s">
        <v>65</v>
      </c>
      <c r="C80" s="12" t="s">
        <v>237</v>
      </c>
      <c r="D80" s="6" t="s">
        <v>236</v>
      </c>
      <c r="E80" s="6" t="s">
        <v>12</v>
      </c>
      <c r="F80" s="6" t="s">
        <v>121</v>
      </c>
      <c r="G80" s="6" t="s">
        <v>35</v>
      </c>
      <c r="H80" s="5">
        <v>3</v>
      </c>
      <c r="I80" s="67" t="s">
        <v>160</v>
      </c>
      <c r="J80" s="45">
        <v>13.14</v>
      </c>
      <c r="K80" s="45">
        <v>11.35</v>
      </c>
      <c r="L80" s="45">
        <v>0</v>
      </c>
      <c r="M80" s="45">
        <v>11.58</v>
      </c>
      <c r="N80" s="45">
        <v>4.24</v>
      </c>
      <c r="O80" s="46">
        <v>8.59</v>
      </c>
      <c r="P80" s="46">
        <v>7.47</v>
      </c>
      <c r="Q80" s="46">
        <v>4.24</v>
      </c>
      <c r="R80" s="46">
        <v>8.59</v>
      </c>
      <c r="S80" s="46">
        <v>8.49</v>
      </c>
      <c r="T80" s="46">
        <v>6.97</v>
      </c>
      <c r="U80" s="46">
        <v>9.33</v>
      </c>
      <c r="V80" s="46">
        <v>10.29</v>
      </c>
      <c r="W80" s="46">
        <v>8.3800000000000008</v>
      </c>
      <c r="X80" s="46">
        <v>4.95</v>
      </c>
      <c r="Y80" s="46">
        <v>5.99</v>
      </c>
      <c r="Z80" s="46">
        <v>11.88</v>
      </c>
      <c r="AA80" s="46">
        <v>10.58</v>
      </c>
      <c r="AB80" s="46">
        <v>5.67</v>
      </c>
      <c r="AC80" s="60">
        <v>6.79</v>
      </c>
      <c r="AD80" s="60">
        <v>2.88</v>
      </c>
      <c r="AE80" s="60">
        <v>0</v>
      </c>
      <c r="AF80" s="60">
        <v>2.88</v>
      </c>
      <c r="AG80" s="54">
        <v>4.49</v>
      </c>
      <c r="AH80" s="46">
        <v>0</v>
      </c>
      <c r="AI80" s="46">
        <v>0</v>
      </c>
      <c r="AJ80" s="46">
        <v>5.37</v>
      </c>
      <c r="AK80" s="46">
        <v>4.29</v>
      </c>
      <c r="AL80" s="46">
        <v>4.2699999999999996</v>
      </c>
      <c r="AM80" s="46">
        <v>7.25</v>
      </c>
      <c r="AN80" s="46">
        <f t="shared" si="14"/>
        <v>189.95</v>
      </c>
      <c r="AO80" s="46">
        <f t="shared" si="13"/>
        <v>6.3316666666666661</v>
      </c>
      <c r="AP80" s="67">
        <f t="shared" si="12"/>
        <v>2.1105555555555555</v>
      </c>
    </row>
    <row r="81" spans="1:42" x14ac:dyDescent="0.3">
      <c r="A81" s="5">
        <v>80</v>
      </c>
      <c r="B81" s="6" t="s">
        <v>65</v>
      </c>
      <c r="C81" s="12" t="s">
        <v>245</v>
      </c>
      <c r="D81" s="6" t="s">
        <v>236</v>
      </c>
      <c r="E81" s="6" t="s">
        <v>12</v>
      </c>
      <c r="F81" s="6" t="s">
        <v>121</v>
      </c>
      <c r="G81" s="6" t="s">
        <v>35</v>
      </c>
      <c r="H81" s="5">
        <v>3</v>
      </c>
      <c r="I81" s="67" t="s">
        <v>160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60">
        <v>0</v>
      </c>
      <c r="AF81" s="60">
        <v>0</v>
      </c>
      <c r="AG81" s="60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f t="shared" si="14"/>
        <v>0</v>
      </c>
      <c r="AO81" s="46">
        <f t="shared" si="13"/>
        <v>0</v>
      </c>
      <c r="AP81" s="67">
        <f t="shared" si="12"/>
        <v>0</v>
      </c>
    </row>
    <row r="82" spans="1:42" x14ac:dyDescent="0.3">
      <c r="A82" s="5">
        <v>81</v>
      </c>
      <c r="B82" s="6" t="s">
        <v>65</v>
      </c>
      <c r="C82" s="12" t="s">
        <v>253</v>
      </c>
      <c r="D82" s="6" t="s">
        <v>236</v>
      </c>
      <c r="E82" s="6" t="s">
        <v>12</v>
      </c>
      <c r="F82" s="6" t="s">
        <v>121</v>
      </c>
      <c r="G82" s="6" t="s">
        <v>35</v>
      </c>
      <c r="H82" s="5">
        <v>3</v>
      </c>
      <c r="I82" s="67" t="s">
        <v>160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45">
        <v>0</v>
      </c>
      <c r="S82" s="45">
        <v>0</v>
      </c>
      <c r="T82" s="45">
        <v>0</v>
      </c>
      <c r="U82" s="45">
        <v>0</v>
      </c>
      <c r="V82" s="45">
        <v>0</v>
      </c>
      <c r="W82" s="45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60">
        <v>0</v>
      </c>
      <c r="AF82" s="60">
        <v>0</v>
      </c>
      <c r="AG82" s="60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f t="shared" si="14"/>
        <v>0</v>
      </c>
      <c r="AO82" s="46">
        <f t="shared" si="13"/>
        <v>0</v>
      </c>
      <c r="AP82" s="67">
        <f t="shared" si="12"/>
        <v>0</v>
      </c>
    </row>
    <row r="83" spans="1:42" x14ac:dyDescent="0.3">
      <c r="A83" s="5">
        <v>82</v>
      </c>
      <c r="B83" s="6" t="s">
        <v>65</v>
      </c>
      <c r="C83" s="12" t="s">
        <v>261</v>
      </c>
      <c r="D83" s="6" t="s">
        <v>236</v>
      </c>
      <c r="E83" s="6" t="s">
        <v>12</v>
      </c>
      <c r="F83" s="6" t="s">
        <v>121</v>
      </c>
      <c r="G83" s="6" t="s">
        <v>35</v>
      </c>
      <c r="H83" s="5">
        <v>16</v>
      </c>
      <c r="I83" s="67" t="s">
        <v>160</v>
      </c>
      <c r="J83" s="45"/>
      <c r="K83" s="45"/>
      <c r="L83" s="45">
        <v>0</v>
      </c>
      <c r="M83" s="45">
        <v>0</v>
      </c>
      <c r="N83" s="45">
        <v>0</v>
      </c>
      <c r="O83" s="45">
        <v>0.53</v>
      </c>
      <c r="P83" s="45">
        <v>0.98</v>
      </c>
      <c r="Q83" s="45">
        <v>0.35</v>
      </c>
      <c r="R83" s="45">
        <v>0</v>
      </c>
      <c r="S83" s="45">
        <v>0</v>
      </c>
      <c r="T83" s="45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60">
        <v>1.48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46">
        <v>0</v>
      </c>
      <c r="AM83" s="46">
        <v>0</v>
      </c>
      <c r="AN83" s="46">
        <f t="shared" si="14"/>
        <v>3.34</v>
      </c>
      <c r="AO83" s="46">
        <f t="shared" si="13"/>
        <v>0.1237037037037037</v>
      </c>
      <c r="AP83" s="67">
        <f t="shared" si="12"/>
        <v>7.7314814814814815E-3</v>
      </c>
    </row>
    <row r="84" spans="1:42" ht="15.6" x14ac:dyDescent="0.3">
      <c r="A84" s="5">
        <v>83</v>
      </c>
      <c r="B84" s="6" t="s">
        <v>65</v>
      </c>
      <c r="C84" s="12" t="s">
        <v>298</v>
      </c>
      <c r="D84" s="6" t="s">
        <v>30</v>
      </c>
      <c r="E84" s="6" t="s">
        <v>12</v>
      </c>
      <c r="F84" s="6" t="s">
        <v>121</v>
      </c>
      <c r="G84" s="6" t="s">
        <v>35</v>
      </c>
      <c r="H84" s="5">
        <v>4</v>
      </c>
      <c r="I84" s="74" t="s">
        <v>273</v>
      </c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V84" s="46"/>
      <c r="W84" s="46"/>
      <c r="X84" s="46"/>
      <c r="Y84" s="46"/>
      <c r="Z84" s="46"/>
      <c r="AA84" s="46"/>
      <c r="AB84" s="46"/>
      <c r="AC84" s="46"/>
      <c r="AD84" s="46"/>
      <c r="AE84" s="60"/>
      <c r="AF84" s="60"/>
      <c r="AG84" s="60"/>
      <c r="AH84" s="60"/>
      <c r="AI84" s="60">
        <v>0</v>
      </c>
      <c r="AJ84" s="60">
        <v>0</v>
      </c>
      <c r="AK84" s="60">
        <v>38.229999999999997</v>
      </c>
      <c r="AL84" s="46">
        <v>12.79</v>
      </c>
      <c r="AM84" s="46">
        <v>0</v>
      </c>
      <c r="AN84" s="46"/>
      <c r="AO84" s="46">
        <f t="shared" si="13"/>
        <v>10.203999999999999</v>
      </c>
      <c r="AP84" s="67">
        <f t="shared" si="12"/>
        <v>2.5509999999999997</v>
      </c>
    </row>
    <row r="85" spans="1:42" x14ac:dyDescent="0.3">
      <c r="A85" s="5">
        <v>84</v>
      </c>
      <c r="B85" s="6" t="s">
        <v>65</v>
      </c>
      <c r="C85" s="39" t="s">
        <v>115</v>
      </c>
      <c r="D85" s="6" t="s">
        <v>113</v>
      </c>
      <c r="E85" s="6" t="s">
        <v>19</v>
      </c>
      <c r="F85" s="6" t="s">
        <v>116</v>
      </c>
      <c r="G85" s="6" t="s">
        <v>80</v>
      </c>
      <c r="H85" s="5">
        <v>1</v>
      </c>
      <c r="I85" s="67" t="s">
        <v>160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46">
        <v>0</v>
      </c>
      <c r="AM85" s="46">
        <v>0</v>
      </c>
      <c r="AN85" s="46">
        <f t="shared" ref="AN85:AN86" si="15">SUBTOTAL(9,J85:AM85)</f>
        <v>0</v>
      </c>
      <c r="AO85" s="46">
        <f t="shared" si="13"/>
        <v>0</v>
      </c>
      <c r="AP85" s="67">
        <f t="shared" si="12"/>
        <v>0</v>
      </c>
    </row>
    <row r="86" spans="1:42" x14ac:dyDescent="0.3">
      <c r="A86" s="5">
        <v>85</v>
      </c>
      <c r="B86" s="6" t="s">
        <v>65</v>
      </c>
      <c r="C86" s="39" t="s">
        <v>117</v>
      </c>
      <c r="D86" s="6" t="s">
        <v>113</v>
      </c>
      <c r="E86" s="6" t="s">
        <v>19</v>
      </c>
      <c r="F86" s="6" t="s">
        <v>116</v>
      </c>
      <c r="G86" s="6" t="s">
        <v>80</v>
      </c>
      <c r="H86" s="5">
        <v>1</v>
      </c>
      <c r="I86" s="67" t="s">
        <v>160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46">
        <v>0</v>
      </c>
      <c r="AM86" s="46">
        <v>0</v>
      </c>
      <c r="AN86" s="46">
        <f t="shared" si="15"/>
        <v>0</v>
      </c>
      <c r="AO86" s="46">
        <f t="shared" si="13"/>
        <v>0</v>
      </c>
      <c r="AP86" s="67">
        <f t="shared" si="12"/>
        <v>0</v>
      </c>
    </row>
    <row r="87" spans="1:42" x14ac:dyDescent="0.3">
      <c r="A87" s="5">
        <v>86</v>
      </c>
      <c r="B87" s="6" t="s">
        <v>65</v>
      </c>
      <c r="C87" s="6" t="s">
        <v>66</v>
      </c>
      <c r="D87" s="6" t="s">
        <v>67</v>
      </c>
      <c r="E87" s="6" t="s">
        <v>12</v>
      </c>
      <c r="F87" s="6" t="s">
        <v>13</v>
      </c>
      <c r="G87" s="6" t="s">
        <v>14</v>
      </c>
      <c r="H87" s="5">
        <v>87</v>
      </c>
      <c r="I87" s="67" t="s">
        <v>160</v>
      </c>
      <c r="J87" s="45">
        <v>0</v>
      </c>
      <c r="K87" s="45">
        <v>0</v>
      </c>
      <c r="L87" s="45">
        <v>0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5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53">
        <v>0</v>
      </c>
      <c r="AC87" s="61">
        <v>0</v>
      </c>
      <c r="AD87" s="61">
        <v>0</v>
      </c>
      <c r="AE87" s="61">
        <v>0</v>
      </c>
      <c r="AF87" s="61">
        <v>0</v>
      </c>
      <c r="AG87" s="61">
        <v>0</v>
      </c>
      <c r="AH87" s="61">
        <v>0</v>
      </c>
      <c r="AI87" s="61">
        <v>0</v>
      </c>
      <c r="AJ87" s="61">
        <v>0</v>
      </c>
      <c r="AK87" s="61">
        <v>0</v>
      </c>
      <c r="AL87" s="46">
        <v>0</v>
      </c>
      <c r="AM87" s="46">
        <v>0</v>
      </c>
      <c r="AN87" s="46"/>
      <c r="AO87" s="46">
        <f t="shared" si="13"/>
        <v>0</v>
      </c>
      <c r="AP87" s="67">
        <f t="shared" si="12"/>
        <v>0</v>
      </c>
    </row>
    <row r="88" spans="1:42" x14ac:dyDescent="0.3">
      <c r="A88" s="5">
        <v>87</v>
      </c>
      <c r="B88" s="6" t="s">
        <v>65</v>
      </c>
      <c r="C88" s="6" t="s">
        <v>70</v>
      </c>
      <c r="D88" s="6"/>
      <c r="E88" s="6" t="s">
        <v>12</v>
      </c>
      <c r="F88" s="6" t="s">
        <v>13</v>
      </c>
      <c r="G88" s="6" t="s">
        <v>14</v>
      </c>
      <c r="H88" s="5">
        <v>82</v>
      </c>
      <c r="I88" s="67" t="s">
        <v>160</v>
      </c>
      <c r="J88" s="45">
        <v>21</v>
      </c>
      <c r="K88" s="45">
        <v>6.5229999999999997</v>
      </c>
      <c r="L88" s="45">
        <v>19.460999999999999</v>
      </c>
      <c r="M88" s="46">
        <v>11.859</v>
      </c>
      <c r="N88" s="46">
        <v>6.8860000000000001</v>
      </c>
      <c r="O88" s="46">
        <v>0</v>
      </c>
      <c r="P88" s="46">
        <v>0</v>
      </c>
      <c r="Q88" s="46">
        <v>8.1829999999999998</v>
      </c>
      <c r="R88" s="45">
        <v>0</v>
      </c>
      <c r="S88" s="46">
        <v>0</v>
      </c>
      <c r="T88" s="46">
        <v>0</v>
      </c>
      <c r="U88" s="46">
        <v>0.34</v>
      </c>
      <c r="V88" s="46">
        <v>0</v>
      </c>
      <c r="W88" s="46">
        <v>0</v>
      </c>
      <c r="X88" s="46">
        <v>0</v>
      </c>
      <c r="Y88" s="46">
        <v>0</v>
      </c>
      <c r="Z88" s="46">
        <v>0</v>
      </c>
      <c r="AA88" s="46">
        <v>0</v>
      </c>
      <c r="AB88" s="53">
        <v>10.249000000000001</v>
      </c>
      <c r="AC88" s="61">
        <v>0</v>
      </c>
      <c r="AD88" s="61">
        <v>0</v>
      </c>
      <c r="AE88" s="61">
        <v>12.709</v>
      </c>
      <c r="AF88" s="61">
        <v>0</v>
      </c>
      <c r="AG88" s="61">
        <v>0.40500000000000003</v>
      </c>
      <c r="AH88" s="61">
        <v>12.085000000000001</v>
      </c>
      <c r="AI88" s="61">
        <v>3.6999999999999998E-2</v>
      </c>
      <c r="AJ88" s="61">
        <v>0</v>
      </c>
      <c r="AK88" s="61">
        <v>0</v>
      </c>
      <c r="AL88" s="46">
        <v>11.321999999999999</v>
      </c>
      <c r="AM88" s="46">
        <v>8.7309999999999999</v>
      </c>
      <c r="AN88" s="46"/>
      <c r="AO88" s="46">
        <f t="shared" si="13"/>
        <v>4.3263333333333343</v>
      </c>
      <c r="AP88" s="67">
        <f t="shared" si="12"/>
        <v>5.2760162601626026E-2</v>
      </c>
    </row>
    <row r="89" spans="1:42" x14ac:dyDescent="0.3">
      <c r="A89" s="5">
        <v>88</v>
      </c>
      <c r="B89" s="6" t="s">
        <v>65</v>
      </c>
      <c r="C89" s="6" t="s">
        <v>74</v>
      </c>
      <c r="D89" s="6" t="s">
        <v>30</v>
      </c>
      <c r="E89" s="6" t="s">
        <v>19</v>
      </c>
      <c r="F89" s="6" t="s">
        <v>13</v>
      </c>
      <c r="G89" s="6" t="s">
        <v>14</v>
      </c>
      <c r="H89" s="5">
        <v>2</v>
      </c>
      <c r="I89" s="67" t="s">
        <v>160</v>
      </c>
      <c r="J89" s="45">
        <v>0</v>
      </c>
      <c r="K89" s="45">
        <v>0</v>
      </c>
      <c r="L89" s="45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5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61">
        <v>0</v>
      </c>
      <c r="AF89" s="61">
        <v>0</v>
      </c>
      <c r="AG89" s="61">
        <v>0</v>
      </c>
      <c r="AH89" s="61">
        <v>0</v>
      </c>
      <c r="AI89" s="61">
        <v>0</v>
      </c>
      <c r="AJ89" s="61">
        <v>0</v>
      </c>
      <c r="AK89" s="61">
        <v>0</v>
      </c>
      <c r="AL89" s="46">
        <v>0</v>
      </c>
      <c r="AM89" s="46">
        <v>0</v>
      </c>
      <c r="AN89" s="46"/>
      <c r="AO89" s="46">
        <f t="shared" si="13"/>
        <v>0</v>
      </c>
      <c r="AP89" s="67">
        <f t="shared" si="12"/>
        <v>0</v>
      </c>
    </row>
    <row r="90" spans="1:42" x14ac:dyDescent="0.3">
      <c r="A90" s="5">
        <v>89</v>
      </c>
      <c r="B90" s="6" t="s">
        <v>65</v>
      </c>
      <c r="C90" s="39" t="s">
        <v>122</v>
      </c>
      <c r="D90" s="6" t="s">
        <v>30</v>
      </c>
      <c r="E90" s="6" t="s">
        <v>19</v>
      </c>
      <c r="F90" s="6" t="s">
        <v>13</v>
      </c>
      <c r="G90" s="6" t="s">
        <v>14</v>
      </c>
      <c r="H90" s="5">
        <v>3</v>
      </c>
      <c r="I90" s="67" t="s">
        <v>160</v>
      </c>
      <c r="J90" s="45">
        <v>0</v>
      </c>
      <c r="K90" s="45">
        <v>0</v>
      </c>
      <c r="L90" s="45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5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61">
        <v>0</v>
      </c>
      <c r="AF90" s="61">
        <v>0</v>
      </c>
      <c r="AG90" s="48">
        <v>0</v>
      </c>
      <c r="AH90" s="48">
        <v>0</v>
      </c>
      <c r="AI90" s="48">
        <v>0</v>
      </c>
      <c r="AJ90" s="48">
        <v>0</v>
      </c>
      <c r="AK90" s="48">
        <v>0</v>
      </c>
      <c r="AL90" s="46">
        <v>0</v>
      </c>
      <c r="AM90" s="46">
        <v>0</v>
      </c>
      <c r="AN90" s="46"/>
      <c r="AO90" s="46">
        <f t="shared" si="13"/>
        <v>0</v>
      </c>
      <c r="AP90" s="67">
        <f t="shared" si="12"/>
        <v>0</v>
      </c>
    </row>
    <row r="91" spans="1:42" x14ac:dyDescent="0.3">
      <c r="A91" s="5">
        <v>90</v>
      </c>
      <c r="B91" s="6" t="s">
        <v>65</v>
      </c>
      <c r="C91" s="39" t="s">
        <v>143</v>
      </c>
      <c r="D91" s="6" t="s">
        <v>128</v>
      </c>
      <c r="E91" s="6" t="s">
        <v>12</v>
      </c>
      <c r="F91" s="6" t="s">
        <v>121</v>
      </c>
      <c r="G91" s="6" t="s">
        <v>14</v>
      </c>
      <c r="H91" s="5">
        <v>2</v>
      </c>
      <c r="I91" s="67" t="s">
        <v>272</v>
      </c>
      <c r="J91" s="45">
        <v>0</v>
      </c>
      <c r="K91" s="45">
        <v>2.2839999999999998</v>
      </c>
      <c r="L91" s="45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5">
        <v>0</v>
      </c>
      <c r="S91" s="46">
        <v>0</v>
      </c>
      <c r="T91" s="46">
        <v>0</v>
      </c>
      <c r="U91" s="46">
        <v>0</v>
      </c>
      <c r="V91" s="46">
        <v>7.024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61">
        <v>0</v>
      </c>
      <c r="AF91" s="61">
        <v>0</v>
      </c>
      <c r="AG91" s="48">
        <v>0</v>
      </c>
      <c r="AH91" s="48">
        <v>0</v>
      </c>
      <c r="AI91" s="48">
        <v>0</v>
      </c>
      <c r="AJ91" s="46">
        <v>0</v>
      </c>
      <c r="AK91" s="46">
        <v>0</v>
      </c>
      <c r="AL91" s="46">
        <v>0</v>
      </c>
      <c r="AM91" s="46">
        <v>0</v>
      </c>
      <c r="AN91" s="46"/>
      <c r="AO91" s="46">
        <f t="shared" si="13"/>
        <v>0.31026666666666664</v>
      </c>
      <c r="AP91" s="67">
        <f t="shared" si="12"/>
        <v>0.15513333333333332</v>
      </c>
    </row>
    <row r="92" spans="1:42" x14ac:dyDescent="0.3">
      <c r="A92" s="5"/>
      <c r="B92" s="6"/>
      <c r="C92" s="39"/>
      <c r="D92" s="6"/>
      <c r="E92" s="6"/>
      <c r="F92" s="6"/>
      <c r="G92" s="6"/>
      <c r="H92" s="5"/>
      <c r="I92" s="67"/>
      <c r="J92" s="45"/>
      <c r="K92" s="45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8"/>
      <c r="AG92" s="46"/>
      <c r="AH92" s="46"/>
      <c r="AI92" s="46"/>
      <c r="AJ92" s="46"/>
      <c r="AK92" s="46"/>
      <c r="AL92" s="46"/>
      <c r="AM92" s="46"/>
      <c r="AN92" s="46"/>
      <c r="AO92" s="46"/>
      <c r="AP92" s="12"/>
    </row>
    <row r="93" spans="1:42" x14ac:dyDescent="0.3">
      <c r="A93" s="5"/>
      <c r="B93" s="6"/>
      <c r="C93" s="14"/>
      <c r="D93" s="14"/>
      <c r="E93" s="13"/>
      <c r="F93" s="13"/>
      <c r="G93" s="13" t="s">
        <v>79</v>
      </c>
      <c r="H93" s="52">
        <f t="shared" ref="H93:AM93" si="16">SUM(H2:H91)</f>
        <v>633</v>
      </c>
      <c r="I93" s="52">
        <f t="shared" si="16"/>
        <v>0</v>
      </c>
      <c r="J93" s="44">
        <f t="shared" si="16"/>
        <v>2118.6299999999997</v>
      </c>
      <c r="K93" s="44">
        <f t="shared" si="16"/>
        <v>2206.6270000000009</v>
      </c>
      <c r="L93" s="44">
        <f t="shared" si="16"/>
        <v>2259.9110000000005</v>
      </c>
      <c r="M93" s="44">
        <f t="shared" si="16"/>
        <v>2261.8889999999997</v>
      </c>
      <c r="N93" s="44">
        <f t="shared" si="16"/>
        <v>2376.1559999999995</v>
      </c>
      <c r="O93" s="44">
        <f t="shared" si="16"/>
        <v>2501.89</v>
      </c>
      <c r="P93" s="44">
        <f t="shared" si="16"/>
        <v>2394.2300000000005</v>
      </c>
      <c r="Q93" s="44">
        <f t="shared" si="16"/>
        <v>2440.7529999999988</v>
      </c>
      <c r="R93" s="44">
        <f t="shared" si="16"/>
        <v>2220.2000000000003</v>
      </c>
      <c r="S93" s="44">
        <f t="shared" si="16"/>
        <v>2130.5</v>
      </c>
      <c r="T93" s="44">
        <f t="shared" si="16"/>
        <v>2213.1539999999991</v>
      </c>
      <c r="U93" s="44">
        <f t="shared" si="16"/>
        <v>2394.1200000000003</v>
      </c>
      <c r="V93" s="44">
        <f t="shared" si="16"/>
        <v>2407.654</v>
      </c>
      <c r="W93" s="44">
        <f t="shared" si="16"/>
        <v>2491.2600000000016</v>
      </c>
      <c r="X93" s="44">
        <f t="shared" si="16"/>
        <v>2189.7599999999998</v>
      </c>
      <c r="Y93" s="44">
        <f t="shared" si="16"/>
        <v>2477.92</v>
      </c>
      <c r="Z93" s="44">
        <f t="shared" si="16"/>
        <v>2100.7000000000003</v>
      </c>
      <c r="AA93" s="44">
        <f t="shared" si="16"/>
        <v>2352.9299999999998</v>
      </c>
      <c r="AB93" s="44">
        <f t="shared" si="16"/>
        <v>2523.7190000000005</v>
      </c>
      <c r="AC93" s="44">
        <f t="shared" si="16"/>
        <v>2486.6600000000003</v>
      </c>
      <c r="AD93" s="44">
        <f t="shared" si="16"/>
        <v>2147.6200000000008</v>
      </c>
      <c r="AE93" s="44">
        <f t="shared" si="16"/>
        <v>2433.9289999999996</v>
      </c>
      <c r="AF93" s="44">
        <f t="shared" si="16"/>
        <v>2266.3299999999995</v>
      </c>
      <c r="AG93" s="44">
        <f t="shared" si="16"/>
        <v>2470.665</v>
      </c>
      <c r="AH93" s="44">
        <f t="shared" si="16"/>
        <v>2255.4249999999997</v>
      </c>
      <c r="AI93" s="44">
        <f t="shared" si="16"/>
        <v>2227.317</v>
      </c>
      <c r="AJ93" s="44">
        <f t="shared" si="16"/>
        <v>2223.79</v>
      </c>
      <c r="AK93" s="44">
        <f>SUM(AK2:AK91)</f>
        <v>2306.9300000000003</v>
      </c>
      <c r="AL93" s="44">
        <f t="shared" si="16"/>
        <v>2542.8719999999994</v>
      </c>
      <c r="AM93" s="44">
        <f t="shared" si="16"/>
        <v>2565.1410000000005</v>
      </c>
      <c r="AN93" s="44"/>
      <c r="AO93" s="46">
        <f>AVERAGE(J93:AM93)</f>
        <v>2332.9560666666666</v>
      </c>
      <c r="AP93" s="67">
        <f>AO93/H93</f>
        <v>3.6855546076882568</v>
      </c>
    </row>
    <row r="94" spans="1:42" x14ac:dyDescent="0.3">
      <c r="I94" s="28"/>
      <c r="J94" s="27"/>
      <c r="K94" s="28"/>
      <c r="L94"/>
      <c r="AL94" s="50"/>
      <c r="AM94" s="50"/>
      <c r="AN94" s="50"/>
      <c r="AO94" t="s">
        <v>239</v>
      </c>
    </row>
    <row r="95" spans="1:42" x14ac:dyDescent="0.3">
      <c r="AO95" s="50"/>
    </row>
  </sheetData>
  <autoFilter ref="A1:I91" xr:uid="{00000000-0009-0000-0000-00001B000000}"/>
  <pageMargins left="0.7" right="0.7" top="0.75" bottom="0.75" header="0.3" footer="0.3"/>
  <pageSetup scale="1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32"/>
  <sheetViews>
    <sheetView topLeftCell="A20" workbookViewId="0">
      <selection activeCell="F29" sqref="F29"/>
    </sheetView>
  </sheetViews>
  <sheetFormatPr defaultRowHeight="14.4" x14ac:dyDescent="0.3"/>
  <cols>
    <col min="1" max="1" width="15.109375" customWidth="1"/>
    <col min="2" max="13" width="14.6640625" customWidth="1"/>
    <col min="14" max="14" width="11.33203125" customWidth="1"/>
    <col min="15" max="25" width="16.5546875" bestFit="1" customWidth="1"/>
    <col min="26" max="27" width="16.5546875" customWidth="1"/>
    <col min="28" max="36" width="16.5546875" bestFit="1" customWidth="1"/>
    <col min="37" max="39" width="21.6640625" bestFit="1" customWidth="1"/>
  </cols>
  <sheetData>
    <row r="1" spans="1:14" x14ac:dyDescent="0.3">
      <c r="B1" s="29" t="s">
        <v>1</v>
      </c>
    </row>
    <row r="2" spans="1:14" x14ac:dyDescent="0.3">
      <c r="A2" s="30" t="s">
        <v>131</v>
      </c>
      <c r="B2" s="12" t="s">
        <v>175</v>
      </c>
      <c r="C2" s="12" t="s">
        <v>58</v>
      </c>
      <c r="D2" s="12" t="s">
        <v>65</v>
      </c>
      <c r="E2" s="12" t="s">
        <v>222</v>
      </c>
      <c r="F2" s="12" t="s">
        <v>134</v>
      </c>
      <c r="G2" s="12" t="s">
        <v>9</v>
      </c>
      <c r="H2" s="12" t="s">
        <v>55</v>
      </c>
      <c r="I2" s="12" t="s">
        <v>119</v>
      </c>
      <c r="J2" s="12" t="s">
        <v>221</v>
      </c>
      <c r="K2" s="12" t="s">
        <v>246</v>
      </c>
      <c r="L2" s="12" t="s">
        <v>49</v>
      </c>
      <c r="M2" s="12" t="s">
        <v>52</v>
      </c>
      <c r="N2" s="12" t="s">
        <v>83</v>
      </c>
    </row>
    <row r="3" spans="1:14" x14ac:dyDescent="0.3">
      <c r="A3" s="12" t="s">
        <v>257</v>
      </c>
      <c r="B3" s="12">
        <v>98.53</v>
      </c>
      <c r="C3" s="12">
        <v>541.17000000000007</v>
      </c>
      <c r="D3" s="12">
        <v>244.72000000000003</v>
      </c>
      <c r="E3" s="12">
        <v>0</v>
      </c>
      <c r="F3" s="12">
        <v>45.69</v>
      </c>
      <c r="G3" s="12">
        <v>609.67999999999995</v>
      </c>
      <c r="H3" s="12">
        <v>187.15</v>
      </c>
      <c r="I3" s="12">
        <v>64.94</v>
      </c>
      <c r="J3" s="12">
        <v>27.97</v>
      </c>
      <c r="K3" s="12">
        <v>61.36</v>
      </c>
      <c r="L3" s="12">
        <v>119.54</v>
      </c>
      <c r="M3" s="12">
        <v>117.88</v>
      </c>
      <c r="N3" s="12">
        <v>2118.63</v>
      </c>
    </row>
    <row r="4" spans="1:14" x14ac:dyDescent="0.3">
      <c r="A4" s="12" t="s">
        <v>258</v>
      </c>
      <c r="B4" s="12">
        <v>43.57</v>
      </c>
      <c r="C4" s="12">
        <v>442.91999999999996</v>
      </c>
      <c r="D4" s="12">
        <v>330.54699999999997</v>
      </c>
      <c r="E4" s="12">
        <v>0</v>
      </c>
      <c r="F4" s="12">
        <v>35.26</v>
      </c>
      <c r="G4" s="12">
        <v>727.6099999999999</v>
      </c>
      <c r="H4" s="12">
        <v>264.02999999999997</v>
      </c>
      <c r="I4" s="12">
        <v>101.47</v>
      </c>
      <c r="J4" s="12">
        <v>22.16</v>
      </c>
      <c r="K4" s="12">
        <v>25.37</v>
      </c>
      <c r="L4" s="12">
        <v>109.32</v>
      </c>
      <c r="M4" s="12">
        <v>96.56</v>
      </c>
      <c r="N4" s="12">
        <v>2198.8169999999996</v>
      </c>
    </row>
    <row r="5" spans="1:14" x14ac:dyDescent="0.3">
      <c r="A5" s="12" t="s">
        <v>259</v>
      </c>
      <c r="B5" s="12">
        <v>22.46</v>
      </c>
      <c r="C5" s="12">
        <v>558.89</v>
      </c>
      <c r="D5" s="12">
        <v>319.09100000000001</v>
      </c>
      <c r="E5" s="12">
        <v>0</v>
      </c>
      <c r="F5" s="12">
        <v>31.73</v>
      </c>
      <c r="G5" s="12">
        <v>664.66</v>
      </c>
      <c r="H5" s="12">
        <v>309.14999999999998</v>
      </c>
      <c r="I5" s="12">
        <v>92.97</v>
      </c>
      <c r="J5" s="12">
        <v>26.97</v>
      </c>
      <c r="K5" s="12">
        <v>24.34</v>
      </c>
      <c r="L5" s="12">
        <v>99.35</v>
      </c>
      <c r="M5" s="12">
        <v>107.73</v>
      </c>
      <c r="N5" s="12">
        <v>2257.3410000000003</v>
      </c>
    </row>
    <row r="6" spans="1:14" x14ac:dyDescent="0.3">
      <c r="A6" s="12" t="s">
        <v>262</v>
      </c>
      <c r="B6" s="12">
        <v>96.35</v>
      </c>
      <c r="C6" s="12">
        <v>541.34</v>
      </c>
      <c r="D6" s="12">
        <v>319.53899999999999</v>
      </c>
      <c r="E6" s="12">
        <v>0</v>
      </c>
      <c r="F6" s="12">
        <v>52.17</v>
      </c>
      <c r="G6" s="12">
        <v>653.89</v>
      </c>
      <c r="H6" s="12">
        <v>238.86</v>
      </c>
      <c r="I6" s="12">
        <v>84.4</v>
      </c>
      <c r="J6" s="12">
        <v>23.7</v>
      </c>
      <c r="K6" s="12">
        <v>32.82</v>
      </c>
      <c r="L6" s="12">
        <v>113.92999999999999</v>
      </c>
      <c r="M6" s="12">
        <v>102.48</v>
      </c>
      <c r="N6" s="12">
        <v>2259.4789999999998</v>
      </c>
    </row>
    <row r="7" spans="1:14" x14ac:dyDescent="0.3">
      <c r="A7" s="12" t="s">
        <v>263</v>
      </c>
      <c r="B7" s="12">
        <v>113.97999999999999</v>
      </c>
      <c r="C7" s="12">
        <v>547.18999999999994</v>
      </c>
      <c r="D7" s="12">
        <v>315.14600000000007</v>
      </c>
      <c r="E7" s="12">
        <v>0</v>
      </c>
      <c r="F7" s="12">
        <v>35.85</v>
      </c>
      <c r="G7" s="12">
        <v>737.07999999999993</v>
      </c>
      <c r="H7" s="12">
        <v>241.89</v>
      </c>
      <c r="I7" s="12">
        <v>90.62</v>
      </c>
      <c r="J7" s="12">
        <v>28.46</v>
      </c>
      <c r="K7" s="12">
        <v>34.130000000000003</v>
      </c>
      <c r="L7" s="12">
        <v>123.17</v>
      </c>
      <c r="M7" s="12">
        <v>108.64</v>
      </c>
      <c r="N7" s="12">
        <v>2376.1559999999999</v>
      </c>
    </row>
    <row r="8" spans="1:14" x14ac:dyDescent="0.3">
      <c r="A8" s="12" t="s">
        <v>265</v>
      </c>
      <c r="B8" s="12">
        <v>115.45</v>
      </c>
      <c r="C8" s="12">
        <v>570.02</v>
      </c>
      <c r="D8" s="12">
        <v>234.27999999999997</v>
      </c>
      <c r="E8" s="12">
        <v>0</v>
      </c>
      <c r="F8" s="12">
        <v>38.01</v>
      </c>
      <c r="G8" s="12">
        <v>928.2</v>
      </c>
      <c r="H8" s="12">
        <v>281.08</v>
      </c>
      <c r="I8" s="12">
        <v>81.59</v>
      </c>
      <c r="J8" s="12">
        <v>27.64</v>
      </c>
      <c r="K8" s="12">
        <v>6.51</v>
      </c>
      <c r="L8" s="12">
        <v>102.89</v>
      </c>
      <c r="M8" s="12">
        <v>110.29</v>
      </c>
      <c r="N8" s="12">
        <v>2495.96</v>
      </c>
    </row>
    <row r="9" spans="1:14" x14ac:dyDescent="0.3">
      <c r="A9" s="12" t="s">
        <v>266</v>
      </c>
      <c r="B9" s="12">
        <v>52.68</v>
      </c>
      <c r="C9" s="12">
        <v>677.39</v>
      </c>
      <c r="D9" s="12">
        <v>174.68</v>
      </c>
      <c r="E9" s="12">
        <v>0</v>
      </c>
      <c r="F9" s="12">
        <v>45.15</v>
      </c>
      <c r="G9" s="12">
        <v>806.3</v>
      </c>
      <c r="H9" s="12">
        <v>340.89</v>
      </c>
      <c r="I9" s="12">
        <v>52.81</v>
      </c>
      <c r="J9" s="12">
        <v>19.32</v>
      </c>
      <c r="K9" s="12">
        <v>44.5</v>
      </c>
      <c r="L9" s="12">
        <v>99.72</v>
      </c>
      <c r="M9" s="12">
        <v>80.790000000000006</v>
      </c>
      <c r="N9" s="12">
        <v>2394.2299999999996</v>
      </c>
    </row>
    <row r="10" spans="1:14" x14ac:dyDescent="0.3">
      <c r="A10" s="12" t="s">
        <v>268</v>
      </c>
      <c r="B10" s="12">
        <v>77.900000000000006</v>
      </c>
      <c r="C10" s="12">
        <v>614.83999999999992</v>
      </c>
      <c r="D10" s="12">
        <v>271.57300000000004</v>
      </c>
      <c r="E10" s="12">
        <v>0</v>
      </c>
      <c r="F10" s="12">
        <v>52.23</v>
      </c>
      <c r="G10" s="12">
        <v>926</v>
      </c>
      <c r="H10" s="12">
        <v>165.75</v>
      </c>
      <c r="I10" s="12">
        <v>61.11</v>
      </c>
      <c r="J10" s="12">
        <v>20.34</v>
      </c>
      <c r="K10" s="12">
        <v>36.07</v>
      </c>
      <c r="L10" s="12">
        <v>79.81</v>
      </c>
      <c r="M10" s="12">
        <v>135.13</v>
      </c>
      <c r="N10" s="12">
        <v>2440.7530000000002</v>
      </c>
    </row>
    <row r="11" spans="1:14" x14ac:dyDescent="0.3">
      <c r="A11" s="12" t="s">
        <v>267</v>
      </c>
      <c r="B11" s="12">
        <v>83.99</v>
      </c>
      <c r="C11" s="12">
        <v>569.84</v>
      </c>
      <c r="D11" s="12">
        <v>250.78000000000003</v>
      </c>
      <c r="E11" s="12">
        <v>0</v>
      </c>
      <c r="F11" s="12">
        <v>34.76</v>
      </c>
      <c r="G11" s="12">
        <v>844.31</v>
      </c>
      <c r="H11" s="12">
        <v>145.07</v>
      </c>
      <c r="I11" s="12">
        <v>64.72</v>
      </c>
      <c r="J11" s="12">
        <v>28.05</v>
      </c>
      <c r="K11" s="12">
        <v>40.270000000000003</v>
      </c>
      <c r="L11" s="12">
        <v>122.78</v>
      </c>
      <c r="M11" s="12">
        <v>35.630000000000003</v>
      </c>
      <c r="N11" s="12">
        <v>2220.2000000000003</v>
      </c>
    </row>
    <row r="12" spans="1:14" x14ac:dyDescent="0.3">
      <c r="A12" s="12" t="s">
        <v>275</v>
      </c>
      <c r="B12" s="12">
        <v>93.43</v>
      </c>
      <c r="C12" s="12">
        <v>382.47</v>
      </c>
      <c r="D12" s="12">
        <v>266.15999999999997</v>
      </c>
      <c r="E12" s="12">
        <v>0</v>
      </c>
      <c r="F12" s="12">
        <v>37.53</v>
      </c>
      <c r="G12" s="12">
        <v>792.80000000000007</v>
      </c>
      <c r="H12" s="12">
        <v>272.7</v>
      </c>
      <c r="I12" s="12">
        <v>81.510000000000005</v>
      </c>
      <c r="J12" s="12">
        <v>32.11</v>
      </c>
      <c r="K12" s="12">
        <v>16.53</v>
      </c>
      <c r="L12" s="12">
        <v>75.73</v>
      </c>
      <c r="M12" s="12">
        <v>79.53</v>
      </c>
      <c r="N12" s="12">
        <v>2130.5</v>
      </c>
    </row>
    <row r="13" spans="1:14" x14ac:dyDescent="0.3">
      <c r="A13" s="12" t="s">
        <v>276</v>
      </c>
      <c r="B13" s="12">
        <v>96.23</v>
      </c>
      <c r="C13" s="12">
        <v>468.86999999999995</v>
      </c>
      <c r="D13" s="12">
        <v>172.584</v>
      </c>
      <c r="E13" s="12">
        <v>0</v>
      </c>
      <c r="F13" s="12">
        <v>34.39</v>
      </c>
      <c r="G13" s="12">
        <v>802.57</v>
      </c>
      <c r="H13" s="12">
        <v>310.39999999999998</v>
      </c>
      <c r="I13" s="12">
        <v>52.38</v>
      </c>
      <c r="J13" s="12">
        <v>23.8</v>
      </c>
      <c r="K13" s="12">
        <v>38.69</v>
      </c>
      <c r="L13" s="12">
        <v>122.72</v>
      </c>
      <c r="M13" s="12">
        <v>90.52000000000001</v>
      </c>
      <c r="N13" s="12">
        <v>2213.154</v>
      </c>
    </row>
    <row r="14" spans="1:14" x14ac:dyDescent="0.3">
      <c r="A14" s="12" t="s">
        <v>278</v>
      </c>
      <c r="B14" s="12">
        <v>136.57</v>
      </c>
      <c r="C14" s="12">
        <v>471.78</v>
      </c>
      <c r="D14" s="12">
        <v>220.58</v>
      </c>
      <c r="E14" s="12">
        <v>0</v>
      </c>
      <c r="F14" s="12">
        <v>39.57</v>
      </c>
      <c r="G14" s="12">
        <v>910.74</v>
      </c>
      <c r="H14" s="12">
        <v>316.13</v>
      </c>
      <c r="I14" s="12">
        <v>36.770000000000003</v>
      </c>
      <c r="J14" s="12">
        <v>30.58</v>
      </c>
      <c r="K14" s="12">
        <v>18.05</v>
      </c>
      <c r="L14" s="12">
        <v>106.52</v>
      </c>
      <c r="M14" s="12">
        <v>106.83</v>
      </c>
      <c r="N14" s="12">
        <v>2394.12</v>
      </c>
    </row>
    <row r="15" spans="1:14" x14ac:dyDescent="0.3">
      <c r="A15" s="12" t="s">
        <v>279</v>
      </c>
      <c r="B15" s="12">
        <v>115.01</v>
      </c>
      <c r="C15" s="12">
        <v>503.54</v>
      </c>
      <c r="D15" s="12">
        <v>161.07399999999998</v>
      </c>
      <c r="E15" s="12">
        <v>0</v>
      </c>
      <c r="F15" s="12">
        <v>33.229999999999997</v>
      </c>
      <c r="G15" s="12">
        <v>883.61000000000013</v>
      </c>
      <c r="H15" s="12">
        <v>363.25</v>
      </c>
      <c r="I15" s="12">
        <v>64.05</v>
      </c>
      <c r="J15" s="12">
        <v>32.99</v>
      </c>
      <c r="K15" s="12">
        <v>25.17</v>
      </c>
      <c r="L15" s="12">
        <v>98.77</v>
      </c>
      <c r="M15" s="12">
        <v>126.96</v>
      </c>
      <c r="N15" s="12">
        <v>2407.654</v>
      </c>
    </row>
    <row r="16" spans="1:14" x14ac:dyDescent="0.3">
      <c r="A16" s="12" t="s">
        <v>280</v>
      </c>
      <c r="B16" s="12">
        <v>102.78</v>
      </c>
      <c r="C16" s="12">
        <v>508.65000000000003</v>
      </c>
      <c r="D16" s="12">
        <v>185.16999999999996</v>
      </c>
      <c r="E16" s="12">
        <v>0</v>
      </c>
      <c r="F16" s="12">
        <v>48.82</v>
      </c>
      <c r="G16" s="12">
        <v>920.79000000000008</v>
      </c>
      <c r="H16" s="12">
        <v>416.82</v>
      </c>
      <c r="I16" s="12">
        <v>50.63</v>
      </c>
      <c r="J16" s="12">
        <v>22.51</v>
      </c>
      <c r="K16" s="12">
        <v>31.23</v>
      </c>
      <c r="L16" s="12">
        <v>112.49</v>
      </c>
      <c r="M16" s="12">
        <v>91.37</v>
      </c>
      <c r="N16" s="12">
        <v>2491.2600000000002</v>
      </c>
    </row>
    <row r="17" spans="1:14" x14ac:dyDescent="0.3">
      <c r="A17" s="12" t="s">
        <v>281</v>
      </c>
      <c r="B17" s="12">
        <v>110.89</v>
      </c>
      <c r="C17" s="12">
        <v>426.60999999999996</v>
      </c>
      <c r="D17" s="12">
        <v>204.59999999999997</v>
      </c>
      <c r="E17" s="12">
        <v>0</v>
      </c>
      <c r="F17" s="12">
        <v>32.409999999999997</v>
      </c>
      <c r="G17" s="12">
        <v>929.18999999999994</v>
      </c>
      <c r="H17" s="12">
        <v>197.2</v>
      </c>
      <c r="I17" s="12">
        <v>56.89</v>
      </c>
      <c r="J17" s="12">
        <v>32.86</v>
      </c>
      <c r="K17" s="12">
        <v>16.64</v>
      </c>
      <c r="L17" s="12">
        <v>104.16</v>
      </c>
      <c r="M17" s="12">
        <v>84.050000000000011</v>
      </c>
      <c r="N17" s="12">
        <v>2195.5</v>
      </c>
    </row>
    <row r="18" spans="1:14" x14ac:dyDescent="0.3">
      <c r="A18" s="12" t="s">
        <v>282</v>
      </c>
      <c r="B18" s="12">
        <v>73.12</v>
      </c>
      <c r="C18" s="12">
        <v>644.38</v>
      </c>
      <c r="D18" s="12">
        <v>275.31000000000006</v>
      </c>
      <c r="E18" s="12">
        <v>0</v>
      </c>
      <c r="F18" s="12">
        <v>27.82</v>
      </c>
      <c r="G18" s="12">
        <v>914.68999999999983</v>
      </c>
      <c r="H18" s="12">
        <v>179</v>
      </c>
      <c r="I18" s="12">
        <v>77.75</v>
      </c>
      <c r="J18" s="12">
        <v>39.39</v>
      </c>
      <c r="K18" s="12">
        <v>32.340000000000003</v>
      </c>
      <c r="L18" s="12">
        <v>67.89</v>
      </c>
      <c r="M18" s="12">
        <v>142.9</v>
      </c>
      <c r="N18" s="12">
        <v>2474.5899999999997</v>
      </c>
    </row>
    <row r="19" spans="1:14" x14ac:dyDescent="0.3">
      <c r="A19" s="12" t="s">
        <v>284</v>
      </c>
      <c r="B19" s="12">
        <v>18.02</v>
      </c>
      <c r="C19" s="12">
        <v>451.09999999999997</v>
      </c>
      <c r="D19" s="12">
        <v>164.08</v>
      </c>
      <c r="E19" s="12">
        <v>0</v>
      </c>
      <c r="F19" s="12">
        <v>57.34</v>
      </c>
      <c r="G19" s="12">
        <v>922.90000000000009</v>
      </c>
      <c r="H19" s="12">
        <v>177.66</v>
      </c>
      <c r="I19" s="12">
        <v>79.06</v>
      </c>
      <c r="J19" s="12">
        <v>19.28</v>
      </c>
      <c r="K19" s="12">
        <v>0.4</v>
      </c>
      <c r="L19" s="12">
        <v>97.77000000000001</v>
      </c>
      <c r="M19" s="12">
        <v>113.08999999999999</v>
      </c>
      <c r="N19" s="12">
        <v>2100.7000000000003</v>
      </c>
    </row>
    <row r="20" spans="1:14" x14ac:dyDescent="0.3">
      <c r="A20" s="12" t="s">
        <v>285</v>
      </c>
      <c r="B20" s="12">
        <v>75.350000000000009</v>
      </c>
      <c r="C20" s="12">
        <v>440.82</v>
      </c>
      <c r="D20" s="12">
        <v>213.22000000000003</v>
      </c>
      <c r="E20" s="12">
        <v>0</v>
      </c>
      <c r="F20" s="12">
        <v>28.01</v>
      </c>
      <c r="G20" s="12">
        <v>1058.6199999999999</v>
      </c>
      <c r="H20" s="12">
        <v>166.07</v>
      </c>
      <c r="I20" s="12">
        <v>82.58</v>
      </c>
      <c r="J20" s="12">
        <v>29.57</v>
      </c>
      <c r="K20" s="12">
        <v>41.78</v>
      </c>
      <c r="L20" s="12">
        <v>105.82</v>
      </c>
      <c r="M20" s="12">
        <v>102.07000000000001</v>
      </c>
      <c r="N20" s="12">
        <v>2343.9100000000008</v>
      </c>
    </row>
    <row r="21" spans="1:14" x14ac:dyDescent="0.3">
      <c r="A21" s="12" t="s">
        <v>286</v>
      </c>
      <c r="B21" s="12">
        <v>108.63</v>
      </c>
      <c r="C21" s="12">
        <v>480.54</v>
      </c>
      <c r="D21" s="12">
        <v>275.79900000000009</v>
      </c>
      <c r="E21" s="12">
        <v>0</v>
      </c>
      <c r="F21" s="12">
        <v>44.88</v>
      </c>
      <c r="G21" s="12">
        <v>1138.6999999999998</v>
      </c>
      <c r="H21" s="12">
        <v>171.64</v>
      </c>
      <c r="I21" s="12">
        <v>34.9</v>
      </c>
      <c r="J21" s="12">
        <v>39.56</v>
      </c>
      <c r="K21" s="12">
        <v>25.29</v>
      </c>
      <c r="L21" s="12">
        <v>114.84</v>
      </c>
      <c r="M21" s="12">
        <v>88.94</v>
      </c>
      <c r="N21" s="12">
        <v>2523.7190000000001</v>
      </c>
    </row>
    <row r="22" spans="1:14" x14ac:dyDescent="0.3">
      <c r="A22" s="12" t="s">
        <v>287</v>
      </c>
      <c r="B22" s="12">
        <v>151.77000000000001</v>
      </c>
      <c r="C22" s="12">
        <v>431.84999999999997</v>
      </c>
      <c r="D22" s="12">
        <v>263.20000000000005</v>
      </c>
      <c r="E22" s="12">
        <v>0</v>
      </c>
      <c r="F22" s="12">
        <v>37.479999999999997</v>
      </c>
      <c r="G22" s="12">
        <v>1095.8100000000002</v>
      </c>
      <c r="H22" s="12">
        <v>182.14</v>
      </c>
      <c r="I22" s="12">
        <v>42.64</v>
      </c>
      <c r="J22" s="12">
        <v>33.03</v>
      </c>
      <c r="K22" s="12">
        <v>16.079999999999998</v>
      </c>
      <c r="L22" s="12">
        <v>87.08</v>
      </c>
      <c r="M22" s="12">
        <v>145.58000000000001</v>
      </c>
      <c r="N22" s="12">
        <v>2486.66</v>
      </c>
    </row>
    <row r="23" spans="1:14" x14ac:dyDescent="0.3">
      <c r="A23" s="12" t="s">
        <v>288</v>
      </c>
      <c r="B23" s="12">
        <v>90.32</v>
      </c>
      <c r="C23" s="12">
        <v>416.53999999999996</v>
      </c>
      <c r="D23" s="12">
        <v>161.24</v>
      </c>
      <c r="E23" s="12">
        <v>0</v>
      </c>
      <c r="F23" s="12">
        <v>36.72</v>
      </c>
      <c r="G23" s="12">
        <v>986.03000000000009</v>
      </c>
      <c r="H23" s="12">
        <v>191.9</v>
      </c>
      <c r="I23" s="12">
        <v>44.78</v>
      </c>
      <c r="J23" s="12">
        <v>28.64</v>
      </c>
      <c r="K23" s="12">
        <v>22.35</v>
      </c>
      <c r="L23" s="12">
        <v>80.900000000000006</v>
      </c>
      <c r="M23" s="12">
        <v>88.2</v>
      </c>
      <c r="N23" s="12">
        <v>2147.62</v>
      </c>
    </row>
    <row r="24" spans="1:14" x14ac:dyDescent="0.3">
      <c r="A24" s="12" t="s">
        <v>289</v>
      </c>
      <c r="B24" s="12">
        <v>78.61</v>
      </c>
      <c r="C24" s="12">
        <v>482.72999999999996</v>
      </c>
      <c r="D24" s="12">
        <v>240.18899999999999</v>
      </c>
      <c r="E24" s="12">
        <v>0</v>
      </c>
      <c r="F24" s="12">
        <v>49.56</v>
      </c>
      <c r="G24" s="12">
        <v>1123.76</v>
      </c>
      <c r="H24" s="12">
        <v>192.7</v>
      </c>
      <c r="I24" s="12">
        <v>52.28</v>
      </c>
      <c r="J24" s="12">
        <v>19.690000000000001</v>
      </c>
      <c r="K24" s="12">
        <v>17.64</v>
      </c>
      <c r="L24" s="12">
        <v>101.43</v>
      </c>
      <c r="M24" s="12">
        <v>75.34</v>
      </c>
      <c r="N24" s="12">
        <v>2433.9290000000001</v>
      </c>
    </row>
    <row r="25" spans="1:14" x14ac:dyDescent="0.3">
      <c r="A25" t="s">
        <v>291</v>
      </c>
      <c r="B25" s="12">
        <v>114.15</v>
      </c>
      <c r="C25" s="12">
        <v>385.04</v>
      </c>
      <c r="D25" s="12">
        <v>176.47000000000003</v>
      </c>
      <c r="E25" s="12">
        <v>0</v>
      </c>
      <c r="F25" s="12">
        <v>53.71</v>
      </c>
      <c r="G25" s="12">
        <v>1078.06</v>
      </c>
      <c r="H25" s="12">
        <v>103.03</v>
      </c>
      <c r="I25" s="12">
        <v>63.29</v>
      </c>
      <c r="J25" s="12">
        <v>23.19</v>
      </c>
      <c r="K25" s="12">
        <v>17.54</v>
      </c>
      <c r="L25" s="12">
        <v>109.23</v>
      </c>
      <c r="M25" s="12">
        <v>142.62</v>
      </c>
      <c r="N25" s="12">
        <v>2266.33</v>
      </c>
    </row>
    <row r="26" spans="1:14" x14ac:dyDescent="0.3">
      <c r="A26" t="s">
        <v>292</v>
      </c>
      <c r="B26" s="12">
        <v>115.66</v>
      </c>
      <c r="C26" s="12">
        <v>408.37999999999994</v>
      </c>
      <c r="D26" s="12">
        <v>253.10499999999999</v>
      </c>
      <c r="E26" s="12">
        <v>0</v>
      </c>
      <c r="F26" s="12">
        <v>30.88</v>
      </c>
      <c r="G26" s="12">
        <v>1063.4399999999998</v>
      </c>
      <c r="H26" s="12">
        <v>197.64</v>
      </c>
      <c r="I26" s="12">
        <v>77.790000000000006</v>
      </c>
      <c r="J26" s="12">
        <v>23.8</v>
      </c>
      <c r="K26" s="12">
        <v>19.71</v>
      </c>
      <c r="L26" s="12">
        <v>104.85</v>
      </c>
      <c r="M26" s="12">
        <v>175.41</v>
      </c>
      <c r="N26" s="12">
        <v>2470.6649999999995</v>
      </c>
    </row>
    <row r="27" spans="1:14" x14ac:dyDescent="0.3">
      <c r="A27" t="s">
        <v>293</v>
      </c>
      <c r="B27" s="12">
        <v>53.29</v>
      </c>
      <c r="C27" s="12">
        <v>389.93</v>
      </c>
      <c r="D27" s="12">
        <v>221.845</v>
      </c>
      <c r="E27" s="12">
        <v>0</v>
      </c>
      <c r="F27" s="12">
        <v>43.36</v>
      </c>
      <c r="G27" s="12">
        <v>1038.3399999999999</v>
      </c>
      <c r="H27" s="12">
        <v>175.68</v>
      </c>
      <c r="I27" s="12">
        <v>81.209999999999994</v>
      </c>
      <c r="J27" s="12">
        <v>8.31</v>
      </c>
      <c r="K27" s="12">
        <v>22.14</v>
      </c>
      <c r="L27" s="12">
        <v>122.77</v>
      </c>
      <c r="M27" s="12">
        <v>98.550000000000011</v>
      </c>
      <c r="N27" s="12">
        <v>2255.4250000000002</v>
      </c>
    </row>
    <row r="28" spans="1:14" x14ac:dyDescent="0.3">
      <c r="A28" t="s">
        <v>294</v>
      </c>
      <c r="B28" s="12">
        <v>63.12</v>
      </c>
      <c r="C28" s="12">
        <v>248.00999999999996</v>
      </c>
      <c r="D28" s="12">
        <v>279.04699999999997</v>
      </c>
      <c r="E28" s="12">
        <v>0</v>
      </c>
      <c r="F28" s="12">
        <v>39.630000000000003</v>
      </c>
      <c r="G28" s="12">
        <v>1062.3800000000001</v>
      </c>
      <c r="H28" s="12">
        <v>209.57</v>
      </c>
      <c r="I28" s="12">
        <v>76.83</v>
      </c>
      <c r="J28" s="12">
        <v>11.05</v>
      </c>
      <c r="K28" s="12">
        <v>19.46</v>
      </c>
      <c r="L28" s="12">
        <v>103.78</v>
      </c>
      <c r="M28" s="12">
        <v>114.44</v>
      </c>
      <c r="N28" s="12">
        <v>2227.317</v>
      </c>
    </row>
    <row r="29" spans="1:14" x14ac:dyDescent="0.3">
      <c r="A29" t="s">
        <v>295</v>
      </c>
      <c r="B29" s="12">
        <v>110.36</v>
      </c>
      <c r="C29" s="12">
        <v>275.34000000000003</v>
      </c>
      <c r="D29" s="12">
        <v>203.43</v>
      </c>
      <c r="E29" s="12">
        <v>0</v>
      </c>
      <c r="F29" s="12">
        <v>38.299999999999997</v>
      </c>
      <c r="G29" s="12">
        <v>1049.67</v>
      </c>
      <c r="H29" s="12">
        <v>211.78</v>
      </c>
      <c r="I29" s="12">
        <v>77.98</v>
      </c>
      <c r="J29" s="12">
        <v>28.04</v>
      </c>
      <c r="K29" s="12">
        <v>22.52</v>
      </c>
      <c r="L29" s="12">
        <v>94.18</v>
      </c>
      <c r="M29" s="12">
        <v>121.19</v>
      </c>
      <c r="N29" s="12">
        <v>2232.79</v>
      </c>
    </row>
    <row r="30" spans="1:14" x14ac:dyDescent="0.3">
      <c r="A30" t="s">
        <v>296</v>
      </c>
      <c r="B30" s="12">
        <v>99.35</v>
      </c>
      <c r="C30" s="12">
        <v>448.18000000000006</v>
      </c>
      <c r="D30" s="12">
        <v>177.24999999999997</v>
      </c>
      <c r="E30" s="12">
        <v>0</v>
      </c>
      <c r="F30" s="12">
        <v>28.77</v>
      </c>
      <c r="G30" s="12">
        <v>880.85000000000014</v>
      </c>
      <c r="H30" s="12">
        <v>390.9</v>
      </c>
      <c r="I30" s="12">
        <v>34.35</v>
      </c>
      <c r="J30" s="12">
        <v>18.23</v>
      </c>
      <c r="K30" s="12">
        <v>23.58</v>
      </c>
      <c r="L30" s="12">
        <v>103.94</v>
      </c>
      <c r="M30" s="12">
        <v>101.53</v>
      </c>
      <c r="N30" s="12">
        <v>2306.9300000000003</v>
      </c>
    </row>
    <row r="31" spans="1:14" x14ac:dyDescent="0.3">
      <c r="A31" t="s">
        <v>299</v>
      </c>
      <c r="B31" s="12">
        <v>98.85</v>
      </c>
      <c r="C31" s="12">
        <v>504.03</v>
      </c>
      <c r="D31" s="12">
        <v>311.56200000000001</v>
      </c>
      <c r="E31" s="12">
        <v>0</v>
      </c>
      <c r="F31" s="12">
        <v>61.46</v>
      </c>
      <c r="G31" s="12">
        <v>1071.6500000000001</v>
      </c>
      <c r="H31" s="12">
        <v>195.68</v>
      </c>
      <c r="I31" s="12">
        <v>47.95</v>
      </c>
      <c r="J31" s="12">
        <v>26.9</v>
      </c>
      <c r="K31" s="12">
        <v>23.61</v>
      </c>
      <c r="L31" s="12">
        <v>111.74000000000001</v>
      </c>
      <c r="M31" s="12">
        <v>89.44</v>
      </c>
      <c r="N31" s="12">
        <v>2542.8719999999998</v>
      </c>
    </row>
    <row r="32" spans="1:14" x14ac:dyDescent="0.3">
      <c r="A32" t="s">
        <v>300</v>
      </c>
      <c r="B32" s="12">
        <v>88.54</v>
      </c>
      <c r="C32" s="12">
        <v>505.15000000000003</v>
      </c>
      <c r="D32" s="12">
        <v>273.48099999999999</v>
      </c>
      <c r="E32" s="12">
        <v>0</v>
      </c>
      <c r="F32" s="12">
        <v>52.85</v>
      </c>
      <c r="G32" s="12">
        <v>1068.5</v>
      </c>
      <c r="H32" s="12">
        <v>174.04</v>
      </c>
      <c r="I32" s="12">
        <v>71.42</v>
      </c>
      <c r="J32" s="12">
        <v>21.46</v>
      </c>
      <c r="K32" s="12">
        <v>20.9</v>
      </c>
      <c r="L32" s="12">
        <v>109.55</v>
      </c>
      <c r="M32" s="12">
        <v>179.25</v>
      </c>
      <c r="N32" s="12">
        <v>2565.1410000000005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I101"/>
  <sheetViews>
    <sheetView workbookViewId="0">
      <selection activeCell="F29" sqref="F29"/>
    </sheetView>
  </sheetViews>
  <sheetFormatPr defaultRowHeight="14.4" x14ac:dyDescent="0.3"/>
  <cols>
    <col min="1" max="1" width="19.6640625" customWidth="1"/>
    <col min="2" max="7" width="17.33203125" customWidth="1"/>
    <col min="8" max="9" width="17.33203125" bestFit="1" customWidth="1"/>
    <col min="10" max="33" width="17.33203125" customWidth="1"/>
    <col min="34" max="34" width="16.44140625" customWidth="1"/>
    <col min="35" max="35" width="12.5546875" customWidth="1"/>
  </cols>
  <sheetData>
    <row r="1" spans="1:35" x14ac:dyDescent="0.3">
      <c r="A1" s="30" t="s">
        <v>1</v>
      </c>
      <c r="B1" s="12" t="s">
        <v>82</v>
      </c>
    </row>
    <row r="2" spans="1:35" x14ac:dyDescent="0.3">
      <c r="A2" s="30" t="s">
        <v>158</v>
      </c>
      <c r="B2" s="12" t="s">
        <v>82</v>
      </c>
    </row>
    <row r="4" spans="1:35" ht="43.2" x14ac:dyDescent="0.3">
      <c r="A4" s="30" t="s">
        <v>2</v>
      </c>
      <c r="B4" s="12" t="s">
        <v>84</v>
      </c>
      <c r="C4" s="12" t="s">
        <v>301</v>
      </c>
      <c r="D4" s="12" t="s">
        <v>302</v>
      </c>
      <c r="E4" s="12" t="s">
        <v>303</v>
      </c>
      <c r="F4" s="12" t="s">
        <v>304</v>
      </c>
      <c r="G4" s="12" t="s">
        <v>305</v>
      </c>
      <c r="H4" s="12" t="s">
        <v>306</v>
      </c>
      <c r="I4" s="12" t="s">
        <v>307</v>
      </c>
      <c r="J4" s="12" t="s">
        <v>308</v>
      </c>
      <c r="K4" s="31" t="s">
        <v>310</v>
      </c>
      <c r="L4" s="31" t="s">
        <v>311</v>
      </c>
      <c r="M4" s="31" t="s">
        <v>312</v>
      </c>
      <c r="N4" s="31" t="s">
        <v>313</v>
      </c>
      <c r="O4" s="31" t="s">
        <v>314</v>
      </c>
      <c r="P4" s="12" t="s">
        <v>315</v>
      </c>
      <c r="Q4" s="12" t="s">
        <v>316</v>
      </c>
      <c r="R4" s="12" t="s">
        <v>317</v>
      </c>
      <c r="S4" s="31" t="s">
        <v>319</v>
      </c>
      <c r="T4" s="12" t="s">
        <v>320</v>
      </c>
      <c r="U4" s="12" t="s">
        <v>321</v>
      </c>
      <c r="V4" s="12" t="s">
        <v>322</v>
      </c>
      <c r="W4" s="31" t="s">
        <v>324</v>
      </c>
      <c r="X4" s="12" t="s">
        <v>325</v>
      </c>
      <c r="Y4" s="31" t="s">
        <v>327</v>
      </c>
      <c r="Z4" s="31" t="s">
        <v>326</v>
      </c>
      <c r="AA4" s="31" t="s">
        <v>328</v>
      </c>
      <c r="AB4" s="31" t="s">
        <v>329</v>
      </c>
      <c r="AC4" s="12" t="s">
        <v>330</v>
      </c>
      <c r="AD4" s="12" t="s">
        <v>331</v>
      </c>
      <c r="AE4" s="31" t="s">
        <v>333</v>
      </c>
      <c r="AF4" s="31" t="s">
        <v>332</v>
      </c>
      <c r="AG4" s="12" t="s">
        <v>334</v>
      </c>
      <c r="AH4" s="31" t="s">
        <v>85</v>
      </c>
      <c r="AI4" s="76" t="s">
        <v>155</v>
      </c>
    </row>
    <row r="5" spans="1:35" x14ac:dyDescent="0.3">
      <c r="A5" s="12" t="s">
        <v>133</v>
      </c>
      <c r="B5" s="12">
        <v>5</v>
      </c>
      <c r="C5" s="31">
        <v>25.28</v>
      </c>
      <c r="D5" s="31">
        <v>36.479999999999997</v>
      </c>
      <c r="E5" s="31">
        <v>37.119999999999997</v>
      </c>
      <c r="F5" s="31">
        <v>46.85</v>
      </c>
      <c r="G5" s="31">
        <v>53.74</v>
      </c>
      <c r="H5" s="31">
        <v>41.65</v>
      </c>
      <c r="I5" s="31">
        <v>25.54</v>
      </c>
      <c r="J5" s="31">
        <v>60.31</v>
      </c>
      <c r="K5" s="31">
        <v>59.73</v>
      </c>
      <c r="L5" s="31">
        <v>48.25</v>
      </c>
      <c r="M5" s="31">
        <v>45.18</v>
      </c>
      <c r="N5" s="31">
        <v>44.15</v>
      </c>
      <c r="O5" s="31">
        <v>9.8699999999999992</v>
      </c>
      <c r="P5" s="31">
        <v>47.49</v>
      </c>
      <c r="Q5" s="31">
        <v>38.24</v>
      </c>
      <c r="R5" s="31">
        <v>39.96</v>
      </c>
      <c r="S5" s="31">
        <v>37.79</v>
      </c>
      <c r="T5" s="31">
        <v>70.95</v>
      </c>
      <c r="U5" s="31">
        <v>46.78</v>
      </c>
      <c r="V5" s="31">
        <v>47.13</v>
      </c>
      <c r="W5" s="31">
        <v>47.08</v>
      </c>
      <c r="X5" s="31">
        <v>49</v>
      </c>
      <c r="Y5" s="31">
        <v>40.450000000000003</v>
      </c>
      <c r="Z5" s="31">
        <v>41.45</v>
      </c>
      <c r="AA5" s="31">
        <v>38.94</v>
      </c>
      <c r="AB5" s="31">
        <v>34.25</v>
      </c>
      <c r="AC5" s="31">
        <v>34.162999999999997</v>
      </c>
      <c r="AD5" s="31">
        <v>51.056000000000012</v>
      </c>
      <c r="AE5" s="31">
        <v>48.771000000000001</v>
      </c>
      <c r="AF5" s="31">
        <v>24.532</v>
      </c>
      <c r="AG5" s="31">
        <v>32.591999999999999</v>
      </c>
      <c r="AH5" s="31">
        <v>42.089483870967754</v>
      </c>
      <c r="AI5" s="31">
        <v>8.4178967741935509</v>
      </c>
    </row>
    <row r="6" spans="1:35" x14ac:dyDescent="0.3">
      <c r="A6" s="12" t="s">
        <v>242</v>
      </c>
      <c r="B6" s="12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</row>
    <row r="7" spans="1:35" x14ac:dyDescent="0.3">
      <c r="A7" s="12" t="s">
        <v>241</v>
      </c>
      <c r="B7" s="12">
        <v>1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</row>
    <row r="8" spans="1:35" x14ac:dyDescent="0.3">
      <c r="A8" s="12" t="s">
        <v>240</v>
      </c>
      <c r="B8" s="12">
        <v>1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</row>
    <row r="9" spans="1:35" x14ac:dyDescent="0.3">
      <c r="A9" s="12" t="s">
        <v>252</v>
      </c>
      <c r="B9" s="12">
        <v>3</v>
      </c>
      <c r="C9" s="31">
        <v>0</v>
      </c>
      <c r="D9" s="31">
        <v>0</v>
      </c>
      <c r="E9" s="31">
        <v>0</v>
      </c>
      <c r="F9" s="31">
        <v>1.87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0.97</v>
      </c>
      <c r="S9" s="31">
        <v>1.02</v>
      </c>
      <c r="T9" s="31">
        <v>0.66</v>
      </c>
      <c r="U9" s="31">
        <v>4.21</v>
      </c>
      <c r="V9" s="31">
        <v>6.03</v>
      </c>
      <c r="W9" s="31">
        <v>5.18</v>
      </c>
      <c r="X9" s="31">
        <v>8.59</v>
      </c>
      <c r="Y9" s="31">
        <v>2.46</v>
      </c>
      <c r="Z9" s="31">
        <v>5.55</v>
      </c>
      <c r="AA9" s="31">
        <v>0.14000000000000001</v>
      </c>
      <c r="AB9" s="31">
        <v>2.0499999999999998</v>
      </c>
      <c r="AC9" s="31">
        <v>6.2070000000000007</v>
      </c>
      <c r="AD9" s="31">
        <v>5.495000000000001</v>
      </c>
      <c r="AE9" s="31">
        <v>5.9969999999999999</v>
      </c>
      <c r="AF9" s="31">
        <v>8.1859999999999999</v>
      </c>
      <c r="AG9" s="31">
        <v>7.4089999999999998</v>
      </c>
      <c r="AH9" s="31">
        <v>2.3233548387096778</v>
      </c>
      <c r="AI9" s="31">
        <v>0.77445161290322595</v>
      </c>
    </row>
    <row r="10" spans="1:35" x14ac:dyDescent="0.3">
      <c r="A10" s="12" t="s">
        <v>261</v>
      </c>
      <c r="B10" s="12">
        <v>16</v>
      </c>
      <c r="C10" s="31">
        <v>0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</row>
    <row r="11" spans="1:35" x14ac:dyDescent="0.3">
      <c r="A11" s="12" t="s">
        <v>245</v>
      </c>
      <c r="B11" s="12">
        <v>3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</row>
    <row r="12" spans="1:35" x14ac:dyDescent="0.3">
      <c r="A12" s="12" t="s">
        <v>237</v>
      </c>
      <c r="B12" s="12">
        <v>3</v>
      </c>
      <c r="C12" s="31">
        <v>5.15</v>
      </c>
      <c r="D12" s="31">
        <v>9.5</v>
      </c>
      <c r="E12" s="31">
        <v>7.84</v>
      </c>
      <c r="F12" s="31">
        <v>11.8</v>
      </c>
      <c r="G12" s="31">
        <v>0</v>
      </c>
      <c r="H12" s="31">
        <v>6.64</v>
      </c>
      <c r="I12" s="31">
        <v>9.01</v>
      </c>
      <c r="J12" s="31">
        <v>9.56</v>
      </c>
      <c r="K12" s="31">
        <v>2.5499999999999998</v>
      </c>
      <c r="L12" s="31">
        <v>8.5399999999999991</v>
      </c>
      <c r="M12" s="31">
        <v>20.76</v>
      </c>
      <c r="N12" s="31">
        <v>4.4400000000000004</v>
      </c>
      <c r="O12" s="31">
        <v>5.98</v>
      </c>
      <c r="P12" s="31">
        <v>20.57</v>
      </c>
      <c r="Q12" s="31">
        <v>9.39</v>
      </c>
      <c r="R12" s="31">
        <v>11.81</v>
      </c>
      <c r="S12" s="31">
        <v>23.2</v>
      </c>
      <c r="T12" s="31">
        <v>6.54</v>
      </c>
      <c r="U12" s="31">
        <v>7.76</v>
      </c>
      <c r="V12" s="31">
        <v>11.99</v>
      </c>
      <c r="W12" s="31">
        <v>10.25</v>
      </c>
      <c r="X12" s="31">
        <v>6.31</v>
      </c>
      <c r="Y12" s="31">
        <v>0</v>
      </c>
      <c r="Z12" s="31">
        <v>6.87</v>
      </c>
      <c r="AA12" s="31">
        <v>9.56</v>
      </c>
      <c r="AB12" s="31">
        <v>5.22</v>
      </c>
      <c r="AC12" s="31">
        <v>8.2129999999999992</v>
      </c>
      <c r="AD12" s="31">
        <v>7.484</v>
      </c>
      <c r="AE12" s="31">
        <v>7.1070000000000002</v>
      </c>
      <c r="AF12" s="31">
        <v>13.334</v>
      </c>
      <c r="AG12" s="31">
        <v>15.109</v>
      </c>
      <c r="AH12" s="31">
        <v>9.1124838709677416</v>
      </c>
      <c r="AI12" s="31">
        <v>3.0374946236559137</v>
      </c>
    </row>
    <row r="13" spans="1:35" x14ac:dyDescent="0.3">
      <c r="A13" s="12" t="s">
        <v>253</v>
      </c>
      <c r="B13" s="12">
        <v>3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</row>
    <row r="14" spans="1:35" x14ac:dyDescent="0.3">
      <c r="A14" s="12" t="s">
        <v>235</v>
      </c>
      <c r="B14" s="12">
        <v>3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</row>
    <row r="15" spans="1:35" x14ac:dyDescent="0.3">
      <c r="A15" s="12" t="s">
        <v>238</v>
      </c>
      <c r="B15" s="12">
        <v>4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</row>
    <row r="16" spans="1:35" x14ac:dyDescent="0.3">
      <c r="A16" s="12" t="s">
        <v>93</v>
      </c>
      <c r="B16" s="12">
        <v>1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</row>
    <row r="17" spans="1:35" x14ac:dyDescent="0.3">
      <c r="A17" s="12" t="s">
        <v>59</v>
      </c>
      <c r="B17" s="12">
        <v>6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</row>
    <row r="18" spans="1:35" x14ac:dyDescent="0.3">
      <c r="A18" s="12" t="s">
        <v>27</v>
      </c>
      <c r="B18" s="12">
        <v>4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  <c r="AI18" s="31">
        <v>0</v>
      </c>
    </row>
    <row r="19" spans="1:35" x14ac:dyDescent="0.3">
      <c r="A19" s="12" t="s">
        <v>226</v>
      </c>
      <c r="B19" s="12">
        <v>10</v>
      </c>
      <c r="C19" s="31">
        <v>34.11</v>
      </c>
      <c r="D19" s="31">
        <v>18.87</v>
      </c>
      <c r="E19" s="31">
        <v>25.14</v>
      </c>
      <c r="F19" s="31">
        <v>32.880000000000003</v>
      </c>
      <c r="G19" s="31">
        <v>18.16</v>
      </c>
      <c r="H19" s="31">
        <v>10.86</v>
      </c>
      <c r="I19" s="31">
        <v>33.49</v>
      </c>
      <c r="J19" s="31">
        <v>14.75</v>
      </c>
      <c r="K19" s="31">
        <v>22.36</v>
      </c>
      <c r="L19" s="31">
        <v>30.25</v>
      </c>
      <c r="M19" s="31">
        <v>9.5299999999999994</v>
      </c>
      <c r="N19" s="31">
        <v>9.83</v>
      </c>
      <c r="O19" s="31">
        <v>16.47</v>
      </c>
      <c r="P19" s="31">
        <v>24.4</v>
      </c>
      <c r="Q19" s="31">
        <v>24.72</v>
      </c>
      <c r="R19" s="31">
        <v>33.159999999999997</v>
      </c>
      <c r="S19" s="31">
        <v>30.98</v>
      </c>
      <c r="T19" s="31">
        <v>21.12</v>
      </c>
      <c r="U19" s="31">
        <v>7.99</v>
      </c>
      <c r="V19" s="31">
        <v>11.38</v>
      </c>
      <c r="W19" s="31">
        <v>42.36</v>
      </c>
      <c r="X19" s="31">
        <v>29.77</v>
      </c>
      <c r="Y19" s="31">
        <v>37.53</v>
      </c>
      <c r="Z19" s="31">
        <v>19.920000000000002</v>
      </c>
      <c r="AA19" s="31">
        <v>8.48</v>
      </c>
      <c r="AB19" s="31">
        <v>8.99</v>
      </c>
      <c r="AC19" s="31">
        <v>29</v>
      </c>
      <c r="AD19" s="31">
        <v>51.481999999999999</v>
      </c>
      <c r="AE19" s="31">
        <v>37.358000000000004</v>
      </c>
      <c r="AF19" s="31">
        <v>42.78</v>
      </c>
      <c r="AG19" s="31">
        <v>39.161999999999999</v>
      </c>
      <c r="AH19" s="31">
        <v>25.073612903225804</v>
      </c>
      <c r="AI19" s="31">
        <v>2.5073612903225806</v>
      </c>
    </row>
    <row r="20" spans="1:35" x14ac:dyDescent="0.3">
      <c r="A20" s="12" t="s">
        <v>217</v>
      </c>
      <c r="B20" s="12">
        <v>20</v>
      </c>
      <c r="C20" s="31">
        <v>85.56</v>
      </c>
      <c r="D20" s="31">
        <v>52.2</v>
      </c>
      <c r="E20" s="31">
        <v>89.46</v>
      </c>
      <c r="F20" s="31">
        <v>81.92</v>
      </c>
      <c r="G20" s="31">
        <v>53.38</v>
      </c>
      <c r="H20" s="31">
        <v>53.18</v>
      </c>
      <c r="I20" s="31">
        <v>78.760000000000005</v>
      </c>
      <c r="J20" s="31">
        <v>97.24</v>
      </c>
      <c r="K20" s="31">
        <v>46.12</v>
      </c>
      <c r="L20" s="31">
        <v>42.94</v>
      </c>
      <c r="M20" s="31">
        <v>56.31</v>
      </c>
      <c r="N20" s="31">
        <v>34.700000000000003</v>
      </c>
      <c r="O20" s="31">
        <v>74.239999999999995</v>
      </c>
      <c r="P20" s="31">
        <v>81.81</v>
      </c>
      <c r="Q20" s="31">
        <v>76.81</v>
      </c>
      <c r="R20" s="31">
        <v>94.36</v>
      </c>
      <c r="S20" s="31">
        <v>88.22</v>
      </c>
      <c r="T20" s="31">
        <v>85.06</v>
      </c>
      <c r="U20" s="31">
        <v>47.7</v>
      </c>
      <c r="V20" s="31">
        <v>63.14</v>
      </c>
      <c r="W20" s="31">
        <v>81.27</v>
      </c>
      <c r="X20" s="31">
        <v>75.98</v>
      </c>
      <c r="Y20" s="31">
        <v>76.16</v>
      </c>
      <c r="Z20" s="31">
        <v>88.76</v>
      </c>
      <c r="AA20" s="31">
        <v>61.45</v>
      </c>
      <c r="AB20" s="31">
        <v>35.17</v>
      </c>
      <c r="AC20" s="31">
        <v>53.18</v>
      </c>
      <c r="AD20" s="31">
        <v>57.586999999999982</v>
      </c>
      <c r="AE20" s="31">
        <v>90.632999999999981</v>
      </c>
      <c r="AF20" s="31">
        <v>91.524000000000001</v>
      </c>
      <c r="AG20" s="31">
        <v>100.57699999999997</v>
      </c>
      <c r="AH20" s="31">
        <v>70.819387096774193</v>
      </c>
      <c r="AI20" s="31">
        <v>3.5409693548387096</v>
      </c>
    </row>
    <row r="21" spans="1:35" x14ac:dyDescent="0.3">
      <c r="A21" s="12" t="s">
        <v>199</v>
      </c>
      <c r="B21" s="12">
        <v>6</v>
      </c>
      <c r="C21" s="31"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</row>
    <row r="22" spans="1:35" x14ac:dyDescent="0.3">
      <c r="A22" s="12" t="s">
        <v>200</v>
      </c>
      <c r="B22" s="12">
        <v>9</v>
      </c>
      <c r="C22" s="31">
        <v>59.31</v>
      </c>
      <c r="D22" s="31">
        <v>68.95</v>
      </c>
      <c r="E22" s="31">
        <v>103.14</v>
      </c>
      <c r="F22" s="31">
        <v>104.23</v>
      </c>
      <c r="G22" s="31">
        <v>99.06</v>
      </c>
      <c r="H22" s="31">
        <v>98.19</v>
      </c>
      <c r="I22" s="31">
        <v>87.73</v>
      </c>
      <c r="J22" s="31">
        <v>147.72999999999999</v>
      </c>
      <c r="K22" s="31">
        <v>98.94</v>
      </c>
      <c r="L22" s="31">
        <v>110.44</v>
      </c>
      <c r="M22" s="31">
        <v>102.85</v>
      </c>
      <c r="N22" s="31">
        <v>56.85</v>
      </c>
      <c r="O22" s="31">
        <v>12.76</v>
      </c>
      <c r="P22" s="31">
        <v>49.99</v>
      </c>
      <c r="Q22" s="31">
        <v>64.62</v>
      </c>
      <c r="R22" s="31">
        <v>71.47</v>
      </c>
      <c r="S22" s="31">
        <v>107.83</v>
      </c>
      <c r="T22" s="31">
        <v>105.89</v>
      </c>
      <c r="U22" s="31">
        <v>87.07</v>
      </c>
      <c r="V22" s="31">
        <v>100.89</v>
      </c>
      <c r="W22" s="31">
        <v>105.4</v>
      </c>
      <c r="X22" s="31">
        <v>74.209999999999994</v>
      </c>
      <c r="Y22" s="31">
        <v>84.24</v>
      </c>
      <c r="Z22" s="31">
        <v>87.15</v>
      </c>
      <c r="AA22" s="31">
        <v>90.74</v>
      </c>
      <c r="AB22" s="31">
        <v>57.98</v>
      </c>
      <c r="AC22" s="31">
        <v>102.24</v>
      </c>
      <c r="AD22" s="31">
        <v>98.97499999999998</v>
      </c>
      <c r="AE22" s="31">
        <v>95.234999999999999</v>
      </c>
      <c r="AF22" s="31">
        <v>71.910000000000011</v>
      </c>
      <c r="AG22" s="31">
        <v>74.730999999999995</v>
      </c>
      <c r="AH22" s="31">
        <v>86.47583870967739</v>
      </c>
      <c r="AI22" s="31">
        <v>9.6084265232974886</v>
      </c>
    </row>
    <row r="23" spans="1:35" x14ac:dyDescent="0.3">
      <c r="A23" s="12" t="s">
        <v>201</v>
      </c>
      <c r="B23" s="12">
        <v>3</v>
      </c>
      <c r="C23" s="31">
        <v>20.88</v>
      </c>
      <c r="D23" s="31">
        <v>14.91</v>
      </c>
      <c r="E23" s="31">
        <v>24.32</v>
      </c>
      <c r="F23" s="31">
        <v>25.57</v>
      </c>
      <c r="G23" s="31">
        <v>21.82</v>
      </c>
      <c r="H23" s="31">
        <v>20.8</v>
      </c>
      <c r="I23" s="31">
        <v>26.31</v>
      </c>
      <c r="J23" s="31">
        <v>4.72</v>
      </c>
      <c r="K23" s="31">
        <v>18.3</v>
      </c>
      <c r="L23" s="31">
        <v>13.71</v>
      </c>
      <c r="M23" s="31">
        <v>24.62</v>
      </c>
      <c r="N23" s="31">
        <v>12.71</v>
      </c>
      <c r="O23" s="31">
        <v>0</v>
      </c>
      <c r="P23" s="31">
        <v>27.06</v>
      </c>
      <c r="Q23" s="31">
        <v>19.760000000000002</v>
      </c>
      <c r="R23" s="31">
        <v>23.54</v>
      </c>
      <c r="S23" s="31">
        <v>24.38</v>
      </c>
      <c r="T23" s="31">
        <v>30.44</v>
      </c>
      <c r="U23" s="31">
        <v>20.100000000000001</v>
      </c>
      <c r="V23" s="31">
        <v>20.28</v>
      </c>
      <c r="W23" s="31">
        <v>23.59</v>
      </c>
      <c r="X23" s="31">
        <v>11.89</v>
      </c>
      <c r="Y23" s="31">
        <v>25.17</v>
      </c>
      <c r="Z23" s="31">
        <v>24.42</v>
      </c>
      <c r="AA23" s="31">
        <v>14.58</v>
      </c>
      <c r="AB23" s="31">
        <v>26.17</v>
      </c>
      <c r="AC23" s="31">
        <v>18.09</v>
      </c>
      <c r="AD23" s="31">
        <v>21.634</v>
      </c>
      <c r="AE23" s="31">
        <v>0</v>
      </c>
      <c r="AF23" s="31">
        <v>0</v>
      </c>
      <c r="AG23" s="31">
        <v>0</v>
      </c>
      <c r="AH23" s="31">
        <v>18.057225806451616</v>
      </c>
      <c r="AI23" s="31">
        <v>6.0190752688172049</v>
      </c>
    </row>
    <row r="24" spans="1:35" x14ac:dyDescent="0.3">
      <c r="A24" s="12" t="s">
        <v>209</v>
      </c>
      <c r="B24" s="12">
        <v>5</v>
      </c>
      <c r="C24" s="31">
        <v>5.66</v>
      </c>
      <c r="D24" s="31">
        <v>20.74</v>
      </c>
      <c r="E24" s="31">
        <v>10.8</v>
      </c>
      <c r="F24" s="31">
        <v>7.67</v>
      </c>
      <c r="G24" s="31">
        <v>0</v>
      </c>
      <c r="H24" s="31">
        <v>17.37</v>
      </c>
      <c r="I24" s="31">
        <v>7.76</v>
      </c>
      <c r="J24" s="31">
        <v>19.760000000000002</v>
      </c>
      <c r="K24" s="31">
        <v>5.96</v>
      </c>
      <c r="L24" s="31">
        <v>5.66</v>
      </c>
      <c r="M24" s="31">
        <v>27.65</v>
      </c>
      <c r="N24" s="31">
        <v>0</v>
      </c>
      <c r="O24" s="31">
        <v>0</v>
      </c>
      <c r="P24" s="31">
        <v>8.73</v>
      </c>
      <c r="Q24" s="31">
        <v>7.66</v>
      </c>
      <c r="R24" s="31">
        <v>4.5</v>
      </c>
      <c r="S24" s="31">
        <v>4.24</v>
      </c>
      <c r="T24" s="31">
        <v>4.45</v>
      </c>
      <c r="U24" s="31">
        <v>0</v>
      </c>
      <c r="V24" s="31">
        <v>6.89</v>
      </c>
      <c r="W24" s="31">
        <v>23.93</v>
      </c>
      <c r="X24" s="31">
        <v>10.44</v>
      </c>
      <c r="Y24" s="31">
        <v>15.38</v>
      </c>
      <c r="Z24" s="31">
        <v>3.03</v>
      </c>
      <c r="AA24" s="31">
        <v>10.11</v>
      </c>
      <c r="AB24" s="31">
        <v>0</v>
      </c>
      <c r="AC24" s="31">
        <v>9.2829999999999995</v>
      </c>
      <c r="AD24" s="31">
        <v>9.0890000000000004</v>
      </c>
      <c r="AE24" s="31">
        <v>10.305</v>
      </c>
      <c r="AF24" s="31">
        <v>11.443999999999999</v>
      </c>
      <c r="AG24" s="31">
        <v>7.8339999999999996</v>
      </c>
      <c r="AH24" s="31">
        <v>8.9143548387096772</v>
      </c>
      <c r="AI24" s="31">
        <v>1.7828709677419354</v>
      </c>
    </row>
    <row r="25" spans="1:35" x14ac:dyDescent="0.3">
      <c r="A25" s="12" t="s">
        <v>212</v>
      </c>
      <c r="B25" s="12">
        <v>7</v>
      </c>
      <c r="C25" s="31">
        <v>69.62</v>
      </c>
      <c r="D25" s="31">
        <v>151.38999999999999</v>
      </c>
      <c r="E25" s="31">
        <v>175.15</v>
      </c>
      <c r="F25" s="31">
        <v>143.19</v>
      </c>
      <c r="G25" s="31">
        <v>182.89</v>
      </c>
      <c r="H25" s="31">
        <v>120</v>
      </c>
      <c r="I25" s="31">
        <v>147.19</v>
      </c>
      <c r="J25" s="31">
        <v>151.66999999999999</v>
      </c>
      <c r="K25" s="31">
        <v>121.36</v>
      </c>
      <c r="L25" s="31">
        <v>163.69999999999999</v>
      </c>
      <c r="M25" s="31">
        <v>140.87</v>
      </c>
      <c r="N25" s="31">
        <v>77.72</v>
      </c>
      <c r="O25" s="31">
        <v>76.98</v>
      </c>
      <c r="P25" s="31">
        <v>58.09</v>
      </c>
      <c r="Q25" s="31">
        <v>103.66</v>
      </c>
      <c r="R25" s="31">
        <v>136.19999999999999</v>
      </c>
      <c r="S25" s="31">
        <v>124.28</v>
      </c>
      <c r="T25" s="31">
        <v>148.93</v>
      </c>
      <c r="U25" s="31">
        <v>164.32</v>
      </c>
      <c r="V25" s="31">
        <v>79.08</v>
      </c>
      <c r="W25" s="31">
        <v>190.69</v>
      </c>
      <c r="X25" s="31">
        <v>114.55</v>
      </c>
      <c r="Y25" s="31">
        <v>144.63999999999999</v>
      </c>
      <c r="Z25" s="31">
        <v>130.33000000000001</v>
      </c>
      <c r="AA25" s="31">
        <v>123.78</v>
      </c>
      <c r="AB25" s="31">
        <v>143.88</v>
      </c>
      <c r="AC25" s="31">
        <v>171.23400000000001</v>
      </c>
      <c r="AD25" s="31">
        <v>80.971000000000004</v>
      </c>
      <c r="AE25" s="31">
        <v>181.36900000000003</v>
      </c>
      <c r="AF25" s="31">
        <v>113.91799999999998</v>
      </c>
      <c r="AG25" s="31">
        <v>141.38499999999999</v>
      </c>
      <c r="AH25" s="31">
        <v>131.38829032258064</v>
      </c>
      <c r="AI25" s="31">
        <v>18.769755760368664</v>
      </c>
    </row>
    <row r="26" spans="1:35" x14ac:dyDescent="0.3">
      <c r="A26" s="12" t="s">
        <v>227</v>
      </c>
      <c r="B26" s="12">
        <v>13</v>
      </c>
      <c r="C26" s="31">
        <v>4.6399999999999997</v>
      </c>
      <c r="D26" s="31">
        <v>68.41</v>
      </c>
      <c r="E26" s="31">
        <v>59.75</v>
      </c>
      <c r="F26" s="31">
        <v>31.16</v>
      </c>
      <c r="G26" s="31">
        <v>47.67</v>
      </c>
      <c r="H26" s="31">
        <v>15.19</v>
      </c>
      <c r="I26" s="31">
        <v>52.67</v>
      </c>
      <c r="J26" s="31">
        <v>61.85</v>
      </c>
      <c r="K26" s="31">
        <v>75.98</v>
      </c>
      <c r="L26" s="31">
        <v>39.590000000000003</v>
      </c>
      <c r="M26" s="31">
        <v>22.1</v>
      </c>
      <c r="N26" s="31">
        <v>25.94</v>
      </c>
      <c r="O26" s="31">
        <v>33.79</v>
      </c>
      <c r="P26" s="31">
        <v>58.43</v>
      </c>
      <c r="Q26" s="31">
        <v>49.99</v>
      </c>
      <c r="R26" s="31">
        <v>63.47</v>
      </c>
      <c r="S26" s="31">
        <v>50.95</v>
      </c>
      <c r="T26" s="31">
        <v>61.02</v>
      </c>
      <c r="U26" s="31">
        <v>29.16</v>
      </c>
      <c r="V26" s="31">
        <v>21.64</v>
      </c>
      <c r="W26" s="31">
        <v>50.79</v>
      </c>
      <c r="X26" s="31">
        <v>48.97</v>
      </c>
      <c r="Y26" s="31">
        <v>45.53</v>
      </c>
      <c r="Z26" s="31">
        <v>34.619999999999997</v>
      </c>
      <c r="AA26" s="31">
        <v>31.06</v>
      </c>
      <c r="AB26" s="31">
        <v>17.14</v>
      </c>
      <c r="AC26" s="31">
        <v>15.847</v>
      </c>
      <c r="AD26" s="31">
        <v>43.585000000000001</v>
      </c>
      <c r="AE26" s="31">
        <v>41.130999999999993</v>
      </c>
      <c r="AF26" s="31">
        <v>44.524999999999999</v>
      </c>
      <c r="AG26" s="31">
        <v>64.078000000000003</v>
      </c>
      <c r="AH26" s="31">
        <v>42.279870967741942</v>
      </c>
      <c r="AI26" s="31">
        <v>3.25229776674938</v>
      </c>
    </row>
    <row r="27" spans="1:35" x14ac:dyDescent="0.3">
      <c r="A27" s="12" t="s">
        <v>218</v>
      </c>
      <c r="B27" s="12">
        <v>3</v>
      </c>
      <c r="C27" s="31">
        <v>0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4.4000000000000004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5.43</v>
      </c>
      <c r="R27" s="31">
        <v>0</v>
      </c>
      <c r="S27" s="31">
        <v>0</v>
      </c>
      <c r="T27" s="31">
        <v>0</v>
      </c>
      <c r="U27" s="31">
        <v>0</v>
      </c>
      <c r="V27" s="31">
        <v>0.64</v>
      </c>
      <c r="W27" s="31">
        <v>0</v>
      </c>
      <c r="X27" s="31">
        <v>0.28000000000000003</v>
      </c>
      <c r="Y27" s="31">
        <v>0</v>
      </c>
      <c r="Z27" s="31">
        <v>0</v>
      </c>
      <c r="AA27" s="31">
        <v>0</v>
      </c>
      <c r="AB27" s="31">
        <v>0</v>
      </c>
      <c r="AC27" s="31">
        <v>0</v>
      </c>
      <c r="AD27" s="31">
        <v>0</v>
      </c>
      <c r="AE27" s="31">
        <v>0</v>
      </c>
      <c r="AF27" s="31">
        <v>0</v>
      </c>
      <c r="AG27" s="31">
        <v>0</v>
      </c>
      <c r="AH27" s="31">
        <v>0.34677419354838712</v>
      </c>
      <c r="AI27" s="31">
        <v>0.11559139784946237</v>
      </c>
    </row>
    <row r="28" spans="1:35" x14ac:dyDescent="0.3">
      <c r="A28" s="12" t="s">
        <v>225</v>
      </c>
      <c r="B28" s="12">
        <v>16</v>
      </c>
      <c r="C28" s="31">
        <v>29.02</v>
      </c>
      <c r="D28" s="31">
        <v>37.700000000000003</v>
      </c>
      <c r="E28" s="31">
        <v>40.29</v>
      </c>
      <c r="F28" s="31">
        <v>29.22</v>
      </c>
      <c r="G28" s="31">
        <v>50.53</v>
      </c>
      <c r="H28" s="31">
        <v>38.64</v>
      </c>
      <c r="I28" s="31">
        <v>40.85</v>
      </c>
      <c r="J28" s="31">
        <v>40.14</v>
      </c>
      <c r="K28" s="31">
        <v>53.39</v>
      </c>
      <c r="L28" s="31">
        <v>40.479999999999997</v>
      </c>
      <c r="M28" s="31">
        <v>39.47</v>
      </c>
      <c r="N28" s="31">
        <v>26.91</v>
      </c>
      <c r="O28" s="31">
        <v>41.22</v>
      </c>
      <c r="P28" s="31">
        <v>47.94</v>
      </c>
      <c r="Q28" s="31">
        <v>56.06</v>
      </c>
      <c r="R28" s="31">
        <v>42.09</v>
      </c>
      <c r="S28" s="31">
        <v>33.83</v>
      </c>
      <c r="T28" s="31">
        <v>38.14</v>
      </c>
      <c r="U28" s="31">
        <v>41.21</v>
      </c>
      <c r="V28" s="31">
        <v>29.75</v>
      </c>
      <c r="W28" s="31">
        <v>36.74</v>
      </c>
      <c r="X28" s="31">
        <v>21.01</v>
      </c>
      <c r="Y28" s="31">
        <v>19.18</v>
      </c>
      <c r="Z28" s="31">
        <v>29.32</v>
      </c>
      <c r="AA28" s="31">
        <v>40.26</v>
      </c>
      <c r="AB28" s="31">
        <v>2</v>
      </c>
      <c r="AC28" s="31">
        <v>53.508000000000003</v>
      </c>
      <c r="AD28" s="31">
        <v>42.566000000000003</v>
      </c>
      <c r="AE28" s="31">
        <v>45.423999999999999</v>
      </c>
      <c r="AF28" s="31">
        <v>47.387</v>
      </c>
      <c r="AG28" s="31">
        <v>55.872000000000014</v>
      </c>
      <c r="AH28" s="31">
        <v>38.391838709677415</v>
      </c>
      <c r="AI28" s="31">
        <v>2.3994899193548385</v>
      </c>
    </row>
    <row r="29" spans="1:35" x14ac:dyDescent="0.3">
      <c r="A29" s="12" t="s">
        <v>248</v>
      </c>
      <c r="B29" s="12">
        <v>1</v>
      </c>
      <c r="C29" s="31">
        <v>0</v>
      </c>
      <c r="D29" s="31">
        <v>0</v>
      </c>
      <c r="E29" s="31">
        <v>0</v>
      </c>
      <c r="F29" s="31">
        <v>0</v>
      </c>
      <c r="G29" s="31">
        <v>2.73</v>
      </c>
      <c r="H29" s="31">
        <v>0</v>
      </c>
      <c r="I29" s="31">
        <v>0</v>
      </c>
      <c r="J29" s="31">
        <v>2.25</v>
      </c>
      <c r="K29" s="31">
        <v>0</v>
      </c>
      <c r="L29" s="31">
        <v>0</v>
      </c>
      <c r="M29" s="31">
        <v>0</v>
      </c>
      <c r="N29" s="31">
        <v>0</v>
      </c>
      <c r="O29" s="31">
        <v>0.28999999999999998</v>
      </c>
      <c r="P29" s="31">
        <v>2.82</v>
      </c>
      <c r="Q29" s="31">
        <v>0</v>
      </c>
      <c r="R29" s="31">
        <v>0</v>
      </c>
      <c r="S29" s="31">
        <v>0</v>
      </c>
      <c r="T29" s="31">
        <v>3.05</v>
      </c>
      <c r="U29" s="31">
        <v>0</v>
      </c>
      <c r="V29" s="31">
        <v>2.15</v>
      </c>
      <c r="W29" s="31">
        <v>0</v>
      </c>
      <c r="X29" s="31">
        <v>0</v>
      </c>
      <c r="Y29" s="31">
        <v>0</v>
      </c>
      <c r="Z29" s="31">
        <v>0</v>
      </c>
      <c r="AA29" s="31">
        <v>4.26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3.165</v>
      </c>
      <c r="AH29" s="31">
        <v>0.66822580645161289</v>
      </c>
      <c r="AI29" s="31">
        <v>0.66822580645161289</v>
      </c>
    </row>
    <row r="30" spans="1:35" x14ac:dyDescent="0.3">
      <c r="A30" s="12" t="s">
        <v>220</v>
      </c>
      <c r="B30" s="12">
        <v>19</v>
      </c>
      <c r="C30" s="31">
        <v>20</v>
      </c>
      <c r="D30" s="31">
        <v>26</v>
      </c>
      <c r="E30" s="31">
        <v>30.54</v>
      </c>
      <c r="F30" s="31">
        <v>34.96</v>
      </c>
      <c r="G30" s="31">
        <v>24.06</v>
      </c>
      <c r="H30" s="31">
        <v>24.84</v>
      </c>
      <c r="I30" s="31">
        <v>18.989999999999998</v>
      </c>
      <c r="J30" s="31">
        <v>23.73</v>
      </c>
      <c r="K30" s="31">
        <v>22.45</v>
      </c>
      <c r="L30" s="31">
        <v>31.18</v>
      </c>
      <c r="M30" s="31">
        <v>35.229999999999997</v>
      </c>
      <c r="N30" s="31">
        <v>14.3</v>
      </c>
      <c r="O30" s="31">
        <v>20.5</v>
      </c>
      <c r="P30" s="31">
        <v>20.239999999999998</v>
      </c>
      <c r="Q30" s="31">
        <v>20.92</v>
      </c>
      <c r="R30" s="31">
        <v>27.29</v>
      </c>
      <c r="S30" s="31">
        <v>24.71</v>
      </c>
      <c r="T30" s="31">
        <v>17.29</v>
      </c>
      <c r="U30" s="31">
        <v>16.78</v>
      </c>
      <c r="V30" s="31">
        <v>11.01</v>
      </c>
      <c r="W30" s="31">
        <v>17.899999999999999</v>
      </c>
      <c r="X30" s="31">
        <v>19.84</v>
      </c>
      <c r="Y30" s="31">
        <v>22.33</v>
      </c>
      <c r="Z30" s="31">
        <v>11.24</v>
      </c>
      <c r="AA30" s="31">
        <v>12.96</v>
      </c>
      <c r="AB30" s="31">
        <v>5.65</v>
      </c>
      <c r="AC30" s="31">
        <v>23.329000000000001</v>
      </c>
      <c r="AD30" s="31">
        <v>16.751999999999999</v>
      </c>
      <c r="AE30" s="31">
        <v>15.953999999999997</v>
      </c>
      <c r="AF30" s="31">
        <v>15.282</v>
      </c>
      <c r="AG30" s="31">
        <v>15.963000000000001</v>
      </c>
      <c r="AH30" s="31">
        <v>20.716774193548385</v>
      </c>
      <c r="AI30" s="31">
        <v>1.0903565365025465</v>
      </c>
    </row>
    <row r="31" spans="1:35" x14ac:dyDescent="0.3">
      <c r="A31" s="12" t="s">
        <v>210</v>
      </c>
      <c r="B31" s="12">
        <v>10</v>
      </c>
      <c r="C31" s="31">
        <v>93.11</v>
      </c>
      <c r="D31" s="31">
        <v>91.23</v>
      </c>
      <c r="E31" s="31">
        <v>61.49</v>
      </c>
      <c r="F31" s="31">
        <v>93.75</v>
      </c>
      <c r="G31" s="31">
        <v>128.21</v>
      </c>
      <c r="H31" s="31">
        <v>98.9</v>
      </c>
      <c r="I31" s="31">
        <v>98.09</v>
      </c>
      <c r="J31" s="31">
        <v>122.34</v>
      </c>
      <c r="K31" s="31">
        <v>140.69</v>
      </c>
      <c r="L31" s="31">
        <v>76.099999999999994</v>
      </c>
      <c r="M31" s="31">
        <v>151.29</v>
      </c>
      <c r="N31" s="31">
        <v>103.13</v>
      </c>
      <c r="O31" s="31">
        <v>0</v>
      </c>
      <c r="P31" s="31">
        <v>84.57</v>
      </c>
      <c r="Q31" s="31">
        <v>55.88</v>
      </c>
      <c r="R31" s="31">
        <v>107.57</v>
      </c>
      <c r="S31" s="31">
        <v>120.42</v>
      </c>
      <c r="T31" s="31">
        <v>98.16</v>
      </c>
      <c r="U31" s="31">
        <v>129.07</v>
      </c>
      <c r="V31" s="31">
        <v>116.08</v>
      </c>
      <c r="W31" s="31">
        <v>99.34</v>
      </c>
      <c r="X31" s="31">
        <v>131.22</v>
      </c>
      <c r="Y31" s="31">
        <v>89.03</v>
      </c>
      <c r="Z31" s="31">
        <v>71.900000000000006</v>
      </c>
      <c r="AA31" s="31">
        <v>116.81</v>
      </c>
      <c r="AB31" s="31">
        <v>161.88999999999999</v>
      </c>
      <c r="AC31" s="31">
        <v>83.560000000000016</v>
      </c>
      <c r="AD31" s="31">
        <v>118.006</v>
      </c>
      <c r="AE31" s="31">
        <v>89.783999999999992</v>
      </c>
      <c r="AF31" s="31">
        <v>105.06500000000004</v>
      </c>
      <c r="AG31" s="31">
        <v>116.79300000000001</v>
      </c>
      <c r="AH31" s="31">
        <v>101.72509677419356</v>
      </c>
      <c r="AI31" s="31">
        <v>10.172509677419356</v>
      </c>
    </row>
    <row r="32" spans="1:35" x14ac:dyDescent="0.3">
      <c r="A32" s="12" t="s">
        <v>211</v>
      </c>
      <c r="B32" s="12">
        <v>3</v>
      </c>
      <c r="C32" s="31">
        <v>0</v>
      </c>
      <c r="D32" s="31">
        <v>7.74</v>
      </c>
      <c r="E32" s="31">
        <v>10.73</v>
      </c>
      <c r="F32" s="31">
        <v>12.72</v>
      </c>
      <c r="G32" s="31">
        <v>0</v>
      </c>
      <c r="H32" s="31">
        <v>5.64</v>
      </c>
      <c r="I32" s="31">
        <v>12.23</v>
      </c>
      <c r="J32" s="31">
        <v>11.03</v>
      </c>
      <c r="K32" s="31">
        <v>13.17</v>
      </c>
      <c r="L32" s="31">
        <v>13.9</v>
      </c>
      <c r="M32" s="31">
        <v>7.52</v>
      </c>
      <c r="N32" s="31">
        <v>0</v>
      </c>
      <c r="O32" s="31">
        <v>0</v>
      </c>
      <c r="P32" s="31">
        <v>13.01</v>
      </c>
      <c r="Q32" s="31">
        <v>11.58</v>
      </c>
      <c r="R32" s="31">
        <v>4.59</v>
      </c>
      <c r="S32" s="31">
        <v>13.8</v>
      </c>
      <c r="T32" s="31">
        <v>0</v>
      </c>
      <c r="U32" s="31">
        <v>14.02</v>
      </c>
      <c r="V32" s="31">
        <v>16.260000000000002</v>
      </c>
      <c r="W32" s="31">
        <v>8.6199999999999992</v>
      </c>
      <c r="X32" s="31">
        <v>11.05</v>
      </c>
      <c r="Y32" s="31">
        <v>14.12</v>
      </c>
      <c r="Z32" s="31">
        <v>2.94</v>
      </c>
      <c r="AA32" s="31">
        <v>15.58</v>
      </c>
      <c r="AB32" s="31">
        <v>0</v>
      </c>
      <c r="AC32" s="31">
        <v>2.9000000000000001E-2</v>
      </c>
      <c r="AD32" s="31">
        <v>13.763</v>
      </c>
      <c r="AE32" s="31">
        <v>7.7770000000000001</v>
      </c>
      <c r="AF32" s="31">
        <v>8.0470000000000006</v>
      </c>
      <c r="AG32" s="31">
        <v>8.0350000000000001</v>
      </c>
      <c r="AH32" s="31">
        <v>8.3193870967741965</v>
      </c>
      <c r="AI32" s="31">
        <v>2.7731290322580655</v>
      </c>
    </row>
    <row r="33" spans="1:35" x14ac:dyDescent="0.3">
      <c r="A33" s="12" t="s">
        <v>205</v>
      </c>
      <c r="B33" s="12">
        <v>3</v>
      </c>
      <c r="C33" s="31">
        <v>41.11</v>
      </c>
      <c r="D33" s="31">
        <v>48.11</v>
      </c>
      <c r="E33" s="31">
        <v>60.53</v>
      </c>
      <c r="F33" s="31">
        <v>51.14</v>
      </c>
      <c r="G33" s="31">
        <v>38.840000000000003</v>
      </c>
      <c r="H33" s="31">
        <v>93.55</v>
      </c>
      <c r="I33" s="31">
        <v>48.44</v>
      </c>
      <c r="J33" s="31">
        <v>50.99</v>
      </c>
      <c r="K33" s="31">
        <v>62.75</v>
      </c>
      <c r="L33" s="31">
        <v>39.549999999999997</v>
      </c>
      <c r="M33" s="31">
        <v>61.82</v>
      </c>
      <c r="N33" s="31">
        <v>68.37</v>
      </c>
      <c r="O33" s="31">
        <v>56.47</v>
      </c>
      <c r="P33" s="31">
        <v>23.59</v>
      </c>
      <c r="Q33" s="31">
        <v>89.13</v>
      </c>
      <c r="R33" s="31">
        <v>65.239999999999995</v>
      </c>
      <c r="S33" s="31">
        <v>57.15</v>
      </c>
      <c r="T33" s="31">
        <v>52.93</v>
      </c>
      <c r="U33" s="31">
        <v>71.94</v>
      </c>
      <c r="V33" s="31">
        <v>79.930000000000007</v>
      </c>
      <c r="W33" s="31">
        <v>44.83</v>
      </c>
      <c r="X33" s="31">
        <v>45.51</v>
      </c>
      <c r="Y33" s="31">
        <v>43.07</v>
      </c>
      <c r="Z33" s="31">
        <v>54.07</v>
      </c>
      <c r="AA33" s="31">
        <v>64.400000000000006</v>
      </c>
      <c r="AB33" s="31">
        <v>22.97</v>
      </c>
      <c r="AC33" s="31">
        <v>74.631</v>
      </c>
      <c r="AD33" s="31">
        <v>65.701000000000008</v>
      </c>
      <c r="AE33" s="31">
        <v>34.736999999999995</v>
      </c>
      <c r="AF33" s="31">
        <v>46.054000000000002</v>
      </c>
      <c r="AG33" s="31">
        <v>53.023000000000003</v>
      </c>
      <c r="AH33" s="31">
        <v>55.179870967741941</v>
      </c>
      <c r="AI33" s="31">
        <v>18.393290322580647</v>
      </c>
    </row>
    <row r="34" spans="1:35" x14ac:dyDescent="0.3">
      <c r="A34" s="12" t="s">
        <v>213</v>
      </c>
      <c r="B34" s="12">
        <v>3</v>
      </c>
      <c r="C34" s="31">
        <v>47.81</v>
      </c>
      <c r="D34" s="31">
        <v>65.62</v>
      </c>
      <c r="E34" s="31">
        <v>68.459999999999994</v>
      </c>
      <c r="F34" s="31">
        <v>65.5</v>
      </c>
      <c r="G34" s="31">
        <v>6.99</v>
      </c>
      <c r="H34" s="31">
        <v>35.04</v>
      </c>
      <c r="I34" s="31">
        <v>54.63</v>
      </c>
      <c r="J34" s="31">
        <v>43.98</v>
      </c>
      <c r="K34" s="31">
        <v>67.209999999999994</v>
      </c>
      <c r="L34" s="31">
        <v>66.56</v>
      </c>
      <c r="M34" s="31">
        <v>70.66</v>
      </c>
      <c r="N34" s="31">
        <v>75.349999999999994</v>
      </c>
      <c r="O34" s="31">
        <v>74.239999999999995</v>
      </c>
      <c r="P34" s="31">
        <v>30.07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7.2999999999999995E-2</v>
      </c>
      <c r="AD34" s="31">
        <v>0</v>
      </c>
      <c r="AE34" s="31">
        <v>0</v>
      </c>
      <c r="AF34" s="31">
        <v>0</v>
      </c>
      <c r="AG34" s="31">
        <v>48.141999999999989</v>
      </c>
      <c r="AH34" s="31">
        <v>26.462419354838708</v>
      </c>
      <c r="AI34" s="31">
        <v>8.8208064516129028</v>
      </c>
    </row>
    <row r="35" spans="1:35" x14ac:dyDescent="0.3">
      <c r="A35" s="12" t="s">
        <v>298</v>
      </c>
      <c r="B35" s="12">
        <v>4</v>
      </c>
      <c r="C35" s="31">
        <v>0</v>
      </c>
      <c r="D35" s="31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3.68</v>
      </c>
      <c r="K35" s="31">
        <v>1.76</v>
      </c>
      <c r="L35" s="31">
        <v>3.11</v>
      </c>
      <c r="M35" s="31">
        <v>2.84</v>
      </c>
      <c r="N35" s="31">
        <v>0.54</v>
      </c>
      <c r="O35" s="31">
        <v>0</v>
      </c>
      <c r="P35" s="31">
        <v>0</v>
      </c>
      <c r="Q35" s="31">
        <v>0</v>
      </c>
      <c r="R35" s="31">
        <v>0</v>
      </c>
      <c r="S35" s="31">
        <v>5.68</v>
      </c>
      <c r="T35" s="31">
        <v>2.15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0</v>
      </c>
      <c r="AC35" s="31">
        <v>0</v>
      </c>
      <c r="AD35" s="31">
        <v>0</v>
      </c>
      <c r="AE35" s="31">
        <v>0</v>
      </c>
      <c r="AF35" s="31">
        <v>0</v>
      </c>
      <c r="AG35" s="31">
        <v>0</v>
      </c>
      <c r="AH35" s="31">
        <v>0.6374193548387096</v>
      </c>
      <c r="AI35" s="31">
        <v>0.1593548387096774</v>
      </c>
    </row>
    <row r="36" spans="1:35" x14ac:dyDescent="0.3">
      <c r="A36" s="12" t="s">
        <v>202</v>
      </c>
      <c r="B36" s="12">
        <v>8</v>
      </c>
      <c r="C36" s="31">
        <v>37.47</v>
      </c>
      <c r="D36" s="31">
        <v>65.02</v>
      </c>
      <c r="E36" s="31">
        <v>88.97</v>
      </c>
      <c r="F36" s="31">
        <v>42.72</v>
      </c>
      <c r="G36" s="31">
        <v>55.41</v>
      </c>
      <c r="H36" s="31">
        <v>46.66</v>
      </c>
      <c r="I36" s="31">
        <v>48.4</v>
      </c>
      <c r="J36" s="31">
        <v>91.1</v>
      </c>
      <c r="K36" s="31">
        <v>68.099999999999994</v>
      </c>
      <c r="L36" s="31">
        <v>77.459999999999994</v>
      </c>
      <c r="M36" s="31">
        <v>57.05</v>
      </c>
      <c r="N36" s="31">
        <v>69.72</v>
      </c>
      <c r="O36" s="31">
        <v>30.06</v>
      </c>
      <c r="P36" s="31">
        <v>45</v>
      </c>
      <c r="Q36" s="31">
        <v>67.83</v>
      </c>
      <c r="R36" s="31">
        <v>40.4</v>
      </c>
      <c r="S36" s="31">
        <v>79.489999999999995</v>
      </c>
      <c r="T36" s="31">
        <v>63.15</v>
      </c>
      <c r="U36" s="31">
        <v>56.44</v>
      </c>
      <c r="V36" s="31">
        <v>62.6</v>
      </c>
      <c r="W36" s="31">
        <v>75.17</v>
      </c>
      <c r="X36" s="31">
        <v>60.15</v>
      </c>
      <c r="Y36" s="31">
        <v>47.14</v>
      </c>
      <c r="Z36" s="31">
        <v>46.41</v>
      </c>
      <c r="AA36" s="31">
        <v>63.87</v>
      </c>
      <c r="AB36" s="31">
        <v>41.64</v>
      </c>
      <c r="AC36" s="31">
        <v>64.340999999999994</v>
      </c>
      <c r="AD36" s="31">
        <v>78.75</v>
      </c>
      <c r="AE36" s="31">
        <v>56.146000000000001</v>
      </c>
      <c r="AF36" s="31">
        <v>95.6</v>
      </c>
      <c r="AG36" s="31">
        <v>62.762999999999998</v>
      </c>
      <c r="AH36" s="31">
        <v>60.807419354838707</v>
      </c>
      <c r="AI36" s="31">
        <v>7.6009274193548384</v>
      </c>
    </row>
    <row r="37" spans="1:35" x14ac:dyDescent="0.3">
      <c r="A37" s="12" t="s">
        <v>206</v>
      </c>
      <c r="B37" s="12">
        <v>1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1">
        <v>0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</row>
    <row r="38" spans="1:35" x14ac:dyDescent="0.3">
      <c r="A38" s="12" t="s">
        <v>215</v>
      </c>
      <c r="B38" s="12">
        <v>9</v>
      </c>
      <c r="C38" s="31">
        <v>40.29</v>
      </c>
      <c r="D38" s="31">
        <v>57.709999999999994</v>
      </c>
      <c r="E38" s="31">
        <v>52.28</v>
      </c>
      <c r="F38" s="31">
        <v>78.75</v>
      </c>
      <c r="G38" s="31">
        <v>64.31</v>
      </c>
      <c r="H38" s="31">
        <v>85.81</v>
      </c>
      <c r="I38" s="31">
        <v>88.74</v>
      </c>
      <c r="J38" s="31">
        <v>54.43</v>
      </c>
      <c r="K38" s="31">
        <v>46.11</v>
      </c>
      <c r="L38" s="31">
        <v>84.990000000000009</v>
      </c>
      <c r="M38" s="31">
        <v>96.96</v>
      </c>
      <c r="N38" s="31">
        <v>56.74</v>
      </c>
      <c r="O38" s="31">
        <v>71.62</v>
      </c>
      <c r="P38" s="31">
        <v>88.46</v>
      </c>
      <c r="Q38" s="31">
        <v>47.62</v>
      </c>
      <c r="R38" s="31">
        <v>68.47</v>
      </c>
      <c r="S38" s="31">
        <v>50.2</v>
      </c>
      <c r="T38" s="31">
        <v>66.56</v>
      </c>
      <c r="U38" s="31">
        <v>96.85</v>
      </c>
      <c r="V38" s="31">
        <v>79.69</v>
      </c>
      <c r="W38" s="31">
        <v>75.459999999999994</v>
      </c>
      <c r="X38" s="31">
        <v>60.11</v>
      </c>
      <c r="Y38" s="31">
        <v>83.41</v>
      </c>
      <c r="Z38" s="31">
        <v>88.35</v>
      </c>
      <c r="AA38" s="31">
        <v>83.51</v>
      </c>
      <c r="AB38" s="31">
        <v>65.180000000000007</v>
      </c>
      <c r="AC38" s="31">
        <v>96.733000000000004</v>
      </c>
      <c r="AD38" s="31">
        <v>95.927999999999997</v>
      </c>
      <c r="AE38" s="31">
        <v>29.555999999999997</v>
      </c>
      <c r="AF38" s="31">
        <v>58.347000000000001</v>
      </c>
      <c r="AG38" s="31">
        <v>48.844000000000001</v>
      </c>
      <c r="AH38" s="31">
        <v>69.742516129032254</v>
      </c>
      <c r="AI38" s="31">
        <v>8.8166048387096776</v>
      </c>
    </row>
    <row r="39" spans="1:35" x14ac:dyDescent="0.3">
      <c r="A39" s="12" t="s">
        <v>229</v>
      </c>
      <c r="B39" s="12">
        <v>2</v>
      </c>
      <c r="C39" s="31">
        <v>0</v>
      </c>
      <c r="D39" s="31">
        <v>0</v>
      </c>
      <c r="E39" s="31">
        <v>47.37</v>
      </c>
      <c r="F39" s="31">
        <v>0</v>
      </c>
      <c r="G39" s="31">
        <v>2.4500000000000002</v>
      </c>
      <c r="H39" s="31">
        <v>0</v>
      </c>
      <c r="I39" s="31">
        <v>1.79</v>
      </c>
      <c r="J39" s="31">
        <v>0</v>
      </c>
      <c r="K39" s="31">
        <v>4.92</v>
      </c>
      <c r="L39" s="31">
        <v>0</v>
      </c>
      <c r="M39" s="31">
        <v>37.159999999999997</v>
      </c>
      <c r="N39" s="31">
        <v>0</v>
      </c>
      <c r="O39" s="31">
        <v>0</v>
      </c>
      <c r="P39" s="31">
        <v>10.18</v>
      </c>
      <c r="Q39" s="31">
        <v>3.9</v>
      </c>
      <c r="R39" s="31">
        <v>0</v>
      </c>
      <c r="S39" s="31">
        <v>0</v>
      </c>
      <c r="T39" s="31">
        <v>0</v>
      </c>
      <c r="U39" s="31">
        <v>3.78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31">
        <v>0</v>
      </c>
      <c r="AH39" s="31">
        <v>3.5983870967741938</v>
      </c>
      <c r="AI39" s="31">
        <v>1.7991935483870969</v>
      </c>
    </row>
    <row r="40" spans="1:35" x14ac:dyDescent="0.3">
      <c r="A40" s="12" t="s">
        <v>233</v>
      </c>
      <c r="B40" s="12">
        <v>4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</row>
    <row r="41" spans="1:35" x14ac:dyDescent="0.3">
      <c r="A41" s="12" t="s">
        <v>224</v>
      </c>
      <c r="B41" s="12">
        <v>5</v>
      </c>
      <c r="C41" s="31">
        <v>58.7</v>
      </c>
      <c r="D41" s="31">
        <v>42.1</v>
      </c>
      <c r="E41" s="31">
        <v>66.33</v>
      </c>
      <c r="F41" s="31">
        <v>56.66</v>
      </c>
      <c r="G41" s="31">
        <v>49.89</v>
      </c>
      <c r="H41" s="31">
        <v>74.319999999999993</v>
      </c>
      <c r="I41" s="31">
        <v>68.790000000000006</v>
      </c>
      <c r="J41" s="31">
        <v>80.489999999999995</v>
      </c>
      <c r="K41" s="31">
        <v>51.31</v>
      </c>
      <c r="L41" s="31">
        <v>63.21</v>
      </c>
      <c r="M41" s="31">
        <v>81.739999999999995</v>
      </c>
      <c r="N41" s="31">
        <v>87.14</v>
      </c>
      <c r="O41" s="31">
        <v>59.95</v>
      </c>
      <c r="P41" s="31">
        <v>78.84</v>
      </c>
      <c r="Q41" s="31">
        <v>50.99</v>
      </c>
      <c r="R41" s="31">
        <v>73.52</v>
      </c>
      <c r="S41" s="31">
        <v>76.81</v>
      </c>
      <c r="T41" s="31">
        <v>72.78</v>
      </c>
      <c r="U41" s="31">
        <v>65.97</v>
      </c>
      <c r="V41" s="31">
        <v>76.59</v>
      </c>
      <c r="W41" s="31">
        <v>60.55</v>
      </c>
      <c r="X41" s="31">
        <v>59.57</v>
      </c>
      <c r="Y41" s="31">
        <v>45.29</v>
      </c>
      <c r="Z41" s="31">
        <v>61.73</v>
      </c>
      <c r="AA41" s="31">
        <v>64.02</v>
      </c>
      <c r="AB41" s="31">
        <v>47.7</v>
      </c>
      <c r="AC41" s="31">
        <v>50.116</v>
      </c>
      <c r="AD41" s="31">
        <v>61.44</v>
      </c>
      <c r="AE41" s="31">
        <v>65.90100000000001</v>
      </c>
      <c r="AF41" s="31">
        <v>69.573999999999998</v>
      </c>
      <c r="AG41" s="31">
        <v>32.866999999999997</v>
      </c>
      <c r="AH41" s="31">
        <v>63.060903225806456</v>
      </c>
      <c r="AI41" s="31">
        <v>12.612180645161292</v>
      </c>
    </row>
    <row r="42" spans="1:35" x14ac:dyDescent="0.3">
      <c r="A42" s="12" t="s">
        <v>230</v>
      </c>
      <c r="B42" s="12">
        <v>2</v>
      </c>
      <c r="C42" s="31">
        <v>11.59</v>
      </c>
      <c r="D42" s="31">
        <v>0</v>
      </c>
      <c r="E42" s="31">
        <v>2.0499999999999998</v>
      </c>
      <c r="F42" s="31">
        <v>12.92</v>
      </c>
      <c r="G42" s="31">
        <v>0</v>
      </c>
      <c r="H42" s="31">
        <v>0</v>
      </c>
      <c r="I42" s="31">
        <v>8.92</v>
      </c>
      <c r="J42" s="31">
        <v>1.97</v>
      </c>
      <c r="K42" s="31">
        <v>4.26</v>
      </c>
      <c r="L42" s="31">
        <v>7.4</v>
      </c>
      <c r="M42" s="31">
        <v>6.73</v>
      </c>
      <c r="N42" s="31">
        <v>0</v>
      </c>
      <c r="O42" s="31">
        <v>0.25</v>
      </c>
      <c r="P42" s="31">
        <v>9.27</v>
      </c>
      <c r="Q42" s="31">
        <v>0</v>
      </c>
      <c r="R42" s="31">
        <v>4.42</v>
      </c>
      <c r="S42" s="31">
        <v>7.07</v>
      </c>
      <c r="T42" s="31">
        <v>7.67</v>
      </c>
      <c r="U42" s="31">
        <v>0</v>
      </c>
      <c r="V42" s="31">
        <v>4.3899999999999997</v>
      </c>
      <c r="W42" s="31">
        <v>0.25</v>
      </c>
      <c r="X42" s="31">
        <v>7.77</v>
      </c>
      <c r="Y42" s="31">
        <v>0</v>
      </c>
      <c r="Z42" s="31">
        <v>12.2</v>
      </c>
      <c r="AA42" s="31">
        <v>4.6500000000000004</v>
      </c>
      <c r="AB42" s="31">
        <v>0</v>
      </c>
      <c r="AC42" s="31">
        <v>0</v>
      </c>
      <c r="AD42" s="31">
        <v>11.803000000000001</v>
      </c>
      <c r="AE42" s="31">
        <v>11.087999999999999</v>
      </c>
      <c r="AF42" s="31">
        <v>14.202</v>
      </c>
      <c r="AG42" s="31">
        <v>0</v>
      </c>
      <c r="AH42" s="31">
        <v>4.8668709677419351</v>
      </c>
      <c r="AI42" s="31">
        <v>2.4334354838709675</v>
      </c>
    </row>
    <row r="43" spans="1:35" x14ac:dyDescent="0.3">
      <c r="A43" s="12" t="s">
        <v>231</v>
      </c>
      <c r="B43" s="12">
        <v>7</v>
      </c>
      <c r="C43" s="31">
        <v>48.69</v>
      </c>
      <c r="D43" s="31">
        <v>40.159999999999997</v>
      </c>
      <c r="E43" s="31">
        <v>40.630000000000003</v>
      </c>
      <c r="F43" s="31">
        <v>13.49</v>
      </c>
      <c r="G43" s="31">
        <v>0</v>
      </c>
      <c r="H43" s="31">
        <v>45.93</v>
      </c>
      <c r="I43" s="31">
        <v>38.159999999999997</v>
      </c>
      <c r="J43" s="31">
        <v>28.61</v>
      </c>
      <c r="K43" s="31">
        <v>22.53</v>
      </c>
      <c r="L43" s="31">
        <v>5.89</v>
      </c>
      <c r="M43" s="31">
        <v>6.13</v>
      </c>
      <c r="N43" s="31">
        <v>18.920000000000002</v>
      </c>
      <c r="O43" s="31">
        <v>45.11</v>
      </c>
      <c r="P43" s="31">
        <v>33.75</v>
      </c>
      <c r="Q43" s="31">
        <v>26.8</v>
      </c>
      <c r="R43" s="31">
        <v>10.97</v>
      </c>
      <c r="S43" s="31">
        <v>47.52</v>
      </c>
      <c r="T43" s="31">
        <v>16.579999999999998</v>
      </c>
      <c r="U43" s="31">
        <v>0</v>
      </c>
      <c r="V43" s="31">
        <v>41.83</v>
      </c>
      <c r="W43" s="31">
        <v>60.07</v>
      </c>
      <c r="X43" s="31">
        <v>56.87</v>
      </c>
      <c r="Y43" s="31">
        <v>31.51</v>
      </c>
      <c r="Z43" s="31">
        <v>49.05</v>
      </c>
      <c r="AA43" s="31">
        <v>0</v>
      </c>
      <c r="AB43" s="31">
        <v>0</v>
      </c>
      <c r="AC43" s="31">
        <v>46.63</v>
      </c>
      <c r="AD43" s="31">
        <v>31.128999999999998</v>
      </c>
      <c r="AE43" s="31">
        <v>49.238</v>
      </c>
      <c r="AF43" s="31">
        <v>66.265000000000015</v>
      </c>
      <c r="AG43" s="31">
        <v>46.561</v>
      </c>
      <c r="AH43" s="31">
        <v>31.258806451612909</v>
      </c>
      <c r="AI43" s="31">
        <v>5.2098010752688184</v>
      </c>
    </row>
    <row r="44" spans="1:35" x14ac:dyDescent="0.3">
      <c r="A44" s="12" t="s">
        <v>207</v>
      </c>
      <c r="B44" s="12">
        <v>4</v>
      </c>
      <c r="C44" s="31">
        <v>15.97</v>
      </c>
      <c r="D44" s="31">
        <v>3.4</v>
      </c>
      <c r="E44" s="31">
        <v>0</v>
      </c>
      <c r="F44" s="31">
        <v>17.2</v>
      </c>
      <c r="G44" s="31">
        <v>21.52</v>
      </c>
      <c r="H44" s="31">
        <v>13.48</v>
      </c>
      <c r="I44" s="31">
        <v>22.98</v>
      </c>
      <c r="J44" s="31">
        <v>98.12</v>
      </c>
      <c r="K44" s="31">
        <v>40.4</v>
      </c>
      <c r="L44" s="31">
        <v>32.44</v>
      </c>
      <c r="M44" s="31">
        <v>64.38</v>
      </c>
      <c r="N44" s="31">
        <v>33.47</v>
      </c>
      <c r="O44" s="31">
        <v>35.520000000000003</v>
      </c>
      <c r="P44" s="31">
        <v>0</v>
      </c>
      <c r="Q44" s="31">
        <v>2.79</v>
      </c>
      <c r="R44" s="31">
        <v>9.84</v>
      </c>
      <c r="S44" s="31">
        <v>0</v>
      </c>
      <c r="T44" s="31">
        <v>0</v>
      </c>
      <c r="U44" s="31">
        <v>10.029999999999999</v>
      </c>
      <c r="V44" s="31">
        <v>0</v>
      </c>
      <c r="W44" s="31">
        <v>10.59</v>
      </c>
      <c r="X44" s="31">
        <v>84.69</v>
      </c>
      <c r="Y44" s="31">
        <v>89.2</v>
      </c>
      <c r="Z44" s="31">
        <v>53.61</v>
      </c>
      <c r="AA44" s="31">
        <v>92.8</v>
      </c>
      <c r="AB44" s="31">
        <v>24.5</v>
      </c>
      <c r="AC44" s="31">
        <v>21.16</v>
      </c>
      <c r="AD44" s="31">
        <v>41.74</v>
      </c>
      <c r="AE44" s="31">
        <v>28.4</v>
      </c>
      <c r="AF44" s="31">
        <v>14.73</v>
      </c>
      <c r="AG44" s="31">
        <v>51.93</v>
      </c>
      <c r="AH44" s="31">
        <v>30.157741935483866</v>
      </c>
      <c r="AI44" s="31">
        <v>15.078870967741933</v>
      </c>
    </row>
    <row r="45" spans="1:35" x14ac:dyDescent="0.3">
      <c r="A45" s="12" t="s">
        <v>214</v>
      </c>
      <c r="B45" s="12">
        <v>9</v>
      </c>
      <c r="C45" s="31">
        <v>120.13</v>
      </c>
      <c r="D45" s="31">
        <v>162.72</v>
      </c>
      <c r="E45" s="31">
        <v>274.37</v>
      </c>
      <c r="F45" s="31">
        <v>240.61</v>
      </c>
      <c r="G45" s="31">
        <v>280.93</v>
      </c>
      <c r="H45" s="31">
        <v>176.2</v>
      </c>
      <c r="I45" s="31">
        <v>225.17</v>
      </c>
      <c r="J45" s="31">
        <v>224.22</v>
      </c>
      <c r="K45" s="31">
        <v>163.22</v>
      </c>
      <c r="L45" s="31">
        <v>171.28</v>
      </c>
      <c r="M45" s="31">
        <v>240.91</v>
      </c>
      <c r="N45" s="31">
        <v>195.83</v>
      </c>
      <c r="O45" s="31">
        <v>243.73</v>
      </c>
      <c r="P45" s="31">
        <v>177.97</v>
      </c>
      <c r="Q45" s="31">
        <v>232.4</v>
      </c>
      <c r="R45" s="31">
        <v>202.86</v>
      </c>
      <c r="S45" s="31">
        <v>228.67</v>
      </c>
      <c r="T45" s="31">
        <v>193.3</v>
      </c>
      <c r="U45" s="31">
        <v>203.72</v>
      </c>
      <c r="V45" s="31">
        <v>199.34</v>
      </c>
      <c r="W45" s="31">
        <v>205.19</v>
      </c>
      <c r="X45" s="31">
        <v>218.76</v>
      </c>
      <c r="Y45" s="31">
        <v>190.13</v>
      </c>
      <c r="Z45" s="31">
        <v>235.8</v>
      </c>
      <c r="AA45" s="31">
        <v>186.17</v>
      </c>
      <c r="AB45" s="31">
        <v>262.45999999999998</v>
      </c>
      <c r="AC45" s="31">
        <v>585.39099999999996</v>
      </c>
      <c r="AD45" s="31">
        <v>250.34200000000004</v>
      </c>
      <c r="AE45" s="31">
        <v>132.88400000000004</v>
      </c>
      <c r="AF45" s="31">
        <v>214.56000000000009</v>
      </c>
      <c r="AG45" s="31">
        <v>167.274</v>
      </c>
      <c r="AH45" s="31">
        <v>219.56583870967742</v>
      </c>
      <c r="AI45" s="31">
        <v>24.396204301075269</v>
      </c>
    </row>
    <row r="46" spans="1:35" x14ac:dyDescent="0.3">
      <c r="A46" s="12" t="s">
        <v>228</v>
      </c>
      <c r="B46" s="12">
        <v>1</v>
      </c>
      <c r="C46" s="31">
        <v>0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</row>
    <row r="47" spans="1:35" x14ac:dyDescent="0.3">
      <c r="A47" s="12" t="s">
        <v>94</v>
      </c>
      <c r="B47" s="12">
        <v>2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  <c r="AH47" s="31">
        <v>0</v>
      </c>
      <c r="AI47" s="31">
        <v>0</v>
      </c>
    </row>
    <row r="48" spans="1:35" x14ac:dyDescent="0.3">
      <c r="A48" s="12" t="s">
        <v>297</v>
      </c>
      <c r="B48" s="12">
        <v>6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6.96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0.01</v>
      </c>
      <c r="Z48" s="31">
        <v>5.57</v>
      </c>
      <c r="AA48" s="31">
        <v>0</v>
      </c>
      <c r="AB48" s="31">
        <v>0</v>
      </c>
      <c r="AC48" s="31">
        <v>0</v>
      </c>
      <c r="AD48" s="31">
        <v>4.8170000000000002</v>
      </c>
      <c r="AE48" s="31">
        <v>0</v>
      </c>
      <c r="AF48" s="31">
        <v>0</v>
      </c>
      <c r="AG48" s="31">
        <v>0</v>
      </c>
      <c r="AH48" s="31">
        <v>0.55990322580645158</v>
      </c>
      <c r="AI48" s="31">
        <v>9.3317204301075263E-2</v>
      </c>
    </row>
    <row r="49" spans="1:35" x14ac:dyDescent="0.3">
      <c r="A49" s="12" t="s">
        <v>219</v>
      </c>
      <c r="B49" s="12">
        <v>40</v>
      </c>
      <c r="C49" s="31">
        <v>180.24</v>
      </c>
      <c r="D49" s="31">
        <v>218.83</v>
      </c>
      <c r="E49" s="31">
        <v>171.16</v>
      </c>
      <c r="F49" s="31">
        <v>251.78</v>
      </c>
      <c r="G49" s="31">
        <v>361.17</v>
      </c>
      <c r="H49" s="31">
        <v>258.5</v>
      </c>
      <c r="I49" s="31">
        <v>125.07</v>
      </c>
      <c r="J49" s="31">
        <v>141.03</v>
      </c>
      <c r="K49" s="31">
        <v>319.42</v>
      </c>
      <c r="L49" s="31">
        <v>249.84</v>
      </c>
      <c r="M49" s="31">
        <v>307.58</v>
      </c>
      <c r="N49" s="31">
        <v>485.45</v>
      </c>
      <c r="O49" s="31">
        <v>128.13</v>
      </c>
      <c r="P49" s="31">
        <v>363.58</v>
      </c>
      <c r="Q49" s="31">
        <v>367.01</v>
      </c>
      <c r="R49" s="31">
        <v>316.85000000000002</v>
      </c>
      <c r="S49" s="31">
        <v>354.09</v>
      </c>
      <c r="T49" s="31">
        <v>390.47</v>
      </c>
      <c r="U49" s="31">
        <v>450.48</v>
      </c>
      <c r="V49" s="31">
        <v>373.42</v>
      </c>
      <c r="W49" s="31">
        <v>132.88999999999999</v>
      </c>
      <c r="X49" s="31">
        <v>420.78</v>
      </c>
      <c r="Y49" s="31">
        <v>234.82</v>
      </c>
      <c r="Z49" s="31">
        <v>389.47</v>
      </c>
      <c r="AA49" s="31">
        <v>370.66</v>
      </c>
      <c r="AB49" s="31">
        <v>430.36</v>
      </c>
      <c r="AC49" s="31">
        <v>327.93699999999995</v>
      </c>
      <c r="AD49" s="31">
        <v>235.381</v>
      </c>
      <c r="AE49" s="31">
        <v>408.7759999999999</v>
      </c>
      <c r="AF49" s="31">
        <v>344.95500000000004</v>
      </c>
      <c r="AG49" s="31">
        <v>405.61800000000011</v>
      </c>
      <c r="AH49" s="31">
        <v>306.95958064516128</v>
      </c>
      <c r="AI49" s="31">
        <v>7.6739895161290317</v>
      </c>
    </row>
    <row r="50" spans="1:35" x14ac:dyDescent="0.3">
      <c r="A50" s="12" t="s">
        <v>117</v>
      </c>
      <c r="B50" s="12">
        <v>1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</row>
    <row r="51" spans="1:35" x14ac:dyDescent="0.3">
      <c r="A51" s="12" t="s">
        <v>115</v>
      </c>
      <c r="B51" s="12">
        <v>1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</row>
    <row r="52" spans="1:35" x14ac:dyDescent="0.3">
      <c r="A52" s="12" t="s">
        <v>223</v>
      </c>
      <c r="B52" s="12">
        <v>2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0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</row>
    <row r="53" spans="1:35" x14ac:dyDescent="0.3">
      <c r="A53" s="12" t="s">
        <v>208</v>
      </c>
      <c r="B53" s="12">
        <v>10</v>
      </c>
      <c r="C53" s="31">
        <v>94.74</v>
      </c>
      <c r="D53" s="31">
        <v>86.23</v>
      </c>
      <c r="E53" s="31">
        <v>78.83</v>
      </c>
      <c r="F53" s="31">
        <v>78.31</v>
      </c>
      <c r="G53" s="31">
        <v>92.45</v>
      </c>
      <c r="H53" s="31">
        <v>90.05</v>
      </c>
      <c r="I53" s="31">
        <v>76.739999999999995</v>
      </c>
      <c r="J53" s="31">
        <v>95.59</v>
      </c>
      <c r="K53" s="31">
        <v>116.89</v>
      </c>
      <c r="L53" s="31">
        <v>90.62</v>
      </c>
      <c r="M53" s="31">
        <v>94.94</v>
      </c>
      <c r="N53" s="31">
        <v>53.06</v>
      </c>
      <c r="O53" s="31">
        <v>67.5</v>
      </c>
      <c r="P53" s="31">
        <v>42.15</v>
      </c>
      <c r="Q53" s="31">
        <v>54.52</v>
      </c>
      <c r="R53" s="31">
        <v>118.97</v>
      </c>
      <c r="S53" s="31">
        <v>85.89</v>
      </c>
      <c r="T53" s="31">
        <v>30.44</v>
      </c>
      <c r="U53" s="31">
        <v>20.100000000000001</v>
      </c>
      <c r="V53" s="31">
        <v>98.46</v>
      </c>
      <c r="W53" s="31">
        <v>90.68</v>
      </c>
      <c r="X53" s="31">
        <v>86.25</v>
      </c>
      <c r="Y53" s="31">
        <v>58.7</v>
      </c>
      <c r="Z53" s="31">
        <v>86.12</v>
      </c>
      <c r="AA53" s="31">
        <v>78.260000000000005</v>
      </c>
      <c r="AB53" s="31">
        <v>74.09</v>
      </c>
      <c r="AC53" s="31">
        <v>70.272999999999982</v>
      </c>
      <c r="AD53" s="31">
        <v>83.567000000000007</v>
      </c>
      <c r="AE53" s="31">
        <v>133.70099999999999</v>
      </c>
      <c r="AF53" s="31">
        <v>120.846</v>
      </c>
      <c r="AG53" s="31">
        <v>127.42</v>
      </c>
      <c r="AH53" s="31">
        <v>83.109258064516155</v>
      </c>
      <c r="AI53" s="31">
        <v>8.3109258064516158</v>
      </c>
    </row>
    <row r="54" spans="1:35" x14ac:dyDescent="0.3">
      <c r="A54" s="12" t="s">
        <v>244</v>
      </c>
      <c r="B54" s="12">
        <v>3</v>
      </c>
      <c r="C54" s="31">
        <v>2.29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5.65</v>
      </c>
      <c r="V54" s="31">
        <v>2.76</v>
      </c>
      <c r="W54" s="31">
        <v>17.79</v>
      </c>
      <c r="X54" s="31">
        <v>23.01</v>
      </c>
      <c r="Y54" s="31">
        <v>25.73</v>
      </c>
      <c r="Z54" s="31">
        <v>17.93</v>
      </c>
      <c r="AA54" s="31">
        <v>18.82</v>
      </c>
      <c r="AB54" s="31">
        <v>24.95</v>
      </c>
      <c r="AC54" s="31">
        <v>17.100000000000001</v>
      </c>
      <c r="AD54" s="31">
        <v>32.35</v>
      </c>
      <c r="AE54" s="31">
        <v>23.623000000000001</v>
      </c>
      <c r="AF54" s="31">
        <v>40.715000000000003</v>
      </c>
      <c r="AG54" s="31">
        <v>7.585</v>
      </c>
      <c r="AH54" s="31">
        <v>8.3968709677419344</v>
      </c>
      <c r="AI54" s="31">
        <v>4.1984354838709672</v>
      </c>
    </row>
    <row r="55" spans="1:35" x14ac:dyDescent="0.3">
      <c r="A55" s="12" t="s">
        <v>256</v>
      </c>
      <c r="B55" s="12">
        <v>6</v>
      </c>
      <c r="C55" s="31">
        <v>9.25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18.934000000000001</v>
      </c>
      <c r="AD55" s="31">
        <v>0</v>
      </c>
      <c r="AE55" s="31">
        <v>0</v>
      </c>
      <c r="AF55" s="31">
        <v>0</v>
      </c>
      <c r="AG55" s="31">
        <v>0</v>
      </c>
      <c r="AH55" s="31">
        <v>0.90916129032258064</v>
      </c>
      <c r="AI55" s="31">
        <v>0.15152688172043011</v>
      </c>
    </row>
    <row r="56" spans="1:35" x14ac:dyDescent="0.3">
      <c r="A56" s="12" t="s">
        <v>196</v>
      </c>
      <c r="B56" s="12">
        <v>10</v>
      </c>
      <c r="C56" s="31">
        <v>140.16999999999999</v>
      </c>
      <c r="D56" s="31">
        <v>124.66</v>
      </c>
      <c r="E56" s="31">
        <v>123.42</v>
      </c>
      <c r="F56" s="31">
        <v>126.47</v>
      </c>
      <c r="G56" s="31">
        <v>118.16</v>
      </c>
      <c r="H56" s="31">
        <v>144.18</v>
      </c>
      <c r="I56" s="31">
        <v>124.05</v>
      </c>
      <c r="J56" s="31">
        <v>164.94</v>
      </c>
      <c r="K56" s="31">
        <v>142.06</v>
      </c>
      <c r="L56" s="31">
        <v>100.01</v>
      </c>
      <c r="M56" s="31">
        <v>107.82</v>
      </c>
      <c r="N56" s="31">
        <v>106.62</v>
      </c>
      <c r="O56" s="31">
        <v>77.52</v>
      </c>
      <c r="P56" s="31">
        <v>74.7</v>
      </c>
      <c r="Q56" s="31">
        <v>129.35</v>
      </c>
      <c r="R56" s="31">
        <v>117.89</v>
      </c>
      <c r="S56" s="31">
        <v>112.51</v>
      </c>
      <c r="T56" s="31">
        <v>143.68</v>
      </c>
      <c r="U56" s="31">
        <v>130.07</v>
      </c>
      <c r="V56" s="31">
        <v>184.91</v>
      </c>
      <c r="W56" s="31">
        <v>109.44</v>
      </c>
      <c r="X56" s="31">
        <v>180.13</v>
      </c>
      <c r="Y56" s="31">
        <v>115.41</v>
      </c>
      <c r="Z56" s="31">
        <v>141.29</v>
      </c>
      <c r="AA56" s="31">
        <v>124.47</v>
      </c>
      <c r="AB56" s="31">
        <v>150.97</v>
      </c>
      <c r="AC56" s="31">
        <v>125.958</v>
      </c>
      <c r="AD56" s="31">
        <v>184.10699999999997</v>
      </c>
      <c r="AE56" s="31">
        <v>112.60799999999999</v>
      </c>
      <c r="AF56" s="31">
        <v>139.40299999999996</v>
      </c>
      <c r="AG56" s="31">
        <v>104.04899999999999</v>
      </c>
      <c r="AH56" s="31">
        <v>128.42016129032257</v>
      </c>
      <c r="AI56" s="31">
        <v>12.842016129032256</v>
      </c>
    </row>
    <row r="57" spans="1:35" x14ac:dyDescent="0.3">
      <c r="A57" s="12" t="s">
        <v>174</v>
      </c>
      <c r="B57" s="12">
        <v>11</v>
      </c>
      <c r="C57" s="31">
        <v>56.81</v>
      </c>
      <c r="D57" s="31">
        <v>53.44</v>
      </c>
      <c r="E57" s="31">
        <v>85.51</v>
      </c>
      <c r="F57" s="31">
        <v>40.35</v>
      </c>
      <c r="G57" s="31">
        <v>0</v>
      </c>
      <c r="H57" s="31">
        <v>15.77</v>
      </c>
      <c r="I57" s="31">
        <v>131.88</v>
      </c>
      <c r="J57" s="31">
        <v>128.66</v>
      </c>
      <c r="K57" s="31">
        <v>95.63</v>
      </c>
      <c r="L57" s="31">
        <v>33.840000000000003</v>
      </c>
      <c r="M57" s="31">
        <v>74.98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9.19</v>
      </c>
      <c r="W57" s="31">
        <v>30.78</v>
      </c>
      <c r="X57" s="31">
        <v>56.71</v>
      </c>
      <c r="Y57" s="31">
        <v>67.17</v>
      </c>
      <c r="Z57" s="31">
        <v>33.590000000000003</v>
      </c>
      <c r="AA57" s="31">
        <v>79.14</v>
      </c>
      <c r="AB57" s="31">
        <v>84.39</v>
      </c>
      <c r="AC57" s="31">
        <v>92.98</v>
      </c>
      <c r="AD57" s="31">
        <v>75.89</v>
      </c>
      <c r="AE57" s="31">
        <v>99.862000000000009</v>
      </c>
      <c r="AF57" s="31">
        <v>72.068999999999988</v>
      </c>
      <c r="AG57" s="31">
        <v>53.724999999999994</v>
      </c>
      <c r="AH57" s="31">
        <v>47.495677419354841</v>
      </c>
      <c r="AI57" s="31">
        <v>6.2145354838709688</v>
      </c>
    </row>
    <row r="58" spans="1:35" x14ac:dyDescent="0.3">
      <c r="A58" s="12" t="s">
        <v>277</v>
      </c>
      <c r="B58" s="12">
        <v>1</v>
      </c>
      <c r="C58" s="31">
        <v>10.45</v>
      </c>
      <c r="D58" s="31">
        <v>16.96</v>
      </c>
      <c r="E58" s="31">
        <v>9.4499999999999993</v>
      </c>
      <c r="F58" s="31">
        <v>7.55</v>
      </c>
      <c r="G58" s="31">
        <v>12.14</v>
      </c>
      <c r="H58" s="31">
        <v>6.34</v>
      </c>
      <c r="I58" s="31">
        <v>6.55</v>
      </c>
      <c r="J58" s="31">
        <v>22.65</v>
      </c>
      <c r="K58" s="31">
        <v>11.6</v>
      </c>
      <c r="L58" s="31">
        <v>16.420000000000002</v>
      </c>
      <c r="M58" s="31">
        <v>9.1999999999999993</v>
      </c>
      <c r="N58" s="31">
        <v>4.13</v>
      </c>
      <c r="O58" s="31">
        <v>3.42</v>
      </c>
      <c r="P58" s="31">
        <v>4.79</v>
      </c>
      <c r="Q58" s="31">
        <v>13.38</v>
      </c>
      <c r="R58" s="31">
        <v>7.47</v>
      </c>
      <c r="S58" s="31">
        <v>12.11</v>
      </c>
      <c r="T58" s="31">
        <v>7.76</v>
      </c>
      <c r="U58" s="31">
        <v>12.56</v>
      </c>
      <c r="V58" s="31">
        <v>10.01</v>
      </c>
      <c r="W58" s="31">
        <v>6.22</v>
      </c>
      <c r="X58" s="31">
        <v>20.29</v>
      </c>
      <c r="Y58" s="31">
        <v>7.09</v>
      </c>
      <c r="Z58" s="31">
        <v>13.4</v>
      </c>
      <c r="AA58" s="31">
        <v>5.16</v>
      </c>
      <c r="AB58" s="31">
        <v>15.98</v>
      </c>
      <c r="AC58" s="31">
        <v>13.115</v>
      </c>
      <c r="AD58" s="31">
        <v>14.001999999999999</v>
      </c>
      <c r="AE58" s="31">
        <v>10.555</v>
      </c>
      <c r="AF58" s="31">
        <v>19.558</v>
      </c>
      <c r="AG58" s="31">
        <v>6.0430000000000001</v>
      </c>
      <c r="AH58" s="31">
        <v>10.850096774193549</v>
      </c>
      <c r="AI58" s="31">
        <v>10.850096774193549</v>
      </c>
    </row>
    <row r="59" spans="1:35" x14ac:dyDescent="0.3">
      <c r="A59" s="12" t="s">
        <v>204</v>
      </c>
      <c r="B59" s="12">
        <v>6</v>
      </c>
      <c r="C59" s="31">
        <v>22.45</v>
      </c>
      <c r="D59" s="31">
        <v>32.5</v>
      </c>
      <c r="E59" s="31">
        <v>24.04</v>
      </c>
      <c r="F59" s="31">
        <v>29.36</v>
      </c>
      <c r="G59" s="31">
        <v>27.31</v>
      </c>
      <c r="H59" s="31">
        <v>45.35</v>
      </c>
      <c r="I59" s="31">
        <v>25.95</v>
      </c>
      <c r="J59" s="31">
        <v>28.28</v>
      </c>
      <c r="K59" s="31">
        <v>35.630000000000003</v>
      </c>
      <c r="L59" s="31">
        <v>12.42</v>
      </c>
      <c r="M59" s="31">
        <v>13.33</v>
      </c>
      <c r="N59" s="31">
        <v>31.03</v>
      </c>
      <c r="O59" s="31">
        <v>18.8</v>
      </c>
      <c r="P59" s="31">
        <v>1.65</v>
      </c>
      <c r="Q59" s="31">
        <v>28.66</v>
      </c>
      <c r="R59" s="31">
        <v>19.64</v>
      </c>
      <c r="S59" s="31">
        <v>39.020000000000003</v>
      </c>
      <c r="T59" s="31">
        <v>40.25</v>
      </c>
      <c r="U59" s="31">
        <v>31.18</v>
      </c>
      <c r="V59" s="31">
        <v>30.68</v>
      </c>
      <c r="W59" s="31">
        <v>27.75</v>
      </c>
      <c r="X59" s="31">
        <v>24.21</v>
      </c>
      <c r="Y59" s="31">
        <v>36.06</v>
      </c>
      <c r="Z59" s="31">
        <v>29.76</v>
      </c>
      <c r="AA59" s="31">
        <v>32.14</v>
      </c>
      <c r="AB59" s="31">
        <v>23.53</v>
      </c>
      <c r="AC59" s="31">
        <v>26.817</v>
      </c>
      <c r="AD59" s="31">
        <v>22.367000000000001</v>
      </c>
      <c r="AE59" s="31">
        <v>20.643999999999998</v>
      </c>
      <c r="AF59" s="31">
        <v>32.703000000000003</v>
      </c>
      <c r="AG59" s="31">
        <v>30.741</v>
      </c>
      <c r="AH59" s="31">
        <v>27.233935483870962</v>
      </c>
      <c r="AI59" s="31">
        <v>4.538989247311827</v>
      </c>
    </row>
    <row r="60" spans="1:35" x14ac:dyDescent="0.3">
      <c r="A60" s="12" t="s">
        <v>232</v>
      </c>
      <c r="B60" s="12">
        <v>20</v>
      </c>
      <c r="C60" s="31">
        <v>13.34</v>
      </c>
      <c r="D60" s="31">
        <v>2.61</v>
      </c>
      <c r="E60" s="31">
        <v>13.71</v>
      </c>
      <c r="F60" s="31">
        <v>13</v>
      </c>
      <c r="G60" s="31">
        <v>0</v>
      </c>
      <c r="H60" s="31">
        <v>13.81</v>
      </c>
      <c r="I60" s="31">
        <v>6.13</v>
      </c>
      <c r="J60" s="31">
        <v>6.03</v>
      </c>
      <c r="K60" s="31">
        <v>6.98</v>
      </c>
      <c r="L60" s="31">
        <v>19.37</v>
      </c>
      <c r="M60" s="31">
        <v>4.54</v>
      </c>
      <c r="N60" s="31">
        <v>9.75</v>
      </c>
      <c r="O60" s="31">
        <v>9.93</v>
      </c>
      <c r="P60" s="31">
        <v>20.22</v>
      </c>
      <c r="Q60" s="31">
        <v>0.93</v>
      </c>
      <c r="R60" s="31">
        <v>21.73</v>
      </c>
      <c r="S60" s="31">
        <v>20.69</v>
      </c>
      <c r="T60" s="31">
        <v>5.97</v>
      </c>
      <c r="U60" s="31">
        <v>7.14</v>
      </c>
      <c r="V60" s="31">
        <v>8.82</v>
      </c>
      <c r="W60" s="31">
        <v>11.93</v>
      </c>
      <c r="X60" s="31">
        <v>13.05</v>
      </c>
      <c r="Y60" s="31">
        <v>10.76</v>
      </c>
      <c r="Z60" s="31">
        <v>42.85</v>
      </c>
      <c r="AA60" s="31">
        <v>21.96</v>
      </c>
      <c r="AB60" s="31">
        <v>22.6</v>
      </c>
      <c r="AC60" s="31">
        <v>33.445</v>
      </c>
      <c r="AD60" s="31">
        <v>17.904000000000003</v>
      </c>
      <c r="AE60" s="31">
        <v>16.940999999999999</v>
      </c>
      <c r="AF60" s="31">
        <v>15.680999999999999</v>
      </c>
      <c r="AG60" s="31">
        <v>10.003</v>
      </c>
      <c r="AH60" s="31">
        <v>13.607225806451611</v>
      </c>
      <c r="AI60" s="31">
        <v>0.68036129032258053</v>
      </c>
    </row>
    <row r="61" spans="1:35" x14ac:dyDescent="0.3">
      <c r="A61" s="12" t="s">
        <v>264</v>
      </c>
      <c r="B61" s="12">
        <v>3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</row>
    <row r="62" spans="1:35" x14ac:dyDescent="0.3">
      <c r="A62" s="12" t="s">
        <v>271</v>
      </c>
      <c r="B62" s="12">
        <v>9</v>
      </c>
      <c r="C62" s="31">
        <v>0</v>
      </c>
      <c r="D62" s="31">
        <v>0</v>
      </c>
      <c r="E62" s="31">
        <v>0</v>
      </c>
      <c r="F62" s="31">
        <v>8.99</v>
      </c>
      <c r="G62" s="31">
        <v>0</v>
      </c>
      <c r="H62" s="31">
        <v>0</v>
      </c>
      <c r="I62" s="31">
        <v>0</v>
      </c>
      <c r="J62" s="31">
        <v>1.85</v>
      </c>
      <c r="K62" s="31">
        <v>15.14</v>
      </c>
      <c r="L62" s="31">
        <v>6.08</v>
      </c>
      <c r="M62" s="31">
        <v>11.28</v>
      </c>
      <c r="N62" s="31">
        <v>0</v>
      </c>
      <c r="O62" s="31">
        <v>0</v>
      </c>
      <c r="P62" s="31">
        <v>65.23</v>
      </c>
      <c r="Q62" s="31">
        <v>98.24</v>
      </c>
      <c r="R62" s="31">
        <v>116.25</v>
      </c>
      <c r="S62" s="31">
        <v>28.86</v>
      </c>
      <c r="T62" s="31">
        <v>14.43</v>
      </c>
      <c r="U62" s="31">
        <v>0</v>
      </c>
      <c r="V62" s="31">
        <v>70.56</v>
      </c>
      <c r="W62" s="31">
        <v>98.57</v>
      </c>
      <c r="X62" s="31">
        <v>57.32</v>
      </c>
      <c r="Y62" s="31">
        <v>63.870000000000005</v>
      </c>
      <c r="Z62" s="31">
        <v>123.11000000000001</v>
      </c>
      <c r="AA62" s="31">
        <v>39.07</v>
      </c>
      <c r="AB62" s="31">
        <v>24.229999999999997</v>
      </c>
      <c r="AC62" s="31">
        <v>32.75</v>
      </c>
      <c r="AD62" s="31">
        <v>54.9</v>
      </c>
      <c r="AE62" s="31">
        <v>170.07</v>
      </c>
      <c r="AF62" s="31">
        <v>101.80000000000001</v>
      </c>
      <c r="AG62" s="31">
        <v>124.52000000000001</v>
      </c>
      <c r="AH62" s="31">
        <v>42.810322580645163</v>
      </c>
      <c r="AI62" s="31">
        <v>40.693677419354842</v>
      </c>
    </row>
    <row r="63" spans="1:35" x14ac:dyDescent="0.3">
      <c r="A63" s="12" t="s">
        <v>249</v>
      </c>
      <c r="B63" s="12">
        <v>8</v>
      </c>
      <c r="C63" s="31">
        <v>96.16</v>
      </c>
      <c r="D63" s="31">
        <v>161.63</v>
      </c>
      <c r="E63" s="31">
        <v>129.30000000000001</v>
      </c>
      <c r="F63" s="31">
        <v>148.38</v>
      </c>
      <c r="G63" s="31">
        <v>126</v>
      </c>
      <c r="H63" s="31">
        <v>140.03</v>
      </c>
      <c r="I63" s="31">
        <v>140.06</v>
      </c>
      <c r="J63" s="31">
        <v>149.12</v>
      </c>
      <c r="K63" s="31">
        <v>131.74</v>
      </c>
      <c r="L63" s="31">
        <v>132.76</v>
      </c>
      <c r="M63" s="31">
        <v>146.05000000000001</v>
      </c>
      <c r="N63" s="31">
        <v>131.84</v>
      </c>
      <c r="O63" s="31">
        <v>131.55000000000001</v>
      </c>
      <c r="P63" s="31">
        <v>139.26</v>
      </c>
      <c r="Q63" s="31">
        <v>128.12</v>
      </c>
      <c r="R63" s="31">
        <v>168.72</v>
      </c>
      <c r="S63" s="31">
        <v>174.26</v>
      </c>
      <c r="T63" s="31">
        <v>164.13</v>
      </c>
      <c r="U63" s="31">
        <v>149.15</v>
      </c>
      <c r="V63" s="31">
        <v>156.96</v>
      </c>
      <c r="W63" s="31">
        <v>123.86</v>
      </c>
      <c r="X63" s="31">
        <v>135.34</v>
      </c>
      <c r="Y63" s="31">
        <v>180.99</v>
      </c>
      <c r="Z63" s="31">
        <v>146.41999999999999</v>
      </c>
      <c r="AA63" s="31">
        <v>151.65</v>
      </c>
      <c r="AB63" s="31">
        <v>159.35</v>
      </c>
      <c r="AC63" s="31">
        <v>135.92400000000001</v>
      </c>
      <c r="AD63" s="31">
        <v>160.33300000000006</v>
      </c>
      <c r="AE63" s="31">
        <v>133.50200000000004</v>
      </c>
      <c r="AF63" s="31">
        <v>140.17099999999999</v>
      </c>
      <c r="AG63" s="31">
        <v>165.44000000000003</v>
      </c>
      <c r="AH63" s="31">
        <v>144.45806451612901</v>
      </c>
      <c r="AI63" s="31">
        <v>18.057258064516127</v>
      </c>
    </row>
    <row r="64" spans="1:35" x14ac:dyDescent="0.3">
      <c r="A64" s="12" t="s">
        <v>254</v>
      </c>
      <c r="B64" s="12">
        <v>10</v>
      </c>
      <c r="C64" s="31">
        <v>0</v>
      </c>
      <c r="D64" s="31">
        <v>7.68</v>
      </c>
      <c r="E64" s="31">
        <v>13.32</v>
      </c>
      <c r="F64" s="31">
        <v>3.18</v>
      </c>
      <c r="G64" s="31">
        <v>2.78</v>
      </c>
      <c r="H64" s="31">
        <v>2.75</v>
      </c>
      <c r="I64" s="31">
        <v>7.98</v>
      </c>
      <c r="J64" s="31">
        <v>8.82</v>
      </c>
      <c r="K64" s="31">
        <v>26.04</v>
      </c>
      <c r="L64" s="31">
        <v>0.22</v>
      </c>
      <c r="M64" s="31">
        <v>0</v>
      </c>
      <c r="N64" s="31">
        <v>0.28999999999999998</v>
      </c>
      <c r="O64" s="31">
        <v>0.08</v>
      </c>
      <c r="P64" s="31">
        <v>0.88</v>
      </c>
      <c r="Q64" s="31">
        <v>0</v>
      </c>
      <c r="R64" s="31">
        <v>0.81</v>
      </c>
      <c r="S64" s="31">
        <v>0</v>
      </c>
      <c r="T64" s="31">
        <v>7.75</v>
      </c>
      <c r="U64" s="31">
        <v>0.33</v>
      </c>
      <c r="V64" s="31">
        <v>9.41</v>
      </c>
      <c r="W64" s="31">
        <v>9.4</v>
      </c>
      <c r="X64" s="31">
        <v>21.09</v>
      </c>
      <c r="Y64" s="31">
        <v>13.67</v>
      </c>
      <c r="Z64" s="31">
        <v>22.13</v>
      </c>
      <c r="AA64" s="31">
        <v>13.87</v>
      </c>
      <c r="AB64" s="31">
        <v>13.18</v>
      </c>
      <c r="AC64" s="31">
        <v>38.213000000000001</v>
      </c>
      <c r="AD64" s="31">
        <v>29.174999999999997</v>
      </c>
      <c r="AE64" s="31">
        <v>15.19</v>
      </c>
      <c r="AF64" s="31">
        <v>13.164</v>
      </c>
      <c r="AG64" s="31">
        <v>23.648999999999997</v>
      </c>
      <c r="AH64" s="31">
        <v>9.8403548387096773</v>
      </c>
      <c r="AI64" s="31">
        <v>0.98403548387096773</v>
      </c>
    </row>
    <row r="65" spans="1:35" x14ac:dyDescent="0.3">
      <c r="A65" s="12" t="s">
        <v>270</v>
      </c>
      <c r="B65" s="12">
        <v>5</v>
      </c>
      <c r="C65" s="31">
        <v>16.22</v>
      </c>
      <c r="D65" s="31">
        <v>27.66</v>
      </c>
      <c r="E65" s="31">
        <v>51.02</v>
      </c>
      <c r="F65" s="31">
        <v>18.600000000000001</v>
      </c>
      <c r="G65" s="31">
        <v>21.6</v>
      </c>
      <c r="H65" s="31">
        <v>41.72</v>
      </c>
      <c r="I65" s="31">
        <v>22.92</v>
      </c>
      <c r="J65" s="31">
        <v>34.019999999999996</v>
      </c>
      <c r="K65" s="31">
        <v>37.239999999999995</v>
      </c>
      <c r="L65" s="31">
        <v>23.88</v>
      </c>
      <c r="M65" s="31">
        <v>20.89</v>
      </c>
      <c r="N65" s="31">
        <v>26.740000000000002</v>
      </c>
      <c r="O65" s="31">
        <v>23.630000000000003</v>
      </c>
      <c r="P65" s="31">
        <v>18.61</v>
      </c>
      <c r="Q65" s="31">
        <v>27.909999999999997</v>
      </c>
      <c r="R65" s="31">
        <v>17.03</v>
      </c>
      <c r="S65" s="31">
        <v>31.310000000000002</v>
      </c>
      <c r="T65" s="31">
        <v>33.11</v>
      </c>
      <c r="U65" s="31">
        <v>30.310000000000002</v>
      </c>
      <c r="V65" s="31">
        <v>66.669999999999987</v>
      </c>
      <c r="W65" s="31">
        <v>12.79</v>
      </c>
      <c r="X65" s="31">
        <v>33.83</v>
      </c>
      <c r="Y65" s="31">
        <v>17.63</v>
      </c>
      <c r="Z65" s="31">
        <v>30.48</v>
      </c>
      <c r="AA65" s="31">
        <v>16.399999999999999</v>
      </c>
      <c r="AB65" s="31">
        <v>29.21</v>
      </c>
      <c r="AC65" s="31">
        <v>54.69</v>
      </c>
      <c r="AD65" s="31">
        <v>34.28</v>
      </c>
      <c r="AE65" s="31">
        <v>25.08</v>
      </c>
      <c r="AF65" s="31">
        <v>10.31</v>
      </c>
      <c r="AG65" s="31">
        <v>33.72</v>
      </c>
      <c r="AH65" s="31">
        <v>28.693870967741933</v>
      </c>
      <c r="AI65" s="31">
        <v>24.584677419354836</v>
      </c>
    </row>
    <row r="66" spans="1:35" x14ac:dyDescent="0.3">
      <c r="A66" s="12" t="s">
        <v>269</v>
      </c>
      <c r="B66" s="12">
        <v>5</v>
      </c>
      <c r="C66" s="31">
        <v>131.37</v>
      </c>
      <c r="D66" s="31">
        <v>90.27</v>
      </c>
      <c r="E66" s="31">
        <v>137.74</v>
      </c>
      <c r="F66" s="31">
        <v>121.32</v>
      </c>
      <c r="G66" s="31">
        <v>79.48</v>
      </c>
      <c r="H66" s="31">
        <v>114.39</v>
      </c>
      <c r="I66" s="31">
        <v>113.16</v>
      </c>
      <c r="J66" s="31">
        <v>72.930000000000007</v>
      </c>
      <c r="K66" s="31">
        <v>134.83000000000001</v>
      </c>
      <c r="L66" s="31">
        <v>72.88</v>
      </c>
      <c r="M66" s="31">
        <v>150.99</v>
      </c>
      <c r="N66" s="31">
        <v>81.55</v>
      </c>
      <c r="O66" s="31">
        <v>108.29</v>
      </c>
      <c r="P66" s="31">
        <v>23.38</v>
      </c>
      <c r="Q66" s="31">
        <v>114.25</v>
      </c>
      <c r="R66" s="31">
        <v>37.85</v>
      </c>
      <c r="S66" s="31">
        <v>118.93</v>
      </c>
      <c r="T66" s="31">
        <v>73.319999999999993</v>
      </c>
      <c r="U66" s="31">
        <v>104.1</v>
      </c>
      <c r="V66" s="31">
        <v>110.44</v>
      </c>
      <c r="W66" s="31">
        <v>63.57</v>
      </c>
      <c r="X66" s="31">
        <v>63.83</v>
      </c>
      <c r="Y66" s="31">
        <v>92.02</v>
      </c>
      <c r="Z66" s="31">
        <v>134.09</v>
      </c>
      <c r="AA66" s="31">
        <v>126.12</v>
      </c>
      <c r="AB66" s="31">
        <v>70.45</v>
      </c>
      <c r="AC66" s="31">
        <v>132.19900000000001</v>
      </c>
      <c r="AD66" s="31">
        <v>86.796999999999997</v>
      </c>
      <c r="AE66" s="31">
        <v>94.999000000000009</v>
      </c>
      <c r="AF66" s="31">
        <v>151.02800000000002</v>
      </c>
      <c r="AG66" s="31">
        <v>136.35999999999999</v>
      </c>
      <c r="AH66" s="31">
        <v>101.38493548387095</v>
      </c>
      <c r="AI66" s="31">
        <v>20.276987096774189</v>
      </c>
    </row>
    <row r="67" spans="1:35" x14ac:dyDescent="0.3">
      <c r="A67" s="12" t="s">
        <v>203</v>
      </c>
      <c r="B67" s="12">
        <v>27</v>
      </c>
      <c r="C67" s="31">
        <v>332.82</v>
      </c>
      <c r="D67" s="31">
        <v>333.78</v>
      </c>
      <c r="E67" s="31">
        <v>337.61</v>
      </c>
      <c r="F67" s="31">
        <v>327.47999999999996</v>
      </c>
      <c r="G67" s="31">
        <v>372.87</v>
      </c>
      <c r="H67" s="31">
        <v>354.84</v>
      </c>
      <c r="I67" s="31">
        <v>225.7</v>
      </c>
      <c r="J67" s="31">
        <v>384.79</v>
      </c>
      <c r="K67" s="31">
        <v>403.61</v>
      </c>
      <c r="L67" s="31">
        <v>348.54</v>
      </c>
      <c r="M67" s="31">
        <v>374.71000000000004</v>
      </c>
      <c r="N67" s="31">
        <v>379.75</v>
      </c>
      <c r="O67" s="31">
        <v>289.2</v>
      </c>
      <c r="P67" s="31">
        <v>273.95999999999998</v>
      </c>
      <c r="Q67" s="31">
        <v>351.65000000000003</v>
      </c>
      <c r="R67" s="31">
        <v>291.91000000000003</v>
      </c>
      <c r="S67" s="31">
        <v>416</v>
      </c>
      <c r="T67" s="31">
        <v>356.21000000000004</v>
      </c>
      <c r="U67" s="31">
        <v>408.02000000000004</v>
      </c>
      <c r="V67" s="31">
        <v>328.3</v>
      </c>
      <c r="W67" s="31">
        <v>444.71000000000004</v>
      </c>
      <c r="X67" s="31">
        <v>439.6</v>
      </c>
      <c r="Y67" s="31">
        <v>450.52000000000004</v>
      </c>
      <c r="Z67" s="31">
        <v>485.7</v>
      </c>
      <c r="AA67" s="31">
        <v>440.8</v>
      </c>
      <c r="AB67" s="31">
        <v>429.63</v>
      </c>
      <c r="AC67" s="31">
        <v>435.37</v>
      </c>
      <c r="AD67" s="31">
        <v>388.93</v>
      </c>
      <c r="AE67" s="31">
        <v>454.95</v>
      </c>
      <c r="AF67" s="31">
        <v>440.94</v>
      </c>
      <c r="AG67" s="31">
        <v>468.56</v>
      </c>
      <c r="AH67" s="31">
        <v>379.72451612903239</v>
      </c>
      <c r="AI67" s="31">
        <v>28.983172043010761</v>
      </c>
    </row>
    <row r="68" spans="1:35" x14ac:dyDescent="0.3">
      <c r="A68" s="12" t="s">
        <v>283</v>
      </c>
      <c r="B68" s="12">
        <v>5</v>
      </c>
      <c r="C68" s="31">
        <v>16.75</v>
      </c>
      <c r="D68" s="31">
        <v>33.65</v>
      </c>
      <c r="E68" s="31">
        <v>36.42</v>
      </c>
      <c r="F68" s="31">
        <v>27.62</v>
      </c>
      <c r="G68" s="31">
        <v>48.65</v>
      </c>
      <c r="H68" s="31">
        <v>34.770000000000003</v>
      </c>
      <c r="I68" s="31">
        <v>76.94</v>
      </c>
      <c r="J68" s="31">
        <v>56.33</v>
      </c>
      <c r="K68" s="31">
        <v>48.34</v>
      </c>
      <c r="L68" s="31">
        <v>44.16</v>
      </c>
      <c r="M68" s="31">
        <v>45.07</v>
      </c>
      <c r="N68" s="31">
        <v>51.58</v>
      </c>
      <c r="O68" s="31">
        <v>31.57</v>
      </c>
      <c r="P68" s="31">
        <v>15.12</v>
      </c>
      <c r="Q68" s="31">
        <v>45.53</v>
      </c>
      <c r="R68" s="31">
        <v>32.28</v>
      </c>
      <c r="S68" s="31">
        <v>29.97</v>
      </c>
      <c r="T68" s="31">
        <v>40.340000000000003</v>
      </c>
      <c r="U68" s="31">
        <v>40.456000000000003</v>
      </c>
      <c r="V68" s="31">
        <v>53.85</v>
      </c>
      <c r="W68" s="31">
        <v>31.68</v>
      </c>
      <c r="X68" s="31">
        <v>47.7</v>
      </c>
      <c r="Y68" s="31">
        <v>45.06</v>
      </c>
      <c r="Z68" s="31">
        <v>39.18</v>
      </c>
      <c r="AA68" s="31">
        <v>45.22</v>
      </c>
      <c r="AB68" s="31">
        <v>31.67</v>
      </c>
      <c r="AC68" s="31">
        <v>25.274000000000001</v>
      </c>
      <c r="AD68" s="31">
        <v>54.975999999999999</v>
      </c>
      <c r="AE68" s="31">
        <v>57.628000000000007</v>
      </c>
      <c r="AF68" s="31">
        <v>40.368999999999993</v>
      </c>
      <c r="AG68" s="31">
        <v>29.846999999999998</v>
      </c>
      <c r="AH68" s="31">
        <v>40.580645161290313</v>
      </c>
      <c r="AI68" s="31">
        <v>8.1161290322580619</v>
      </c>
    </row>
    <row r="69" spans="1:35" x14ac:dyDescent="0.3">
      <c r="A69" s="12" t="s">
        <v>247</v>
      </c>
      <c r="B69" s="12">
        <v>5</v>
      </c>
      <c r="C69" s="31">
        <v>24.95</v>
      </c>
      <c r="D69" s="31">
        <v>38.369999999999997</v>
      </c>
      <c r="E69" s="31">
        <v>17.23</v>
      </c>
      <c r="F69" s="31">
        <v>31.14</v>
      </c>
      <c r="G69" s="31">
        <v>14.26</v>
      </c>
      <c r="H69" s="31">
        <v>52.53</v>
      </c>
      <c r="I69" s="31">
        <v>15.69</v>
      </c>
      <c r="J69" s="31">
        <v>53.55</v>
      </c>
      <c r="K69" s="31">
        <v>39.18</v>
      </c>
      <c r="L69" s="31">
        <v>28.79</v>
      </c>
      <c r="M69" s="31">
        <v>21.45</v>
      </c>
      <c r="N69" s="31">
        <v>37.14</v>
      </c>
      <c r="O69" s="31">
        <v>2.1</v>
      </c>
      <c r="P69" s="31">
        <v>23.32</v>
      </c>
      <c r="Q69" s="31">
        <v>10.73</v>
      </c>
      <c r="R69" s="31">
        <v>49.8</v>
      </c>
      <c r="S69" s="31">
        <v>41.24</v>
      </c>
      <c r="T69" s="31">
        <v>28.23</v>
      </c>
      <c r="U69" s="31">
        <v>25.15</v>
      </c>
      <c r="V69" s="31">
        <v>5.53</v>
      </c>
      <c r="W69" s="31">
        <v>49.76</v>
      </c>
      <c r="X69" s="31">
        <v>11.87</v>
      </c>
      <c r="Y69" s="31">
        <v>36.96</v>
      </c>
      <c r="Z69" s="31">
        <v>38.130000000000003</v>
      </c>
      <c r="AA69" s="31">
        <v>19.75</v>
      </c>
      <c r="AB69" s="31">
        <v>41.24</v>
      </c>
      <c r="AC69" s="31">
        <v>22.509999999999998</v>
      </c>
      <c r="AD69" s="31">
        <v>28.387</v>
      </c>
      <c r="AE69" s="31">
        <v>32.741</v>
      </c>
      <c r="AF69" s="31">
        <v>32.274000000000001</v>
      </c>
      <c r="AG69" s="31">
        <v>14.530000000000001</v>
      </c>
      <c r="AH69" s="31">
        <v>28.662322580645164</v>
      </c>
      <c r="AI69" s="31">
        <v>5.7324645161290331</v>
      </c>
    </row>
    <row r="70" spans="1:35" x14ac:dyDescent="0.3">
      <c r="A70" s="12" t="s">
        <v>216</v>
      </c>
      <c r="B70" s="12">
        <v>7</v>
      </c>
      <c r="C70" s="31">
        <v>131.72</v>
      </c>
      <c r="D70" s="31">
        <v>137.96</v>
      </c>
      <c r="E70" s="31">
        <v>165.14</v>
      </c>
      <c r="F70" s="31">
        <v>118.8</v>
      </c>
      <c r="G70" s="31">
        <v>205.87</v>
      </c>
      <c r="H70" s="31">
        <v>145.13</v>
      </c>
      <c r="I70" s="31">
        <v>172.22</v>
      </c>
      <c r="J70" s="31">
        <v>109.09</v>
      </c>
      <c r="K70" s="31">
        <v>140.01</v>
      </c>
      <c r="L70" s="31">
        <v>138.32</v>
      </c>
      <c r="M70" s="31">
        <v>169.21</v>
      </c>
      <c r="N70" s="31">
        <v>161.21</v>
      </c>
      <c r="O70" s="31">
        <v>121.11</v>
      </c>
      <c r="P70" s="31">
        <v>124.03</v>
      </c>
      <c r="Q70" s="31">
        <v>128.94999999999999</v>
      </c>
      <c r="R70" s="31">
        <v>155.84</v>
      </c>
      <c r="S70" s="31">
        <v>110.6</v>
      </c>
      <c r="T70" s="31">
        <v>140.66999999999999</v>
      </c>
      <c r="U70" s="31">
        <v>165.56</v>
      </c>
      <c r="V70" s="31">
        <v>154.24</v>
      </c>
      <c r="W70" s="31">
        <v>172.5</v>
      </c>
      <c r="X70" s="31">
        <v>136.84</v>
      </c>
      <c r="Y70" s="31">
        <v>150.16</v>
      </c>
      <c r="Z70" s="31">
        <v>111.49</v>
      </c>
      <c r="AA70" s="31">
        <v>163.61000000000001</v>
      </c>
      <c r="AB70" s="31">
        <v>199.64</v>
      </c>
      <c r="AC70" s="31">
        <v>159.74200000000005</v>
      </c>
      <c r="AD70" s="31">
        <v>213.71800000000007</v>
      </c>
      <c r="AE70" s="31">
        <v>150.85599999999997</v>
      </c>
      <c r="AF70" s="31">
        <v>123.87399999999998</v>
      </c>
      <c r="AG70" s="31">
        <v>169.38900000000004</v>
      </c>
      <c r="AH70" s="31">
        <v>149.91932258064512</v>
      </c>
      <c r="AI70" s="31">
        <v>21.417046082949302</v>
      </c>
    </row>
    <row r="71" spans="1:35" x14ac:dyDescent="0.3">
      <c r="A71" s="12" t="s">
        <v>243</v>
      </c>
      <c r="B71" s="12">
        <v>1</v>
      </c>
      <c r="C71" s="31">
        <v>0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31">
        <v>0</v>
      </c>
      <c r="AD71" s="31">
        <v>0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</row>
    <row r="72" spans="1:35" x14ac:dyDescent="0.3">
      <c r="A72" s="12" t="s">
        <v>234</v>
      </c>
      <c r="B72" s="12">
        <v>8</v>
      </c>
      <c r="C72" s="31">
        <v>0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0</v>
      </c>
      <c r="AC72" s="31">
        <v>0</v>
      </c>
      <c r="AD72" s="31">
        <v>0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</row>
    <row r="73" spans="1:35" x14ac:dyDescent="0.3">
      <c r="A73" s="12" t="s">
        <v>260</v>
      </c>
      <c r="B73" s="12">
        <v>9</v>
      </c>
      <c r="C73" s="31">
        <v>179.62</v>
      </c>
      <c r="D73" s="31">
        <v>165.98</v>
      </c>
      <c r="E73" s="31">
        <v>188.31</v>
      </c>
      <c r="F73" s="31">
        <v>175.68</v>
      </c>
      <c r="G73" s="31">
        <v>156.66</v>
      </c>
      <c r="H73" s="31">
        <v>162.96</v>
      </c>
      <c r="I73" s="31">
        <v>186.49</v>
      </c>
      <c r="J73" s="31">
        <v>184.86</v>
      </c>
      <c r="K73" s="31">
        <v>169.53</v>
      </c>
      <c r="L73" s="31">
        <v>171.53</v>
      </c>
      <c r="M73" s="31">
        <v>189.98</v>
      </c>
      <c r="N73" s="31">
        <v>142.4</v>
      </c>
      <c r="O73" s="31">
        <v>157.86000000000001</v>
      </c>
      <c r="P73" s="31">
        <v>90.3</v>
      </c>
      <c r="Q73" s="31">
        <v>157.47</v>
      </c>
      <c r="R73" s="31">
        <v>121.67</v>
      </c>
      <c r="S73" s="31">
        <v>239.15</v>
      </c>
      <c r="T73" s="31">
        <v>156.66</v>
      </c>
      <c r="U73" s="31">
        <v>143.82</v>
      </c>
      <c r="V73" s="31">
        <v>220.12</v>
      </c>
      <c r="W73" s="31">
        <v>169.61</v>
      </c>
      <c r="X73" s="31">
        <v>156.4</v>
      </c>
      <c r="Y73" s="31">
        <v>154.91</v>
      </c>
      <c r="Z73" s="31">
        <v>172.3</v>
      </c>
      <c r="AA73" s="31">
        <v>152.71</v>
      </c>
      <c r="AB73" s="31">
        <v>132.83000000000001</v>
      </c>
      <c r="AC73" s="31">
        <v>188.22800000000004</v>
      </c>
      <c r="AD73" s="31">
        <v>176.25799999999998</v>
      </c>
      <c r="AE73" s="31">
        <v>168.928</v>
      </c>
      <c r="AF73" s="31">
        <v>198.76800000000011</v>
      </c>
      <c r="AG73" s="31">
        <v>108.76199999999999</v>
      </c>
      <c r="AH73" s="31">
        <v>165.83077419354839</v>
      </c>
      <c r="AI73" s="31">
        <v>18.425641577060933</v>
      </c>
    </row>
    <row r="74" spans="1:35" x14ac:dyDescent="0.3">
      <c r="A74" s="12" t="s">
        <v>110</v>
      </c>
      <c r="B74" s="12">
        <v>1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</v>
      </c>
      <c r="Z74" s="31">
        <v>0</v>
      </c>
      <c r="AA74" s="31">
        <v>0</v>
      </c>
      <c r="AB74" s="31">
        <v>0</v>
      </c>
      <c r="AC74" s="31">
        <v>0</v>
      </c>
      <c r="AD74" s="31">
        <v>0</v>
      </c>
      <c r="AE74" s="31">
        <v>0</v>
      </c>
      <c r="AF74" s="31">
        <v>0</v>
      </c>
      <c r="AG74" s="31">
        <v>0</v>
      </c>
      <c r="AH74" s="31">
        <v>0</v>
      </c>
      <c r="AI74" s="31">
        <v>0</v>
      </c>
    </row>
    <row r="75" spans="1:35" x14ac:dyDescent="0.3">
      <c r="A75" s="12" t="s">
        <v>318</v>
      </c>
      <c r="B75" s="12">
        <v>1</v>
      </c>
      <c r="C75" s="31"/>
      <c r="D75" s="31"/>
      <c r="E75" s="31"/>
      <c r="F75" s="31"/>
      <c r="G75" s="31"/>
      <c r="H75" s="31">
        <v>2.25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31">
        <v>0</v>
      </c>
      <c r="AD75" s="31">
        <v>0</v>
      </c>
      <c r="AE75" s="31">
        <v>0</v>
      </c>
      <c r="AF75" s="31">
        <v>0</v>
      </c>
      <c r="AG75" s="31">
        <v>0</v>
      </c>
      <c r="AH75" s="31">
        <v>8.6538461538461536E-2</v>
      </c>
      <c r="AI75" s="31">
        <v>8.6538461538461536E-2</v>
      </c>
    </row>
    <row r="76" spans="1:35" x14ac:dyDescent="0.3">
      <c r="A76" s="12" t="s">
        <v>323</v>
      </c>
      <c r="B76" s="12">
        <v>3</v>
      </c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>
        <v>15.76</v>
      </c>
      <c r="T76" s="31">
        <v>27.69</v>
      </c>
      <c r="U76" s="31">
        <v>39.25</v>
      </c>
      <c r="V76" s="31">
        <v>16.89</v>
      </c>
      <c r="W76" s="31">
        <v>21.54</v>
      </c>
      <c r="X76" s="31">
        <v>31</v>
      </c>
      <c r="Y76" s="31">
        <v>28.36</v>
      </c>
      <c r="Z76" s="31">
        <v>26.22</v>
      </c>
      <c r="AA76" s="31">
        <v>14.52</v>
      </c>
      <c r="AB76" s="31">
        <v>49.31</v>
      </c>
      <c r="AC76" s="31">
        <v>8.3949999999999996</v>
      </c>
      <c r="AD76" s="31">
        <v>37.529000000000003</v>
      </c>
      <c r="AE76" s="31">
        <v>18.896999999999998</v>
      </c>
      <c r="AF76" s="31">
        <v>33.208999999999996</v>
      </c>
      <c r="AG76" s="31">
        <v>31.670999999999996</v>
      </c>
      <c r="AH76" s="31">
        <v>26.682733333333331</v>
      </c>
      <c r="AI76" s="31">
        <v>8.8942444444444444</v>
      </c>
    </row>
    <row r="77" spans="1:35" x14ac:dyDescent="0.3">
      <c r="A77" s="12" t="s">
        <v>83</v>
      </c>
      <c r="B77" s="12">
        <v>467</v>
      </c>
      <c r="C77" s="31">
        <v>2333.4499999999998</v>
      </c>
      <c r="D77" s="31">
        <v>2621.17</v>
      </c>
      <c r="E77" s="31">
        <v>2958.9700000000003</v>
      </c>
      <c r="F77" s="31">
        <v>2764.7899999999995</v>
      </c>
      <c r="G77" s="31">
        <v>2841.9900000000002</v>
      </c>
      <c r="H77" s="31">
        <v>2748.2599999999998</v>
      </c>
      <c r="I77" s="31">
        <v>2702.17</v>
      </c>
      <c r="J77" s="31">
        <v>3087.21</v>
      </c>
      <c r="K77" s="31">
        <v>3091.8400000000006</v>
      </c>
      <c r="L77" s="31">
        <v>2666.31</v>
      </c>
      <c r="M77" s="31">
        <v>3158.74</v>
      </c>
      <c r="N77" s="31">
        <v>2719.2999999999997</v>
      </c>
      <c r="O77" s="31">
        <v>2079.7399999999998</v>
      </c>
      <c r="P77" s="31">
        <v>2323.4600000000005</v>
      </c>
      <c r="Q77" s="31">
        <v>2722.88</v>
      </c>
      <c r="R77" s="31">
        <v>2731.4100000000003</v>
      </c>
      <c r="S77" s="31">
        <v>3068.6299999999997</v>
      </c>
      <c r="T77" s="31">
        <v>2827.93</v>
      </c>
      <c r="U77" s="31">
        <v>2888.2260000000001</v>
      </c>
      <c r="V77" s="31">
        <v>2999.9300000000007</v>
      </c>
      <c r="W77" s="31">
        <v>2900.7200000000003</v>
      </c>
      <c r="X77" s="31">
        <v>3165.79</v>
      </c>
      <c r="Y77" s="31">
        <v>2935.87</v>
      </c>
      <c r="Z77" s="31">
        <v>3247.95</v>
      </c>
      <c r="AA77" s="31">
        <v>3052.46</v>
      </c>
      <c r="AB77" s="31">
        <v>2972.4499999999994</v>
      </c>
      <c r="AC77" s="31">
        <v>3506.8120000000004</v>
      </c>
      <c r="AD77" s="31">
        <v>3190.9460000000004</v>
      </c>
      <c r="AE77" s="31">
        <v>3234.3459999999995</v>
      </c>
      <c r="AF77" s="31">
        <v>3249.1029999999996</v>
      </c>
      <c r="AG77" s="31">
        <v>3245.7410000000004</v>
      </c>
      <c r="AH77" s="31">
        <v>2918.2564653432596</v>
      </c>
      <c r="AI77" s="31">
        <v>432.05663766366399</v>
      </c>
    </row>
    <row r="97" spans="1:32" x14ac:dyDescent="0.3">
      <c r="A97" s="30" t="s">
        <v>158</v>
      </c>
      <c r="B97" s="12" t="s">
        <v>301</v>
      </c>
      <c r="C97" s="12" t="s">
        <v>302</v>
      </c>
      <c r="D97" s="12" t="s">
        <v>303</v>
      </c>
      <c r="E97" s="12" t="s">
        <v>304</v>
      </c>
      <c r="F97" s="12" t="s">
        <v>305</v>
      </c>
      <c r="G97" s="12" t="s">
        <v>306</v>
      </c>
      <c r="H97" s="12" t="s">
        <v>307</v>
      </c>
      <c r="I97" s="12" t="s">
        <v>308</v>
      </c>
      <c r="J97" s="12" t="s">
        <v>310</v>
      </c>
      <c r="K97" s="12" t="s">
        <v>311</v>
      </c>
      <c r="L97" s="12" t="s">
        <v>312</v>
      </c>
      <c r="M97" s="12" t="s">
        <v>313</v>
      </c>
      <c r="N97" s="12" t="s">
        <v>314</v>
      </c>
      <c r="O97" s="12" t="s">
        <v>315</v>
      </c>
      <c r="P97" s="12" t="s">
        <v>316</v>
      </c>
      <c r="Q97" s="12" t="s">
        <v>317</v>
      </c>
      <c r="R97" s="12" t="s">
        <v>319</v>
      </c>
      <c r="S97" s="12" t="s">
        <v>320</v>
      </c>
      <c r="T97" s="12" t="s">
        <v>321</v>
      </c>
      <c r="U97" s="12" t="s">
        <v>322</v>
      </c>
      <c r="V97" s="12" t="s">
        <v>324</v>
      </c>
      <c r="W97" s="12" t="s">
        <v>325</v>
      </c>
      <c r="X97" s="12" t="s">
        <v>327</v>
      </c>
      <c r="Y97" s="12" t="s">
        <v>326</v>
      </c>
      <c r="Z97" s="12" t="s">
        <v>328</v>
      </c>
      <c r="AA97" s="12" t="s">
        <v>329</v>
      </c>
      <c r="AB97" s="12" t="s">
        <v>330</v>
      </c>
      <c r="AC97" s="12" t="s">
        <v>331</v>
      </c>
      <c r="AD97" s="12" t="s">
        <v>333</v>
      </c>
      <c r="AE97" s="12" t="s">
        <v>332</v>
      </c>
      <c r="AF97" s="12" t="s">
        <v>334</v>
      </c>
    </row>
    <row r="98" spans="1:32" x14ac:dyDescent="0.3">
      <c r="A98" s="12" t="s">
        <v>273</v>
      </c>
      <c r="B98" s="12">
        <v>2153.35</v>
      </c>
      <c r="C98" s="12">
        <v>2456.5899999999992</v>
      </c>
      <c r="D98" s="12">
        <v>2682.6000000000004</v>
      </c>
      <c r="E98" s="12">
        <v>2550.1199999999994</v>
      </c>
      <c r="F98" s="12">
        <v>2672.8100000000004</v>
      </c>
      <c r="G98" s="12">
        <v>2519.25</v>
      </c>
      <c r="H98" s="12">
        <v>2484.35</v>
      </c>
      <c r="I98" s="12">
        <v>2758.38</v>
      </c>
      <c r="J98" s="12">
        <v>2847.5600000000004</v>
      </c>
      <c r="K98" s="12">
        <v>2457.9299999999998</v>
      </c>
      <c r="L98" s="12">
        <v>2863.9400000000005</v>
      </c>
      <c r="M98" s="12">
        <v>2566.17</v>
      </c>
      <c r="N98" s="12">
        <v>1956.1999999999998</v>
      </c>
      <c r="O98" s="12">
        <v>2085.9799999999996</v>
      </c>
      <c r="P98" s="12">
        <v>2469.4699999999993</v>
      </c>
      <c r="Q98" s="12">
        <v>2465.1099999999992</v>
      </c>
      <c r="R98" s="12">
        <v>2797.4399999999996</v>
      </c>
      <c r="S98" s="12">
        <v>2609.56</v>
      </c>
      <c r="T98" s="12">
        <v>2719.3159999999993</v>
      </c>
      <c r="U98" s="12">
        <v>2672.38</v>
      </c>
      <c r="V98" s="12">
        <v>2556.2400000000002</v>
      </c>
      <c r="W98" s="12">
        <v>2801.3000000000006</v>
      </c>
      <c r="X98" s="12">
        <v>2596.0600000000009</v>
      </c>
      <c r="Y98" s="12">
        <v>2837.5800000000008</v>
      </c>
      <c r="Z98" s="12">
        <v>2761.4399999999996</v>
      </c>
      <c r="AA98" s="12">
        <v>2778.1399999999994</v>
      </c>
      <c r="AB98" s="12">
        <v>3199.7320000000009</v>
      </c>
      <c r="AC98" s="12">
        <v>2851.1559999999995</v>
      </c>
      <c r="AD98" s="12">
        <v>2818.5079999999998</v>
      </c>
      <c r="AE98" s="12">
        <v>2907.6510000000007</v>
      </c>
      <c r="AF98" s="12">
        <v>2881.011</v>
      </c>
    </row>
    <row r="99" spans="1:32" x14ac:dyDescent="0.3">
      <c r="A99" s="12" t="s">
        <v>160</v>
      </c>
      <c r="B99" s="12">
        <v>180.1</v>
      </c>
      <c r="C99" s="12">
        <v>164.58</v>
      </c>
      <c r="D99" s="12">
        <v>276.37</v>
      </c>
      <c r="E99" s="12">
        <v>214.67000000000002</v>
      </c>
      <c r="F99" s="12">
        <v>169.18</v>
      </c>
      <c r="G99" s="12">
        <v>226.76</v>
      </c>
      <c r="H99" s="12">
        <v>217.81999999999996</v>
      </c>
      <c r="I99" s="12">
        <v>328.83000000000004</v>
      </c>
      <c r="J99" s="12">
        <v>244.27999999999994</v>
      </c>
      <c r="K99" s="12">
        <v>208.37999999999997</v>
      </c>
      <c r="L99" s="12">
        <v>294.8</v>
      </c>
      <c r="M99" s="12">
        <v>153.13</v>
      </c>
      <c r="N99" s="12">
        <v>123.54</v>
      </c>
      <c r="O99" s="12">
        <v>237.48</v>
      </c>
      <c r="P99" s="12">
        <v>253.41000000000003</v>
      </c>
      <c r="Q99" s="12">
        <v>266.29999999999995</v>
      </c>
      <c r="R99" s="12">
        <v>271.19</v>
      </c>
      <c r="S99" s="12">
        <v>218.37</v>
      </c>
      <c r="T99" s="12">
        <v>168.91</v>
      </c>
      <c r="U99" s="12">
        <v>327.54999999999995</v>
      </c>
      <c r="V99" s="12">
        <v>344.48</v>
      </c>
      <c r="W99" s="12">
        <v>364.48999999999995</v>
      </c>
      <c r="X99" s="12">
        <v>339.81</v>
      </c>
      <c r="Y99" s="12">
        <v>410.37000000000006</v>
      </c>
      <c r="Z99" s="12">
        <v>291.01999999999992</v>
      </c>
      <c r="AA99" s="12">
        <v>194.31</v>
      </c>
      <c r="AB99" s="12">
        <v>307.08000000000004</v>
      </c>
      <c r="AC99" s="12">
        <v>339.79</v>
      </c>
      <c r="AD99" s="12">
        <v>415.83800000000008</v>
      </c>
      <c r="AE99" s="12">
        <v>341.452</v>
      </c>
      <c r="AF99" s="12">
        <v>364.73</v>
      </c>
    </row>
    <row r="100" spans="1:32" x14ac:dyDescent="0.3">
      <c r="A100" s="12" t="s">
        <v>272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2.25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</row>
    <row r="101" spans="1:32" x14ac:dyDescent="0.3">
      <c r="A101" s="12" t="s">
        <v>83</v>
      </c>
      <c r="B101" s="12">
        <v>2333.4499999999998</v>
      </c>
      <c r="C101" s="12">
        <v>2621.1699999999992</v>
      </c>
      <c r="D101" s="12">
        <v>2958.9700000000003</v>
      </c>
      <c r="E101" s="12">
        <v>2764.7899999999995</v>
      </c>
      <c r="F101" s="12">
        <v>2841.9900000000002</v>
      </c>
      <c r="G101" s="12">
        <v>2748.26</v>
      </c>
      <c r="H101" s="12">
        <v>2702.17</v>
      </c>
      <c r="I101" s="12">
        <v>3087.21</v>
      </c>
      <c r="J101" s="12">
        <v>3091.84</v>
      </c>
      <c r="K101" s="12">
        <v>2666.31</v>
      </c>
      <c r="L101" s="12">
        <v>3158.7400000000007</v>
      </c>
      <c r="M101" s="12">
        <v>2719.3</v>
      </c>
      <c r="N101" s="12">
        <v>2079.7399999999998</v>
      </c>
      <c r="O101" s="12">
        <v>2323.4599999999996</v>
      </c>
      <c r="P101" s="12">
        <v>2722.8799999999992</v>
      </c>
      <c r="Q101" s="12">
        <v>2731.4099999999989</v>
      </c>
      <c r="R101" s="12">
        <v>3068.6299999999997</v>
      </c>
      <c r="S101" s="12">
        <v>2827.93</v>
      </c>
      <c r="T101" s="12">
        <v>2888.2259999999992</v>
      </c>
      <c r="U101" s="12">
        <v>2999.9300000000003</v>
      </c>
      <c r="V101" s="12">
        <v>2900.7200000000003</v>
      </c>
      <c r="W101" s="12">
        <v>3165.7900000000004</v>
      </c>
      <c r="X101" s="12">
        <v>2935.8700000000008</v>
      </c>
      <c r="Y101" s="12">
        <v>3247.9500000000007</v>
      </c>
      <c r="Z101" s="12">
        <v>3052.4599999999996</v>
      </c>
      <c r="AA101" s="12">
        <v>2972.4499999999994</v>
      </c>
      <c r="AB101" s="12">
        <v>3506.8120000000008</v>
      </c>
      <c r="AC101" s="12">
        <v>3190.9459999999995</v>
      </c>
      <c r="AD101" s="12">
        <v>3234.346</v>
      </c>
      <c r="AE101" s="12">
        <v>3249.103000000001</v>
      </c>
      <c r="AF101" s="12">
        <v>3245.741</v>
      </c>
    </row>
  </sheetData>
  <pageMargins left="0.7" right="0.7" top="0.75" bottom="0.75" header="0.3" footer="0.3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R98"/>
  <sheetViews>
    <sheetView topLeftCell="A82" zoomScaleNormal="100" workbookViewId="0">
      <pane xSplit="8" topLeftCell="AI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10" width="14" customWidth="1"/>
    <col min="11" max="11" width="10.44140625" style="28" bestFit="1" customWidth="1"/>
    <col min="12" max="12" width="10.44140625" style="27" bestFit="1" customWidth="1"/>
    <col min="13" max="13" width="10.44140625" style="28" bestFit="1" customWidth="1"/>
    <col min="14" max="14" width="10.44140625" bestFit="1" customWidth="1"/>
    <col min="15" max="15" width="10.5546875" customWidth="1"/>
    <col min="16" max="16" width="10.88671875" customWidth="1"/>
    <col min="17" max="17" width="10.44140625" bestFit="1" customWidth="1"/>
    <col min="18" max="19" width="11" customWidth="1"/>
    <col min="20" max="39" width="10.44140625" bestFit="1" customWidth="1"/>
    <col min="40" max="42" width="10.44140625" customWidth="1"/>
    <col min="44" max="44" width="10.33203125" customWidth="1"/>
  </cols>
  <sheetData>
    <row r="1" spans="1:44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"/>
      <c r="K1" s="16">
        <v>45413</v>
      </c>
      <c r="L1" s="16">
        <v>45414</v>
      </c>
      <c r="M1" s="16">
        <v>45415</v>
      </c>
      <c r="N1" s="16">
        <v>45416</v>
      </c>
      <c r="O1" s="16">
        <v>45417</v>
      </c>
      <c r="P1" s="16">
        <v>45418</v>
      </c>
      <c r="Q1" s="16">
        <v>45419</v>
      </c>
      <c r="R1" s="16">
        <v>45420</v>
      </c>
      <c r="S1" s="16">
        <v>45421</v>
      </c>
      <c r="T1" s="16">
        <v>45422</v>
      </c>
      <c r="U1" s="16">
        <v>45423</v>
      </c>
      <c r="V1" s="16">
        <v>45424</v>
      </c>
      <c r="W1" s="16">
        <v>45425</v>
      </c>
      <c r="X1" s="16">
        <v>45426</v>
      </c>
      <c r="Y1" s="16">
        <v>45427</v>
      </c>
      <c r="Z1" s="16">
        <v>45428</v>
      </c>
      <c r="AA1" s="16">
        <v>45429</v>
      </c>
      <c r="AB1" s="16">
        <v>45430</v>
      </c>
      <c r="AC1" s="16">
        <v>45431</v>
      </c>
      <c r="AD1" s="16">
        <v>45432</v>
      </c>
      <c r="AE1" s="16">
        <v>45433</v>
      </c>
      <c r="AF1" s="16">
        <v>45434</v>
      </c>
      <c r="AG1" s="16">
        <v>45435</v>
      </c>
      <c r="AH1" s="16">
        <v>45436</v>
      </c>
      <c r="AI1" s="16">
        <v>45437</v>
      </c>
      <c r="AJ1" s="16">
        <v>45438</v>
      </c>
      <c r="AK1" s="16">
        <v>45439</v>
      </c>
      <c r="AL1" s="16">
        <v>45440</v>
      </c>
      <c r="AM1" s="16">
        <v>45441</v>
      </c>
      <c r="AN1" s="16">
        <v>45442</v>
      </c>
      <c r="AO1" s="16">
        <v>45443</v>
      </c>
      <c r="AP1" s="16"/>
      <c r="AQ1" s="13" t="s">
        <v>8</v>
      </c>
      <c r="AR1" s="66" t="s">
        <v>154</v>
      </c>
    </row>
    <row r="2" spans="1:44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67"/>
      <c r="K2" s="46">
        <v>0</v>
      </c>
      <c r="L2" s="45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59">
        <v>0</v>
      </c>
      <c r="Y2" s="46">
        <v>0</v>
      </c>
      <c r="Z2" s="46">
        <v>0</v>
      </c>
      <c r="AA2" s="46">
        <v>0</v>
      </c>
      <c r="AB2" s="46">
        <v>0</v>
      </c>
      <c r="AC2" s="53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60">
        <v>0</v>
      </c>
      <c r="AK2" s="46">
        <v>0</v>
      </c>
      <c r="AL2" s="46">
        <v>0</v>
      </c>
      <c r="AM2" s="46">
        <v>0</v>
      </c>
      <c r="AN2" s="46">
        <v>0</v>
      </c>
      <c r="AO2" s="46">
        <v>0</v>
      </c>
      <c r="AP2" s="46"/>
      <c r="AQ2" s="46">
        <f t="shared" ref="AQ2:AQ33" si="0">AVERAGE(K2:AO2)</f>
        <v>0</v>
      </c>
      <c r="AR2" s="67">
        <f t="shared" ref="AR2:AR33" si="1">AQ2/H2</f>
        <v>0</v>
      </c>
    </row>
    <row r="3" spans="1:44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67"/>
      <c r="K3" s="46">
        <v>59.31</v>
      </c>
      <c r="L3" s="45">
        <v>68.95</v>
      </c>
      <c r="M3" s="46">
        <v>103.14</v>
      </c>
      <c r="N3" s="46">
        <v>104.23</v>
      </c>
      <c r="O3" s="46">
        <v>99.06</v>
      </c>
      <c r="P3" s="46">
        <v>98.19</v>
      </c>
      <c r="Q3" s="46">
        <v>87.73</v>
      </c>
      <c r="R3" s="46">
        <v>147.72999999999999</v>
      </c>
      <c r="S3" s="46">
        <v>98.94</v>
      </c>
      <c r="T3" s="46">
        <v>110.44</v>
      </c>
      <c r="U3" s="46">
        <v>102.85</v>
      </c>
      <c r="V3" s="46">
        <v>56.85</v>
      </c>
      <c r="W3" s="46">
        <v>12.76</v>
      </c>
      <c r="X3" s="46">
        <v>49.99</v>
      </c>
      <c r="Y3" s="46">
        <v>64.62</v>
      </c>
      <c r="Z3" s="46">
        <v>71.47</v>
      </c>
      <c r="AA3" s="46">
        <v>107.83</v>
      </c>
      <c r="AB3" s="46">
        <v>105.89</v>
      </c>
      <c r="AC3" s="53">
        <v>87.07</v>
      </c>
      <c r="AD3" s="60">
        <v>100.89</v>
      </c>
      <c r="AE3" s="60">
        <v>105.4</v>
      </c>
      <c r="AF3" s="60">
        <v>74.209999999999994</v>
      </c>
      <c r="AG3" s="60">
        <v>84.24</v>
      </c>
      <c r="AH3" s="54">
        <v>87.15</v>
      </c>
      <c r="AI3" s="46">
        <v>90.74</v>
      </c>
      <c r="AJ3" s="46">
        <v>57.98</v>
      </c>
      <c r="AK3" s="46">
        <v>102.24</v>
      </c>
      <c r="AL3" s="46">
        <v>98.97499999999998</v>
      </c>
      <c r="AM3" s="46">
        <v>95.234999999999999</v>
      </c>
      <c r="AN3" s="46">
        <v>71.910000000000011</v>
      </c>
      <c r="AO3" s="46">
        <v>74.730999999999995</v>
      </c>
      <c r="AP3" s="46"/>
      <c r="AQ3" s="46">
        <f t="shared" si="0"/>
        <v>86.47583870967739</v>
      </c>
      <c r="AR3" s="67">
        <f t="shared" si="1"/>
        <v>9.6084265232974886</v>
      </c>
    </row>
    <row r="4" spans="1:44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67"/>
      <c r="K4" s="46">
        <v>20.88</v>
      </c>
      <c r="L4" s="45">
        <v>14.91</v>
      </c>
      <c r="M4" s="46">
        <v>24.32</v>
      </c>
      <c r="N4" s="46">
        <v>25.57</v>
      </c>
      <c r="O4" s="46">
        <v>21.82</v>
      </c>
      <c r="P4" s="46">
        <v>20.8</v>
      </c>
      <c r="Q4" s="46">
        <v>26.31</v>
      </c>
      <c r="R4" s="46">
        <v>4.72</v>
      </c>
      <c r="S4" s="46">
        <v>18.3</v>
      </c>
      <c r="T4" s="46">
        <v>13.71</v>
      </c>
      <c r="U4" s="46">
        <v>24.62</v>
      </c>
      <c r="V4" s="46">
        <v>12.71</v>
      </c>
      <c r="W4" s="46">
        <v>0</v>
      </c>
      <c r="X4" s="46">
        <v>27.06</v>
      </c>
      <c r="Y4" s="46">
        <v>19.760000000000002</v>
      </c>
      <c r="Z4" s="46">
        <v>23.54</v>
      </c>
      <c r="AA4" s="46">
        <v>24.38</v>
      </c>
      <c r="AB4" s="46">
        <v>30.44</v>
      </c>
      <c r="AC4" s="53">
        <v>20.100000000000001</v>
      </c>
      <c r="AD4" s="60">
        <v>20.28</v>
      </c>
      <c r="AE4" s="60">
        <v>23.59</v>
      </c>
      <c r="AF4" s="60">
        <v>11.89</v>
      </c>
      <c r="AG4" s="60">
        <v>25.17</v>
      </c>
      <c r="AH4" s="54">
        <v>24.42</v>
      </c>
      <c r="AI4" s="46">
        <v>14.58</v>
      </c>
      <c r="AJ4" s="46">
        <v>26.17</v>
      </c>
      <c r="AK4" s="46">
        <v>18.09</v>
      </c>
      <c r="AL4" s="46">
        <v>21.634</v>
      </c>
      <c r="AM4" s="46">
        <v>0</v>
      </c>
      <c r="AN4" s="46">
        <v>0</v>
      </c>
      <c r="AO4" s="46">
        <v>0</v>
      </c>
      <c r="AP4" s="46"/>
      <c r="AQ4" s="46">
        <f t="shared" si="0"/>
        <v>18.057225806451616</v>
      </c>
      <c r="AR4" s="67">
        <f t="shared" si="1"/>
        <v>6.0190752688172049</v>
      </c>
    </row>
    <row r="5" spans="1:44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74"/>
      <c r="K5" s="46">
        <v>37.47</v>
      </c>
      <c r="L5" s="45">
        <v>65.02</v>
      </c>
      <c r="M5" s="45">
        <v>88.97</v>
      </c>
      <c r="N5" s="45">
        <v>42.72</v>
      </c>
      <c r="O5" s="45">
        <v>55.41</v>
      </c>
      <c r="P5" s="45">
        <v>46.66</v>
      </c>
      <c r="Q5" s="45">
        <v>48.4</v>
      </c>
      <c r="R5" s="45">
        <v>91.1</v>
      </c>
      <c r="S5" s="45">
        <v>68.099999999999994</v>
      </c>
      <c r="T5" s="46">
        <v>77.459999999999994</v>
      </c>
      <c r="U5" s="46">
        <v>57.05</v>
      </c>
      <c r="V5" s="46">
        <v>69.72</v>
      </c>
      <c r="W5" s="46">
        <v>30.06</v>
      </c>
      <c r="X5" s="46">
        <v>45</v>
      </c>
      <c r="Y5" s="46">
        <v>67.83</v>
      </c>
      <c r="Z5" s="46">
        <v>40.4</v>
      </c>
      <c r="AA5" s="46">
        <v>79.489999999999995</v>
      </c>
      <c r="AB5" s="46">
        <v>63.15</v>
      </c>
      <c r="AC5" s="46">
        <v>56.44</v>
      </c>
      <c r="AD5" s="46">
        <v>62.6</v>
      </c>
      <c r="AE5" s="46">
        <v>75.17</v>
      </c>
      <c r="AF5" s="62">
        <v>60.15</v>
      </c>
      <c r="AG5" s="46">
        <v>47.14</v>
      </c>
      <c r="AH5" s="46">
        <v>46.41</v>
      </c>
      <c r="AI5" s="46">
        <v>63.87</v>
      </c>
      <c r="AJ5" s="46">
        <v>41.64</v>
      </c>
      <c r="AK5" s="46">
        <v>64.340999999999994</v>
      </c>
      <c r="AL5" s="46">
        <v>78.75</v>
      </c>
      <c r="AM5" s="46">
        <v>56.146000000000001</v>
      </c>
      <c r="AN5" s="46">
        <v>95.63</v>
      </c>
      <c r="AO5" s="46">
        <v>62.762999999999998</v>
      </c>
      <c r="AP5" s="46"/>
      <c r="AQ5" s="46">
        <f t="shared" si="0"/>
        <v>60.80838709677419</v>
      </c>
      <c r="AR5" s="67">
        <f t="shared" si="1"/>
        <v>7.6010483870967738</v>
      </c>
    </row>
    <row r="6" spans="1:44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24</v>
      </c>
      <c r="I6" s="74" t="s">
        <v>273</v>
      </c>
      <c r="J6" s="74"/>
      <c r="K6" s="46">
        <v>320.45</v>
      </c>
      <c r="L6" s="45">
        <v>320.26</v>
      </c>
      <c r="M6" s="45">
        <v>320</v>
      </c>
      <c r="N6" s="45">
        <v>310.52</v>
      </c>
      <c r="O6" s="45">
        <v>350.07</v>
      </c>
      <c r="P6" s="45">
        <v>339.88</v>
      </c>
      <c r="Q6" s="45">
        <v>225.7</v>
      </c>
      <c r="R6" s="45">
        <v>364</v>
      </c>
      <c r="S6" s="45">
        <v>387.61</v>
      </c>
      <c r="T6" s="45">
        <v>342.56</v>
      </c>
      <c r="U6" s="46">
        <v>357.67</v>
      </c>
      <c r="V6" s="46">
        <v>367.66</v>
      </c>
      <c r="W6" s="46">
        <v>280.7</v>
      </c>
      <c r="X6" s="46">
        <v>249.9</v>
      </c>
      <c r="Y6" s="46">
        <v>336.93</v>
      </c>
      <c r="Z6" s="46">
        <v>285.5</v>
      </c>
      <c r="AA6" s="46">
        <v>396.47</v>
      </c>
      <c r="AB6" s="46">
        <v>346.05</v>
      </c>
      <c r="AC6" s="46">
        <v>397.17</v>
      </c>
      <c r="AD6" s="46">
        <v>321.8</v>
      </c>
      <c r="AE6" s="46">
        <v>435.98</v>
      </c>
      <c r="AF6" s="46">
        <v>435.99</v>
      </c>
      <c r="AG6" s="46">
        <v>438.86</v>
      </c>
      <c r="AH6" s="46">
        <v>465.95</v>
      </c>
      <c r="AI6" s="46">
        <v>421.26</v>
      </c>
      <c r="AJ6" s="46">
        <v>405.68</v>
      </c>
      <c r="AK6" s="46">
        <v>419.61</v>
      </c>
      <c r="AL6" s="46">
        <v>381.95</v>
      </c>
      <c r="AM6" s="46">
        <v>441.67</v>
      </c>
      <c r="AN6" s="46">
        <v>435.11</v>
      </c>
      <c r="AO6" s="46">
        <v>442.76</v>
      </c>
      <c r="AP6" s="46"/>
      <c r="AQ6" s="46">
        <f t="shared" si="0"/>
        <v>365.99096774193561</v>
      </c>
      <c r="AR6" s="67">
        <f t="shared" si="1"/>
        <v>15.249623655913984</v>
      </c>
    </row>
    <row r="7" spans="1:44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74"/>
      <c r="K7" s="46">
        <v>12.37</v>
      </c>
      <c r="L7" s="45">
        <v>13.52</v>
      </c>
      <c r="M7" s="46">
        <v>17.61</v>
      </c>
      <c r="N7" s="46">
        <v>16.96</v>
      </c>
      <c r="O7" s="46">
        <v>22.8</v>
      </c>
      <c r="P7" s="46">
        <v>14.96</v>
      </c>
      <c r="Q7" s="46">
        <v>0</v>
      </c>
      <c r="R7" s="46">
        <v>20.79</v>
      </c>
      <c r="S7" s="46">
        <v>16</v>
      </c>
      <c r="T7" s="46">
        <v>5.98</v>
      </c>
      <c r="U7" s="46">
        <v>17.04</v>
      </c>
      <c r="V7" s="46">
        <v>12.09</v>
      </c>
      <c r="W7" s="46">
        <v>8.5</v>
      </c>
      <c r="X7" s="46">
        <v>24.06</v>
      </c>
      <c r="Y7" s="46">
        <v>14.72</v>
      </c>
      <c r="Z7" s="46">
        <v>6.41</v>
      </c>
      <c r="AA7" s="46">
        <v>19.53</v>
      </c>
      <c r="AB7" s="46">
        <v>10.16</v>
      </c>
      <c r="AC7" s="53">
        <v>10.85</v>
      </c>
      <c r="AD7" s="46">
        <v>6.5</v>
      </c>
      <c r="AE7" s="46">
        <v>8.73</v>
      </c>
      <c r="AF7" s="46">
        <v>4.28</v>
      </c>
      <c r="AG7" s="60">
        <v>11.66</v>
      </c>
      <c r="AH7" s="54">
        <v>19.75</v>
      </c>
      <c r="AI7" s="46">
        <v>19.54</v>
      </c>
      <c r="AJ7" s="46">
        <v>23.95</v>
      </c>
      <c r="AK7" s="46">
        <v>20.67</v>
      </c>
      <c r="AL7" s="46">
        <v>6.98</v>
      </c>
      <c r="AM7" s="46">
        <v>13.28</v>
      </c>
      <c r="AN7" s="46">
        <v>5.83</v>
      </c>
      <c r="AO7" s="46">
        <v>25.8</v>
      </c>
      <c r="AP7" s="46"/>
      <c r="AQ7" s="46">
        <f t="shared" si="0"/>
        <v>13.913548387096775</v>
      </c>
      <c r="AR7" s="67">
        <f t="shared" si="1"/>
        <v>13.913548387096775</v>
      </c>
    </row>
    <row r="8" spans="1:44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124</v>
      </c>
      <c r="G8" s="6" t="s">
        <v>80</v>
      </c>
      <c r="H8" s="5">
        <v>2</v>
      </c>
      <c r="I8" s="74" t="s">
        <v>273</v>
      </c>
      <c r="J8" s="74"/>
      <c r="K8" s="46">
        <v>0</v>
      </c>
      <c r="L8" s="45">
        <v>0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v>0</v>
      </c>
      <c r="AP8" s="46"/>
      <c r="AQ8" s="46">
        <f t="shared" si="0"/>
        <v>0</v>
      </c>
      <c r="AR8" s="67">
        <f t="shared" si="1"/>
        <v>0</v>
      </c>
    </row>
    <row r="9" spans="1:44" ht="15.6" x14ac:dyDescent="0.3">
      <c r="A9" s="5">
        <v>8</v>
      </c>
      <c r="B9" s="6" t="s">
        <v>9</v>
      </c>
      <c r="C9" s="12" t="s">
        <v>204</v>
      </c>
      <c r="D9" s="6" t="s">
        <v>128</v>
      </c>
      <c r="E9" s="6" t="s">
        <v>12</v>
      </c>
      <c r="F9" s="6" t="s">
        <v>13</v>
      </c>
      <c r="G9" s="6" t="s">
        <v>35</v>
      </c>
      <c r="H9" s="5">
        <v>6</v>
      </c>
      <c r="I9" s="74" t="s">
        <v>273</v>
      </c>
      <c r="J9" s="74"/>
      <c r="K9" s="46">
        <v>22.45</v>
      </c>
      <c r="L9" s="45">
        <v>32.5</v>
      </c>
      <c r="M9" s="46">
        <v>24.04</v>
      </c>
      <c r="N9" s="46">
        <v>29.36</v>
      </c>
      <c r="O9" s="46">
        <v>27.31</v>
      </c>
      <c r="P9" s="46">
        <v>45.35</v>
      </c>
      <c r="Q9" s="46">
        <v>25.95</v>
      </c>
      <c r="R9" s="46">
        <v>28.28</v>
      </c>
      <c r="S9" s="46">
        <v>35.630000000000003</v>
      </c>
      <c r="T9" s="46">
        <v>12.42</v>
      </c>
      <c r="U9" s="46">
        <v>13.33</v>
      </c>
      <c r="V9" s="46">
        <v>31.03</v>
      </c>
      <c r="W9" s="46">
        <v>18.8</v>
      </c>
      <c r="X9" s="46">
        <v>1.65</v>
      </c>
      <c r="Y9" s="46">
        <v>28.66</v>
      </c>
      <c r="Z9" s="46">
        <v>19.64</v>
      </c>
      <c r="AA9" s="46">
        <v>39.020000000000003</v>
      </c>
      <c r="AB9" s="46">
        <v>40.25</v>
      </c>
      <c r="AC9" s="53">
        <v>31.18</v>
      </c>
      <c r="AD9" s="60">
        <v>30.68</v>
      </c>
      <c r="AE9" s="60">
        <v>27.75</v>
      </c>
      <c r="AF9" s="60">
        <v>24.21</v>
      </c>
      <c r="AG9" s="60">
        <v>36.06</v>
      </c>
      <c r="AH9" s="54">
        <v>29.76</v>
      </c>
      <c r="AI9" s="46">
        <v>32.14</v>
      </c>
      <c r="AJ9" s="46">
        <v>23.53</v>
      </c>
      <c r="AK9" s="46">
        <v>26.817</v>
      </c>
      <c r="AL9" s="46">
        <v>22.367000000000001</v>
      </c>
      <c r="AM9" s="46">
        <v>20.643999999999998</v>
      </c>
      <c r="AN9" s="46">
        <v>32.703000000000003</v>
      </c>
      <c r="AO9" s="46">
        <v>30.741</v>
      </c>
      <c r="AP9" s="46"/>
      <c r="AQ9" s="46">
        <f t="shared" si="0"/>
        <v>27.233935483870962</v>
      </c>
      <c r="AR9" s="67">
        <f t="shared" si="1"/>
        <v>4.538989247311827</v>
      </c>
    </row>
    <row r="10" spans="1:44" ht="15.6" x14ac:dyDescent="0.3">
      <c r="A10" s="5">
        <v>9</v>
      </c>
      <c r="B10" s="6" t="s">
        <v>9</v>
      </c>
      <c r="C10" s="12" t="s">
        <v>205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3</v>
      </c>
      <c r="I10" s="74" t="s">
        <v>273</v>
      </c>
      <c r="J10" s="74"/>
      <c r="K10" s="46">
        <v>41.11</v>
      </c>
      <c r="L10" s="45">
        <v>48.11</v>
      </c>
      <c r="M10" s="46">
        <v>60.53</v>
      </c>
      <c r="N10" s="46">
        <v>51.14</v>
      </c>
      <c r="O10" s="46">
        <v>38.840000000000003</v>
      </c>
      <c r="P10" s="46">
        <v>93.55</v>
      </c>
      <c r="Q10" s="46">
        <v>48.44</v>
      </c>
      <c r="R10" s="46">
        <v>50.99</v>
      </c>
      <c r="S10" s="46">
        <v>62.75</v>
      </c>
      <c r="T10" s="46">
        <v>39.549999999999997</v>
      </c>
      <c r="U10" s="46">
        <v>61.82</v>
      </c>
      <c r="V10" s="46">
        <v>68.37</v>
      </c>
      <c r="W10" s="46">
        <v>56.47</v>
      </c>
      <c r="X10" s="46">
        <v>23.59</v>
      </c>
      <c r="Y10" s="46">
        <v>89.13</v>
      </c>
      <c r="Z10" s="46">
        <v>65.239999999999995</v>
      </c>
      <c r="AA10" s="46">
        <v>57.15</v>
      </c>
      <c r="AB10" s="46">
        <v>52.93</v>
      </c>
      <c r="AC10" s="53">
        <v>71.94</v>
      </c>
      <c r="AD10" s="60">
        <v>79.930000000000007</v>
      </c>
      <c r="AE10" s="60">
        <v>44.83</v>
      </c>
      <c r="AF10" s="60">
        <v>45.51</v>
      </c>
      <c r="AG10" s="46">
        <v>43.07</v>
      </c>
      <c r="AH10" s="54">
        <v>54.07</v>
      </c>
      <c r="AI10" s="46">
        <v>64.400000000000006</v>
      </c>
      <c r="AJ10" s="46">
        <v>22.97</v>
      </c>
      <c r="AK10" s="46">
        <v>74.631</v>
      </c>
      <c r="AL10" s="46">
        <v>65.701000000000008</v>
      </c>
      <c r="AM10" s="46">
        <v>34.736999999999995</v>
      </c>
      <c r="AN10" s="46">
        <v>46.054000000000002</v>
      </c>
      <c r="AO10" s="46">
        <v>53.023000000000003</v>
      </c>
      <c r="AP10" s="46"/>
      <c r="AQ10" s="46">
        <f t="shared" si="0"/>
        <v>55.179870967741941</v>
      </c>
      <c r="AR10" s="67">
        <f t="shared" si="1"/>
        <v>18.393290322580647</v>
      </c>
    </row>
    <row r="11" spans="1:44" x14ac:dyDescent="0.3">
      <c r="A11" s="5">
        <v>10</v>
      </c>
      <c r="B11" s="6" t="s">
        <v>9</v>
      </c>
      <c r="C11" s="12" t="s">
        <v>248</v>
      </c>
      <c r="D11" s="6" t="s">
        <v>128</v>
      </c>
      <c r="E11" s="6" t="s">
        <v>19</v>
      </c>
      <c r="F11" s="6" t="s">
        <v>13</v>
      </c>
      <c r="G11" s="6" t="s">
        <v>35</v>
      </c>
      <c r="H11" s="5">
        <v>1</v>
      </c>
      <c r="I11" s="67" t="s">
        <v>160</v>
      </c>
      <c r="J11" s="67"/>
      <c r="K11" s="46">
        <v>0</v>
      </c>
      <c r="L11" s="46">
        <v>0</v>
      </c>
      <c r="M11" s="46">
        <v>0</v>
      </c>
      <c r="N11" s="46">
        <v>0</v>
      </c>
      <c r="O11" s="46">
        <v>2.73</v>
      </c>
      <c r="P11" s="46">
        <v>0</v>
      </c>
      <c r="Q11" s="46">
        <v>0</v>
      </c>
      <c r="R11" s="46">
        <v>2.25</v>
      </c>
      <c r="S11" s="46">
        <v>0</v>
      </c>
      <c r="T11" s="46">
        <v>0</v>
      </c>
      <c r="U11" s="46">
        <v>0</v>
      </c>
      <c r="V11" s="46">
        <v>0</v>
      </c>
      <c r="W11" s="46">
        <v>0.28999999999999998</v>
      </c>
      <c r="X11" s="46">
        <v>2.82</v>
      </c>
      <c r="Y11" s="46">
        <v>0</v>
      </c>
      <c r="Z11" s="46">
        <v>0</v>
      </c>
      <c r="AA11" s="46">
        <v>0</v>
      </c>
      <c r="AB11" s="46">
        <v>3.05</v>
      </c>
      <c r="AC11" s="53">
        <v>0</v>
      </c>
      <c r="AD11" s="46">
        <v>2.15</v>
      </c>
      <c r="AE11" s="60">
        <v>0</v>
      </c>
      <c r="AF11" s="60">
        <v>0</v>
      </c>
      <c r="AG11" s="60">
        <v>0</v>
      </c>
      <c r="AH11" s="54">
        <v>0</v>
      </c>
      <c r="AI11" s="46">
        <v>4.26</v>
      </c>
      <c r="AJ11" s="46">
        <v>0</v>
      </c>
      <c r="AK11" s="46">
        <v>0</v>
      </c>
      <c r="AL11" s="46">
        <v>0</v>
      </c>
      <c r="AM11" s="46">
        <v>0</v>
      </c>
      <c r="AN11" s="46">
        <v>0</v>
      </c>
      <c r="AO11" s="46">
        <v>3.165</v>
      </c>
      <c r="AP11" s="46"/>
      <c r="AQ11" s="46">
        <f t="shared" si="0"/>
        <v>0.66822580645161289</v>
      </c>
      <c r="AR11" s="67">
        <f t="shared" si="1"/>
        <v>0.66822580645161289</v>
      </c>
    </row>
    <row r="12" spans="1:44" x14ac:dyDescent="0.3">
      <c r="A12" s="5">
        <v>11</v>
      </c>
      <c r="B12" s="6" t="s">
        <v>9</v>
      </c>
      <c r="C12" s="77" t="s">
        <v>206</v>
      </c>
      <c r="D12" s="6" t="s">
        <v>63</v>
      </c>
      <c r="E12" s="6" t="s">
        <v>12</v>
      </c>
      <c r="F12" s="6" t="s">
        <v>95</v>
      </c>
      <c r="G12" s="6" t="s">
        <v>80</v>
      </c>
      <c r="H12" s="5">
        <v>1</v>
      </c>
      <c r="I12" s="67" t="s">
        <v>160</v>
      </c>
      <c r="J12" s="67"/>
      <c r="K12" s="46">
        <v>0</v>
      </c>
      <c r="L12" s="46">
        <v>0</v>
      </c>
      <c r="M12" s="46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5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46">
        <v>0</v>
      </c>
      <c r="AN12" s="46">
        <v>0</v>
      </c>
      <c r="AO12" s="46">
        <v>0</v>
      </c>
      <c r="AP12" s="46"/>
      <c r="AQ12" s="46">
        <f t="shared" si="0"/>
        <v>0</v>
      </c>
      <c r="AR12" s="67">
        <f t="shared" si="1"/>
        <v>0</v>
      </c>
    </row>
    <row r="13" spans="1:44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13</v>
      </c>
      <c r="G13" s="6" t="s">
        <v>35</v>
      </c>
      <c r="H13" s="5">
        <v>2</v>
      </c>
      <c r="I13" s="67" t="s">
        <v>160</v>
      </c>
      <c r="J13" s="67"/>
      <c r="K13" s="46">
        <v>0</v>
      </c>
      <c r="L13" s="46">
        <v>0</v>
      </c>
      <c r="M13" s="46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  <c r="T13" s="45">
        <v>0</v>
      </c>
      <c r="U13" s="45">
        <v>0</v>
      </c>
      <c r="V13" s="45">
        <v>0</v>
      </c>
      <c r="W13" s="45">
        <v>0</v>
      </c>
      <c r="X13" s="45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60">
        <v>9.7799999999999994</v>
      </c>
      <c r="AG13" s="60">
        <v>0</v>
      </c>
      <c r="AH13" s="60">
        <v>0</v>
      </c>
      <c r="AI13" s="60">
        <v>0</v>
      </c>
      <c r="AJ13" s="60">
        <v>14.73</v>
      </c>
      <c r="AK13" s="60">
        <v>0</v>
      </c>
      <c r="AL13" s="60">
        <v>0</v>
      </c>
      <c r="AM13" s="46">
        <v>0</v>
      </c>
      <c r="AN13" s="46">
        <v>0</v>
      </c>
      <c r="AO13" s="46">
        <v>0</v>
      </c>
      <c r="AP13" s="46"/>
      <c r="AQ13" s="46">
        <f t="shared" si="0"/>
        <v>0.79064516129032247</v>
      </c>
      <c r="AR13" s="67">
        <f t="shared" si="1"/>
        <v>0.39532258064516124</v>
      </c>
    </row>
    <row r="14" spans="1:44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160</v>
      </c>
      <c r="J14" s="67"/>
      <c r="K14" s="46">
        <v>15.97</v>
      </c>
      <c r="L14" s="45">
        <v>3.4</v>
      </c>
      <c r="M14" s="45">
        <v>0</v>
      </c>
      <c r="N14" s="45">
        <v>17.2</v>
      </c>
      <c r="O14" s="45">
        <v>21.52</v>
      </c>
      <c r="P14" s="45">
        <v>13.48</v>
      </c>
      <c r="Q14" s="45">
        <v>22.98</v>
      </c>
      <c r="R14" s="45">
        <v>98.12</v>
      </c>
      <c r="S14" s="45">
        <v>40.4</v>
      </c>
      <c r="T14" s="45">
        <v>32.44</v>
      </c>
      <c r="U14" s="46">
        <v>64.38</v>
      </c>
      <c r="V14" s="46">
        <v>33.47</v>
      </c>
      <c r="W14" s="46">
        <v>35.520000000000003</v>
      </c>
      <c r="X14" s="46">
        <v>0</v>
      </c>
      <c r="Y14" s="46">
        <v>2.79</v>
      </c>
      <c r="Z14" s="46">
        <v>9.84</v>
      </c>
      <c r="AA14" s="46">
        <v>0</v>
      </c>
      <c r="AB14" s="46">
        <v>0</v>
      </c>
      <c r="AC14" s="46">
        <v>10.029999999999999</v>
      </c>
      <c r="AD14" s="46">
        <v>0</v>
      </c>
      <c r="AE14" s="46">
        <v>10.59</v>
      </c>
      <c r="AF14" s="60">
        <v>74.91</v>
      </c>
      <c r="AG14" s="60">
        <v>89.2</v>
      </c>
      <c r="AH14" s="73">
        <v>53.61</v>
      </c>
      <c r="AI14" s="60">
        <v>92.8</v>
      </c>
      <c r="AJ14" s="60">
        <v>9.77</v>
      </c>
      <c r="AK14" s="46">
        <v>21.16</v>
      </c>
      <c r="AL14" s="46">
        <v>41.74</v>
      </c>
      <c r="AM14" s="46">
        <v>28.4</v>
      </c>
      <c r="AN14" s="46">
        <v>14.73</v>
      </c>
      <c r="AO14" s="46">
        <v>51.93</v>
      </c>
      <c r="AP14" s="46"/>
      <c r="AQ14" s="46">
        <f t="shared" si="0"/>
        <v>29.367096774193545</v>
      </c>
      <c r="AR14" s="67">
        <f t="shared" si="1"/>
        <v>14.683548387096772</v>
      </c>
    </row>
    <row r="15" spans="1:44" ht="15.6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74" t="s">
        <v>273</v>
      </c>
      <c r="J15" s="74"/>
      <c r="K15" s="46">
        <v>94.74</v>
      </c>
      <c r="L15" s="45">
        <v>86.23</v>
      </c>
      <c r="M15" s="46">
        <v>78.83</v>
      </c>
      <c r="N15" s="46">
        <v>78.31</v>
      </c>
      <c r="O15" s="46">
        <v>92.45</v>
      </c>
      <c r="P15" s="46">
        <v>90.05</v>
      </c>
      <c r="Q15" s="46">
        <v>76.739999999999995</v>
      </c>
      <c r="R15" s="46">
        <v>95.59</v>
      </c>
      <c r="S15" s="46">
        <v>116.89</v>
      </c>
      <c r="T15" s="46">
        <v>90.62</v>
      </c>
      <c r="U15" s="46">
        <v>94.94</v>
      </c>
      <c r="V15" s="46">
        <v>53.06</v>
      </c>
      <c r="W15" s="46">
        <v>67.5</v>
      </c>
      <c r="X15" s="46">
        <v>42.15</v>
      </c>
      <c r="Y15" s="46">
        <v>54.52</v>
      </c>
      <c r="Z15" s="46">
        <v>118.97</v>
      </c>
      <c r="AA15" s="46">
        <v>85.89</v>
      </c>
      <c r="AB15" s="46">
        <v>30.44</v>
      </c>
      <c r="AC15" s="53">
        <v>20.100000000000001</v>
      </c>
      <c r="AD15" s="60">
        <v>98.46</v>
      </c>
      <c r="AE15" s="60">
        <v>90.68</v>
      </c>
      <c r="AF15" s="60">
        <v>86.25</v>
      </c>
      <c r="AG15" s="60">
        <v>58.7</v>
      </c>
      <c r="AH15" s="54">
        <v>86.12</v>
      </c>
      <c r="AI15" s="46">
        <v>78.260000000000005</v>
      </c>
      <c r="AJ15" s="46">
        <v>74.09</v>
      </c>
      <c r="AK15" s="46">
        <v>70.272999999999982</v>
      </c>
      <c r="AL15" s="46">
        <v>83.567000000000007</v>
      </c>
      <c r="AM15" s="46">
        <v>133.70099999999999</v>
      </c>
      <c r="AN15" s="46">
        <v>120.846</v>
      </c>
      <c r="AO15" s="46">
        <v>127.42</v>
      </c>
      <c r="AP15" s="46"/>
      <c r="AQ15" s="46">
        <f t="shared" si="0"/>
        <v>83.109258064516155</v>
      </c>
      <c r="AR15" s="67">
        <f t="shared" si="1"/>
        <v>8.3109258064516158</v>
      </c>
    </row>
    <row r="16" spans="1:44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2</v>
      </c>
      <c r="I16" s="67" t="s">
        <v>160</v>
      </c>
      <c r="J16" s="67"/>
      <c r="K16" s="46">
        <v>2.29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5.65</v>
      </c>
      <c r="AD16" s="46">
        <v>2.76</v>
      </c>
      <c r="AE16" s="46">
        <v>17.79</v>
      </c>
      <c r="AF16" s="60">
        <v>23.01</v>
      </c>
      <c r="AG16" s="60">
        <v>25.73</v>
      </c>
      <c r="AH16" s="60">
        <v>17.93</v>
      </c>
      <c r="AI16" s="60">
        <v>18.82</v>
      </c>
      <c r="AJ16" s="60">
        <v>24.95</v>
      </c>
      <c r="AK16" s="60">
        <v>17.100000000000001</v>
      </c>
      <c r="AL16" s="60">
        <v>32.35</v>
      </c>
      <c r="AM16" s="46">
        <v>23.623000000000001</v>
      </c>
      <c r="AN16" s="46">
        <v>40.715000000000003</v>
      </c>
      <c r="AO16" s="46">
        <v>7.585</v>
      </c>
      <c r="AP16" s="46"/>
      <c r="AQ16" s="46">
        <f t="shared" si="0"/>
        <v>8.3968709677419344</v>
      </c>
      <c r="AR16" s="67">
        <f t="shared" si="1"/>
        <v>4.1984354838709672</v>
      </c>
    </row>
    <row r="17" spans="1:44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67"/>
      <c r="K17" s="46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46">
        <v>0</v>
      </c>
      <c r="AN17" s="46">
        <v>0</v>
      </c>
      <c r="AO17" s="46">
        <v>0</v>
      </c>
      <c r="AP17" s="46"/>
      <c r="AQ17" s="46">
        <f t="shared" si="0"/>
        <v>0</v>
      </c>
      <c r="AR17" s="67">
        <f t="shared" si="1"/>
        <v>0</v>
      </c>
    </row>
    <row r="18" spans="1:44" ht="15.6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10</v>
      </c>
      <c r="I18" s="74" t="s">
        <v>273</v>
      </c>
      <c r="J18" s="74"/>
      <c r="K18" s="46">
        <v>140.16999999999999</v>
      </c>
      <c r="L18" s="45">
        <v>124.66</v>
      </c>
      <c r="M18" s="45">
        <v>123.42</v>
      </c>
      <c r="N18" s="45">
        <v>126.47</v>
      </c>
      <c r="O18" s="45">
        <v>118.16</v>
      </c>
      <c r="P18" s="45">
        <v>144.18</v>
      </c>
      <c r="Q18" s="45">
        <v>124.05</v>
      </c>
      <c r="R18" s="45">
        <v>164.94</v>
      </c>
      <c r="S18" s="45">
        <v>142.06</v>
      </c>
      <c r="T18" s="45">
        <v>100.01</v>
      </c>
      <c r="U18" s="46">
        <v>107.82</v>
      </c>
      <c r="V18" s="46">
        <v>106.62</v>
      </c>
      <c r="W18" s="46">
        <v>77.52</v>
      </c>
      <c r="X18" s="46">
        <v>74.7</v>
      </c>
      <c r="Y18" s="46">
        <v>129.35</v>
      </c>
      <c r="Z18" s="46">
        <v>117.89</v>
      </c>
      <c r="AA18" s="46">
        <v>112.51</v>
      </c>
      <c r="AB18" s="46">
        <v>143.68</v>
      </c>
      <c r="AC18" s="46">
        <v>130.07</v>
      </c>
      <c r="AD18" s="46">
        <v>184.91</v>
      </c>
      <c r="AE18" s="46">
        <v>109.44</v>
      </c>
      <c r="AF18" s="46">
        <v>180.13</v>
      </c>
      <c r="AG18" s="46">
        <v>115.41</v>
      </c>
      <c r="AH18" s="46">
        <v>141.29</v>
      </c>
      <c r="AI18" s="46">
        <v>124.47</v>
      </c>
      <c r="AJ18" s="46">
        <v>150.97</v>
      </c>
      <c r="AK18" s="46">
        <v>125.958</v>
      </c>
      <c r="AL18" s="46">
        <v>184.10699999999997</v>
      </c>
      <c r="AM18" s="46">
        <v>112.60799999999999</v>
      </c>
      <c r="AN18" s="46">
        <v>139.40299999999996</v>
      </c>
      <c r="AO18" s="46">
        <v>104.04899999999999</v>
      </c>
      <c r="AP18" s="46"/>
      <c r="AQ18" s="46">
        <f t="shared" si="0"/>
        <v>128.42016129032257</v>
      </c>
      <c r="AR18" s="67">
        <f t="shared" si="1"/>
        <v>12.842016129032256</v>
      </c>
    </row>
    <row r="19" spans="1:44" x14ac:dyDescent="0.3">
      <c r="A19" s="5">
        <v>18</v>
      </c>
      <c r="B19" s="6" t="s">
        <v>9</v>
      </c>
      <c r="C19" s="12" t="s">
        <v>271</v>
      </c>
      <c r="D19" s="6" t="s">
        <v>128</v>
      </c>
      <c r="E19" s="6" t="s">
        <v>12</v>
      </c>
      <c r="F19" s="6" t="s">
        <v>13</v>
      </c>
      <c r="G19" s="6" t="s">
        <v>35</v>
      </c>
      <c r="H19" s="5">
        <v>5</v>
      </c>
      <c r="I19" s="67" t="s">
        <v>160</v>
      </c>
      <c r="J19" s="67"/>
      <c r="K19" s="46">
        <v>0</v>
      </c>
      <c r="L19" s="46">
        <v>0</v>
      </c>
      <c r="M19" s="46">
        <v>0</v>
      </c>
      <c r="N19" s="45">
        <v>8.99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0.48</v>
      </c>
      <c r="U19" s="46">
        <v>0</v>
      </c>
      <c r="V19" s="46">
        <v>0</v>
      </c>
      <c r="W19" s="46">
        <v>0</v>
      </c>
      <c r="X19" s="46">
        <v>0</v>
      </c>
      <c r="Y19" s="46">
        <v>2.77</v>
      </c>
      <c r="Z19" s="46">
        <v>0</v>
      </c>
      <c r="AA19" s="46">
        <v>6.48</v>
      </c>
      <c r="AB19" s="46">
        <v>0</v>
      </c>
      <c r="AC19" s="46">
        <v>0</v>
      </c>
      <c r="AD19" s="46">
        <v>0</v>
      </c>
      <c r="AE19" s="46">
        <v>0</v>
      </c>
      <c r="AF19" s="46">
        <v>6.15</v>
      </c>
      <c r="AG19" s="46">
        <v>5.92</v>
      </c>
      <c r="AH19" s="46">
        <v>0</v>
      </c>
      <c r="AI19" s="46">
        <v>9.32</v>
      </c>
      <c r="AJ19" s="46">
        <v>7.4</v>
      </c>
      <c r="AK19" s="46">
        <v>1.95</v>
      </c>
      <c r="AL19" s="46">
        <v>9.02</v>
      </c>
      <c r="AM19" s="46">
        <v>7.92</v>
      </c>
      <c r="AN19" s="46">
        <v>7.47</v>
      </c>
      <c r="AO19" s="46">
        <v>8.15</v>
      </c>
      <c r="AP19" s="46"/>
      <c r="AQ19" s="46">
        <f t="shared" si="0"/>
        <v>2.6458064516129034</v>
      </c>
      <c r="AR19" s="67">
        <f t="shared" si="1"/>
        <v>0.52916129032258064</v>
      </c>
    </row>
    <row r="20" spans="1:44" x14ac:dyDescent="0.3">
      <c r="A20" s="5">
        <v>19</v>
      </c>
      <c r="B20" s="6" t="s">
        <v>9</v>
      </c>
      <c r="C20" s="12" t="s">
        <v>271</v>
      </c>
      <c r="D20" s="6" t="s">
        <v>128</v>
      </c>
      <c r="E20" s="6" t="s">
        <v>12</v>
      </c>
      <c r="F20" s="6" t="s">
        <v>95</v>
      </c>
      <c r="G20" s="6" t="s">
        <v>80</v>
      </c>
      <c r="H20" s="5">
        <v>1</v>
      </c>
      <c r="I20" s="67" t="s">
        <v>160</v>
      </c>
      <c r="J20" s="67"/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5">
        <v>0</v>
      </c>
      <c r="Q20" s="45">
        <v>0</v>
      </c>
      <c r="R20" s="45">
        <v>0</v>
      </c>
      <c r="S20" s="45">
        <v>0</v>
      </c>
      <c r="T20" s="45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v>0</v>
      </c>
      <c r="AP20" s="46"/>
      <c r="AQ20" s="46">
        <f t="shared" si="0"/>
        <v>0</v>
      </c>
      <c r="AR20" s="67">
        <f t="shared" si="1"/>
        <v>0</v>
      </c>
    </row>
    <row r="21" spans="1:44" x14ac:dyDescent="0.3">
      <c r="A21" s="5">
        <v>20</v>
      </c>
      <c r="B21" s="6" t="s">
        <v>9</v>
      </c>
      <c r="C21" s="12" t="s">
        <v>271</v>
      </c>
      <c r="D21" s="6" t="s">
        <v>128</v>
      </c>
      <c r="E21" s="6" t="s">
        <v>12</v>
      </c>
      <c r="F21" s="6" t="s">
        <v>309</v>
      </c>
      <c r="G21" s="6" t="s">
        <v>80</v>
      </c>
      <c r="H21" s="5">
        <v>1</v>
      </c>
      <c r="I21" s="67" t="s">
        <v>160</v>
      </c>
      <c r="J21" s="67"/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5">
        <v>0</v>
      </c>
      <c r="Q21" s="45">
        <v>0</v>
      </c>
      <c r="R21" s="45">
        <v>1.85</v>
      </c>
      <c r="S21" s="45">
        <v>4.25</v>
      </c>
      <c r="T21" s="45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7.11</v>
      </c>
      <c r="AA21" s="46">
        <v>4.2300000000000004</v>
      </c>
      <c r="AB21" s="46">
        <v>0</v>
      </c>
      <c r="AC21" s="46">
        <v>0</v>
      </c>
      <c r="AD21" s="46">
        <v>16.48</v>
      </c>
      <c r="AE21" s="46">
        <v>0.1</v>
      </c>
      <c r="AF21" s="46">
        <v>0.06</v>
      </c>
      <c r="AG21" s="46">
        <v>0.02</v>
      </c>
      <c r="AH21" s="46">
        <v>24.61</v>
      </c>
      <c r="AI21" s="46">
        <v>5.52</v>
      </c>
      <c r="AJ21" s="46">
        <v>0</v>
      </c>
      <c r="AK21" s="46">
        <v>15.47</v>
      </c>
      <c r="AL21" s="46">
        <v>24.55</v>
      </c>
      <c r="AM21" s="46">
        <v>17.07</v>
      </c>
      <c r="AN21" s="46">
        <v>25.13</v>
      </c>
      <c r="AO21" s="46">
        <v>29.62</v>
      </c>
      <c r="AP21" s="46"/>
      <c r="AQ21" s="46">
        <f t="shared" si="0"/>
        <v>5.6796774193548387</v>
      </c>
      <c r="AR21" s="67">
        <f t="shared" si="1"/>
        <v>5.6796774193548387</v>
      </c>
    </row>
    <row r="22" spans="1:44" x14ac:dyDescent="0.3">
      <c r="A22" s="5">
        <v>21</v>
      </c>
      <c r="B22" s="6" t="s">
        <v>9</v>
      </c>
      <c r="C22" s="12" t="s">
        <v>271</v>
      </c>
      <c r="D22" s="6" t="s">
        <v>128</v>
      </c>
      <c r="E22" s="6" t="s">
        <v>12</v>
      </c>
      <c r="F22" s="6" t="s">
        <v>251</v>
      </c>
      <c r="G22" s="6" t="s">
        <v>80</v>
      </c>
      <c r="H22" s="5">
        <v>1</v>
      </c>
      <c r="I22" s="67" t="s">
        <v>160</v>
      </c>
      <c r="J22" s="67"/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5">
        <v>0</v>
      </c>
      <c r="Q22" s="45">
        <v>0</v>
      </c>
      <c r="R22" s="75">
        <v>0</v>
      </c>
      <c r="S22" s="45">
        <v>3.41</v>
      </c>
      <c r="T22" s="45">
        <v>3.57</v>
      </c>
      <c r="U22" s="46">
        <v>0</v>
      </c>
      <c r="V22" s="46">
        <v>0</v>
      </c>
      <c r="W22" s="46">
        <v>0</v>
      </c>
      <c r="X22" s="46">
        <v>13.58</v>
      </c>
      <c r="Y22" s="46">
        <v>9.89</v>
      </c>
      <c r="Z22" s="46">
        <v>9.31</v>
      </c>
      <c r="AA22" s="46">
        <v>0</v>
      </c>
      <c r="AB22" s="46">
        <v>0</v>
      </c>
      <c r="AC22" s="46">
        <v>0</v>
      </c>
      <c r="AD22" s="46">
        <v>19.48</v>
      </c>
      <c r="AE22" s="46">
        <v>39.17</v>
      </c>
      <c r="AF22" s="46">
        <v>22.83</v>
      </c>
      <c r="AG22" s="46">
        <v>8.33</v>
      </c>
      <c r="AH22" s="46">
        <v>58.1</v>
      </c>
      <c r="AI22" s="46">
        <v>0</v>
      </c>
      <c r="AJ22" s="46">
        <v>0</v>
      </c>
      <c r="AK22" s="46">
        <v>0</v>
      </c>
      <c r="AL22" s="46">
        <v>0</v>
      </c>
      <c r="AM22" s="46">
        <v>10.98</v>
      </c>
      <c r="AN22" s="46">
        <v>21.07</v>
      </c>
      <c r="AO22" s="46">
        <v>0</v>
      </c>
      <c r="AP22" s="46"/>
      <c r="AQ22" s="46">
        <f t="shared" si="0"/>
        <v>7.0877419354838711</v>
      </c>
      <c r="AR22" s="67">
        <f t="shared" si="1"/>
        <v>7.0877419354838711</v>
      </c>
    </row>
    <row r="23" spans="1:44" x14ac:dyDescent="0.3">
      <c r="A23" s="5">
        <v>22</v>
      </c>
      <c r="B23" s="6" t="s">
        <v>9</v>
      </c>
      <c r="C23" s="12" t="s">
        <v>271</v>
      </c>
      <c r="D23" s="6" t="s">
        <v>128</v>
      </c>
      <c r="E23" s="6" t="s">
        <v>12</v>
      </c>
      <c r="F23" s="6" t="s">
        <v>290</v>
      </c>
      <c r="G23" s="6" t="s">
        <v>80</v>
      </c>
      <c r="H23" s="5">
        <v>1</v>
      </c>
      <c r="I23" s="67" t="s">
        <v>160</v>
      </c>
      <c r="J23" s="67"/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5">
        <v>0</v>
      </c>
      <c r="Q23" s="45">
        <v>0</v>
      </c>
      <c r="R23" s="45">
        <v>0</v>
      </c>
      <c r="S23" s="45">
        <v>7.48</v>
      </c>
      <c r="T23" s="45">
        <v>2.0299999999999998</v>
      </c>
      <c r="U23" s="46">
        <v>11.28</v>
      </c>
      <c r="V23" s="46">
        <v>0</v>
      </c>
      <c r="W23" s="46">
        <v>0</v>
      </c>
      <c r="X23" s="46">
        <v>51.65</v>
      </c>
      <c r="Y23" s="46">
        <v>85.58</v>
      </c>
      <c r="Z23" s="46">
        <v>99.83</v>
      </c>
      <c r="AA23" s="46">
        <v>18.149999999999999</v>
      </c>
      <c r="AB23" s="46">
        <v>14.43</v>
      </c>
      <c r="AC23" s="46">
        <v>0</v>
      </c>
      <c r="AD23" s="46">
        <v>34.6</v>
      </c>
      <c r="AE23" s="46">
        <v>59.3</v>
      </c>
      <c r="AF23" s="46">
        <v>28.28</v>
      </c>
      <c r="AG23" s="46">
        <v>49.6</v>
      </c>
      <c r="AH23" s="46">
        <v>40.4</v>
      </c>
      <c r="AI23" s="46">
        <v>24.23</v>
      </c>
      <c r="AJ23" s="46">
        <v>16.829999999999998</v>
      </c>
      <c r="AK23" s="46">
        <v>15.33</v>
      </c>
      <c r="AL23" s="46">
        <v>21.33</v>
      </c>
      <c r="AM23" s="46">
        <v>134.1</v>
      </c>
      <c r="AN23" s="46">
        <v>48.13</v>
      </c>
      <c r="AO23" s="46">
        <v>86.75</v>
      </c>
      <c r="AP23" s="46"/>
      <c r="AQ23" s="46">
        <f t="shared" si="0"/>
        <v>27.397096774193553</v>
      </c>
      <c r="AR23" s="67">
        <f t="shared" si="1"/>
        <v>27.397096774193553</v>
      </c>
    </row>
    <row r="24" spans="1:44" ht="15.6" x14ac:dyDescent="0.3">
      <c r="A24" s="5">
        <v>23</v>
      </c>
      <c r="B24" s="6" t="s">
        <v>9</v>
      </c>
      <c r="C24" s="12" t="s">
        <v>269</v>
      </c>
      <c r="D24" s="6" t="s">
        <v>128</v>
      </c>
      <c r="E24" s="6" t="s">
        <v>12</v>
      </c>
      <c r="F24" s="6" t="s">
        <v>13</v>
      </c>
      <c r="G24" s="6" t="s">
        <v>35</v>
      </c>
      <c r="H24" s="5">
        <v>5</v>
      </c>
      <c r="I24" s="74" t="s">
        <v>273</v>
      </c>
      <c r="J24" s="74"/>
      <c r="K24" s="46">
        <v>131.37</v>
      </c>
      <c r="L24" s="45">
        <v>90.27</v>
      </c>
      <c r="M24" s="45">
        <v>137.74</v>
      </c>
      <c r="N24" s="45">
        <v>121.32</v>
      </c>
      <c r="O24" s="45">
        <v>79.48</v>
      </c>
      <c r="P24" s="45">
        <v>114.39</v>
      </c>
      <c r="Q24" s="45">
        <v>113.16</v>
      </c>
      <c r="R24" s="45">
        <v>72.930000000000007</v>
      </c>
      <c r="S24" s="45">
        <v>134.83000000000001</v>
      </c>
      <c r="T24" s="45">
        <v>72.88</v>
      </c>
      <c r="U24" s="46">
        <v>150.99</v>
      </c>
      <c r="V24" s="46">
        <v>81.55</v>
      </c>
      <c r="W24" s="46">
        <v>108.29</v>
      </c>
      <c r="X24" s="46">
        <v>23.38</v>
      </c>
      <c r="Y24" s="46">
        <v>114.25</v>
      </c>
      <c r="Z24" s="46">
        <v>37.85</v>
      </c>
      <c r="AA24" s="46">
        <v>118.93</v>
      </c>
      <c r="AB24" s="59">
        <v>73.319999999999993</v>
      </c>
      <c r="AC24" s="46">
        <v>104.1</v>
      </c>
      <c r="AD24" s="46">
        <v>110.44</v>
      </c>
      <c r="AE24" s="46">
        <v>63.57</v>
      </c>
      <c r="AF24" s="46">
        <v>63.83</v>
      </c>
      <c r="AG24" s="46">
        <v>92.02</v>
      </c>
      <c r="AH24" s="46">
        <v>134.09</v>
      </c>
      <c r="AI24" s="46">
        <v>126.12</v>
      </c>
      <c r="AJ24" s="46">
        <v>70.45</v>
      </c>
      <c r="AK24" s="46">
        <v>132.19900000000001</v>
      </c>
      <c r="AL24" s="46">
        <v>86.796999999999997</v>
      </c>
      <c r="AM24" s="46">
        <v>94.999000000000009</v>
      </c>
      <c r="AN24" s="46">
        <v>151.02800000000002</v>
      </c>
      <c r="AO24" s="46">
        <v>136.35999999999999</v>
      </c>
      <c r="AP24" s="46"/>
      <c r="AQ24" s="46">
        <f t="shared" si="0"/>
        <v>101.38493548387095</v>
      </c>
      <c r="AR24" s="67">
        <f t="shared" si="1"/>
        <v>20.276987096774189</v>
      </c>
    </row>
    <row r="25" spans="1:44" x14ac:dyDescent="0.3">
      <c r="A25" s="5">
        <v>24</v>
      </c>
      <c r="B25" s="6" t="s">
        <v>9</v>
      </c>
      <c r="C25" s="12" t="s">
        <v>270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1</v>
      </c>
      <c r="I25" s="67" t="s">
        <v>160</v>
      </c>
      <c r="J25" s="67"/>
      <c r="K25" s="46">
        <v>0</v>
      </c>
      <c r="L25" s="45">
        <v>7.29</v>
      </c>
      <c r="M25" s="45">
        <v>15.59</v>
      </c>
      <c r="N25" s="45">
        <v>7.85</v>
      </c>
      <c r="O25" s="45">
        <v>13.05</v>
      </c>
      <c r="P25" s="45">
        <v>7.59</v>
      </c>
      <c r="Q25" s="75">
        <v>7.7</v>
      </c>
      <c r="R25" s="45">
        <v>3.99</v>
      </c>
      <c r="S25" s="45">
        <v>7.42</v>
      </c>
      <c r="T25" s="45">
        <v>4.8099999999999996</v>
      </c>
      <c r="U25" s="46">
        <v>13.43</v>
      </c>
      <c r="V25" s="46">
        <v>0</v>
      </c>
      <c r="W25" s="46">
        <v>19.62</v>
      </c>
      <c r="X25" s="46">
        <v>15.44</v>
      </c>
      <c r="Y25" s="46">
        <v>11.53</v>
      </c>
      <c r="Z25" s="46">
        <v>8.14</v>
      </c>
      <c r="AA25" s="46">
        <v>11.81</v>
      </c>
      <c r="AB25" s="46">
        <v>0.35</v>
      </c>
      <c r="AC25" s="46">
        <v>24.66</v>
      </c>
      <c r="AD25" s="46">
        <v>21.9</v>
      </c>
      <c r="AE25" s="46">
        <v>0</v>
      </c>
      <c r="AF25" s="46">
        <v>2.6</v>
      </c>
      <c r="AG25" s="46">
        <v>0.47</v>
      </c>
      <c r="AH25" s="46">
        <v>1.98</v>
      </c>
      <c r="AI25" s="46">
        <v>0</v>
      </c>
      <c r="AJ25" s="46">
        <v>5.16</v>
      </c>
      <c r="AK25" s="46">
        <v>0</v>
      </c>
      <c r="AL25" s="46">
        <v>0</v>
      </c>
      <c r="AM25" s="46">
        <v>3.63</v>
      </c>
      <c r="AN25" s="46">
        <v>0.46</v>
      </c>
      <c r="AO25" s="46">
        <v>7.94</v>
      </c>
      <c r="AP25" s="46"/>
      <c r="AQ25" s="46">
        <f t="shared" si="0"/>
        <v>7.2390322580645154</v>
      </c>
      <c r="AR25" s="67">
        <f t="shared" si="1"/>
        <v>7.2390322580645154</v>
      </c>
    </row>
    <row r="26" spans="1:44" x14ac:dyDescent="0.3">
      <c r="A26" s="5">
        <v>25</v>
      </c>
      <c r="B26" s="6" t="s">
        <v>9</v>
      </c>
      <c r="C26" s="12" t="s">
        <v>270</v>
      </c>
      <c r="D26" s="6" t="s">
        <v>128</v>
      </c>
      <c r="E26" s="6" t="s">
        <v>12</v>
      </c>
      <c r="F26" s="6" t="s">
        <v>40</v>
      </c>
      <c r="G26" s="6" t="s">
        <v>35</v>
      </c>
      <c r="H26" s="5">
        <v>1</v>
      </c>
      <c r="I26" s="67" t="s">
        <v>160</v>
      </c>
      <c r="J26" s="67"/>
      <c r="K26" s="46">
        <v>0</v>
      </c>
      <c r="L26" s="45">
        <v>0</v>
      </c>
      <c r="M26" s="45">
        <v>6.63</v>
      </c>
      <c r="N26" s="45">
        <v>0</v>
      </c>
      <c r="O26" s="45">
        <v>0</v>
      </c>
      <c r="P26" s="45">
        <v>0</v>
      </c>
      <c r="Q26" s="45">
        <v>6.7</v>
      </c>
      <c r="R26" s="45">
        <v>0.54</v>
      </c>
      <c r="S26" s="45">
        <v>0</v>
      </c>
      <c r="T26" s="45">
        <v>0</v>
      </c>
      <c r="U26" s="45">
        <v>0</v>
      </c>
      <c r="V26" s="45">
        <v>13.73</v>
      </c>
      <c r="W26" s="45">
        <v>0</v>
      </c>
      <c r="X26" s="45">
        <v>3.17</v>
      </c>
      <c r="Y26" s="46">
        <v>0</v>
      </c>
      <c r="Z26" s="46">
        <v>0</v>
      </c>
      <c r="AA26" s="46">
        <v>0</v>
      </c>
      <c r="AB26" s="46">
        <v>1.33</v>
      </c>
      <c r="AC26" s="46">
        <v>0</v>
      </c>
      <c r="AD26" s="46">
        <v>6.47</v>
      </c>
      <c r="AE26" s="46">
        <v>0</v>
      </c>
      <c r="AF26" s="46">
        <v>0</v>
      </c>
      <c r="AG26" s="46">
        <v>10.95</v>
      </c>
      <c r="AH26" s="46">
        <v>0</v>
      </c>
      <c r="AI26" s="46">
        <v>16.399999999999999</v>
      </c>
      <c r="AJ26" s="46">
        <v>0</v>
      </c>
      <c r="AK26" s="46">
        <v>0</v>
      </c>
      <c r="AL26" s="46">
        <v>0</v>
      </c>
      <c r="AM26" s="46">
        <v>0</v>
      </c>
      <c r="AN26" s="46">
        <v>0</v>
      </c>
      <c r="AO26" s="46">
        <v>0</v>
      </c>
      <c r="AP26" s="46"/>
      <c r="AQ26" s="46">
        <f t="shared" si="0"/>
        <v>2.1264516129032254</v>
      </c>
      <c r="AR26" s="67">
        <f t="shared" si="1"/>
        <v>2.1264516129032254</v>
      </c>
    </row>
    <row r="27" spans="1:44" x14ac:dyDescent="0.3">
      <c r="A27" s="5">
        <v>26</v>
      </c>
      <c r="B27" s="6" t="s">
        <v>9</v>
      </c>
      <c r="C27" s="12" t="s">
        <v>270</v>
      </c>
      <c r="D27" s="6" t="s">
        <v>128</v>
      </c>
      <c r="E27" s="6" t="s">
        <v>12</v>
      </c>
      <c r="F27" s="6" t="s">
        <v>124</v>
      </c>
      <c r="G27" s="6" t="s">
        <v>80</v>
      </c>
      <c r="H27" s="5">
        <v>1</v>
      </c>
      <c r="I27" s="67" t="s">
        <v>160</v>
      </c>
      <c r="J27" s="67"/>
      <c r="K27" s="46">
        <v>0</v>
      </c>
      <c r="L27" s="45">
        <v>8.9600000000000009</v>
      </c>
      <c r="M27" s="45">
        <v>12.7</v>
      </c>
      <c r="N27" s="45">
        <v>10.75</v>
      </c>
      <c r="O27" s="45">
        <v>8.5500000000000007</v>
      </c>
      <c r="P27" s="5">
        <v>25.96</v>
      </c>
      <c r="Q27" s="45">
        <v>8.52</v>
      </c>
      <c r="R27" s="45">
        <v>10.16</v>
      </c>
      <c r="S27" s="45">
        <v>19.309999999999999</v>
      </c>
      <c r="T27" s="45">
        <v>19.07</v>
      </c>
      <c r="U27" s="45">
        <v>7.46</v>
      </c>
      <c r="V27" s="45">
        <v>0</v>
      </c>
      <c r="W27" s="45">
        <v>4.01</v>
      </c>
      <c r="X27" s="45">
        <v>0</v>
      </c>
      <c r="Y27" s="46">
        <v>16.38</v>
      </c>
      <c r="Z27" s="46">
        <v>8.89</v>
      </c>
      <c r="AA27" s="46">
        <v>19.5</v>
      </c>
      <c r="AB27" s="46">
        <v>31.43</v>
      </c>
      <c r="AC27" s="46">
        <v>5.65</v>
      </c>
      <c r="AD27" s="46">
        <v>18.98</v>
      </c>
      <c r="AE27" s="46">
        <v>12.79</v>
      </c>
      <c r="AF27" s="46">
        <v>31.23</v>
      </c>
      <c r="AG27" s="46">
        <v>6.21</v>
      </c>
      <c r="AH27" s="46">
        <v>0.8</v>
      </c>
      <c r="AI27" s="46">
        <v>0</v>
      </c>
      <c r="AJ27" s="46">
        <v>5.0199999999999996</v>
      </c>
      <c r="AK27" s="46">
        <v>13.09</v>
      </c>
      <c r="AL27" s="46">
        <v>20.66</v>
      </c>
      <c r="AM27" s="46">
        <v>8.48</v>
      </c>
      <c r="AN27" s="46">
        <v>9.85</v>
      </c>
      <c r="AO27" s="46">
        <v>0</v>
      </c>
      <c r="AP27" s="46"/>
      <c r="AQ27" s="46">
        <f t="shared" si="0"/>
        <v>11.11</v>
      </c>
      <c r="AR27" s="67">
        <f t="shared" si="1"/>
        <v>11.11</v>
      </c>
    </row>
    <row r="28" spans="1:44" x14ac:dyDescent="0.3">
      <c r="A28" s="5">
        <v>27</v>
      </c>
      <c r="B28" s="6" t="s">
        <v>9</v>
      </c>
      <c r="C28" s="12" t="s">
        <v>270</v>
      </c>
      <c r="D28" s="6" t="s">
        <v>128</v>
      </c>
      <c r="E28" s="6" t="s">
        <v>12</v>
      </c>
      <c r="F28" s="6" t="s">
        <v>251</v>
      </c>
      <c r="G28" s="6" t="s">
        <v>80</v>
      </c>
      <c r="H28" s="5">
        <v>2</v>
      </c>
      <c r="I28" s="67" t="s">
        <v>160</v>
      </c>
      <c r="J28" s="67"/>
      <c r="K28" s="46">
        <v>16.22</v>
      </c>
      <c r="L28" s="45">
        <v>11.41</v>
      </c>
      <c r="M28" s="45">
        <v>16.100000000000001</v>
      </c>
      <c r="N28" s="45">
        <v>0</v>
      </c>
      <c r="O28" s="45">
        <v>0</v>
      </c>
      <c r="P28" s="5">
        <v>8.17</v>
      </c>
      <c r="Q28" s="45">
        <v>0</v>
      </c>
      <c r="R28" s="45">
        <v>19.329999999999998</v>
      </c>
      <c r="S28" s="45">
        <v>10.51</v>
      </c>
      <c r="T28" s="45">
        <v>0</v>
      </c>
      <c r="U28" s="46">
        <v>0</v>
      </c>
      <c r="V28" s="46">
        <v>13.01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19.32</v>
      </c>
      <c r="AE28" s="46">
        <v>0</v>
      </c>
      <c r="AF28" s="46">
        <v>0</v>
      </c>
      <c r="AG28" s="46">
        <v>0</v>
      </c>
      <c r="AH28" s="46">
        <v>27.7</v>
      </c>
      <c r="AI28" s="46">
        <v>0</v>
      </c>
      <c r="AJ28" s="46">
        <v>19.03</v>
      </c>
      <c r="AK28" s="46">
        <v>41.6</v>
      </c>
      <c r="AL28" s="46">
        <v>13.62</v>
      </c>
      <c r="AM28" s="46">
        <v>12.97</v>
      </c>
      <c r="AN28" s="46">
        <v>0</v>
      </c>
      <c r="AO28" s="46">
        <v>25.78</v>
      </c>
      <c r="AP28" s="46"/>
      <c r="AQ28" s="46">
        <f t="shared" si="0"/>
        <v>8.2183870967741939</v>
      </c>
      <c r="AR28" s="67">
        <f t="shared" si="1"/>
        <v>4.1091935483870969</v>
      </c>
    </row>
    <row r="29" spans="1:44" ht="15.6" x14ac:dyDescent="0.3">
      <c r="A29" s="5">
        <v>28</v>
      </c>
      <c r="B29" s="6" t="s">
        <v>9</v>
      </c>
      <c r="C29" s="12" t="s">
        <v>234</v>
      </c>
      <c r="D29" s="6" t="s">
        <v>128</v>
      </c>
      <c r="E29" s="6" t="s">
        <v>12</v>
      </c>
      <c r="F29" s="6" t="s">
        <v>13</v>
      </c>
      <c r="G29" s="6" t="s">
        <v>35</v>
      </c>
      <c r="H29" s="5">
        <v>8</v>
      </c>
      <c r="I29" s="74" t="s">
        <v>273</v>
      </c>
      <c r="J29" s="74"/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6">
        <v>0</v>
      </c>
      <c r="Z29" s="46">
        <v>0</v>
      </c>
      <c r="AA29" s="46">
        <v>0</v>
      </c>
      <c r="AB29" s="46">
        <v>0</v>
      </c>
      <c r="AC29" s="46">
        <v>0</v>
      </c>
      <c r="AD29" s="46">
        <v>0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0</v>
      </c>
      <c r="AM29" s="46">
        <v>0</v>
      </c>
      <c r="AN29" s="46">
        <v>0</v>
      </c>
      <c r="AO29" s="46">
        <v>0</v>
      </c>
      <c r="AP29" s="46"/>
      <c r="AQ29" s="46">
        <f t="shared" si="0"/>
        <v>0</v>
      </c>
      <c r="AR29" s="67">
        <f t="shared" si="1"/>
        <v>0</v>
      </c>
    </row>
    <row r="30" spans="1:44" x14ac:dyDescent="0.3">
      <c r="A30" s="5">
        <v>29</v>
      </c>
      <c r="B30" s="6" t="s">
        <v>9</v>
      </c>
      <c r="C30" s="12" t="s">
        <v>243</v>
      </c>
      <c r="D30" s="6" t="s">
        <v>128</v>
      </c>
      <c r="E30" s="6" t="s">
        <v>12</v>
      </c>
      <c r="F30" s="6" t="s">
        <v>124</v>
      </c>
      <c r="G30" s="6" t="s">
        <v>80</v>
      </c>
      <c r="H30" s="5">
        <v>1</v>
      </c>
      <c r="I30" s="67" t="s">
        <v>160</v>
      </c>
      <c r="J30" s="67"/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v>0</v>
      </c>
      <c r="AP30" s="46"/>
      <c r="AQ30" s="46">
        <f t="shared" si="0"/>
        <v>0</v>
      </c>
      <c r="AR30" s="67">
        <f t="shared" si="1"/>
        <v>0</v>
      </c>
    </row>
    <row r="31" spans="1:44" ht="15.6" x14ac:dyDescent="0.3">
      <c r="A31" s="5">
        <v>30</v>
      </c>
      <c r="B31" s="6" t="s">
        <v>9</v>
      </c>
      <c r="C31" s="12" t="s">
        <v>260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9</v>
      </c>
      <c r="I31" s="74" t="s">
        <v>273</v>
      </c>
      <c r="J31" s="74"/>
      <c r="K31" s="46">
        <v>179.62</v>
      </c>
      <c r="L31" s="45">
        <v>165.98</v>
      </c>
      <c r="M31" s="45">
        <v>188.31</v>
      </c>
      <c r="N31" s="45">
        <v>175.68</v>
      </c>
      <c r="O31" s="45">
        <v>156.66</v>
      </c>
      <c r="P31" s="45">
        <v>162.96</v>
      </c>
      <c r="Q31" s="45">
        <v>186.49</v>
      </c>
      <c r="R31" s="45">
        <v>184.86</v>
      </c>
      <c r="S31" s="45">
        <v>169.53</v>
      </c>
      <c r="T31" s="45">
        <v>171.53</v>
      </c>
      <c r="U31" s="46">
        <v>189.98</v>
      </c>
      <c r="V31" s="46">
        <v>142.4</v>
      </c>
      <c r="W31" s="46">
        <v>157.86000000000001</v>
      </c>
      <c r="X31" s="46">
        <v>90.3</v>
      </c>
      <c r="Y31" s="46">
        <v>157.47</v>
      </c>
      <c r="Z31" s="46">
        <v>121.67</v>
      </c>
      <c r="AA31" s="46">
        <v>239.15</v>
      </c>
      <c r="AB31" s="46">
        <v>156.66</v>
      </c>
      <c r="AC31" s="46">
        <v>143.82</v>
      </c>
      <c r="AD31" s="46">
        <v>215.76</v>
      </c>
      <c r="AE31" s="46">
        <v>169.61</v>
      </c>
      <c r="AF31" s="46">
        <v>156.4</v>
      </c>
      <c r="AG31" s="46">
        <v>154.91</v>
      </c>
      <c r="AH31" s="46">
        <v>172.3</v>
      </c>
      <c r="AI31" s="46">
        <v>152.71</v>
      </c>
      <c r="AJ31" s="46">
        <v>132.83000000000001</v>
      </c>
      <c r="AK31" s="46">
        <v>188.22800000000004</v>
      </c>
      <c r="AL31" s="46">
        <v>176.25799999999998</v>
      </c>
      <c r="AM31" s="46">
        <v>168.928</v>
      </c>
      <c r="AN31" s="46">
        <v>198.76800000000011</v>
      </c>
      <c r="AO31" s="46">
        <v>108.76199999999999</v>
      </c>
      <c r="AP31" s="46"/>
      <c r="AQ31" s="46">
        <f t="shared" si="0"/>
        <v>165.69012903225808</v>
      </c>
      <c r="AR31" s="67">
        <f t="shared" si="1"/>
        <v>18.410014336917566</v>
      </c>
    </row>
    <row r="32" spans="1:44" ht="15.6" x14ac:dyDescent="0.3">
      <c r="A32" s="5">
        <v>31</v>
      </c>
      <c r="B32" s="6" t="s">
        <v>9</v>
      </c>
      <c r="C32" s="12" t="s">
        <v>264</v>
      </c>
      <c r="D32" s="6" t="s">
        <v>128</v>
      </c>
      <c r="E32" s="6" t="s">
        <v>12</v>
      </c>
      <c r="F32" s="6" t="s">
        <v>13</v>
      </c>
      <c r="G32" s="6" t="s">
        <v>35</v>
      </c>
      <c r="H32" s="5">
        <v>3</v>
      </c>
      <c r="I32" s="74" t="s">
        <v>273</v>
      </c>
      <c r="J32" s="74"/>
      <c r="K32" s="46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</v>
      </c>
      <c r="T32" s="45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v>0</v>
      </c>
      <c r="AP32" s="46"/>
      <c r="AQ32" s="46">
        <f t="shared" si="0"/>
        <v>0</v>
      </c>
      <c r="AR32" s="67">
        <f t="shared" si="1"/>
        <v>0</v>
      </c>
    </row>
    <row r="33" spans="1:44" ht="15.6" x14ac:dyDescent="0.3">
      <c r="A33" s="5">
        <v>32</v>
      </c>
      <c r="B33" s="6" t="s">
        <v>9</v>
      </c>
      <c r="C33" s="12" t="s">
        <v>277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1</v>
      </c>
      <c r="I33" s="74" t="s">
        <v>273</v>
      </c>
      <c r="J33" s="74"/>
      <c r="K33" s="46">
        <v>10.45</v>
      </c>
      <c r="L33" s="45">
        <v>16.96</v>
      </c>
      <c r="M33" s="45">
        <v>9.4499999999999993</v>
      </c>
      <c r="N33" s="45">
        <v>7.55</v>
      </c>
      <c r="O33" s="45">
        <v>12.14</v>
      </c>
      <c r="P33" s="45">
        <v>6.34</v>
      </c>
      <c r="Q33" s="45">
        <v>6.55</v>
      </c>
      <c r="R33" s="45">
        <v>22.65</v>
      </c>
      <c r="S33" s="45">
        <v>11.6</v>
      </c>
      <c r="T33" s="45">
        <v>16.420000000000002</v>
      </c>
      <c r="U33" s="46">
        <v>9.1999999999999993</v>
      </c>
      <c r="V33" s="46">
        <v>4.13</v>
      </c>
      <c r="W33" s="46">
        <v>3.42</v>
      </c>
      <c r="X33" s="46">
        <v>4.79</v>
      </c>
      <c r="Y33" s="46">
        <v>13.38</v>
      </c>
      <c r="Z33" s="46">
        <v>7.47</v>
      </c>
      <c r="AA33" s="46">
        <v>12.11</v>
      </c>
      <c r="AB33" s="46">
        <v>7.76</v>
      </c>
      <c r="AC33" s="46">
        <v>12.56</v>
      </c>
      <c r="AD33" s="46">
        <v>10.01</v>
      </c>
      <c r="AE33" s="46">
        <v>6.22</v>
      </c>
      <c r="AF33" s="46">
        <v>20.29</v>
      </c>
      <c r="AG33" s="46">
        <v>7.09</v>
      </c>
      <c r="AH33" s="46">
        <v>13.4</v>
      </c>
      <c r="AI33" s="46">
        <v>5.16</v>
      </c>
      <c r="AJ33" s="46">
        <v>15.98</v>
      </c>
      <c r="AK33" s="46">
        <v>13.115</v>
      </c>
      <c r="AL33" s="46">
        <v>14.001999999999999</v>
      </c>
      <c r="AM33" s="46">
        <v>10.555</v>
      </c>
      <c r="AN33" s="46">
        <v>19.558</v>
      </c>
      <c r="AO33" s="46">
        <v>6.0430000000000001</v>
      </c>
      <c r="AP33" s="46"/>
      <c r="AQ33" s="46">
        <f t="shared" si="0"/>
        <v>10.850096774193549</v>
      </c>
      <c r="AR33" s="67">
        <f t="shared" si="1"/>
        <v>10.850096774193549</v>
      </c>
    </row>
    <row r="34" spans="1:44" ht="15.6" x14ac:dyDescent="0.3">
      <c r="A34" s="5">
        <v>33</v>
      </c>
      <c r="B34" s="6" t="s">
        <v>9</v>
      </c>
      <c r="C34" s="12" t="s">
        <v>283</v>
      </c>
      <c r="D34" s="6" t="s">
        <v>128</v>
      </c>
      <c r="E34" s="6" t="s">
        <v>12</v>
      </c>
      <c r="F34" s="6" t="s">
        <v>13</v>
      </c>
      <c r="G34" s="6" t="s">
        <v>35</v>
      </c>
      <c r="H34" s="5">
        <v>5</v>
      </c>
      <c r="I34" s="74" t="s">
        <v>273</v>
      </c>
      <c r="J34" s="74"/>
      <c r="K34" s="46">
        <v>16.75</v>
      </c>
      <c r="L34" s="45">
        <v>33.65</v>
      </c>
      <c r="M34" s="45">
        <v>36.42</v>
      </c>
      <c r="N34" s="45">
        <v>27.62</v>
      </c>
      <c r="O34" s="45">
        <v>48.65</v>
      </c>
      <c r="P34" s="45">
        <v>34.770000000000003</v>
      </c>
      <c r="Q34" s="45">
        <v>76.94</v>
      </c>
      <c r="R34" s="45">
        <v>56.33</v>
      </c>
      <c r="S34" s="45">
        <v>48.34</v>
      </c>
      <c r="T34" s="45">
        <v>44.16</v>
      </c>
      <c r="U34" s="46">
        <v>45.07</v>
      </c>
      <c r="V34" s="46">
        <v>51.58</v>
      </c>
      <c r="W34" s="46">
        <v>31.57</v>
      </c>
      <c r="X34" s="46">
        <v>15.12</v>
      </c>
      <c r="Y34" s="46">
        <v>45.53</v>
      </c>
      <c r="Z34" s="46">
        <v>32.28</v>
      </c>
      <c r="AA34" s="46">
        <v>29.97</v>
      </c>
      <c r="AB34" s="46">
        <v>40.340000000000003</v>
      </c>
      <c r="AC34" s="46">
        <v>40.456000000000003</v>
      </c>
      <c r="AD34" s="46">
        <v>53.85</v>
      </c>
      <c r="AE34" s="46">
        <v>31.68</v>
      </c>
      <c r="AF34" s="46">
        <v>47.7</v>
      </c>
      <c r="AG34" s="46">
        <v>45.06</v>
      </c>
      <c r="AH34" s="46">
        <v>39.18</v>
      </c>
      <c r="AI34" s="46">
        <v>45.22</v>
      </c>
      <c r="AJ34" s="46">
        <v>31.67</v>
      </c>
      <c r="AK34" s="46">
        <v>25.274000000000001</v>
      </c>
      <c r="AL34" s="46">
        <v>54.975999999999999</v>
      </c>
      <c r="AM34" s="46">
        <v>57.628000000000007</v>
      </c>
      <c r="AN34" s="46">
        <v>40.368999999999993</v>
      </c>
      <c r="AO34" s="46">
        <v>29.846999999999998</v>
      </c>
      <c r="AP34" s="46"/>
      <c r="AQ34" s="46">
        <f t="shared" ref="AQ34:AQ65" si="2">AVERAGE(K34:AO34)</f>
        <v>40.580645161290313</v>
      </c>
      <c r="AR34" s="67">
        <f t="shared" ref="AR34:AR65" si="3">AQ34/H34</f>
        <v>8.1161290322580619</v>
      </c>
    </row>
    <row r="35" spans="1:44" ht="15.6" x14ac:dyDescent="0.3">
      <c r="A35" s="5">
        <v>34</v>
      </c>
      <c r="B35" s="6" t="s">
        <v>9</v>
      </c>
      <c r="C35" s="12" t="s">
        <v>318</v>
      </c>
      <c r="D35" s="6" t="s">
        <v>128</v>
      </c>
      <c r="E35" s="6" t="s">
        <v>12</v>
      </c>
      <c r="F35" s="6" t="s">
        <v>13</v>
      </c>
      <c r="G35" s="6" t="s">
        <v>35</v>
      </c>
      <c r="H35" s="5">
        <v>1</v>
      </c>
      <c r="I35" s="74" t="s">
        <v>272</v>
      </c>
      <c r="J35" s="74"/>
      <c r="K35" s="46"/>
      <c r="L35" s="45"/>
      <c r="M35" s="45"/>
      <c r="N35" s="45"/>
      <c r="O35" s="45"/>
      <c r="P35" s="45">
        <v>2.25</v>
      </c>
      <c r="Q35" s="45">
        <v>0</v>
      </c>
      <c r="R35" s="45">
        <v>0</v>
      </c>
      <c r="S35" s="45">
        <v>0</v>
      </c>
      <c r="T35" s="45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/>
      <c r="AQ35" s="46">
        <f t="shared" si="2"/>
        <v>8.6538461538461536E-2</v>
      </c>
      <c r="AR35" s="67">
        <f t="shared" si="3"/>
        <v>8.6538461538461536E-2</v>
      </c>
    </row>
    <row r="36" spans="1:44" ht="15.6" x14ac:dyDescent="0.3">
      <c r="A36" s="5">
        <v>35</v>
      </c>
      <c r="B36" s="6" t="s">
        <v>9</v>
      </c>
      <c r="C36" s="12" t="s">
        <v>323</v>
      </c>
      <c r="D36" s="6" t="s">
        <v>128</v>
      </c>
      <c r="E36" s="6" t="s">
        <v>12</v>
      </c>
      <c r="F36" s="6" t="s">
        <v>13</v>
      </c>
      <c r="G36" s="6" t="s">
        <v>35</v>
      </c>
      <c r="H36" s="5">
        <v>3</v>
      </c>
      <c r="I36" s="74" t="s">
        <v>273</v>
      </c>
      <c r="J36" s="74"/>
      <c r="K36" s="46"/>
      <c r="L36" s="45"/>
      <c r="M36" s="45"/>
      <c r="N36" s="45"/>
      <c r="O36" s="45"/>
      <c r="P36" s="45"/>
      <c r="Q36" s="45"/>
      <c r="R36" s="45"/>
      <c r="S36" s="45"/>
      <c r="T36" s="45"/>
      <c r="U36" s="46"/>
      <c r="V36" s="46"/>
      <c r="W36" s="46"/>
      <c r="X36" s="46"/>
      <c r="Y36" s="46"/>
      <c r="Z36" s="46"/>
      <c r="AA36" s="46">
        <v>15.76</v>
      </c>
      <c r="AB36" s="46">
        <v>27.69</v>
      </c>
      <c r="AC36" s="46">
        <v>39.25</v>
      </c>
      <c r="AD36" s="46">
        <v>16.89</v>
      </c>
      <c r="AE36" s="46">
        <v>21.54</v>
      </c>
      <c r="AF36" s="46">
        <v>31</v>
      </c>
      <c r="AG36" s="46">
        <v>28.36</v>
      </c>
      <c r="AH36" s="46">
        <v>26.22</v>
      </c>
      <c r="AI36" s="46">
        <v>14.52</v>
      </c>
      <c r="AJ36" s="46">
        <v>49.31</v>
      </c>
      <c r="AK36" s="46">
        <v>8.3949999999999996</v>
      </c>
      <c r="AL36" s="46">
        <v>37.529000000000003</v>
      </c>
      <c r="AM36" s="46">
        <v>18.896999999999998</v>
      </c>
      <c r="AN36" s="46">
        <v>33.208999999999996</v>
      </c>
      <c r="AO36" s="46">
        <v>31.670999999999996</v>
      </c>
      <c r="AP36" s="46"/>
      <c r="AQ36" s="46">
        <f t="shared" si="2"/>
        <v>26.682733333333331</v>
      </c>
      <c r="AR36" s="67">
        <f t="shared" si="3"/>
        <v>8.8942444444444444</v>
      </c>
    </row>
    <row r="37" spans="1:44" x14ac:dyDescent="0.3">
      <c r="A37" s="5">
        <v>36</v>
      </c>
      <c r="B37" s="6" t="s">
        <v>9</v>
      </c>
      <c r="C37" s="6" t="s">
        <v>93</v>
      </c>
      <c r="D37" s="6" t="s">
        <v>26</v>
      </c>
      <c r="E37" s="6" t="s">
        <v>19</v>
      </c>
      <c r="F37" s="6" t="s">
        <v>13</v>
      </c>
      <c r="G37" s="6" t="s">
        <v>14</v>
      </c>
      <c r="H37" s="5">
        <v>1</v>
      </c>
      <c r="I37" s="67" t="s">
        <v>160</v>
      </c>
      <c r="J37" s="67"/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5">
        <v>0</v>
      </c>
      <c r="Q37" s="45">
        <v>0</v>
      </c>
      <c r="R37" s="45">
        <v>0</v>
      </c>
      <c r="S37" s="45">
        <v>0</v>
      </c>
      <c r="T37" s="45">
        <v>0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/>
      <c r="AQ37" s="46">
        <f t="shared" si="2"/>
        <v>0</v>
      </c>
      <c r="AR37" s="67">
        <f t="shared" si="3"/>
        <v>0</v>
      </c>
    </row>
    <row r="38" spans="1:44" x14ac:dyDescent="0.3">
      <c r="A38" s="5">
        <v>37</v>
      </c>
      <c r="B38" s="6" t="s">
        <v>9</v>
      </c>
      <c r="C38" s="6" t="s">
        <v>27</v>
      </c>
      <c r="D38" s="6" t="s">
        <v>28</v>
      </c>
      <c r="E38" s="6" t="s">
        <v>19</v>
      </c>
      <c r="F38" s="6" t="s">
        <v>13</v>
      </c>
      <c r="G38" s="6" t="s">
        <v>14</v>
      </c>
      <c r="H38" s="5">
        <v>4</v>
      </c>
      <c r="I38" s="67" t="s">
        <v>160</v>
      </c>
      <c r="J38" s="67"/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0</v>
      </c>
      <c r="Y38" s="45">
        <v>0</v>
      </c>
      <c r="Z38" s="45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60">
        <v>0</v>
      </c>
      <c r="AN38" s="60">
        <v>0</v>
      </c>
      <c r="AO38" s="60">
        <v>0</v>
      </c>
      <c r="AP38" s="60"/>
      <c r="AQ38" s="46">
        <f t="shared" si="2"/>
        <v>0</v>
      </c>
      <c r="AR38" s="67">
        <f t="shared" si="3"/>
        <v>0</v>
      </c>
    </row>
    <row r="39" spans="1:44" x14ac:dyDescent="0.3">
      <c r="A39" s="5">
        <v>38</v>
      </c>
      <c r="B39" s="6" t="s">
        <v>9</v>
      </c>
      <c r="C39" s="6" t="s">
        <v>94</v>
      </c>
      <c r="D39" s="6" t="s">
        <v>32</v>
      </c>
      <c r="E39" s="6" t="s">
        <v>19</v>
      </c>
      <c r="F39" s="6" t="s">
        <v>13</v>
      </c>
      <c r="G39" s="6" t="s">
        <v>14</v>
      </c>
      <c r="H39" s="5">
        <v>2</v>
      </c>
      <c r="I39" s="67" t="s">
        <v>160</v>
      </c>
      <c r="J39" s="67"/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60">
        <v>0</v>
      </c>
      <c r="AN39" s="60">
        <v>0</v>
      </c>
      <c r="AO39" s="60">
        <v>0</v>
      </c>
      <c r="AP39" s="60"/>
      <c r="AQ39" s="46">
        <f t="shared" si="2"/>
        <v>0</v>
      </c>
      <c r="AR39" s="67">
        <f t="shared" si="3"/>
        <v>0</v>
      </c>
    </row>
    <row r="40" spans="1:44" ht="15.6" x14ac:dyDescent="0.3">
      <c r="A40" s="5">
        <v>39</v>
      </c>
      <c r="B40" s="6" t="s">
        <v>49</v>
      </c>
      <c r="C40" s="12" t="s">
        <v>209</v>
      </c>
      <c r="D40" s="6" t="s">
        <v>128</v>
      </c>
      <c r="E40" s="6" t="s">
        <v>12</v>
      </c>
      <c r="F40" s="6" t="s">
        <v>13</v>
      </c>
      <c r="G40" s="6" t="s">
        <v>35</v>
      </c>
      <c r="H40" s="5">
        <v>5</v>
      </c>
      <c r="I40" s="74" t="s">
        <v>273</v>
      </c>
      <c r="J40" s="74"/>
      <c r="K40" s="46">
        <v>5.66</v>
      </c>
      <c r="L40" s="45">
        <v>20.74</v>
      </c>
      <c r="M40" s="46">
        <v>10.8</v>
      </c>
      <c r="N40" s="46">
        <v>7.67</v>
      </c>
      <c r="O40" s="46">
        <v>0</v>
      </c>
      <c r="P40" s="46">
        <v>17.37</v>
      </c>
      <c r="Q40" s="46">
        <v>7.76</v>
      </c>
      <c r="R40" s="46">
        <v>19.760000000000002</v>
      </c>
      <c r="S40" s="46">
        <v>5.96</v>
      </c>
      <c r="T40" s="46">
        <v>5.66</v>
      </c>
      <c r="U40" s="46">
        <v>27.65</v>
      </c>
      <c r="V40" s="46">
        <v>0</v>
      </c>
      <c r="W40" s="46">
        <v>0</v>
      </c>
      <c r="X40" s="46">
        <v>8.73</v>
      </c>
      <c r="Y40" s="46">
        <v>7.66</v>
      </c>
      <c r="Z40" s="46">
        <v>4.5</v>
      </c>
      <c r="AA40" s="46">
        <v>4.24</v>
      </c>
      <c r="AB40" s="46">
        <v>4.45</v>
      </c>
      <c r="AC40" s="53">
        <v>0</v>
      </c>
      <c r="AD40" s="60">
        <v>6.89</v>
      </c>
      <c r="AE40" s="60">
        <v>23.93</v>
      </c>
      <c r="AF40" s="60">
        <v>10.44</v>
      </c>
      <c r="AG40" s="60">
        <v>15.38</v>
      </c>
      <c r="AH40" s="54">
        <v>3.03</v>
      </c>
      <c r="AI40" s="46">
        <v>10.11</v>
      </c>
      <c r="AJ40" s="46">
        <v>0</v>
      </c>
      <c r="AK40" s="46">
        <v>9.2829999999999995</v>
      </c>
      <c r="AL40" s="46">
        <v>9.0890000000000004</v>
      </c>
      <c r="AM40" s="46">
        <v>10.305</v>
      </c>
      <c r="AN40" s="46">
        <v>11.443999999999999</v>
      </c>
      <c r="AO40" s="46">
        <v>7.8339999999999996</v>
      </c>
      <c r="AP40" s="46"/>
      <c r="AQ40" s="46">
        <f t="shared" si="2"/>
        <v>8.9143548387096772</v>
      </c>
      <c r="AR40" s="67">
        <f t="shared" si="3"/>
        <v>1.7828709677419354</v>
      </c>
    </row>
    <row r="41" spans="1:44" ht="15.6" x14ac:dyDescent="0.3">
      <c r="A41" s="5">
        <v>40</v>
      </c>
      <c r="B41" s="6" t="s">
        <v>49</v>
      </c>
      <c r="C41" s="12" t="s">
        <v>210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10</v>
      </c>
      <c r="I41" s="74" t="s">
        <v>273</v>
      </c>
      <c r="J41" s="74"/>
      <c r="K41" s="46">
        <v>93.11</v>
      </c>
      <c r="L41" s="45">
        <v>91.23</v>
      </c>
      <c r="M41" s="46">
        <v>61.49</v>
      </c>
      <c r="N41" s="46">
        <v>93.75</v>
      </c>
      <c r="O41" s="46">
        <v>128.21</v>
      </c>
      <c r="P41" s="46">
        <v>98.9</v>
      </c>
      <c r="Q41" s="46">
        <v>98.09</v>
      </c>
      <c r="R41" s="46">
        <v>122.34</v>
      </c>
      <c r="S41" s="46">
        <v>140.69</v>
      </c>
      <c r="T41" s="46">
        <v>76.099999999999994</v>
      </c>
      <c r="U41" s="46">
        <v>151.29</v>
      </c>
      <c r="V41" s="46">
        <v>103.13</v>
      </c>
      <c r="W41" s="46">
        <v>0</v>
      </c>
      <c r="X41" s="46">
        <v>84.57</v>
      </c>
      <c r="Y41" s="46">
        <v>55.88</v>
      </c>
      <c r="Z41" s="46">
        <v>107.57</v>
      </c>
      <c r="AA41" s="46">
        <v>120.42</v>
      </c>
      <c r="AB41" s="46">
        <v>98.16</v>
      </c>
      <c r="AC41" s="46">
        <v>129.07</v>
      </c>
      <c r="AD41" s="60">
        <v>116.08</v>
      </c>
      <c r="AE41" s="60">
        <v>99.34</v>
      </c>
      <c r="AF41" s="60">
        <v>131.22</v>
      </c>
      <c r="AG41" s="60">
        <v>89.03</v>
      </c>
      <c r="AH41" s="60">
        <v>71.900000000000006</v>
      </c>
      <c r="AI41" s="60">
        <v>116.81</v>
      </c>
      <c r="AJ41" s="60">
        <v>161.88999999999999</v>
      </c>
      <c r="AK41" s="46">
        <v>83.560000000000016</v>
      </c>
      <c r="AL41" s="46">
        <v>118.006</v>
      </c>
      <c r="AM41" s="46">
        <v>89.783999999999992</v>
      </c>
      <c r="AN41" s="46">
        <v>105.06500000000004</v>
      </c>
      <c r="AO41" s="46">
        <v>116.79300000000001</v>
      </c>
      <c r="AP41" s="46"/>
      <c r="AQ41" s="46">
        <f t="shared" si="2"/>
        <v>101.72509677419356</v>
      </c>
      <c r="AR41" s="67">
        <f t="shared" si="3"/>
        <v>10.172509677419356</v>
      </c>
    </row>
    <row r="42" spans="1:44" ht="15.6" x14ac:dyDescent="0.3">
      <c r="A42" s="5">
        <v>41</v>
      </c>
      <c r="B42" s="6" t="s">
        <v>52</v>
      </c>
      <c r="C42" s="12" t="s">
        <v>211</v>
      </c>
      <c r="D42" s="6" t="s">
        <v>128</v>
      </c>
      <c r="E42" s="6" t="s">
        <v>12</v>
      </c>
      <c r="F42" s="6" t="s">
        <v>13</v>
      </c>
      <c r="G42" s="6" t="s">
        <v>35</v>
      </c>
      <c r="H42" s="5">
        <v>3</v>
      </c>
      <c r="I42" s="74" t="s">
        <v>273</v>
      </c>
      <c r="J42" s="74"/>
      <c r="K42" s="46">
        <v>0</v>
      </c>
      <c r="L42" s="45">
        <v>7.74</v>
      </c>
      <c r="M42" s="46">
        <v>10.73</v>
      </c>
      <c r="N42" s="46">
        <v>12.72</v>
      </c>
      <c r="O42" s="46">
        <v>0</v>
      </c>
      <c r="P42" s="46">
        <v>5.64</v>
      </c>
      <c r="Q42" s="46">
        <v>12.23</v>
      </c>
      <c r="R42" s="46">
        <v>11.03</v>
      </c>
      <c r="S42" s="46">
        <v>13.17</v>
      </c>
      <c r="T42" s="46">
        <v>13.9</v>
      </c>
      <c r="U42" s="46">
        <v>7.52</v>
      </c>
      <c r="V42" s="46">
        <v>0</v>
      </c>
      <c r="W42" s="46">
        <v>0</v>
      </c>
      <c r="X42" s="46">
        <v>13.01</v>
      </c>
      <c r="Y42" s="46">
        <v>11.58</v>
      </c>
      <c r="Z42" s="46">
        <v>4.59</v>
      </c>
      <c r="AA42" s="46">
        <v>13.8</v>
      </c>
      <c r="AB42" s="46">
        <v>0</v>
      </c>
      <c r="AC42" s="53">
        <v>14.02</v>
      </c>
      <c r="AD42" s="60">
        <v>16.260000000000002</v>
      </c>
      <c r="AE42" s="60">
        <v>8.6199999999999992</v>
      </c>
      <c r="AF42" s="60">
        <v>11.05</v>
      </c>
      <c r="AG42" s="60">
        <v>14.12</v>
      </c>
      <c r="AH42" s="54">
        <v>2.94</v>
      </c>
      <c r="AI42" s="46">
        <v>15.58</v>
      </c>
      <c r="AJ42" s="46">
        <v>0</v>
      </c>
      <c r="AK42" s="46">
        <v>2.9000000000000001E-2</v>
      </c>
      <c r="AL42" s="46">
        <v>13.763</v>
      </c>
      <c r="AM42" s="46">
        <v>7.7770000000000001</v>
      </c>
      <c r="AN42" s="46">
        <v>8.0470000000000006</v>
      </c>
      <c r="AO42" s="46">
        <v>8.0350000000000001</v>
      </c>
      <c r="AP42" s="46"/>
      <c r="AQ42" s="46">
        <f t="shared" si="2"/>
        <v>8.3193870967741965</v>
      </c>
      <c r="AR42" s="67">
        <f t="shared" si="3"/>
        <v>2.7731290322580655</v>
      </c>
    </row>
    <row r="43" spans="1:44" ht="15.6" x14ac:dyDescent="0.3">
      <c r="A43" s="5">
        <v>42</v>
      </c>
      <c r="B43" s="6" t="s">
        <v>52</v>
      </c>
      <c r="C43" s="12" t="s">
        <v>212</v>
      </c>
      <c r="D43" s="6" t="s">
        <v>128</v>
      </c>
      <c r="E43" s="6" t="s">
        <v>12</v>
      </c>
      <c r="F43" s="6" t="s">
        <v>13</v>
      </c>
      <c r="G43" s="6" t="s">
        <v>35</v>
      </c>
      <c r="H43" s="5">
        <v>7</v>
      </c>
      <c r="I43" s="74" t="s">
        <v>273</v>
      </c>
      <c r="J43" s="74"/>
      <c r="K43" s="46">
        <v>69.62</v>
      </c>
      <c r="L43" s="45">
        <v>151.38999999999999</v>
      </c>
      <c r="M43" s="46">
        <v>175.15</v>
      </c>
      <c r="N43" s="46">
        <v>143.19</v>
      </c>
      <c r="O43" s="46">
        <v>182.89</v>
      </c>
      <c r="P43" s="46">
        <v>120</v>
      </c>
      <c r="Q43" s="46">
        <v>147.19</v>
      </c>
      <c r="R43" s="46">
        <v>151.66999999999999</v>
      </c>
      <c r="S43" s="46">
        <v>121.36</v>
      </c>
      <c r="T43" s="46">
        <v>163.69999999999999</v>
      </c>
      <c r="U43" s="46">
        <v>140.87</v>
      </c>
      <c r="V43" s="46">
        <v>77.72</v>
      </c>
      <c r="W43" s="46">
        <v>76.98</v>
      </c>
      <c r="X43" s="46">
        <v>58.09</v>
      </c>
      <c r="Y43" s="46">
        <v>103.66</v>
      </c>
      <c r="Z43" s="46">
        <v>136.19999999999999</v>
      </c>
      <c r="AA43" s="46">
        <v>124.28</v>
      </c>
      <c r="AB43" s="46">
        <v>148.93</v>
      </c>
      <c r="AC43" s="53">
        <v>164.32</v>
      </c>
      <c r="AD43" s="60">
        <v>79.08</v>
      </c>
      <c r="AE43" s="62">
        <v>190.69</v>
      </c>
      <c r="AF43" s="60">
        <v>114.55</v>
      </c>
      <c r="AG43" s="60">
        <v>144.63999999999999</v>
      </c>
      <c r="AH43" s="54">
        <v>130.33000000000001</v>
      </c>
      <c r="AI43" s="46">
        <v>123.78</v>
      </c>
      <c r="AJ43" s="46">
        <v>143.88</v>
      </c>
      <c r="AK43" s="46">
        <v>171.23400000000001</v>
      </c>
      <c r="AL43" s="46">
        <v>80.971000000000004</v>
      </c>
      <c r="AM43" s="46">
        <v>181.36900000000003</v>
      </c>
      <c r="AN43" s="46">
        <v>113.91799999999998</v>
      </c>
      <c r="AO43" s="46">
        <v>141.38499999999999</v>
      </c>
      <c r="AP43" s="46"/>
      <c r="AQ43" s="46">
        <f t="shared" si="2"/>
        <v>131.38829032258064</v>
      </c>
      <c r="AR43" s="67">
        <f t="shared" si="3"/>
        <v>18.769755760368664</v>
      </c>
    </row>
    <row r="44" spans="1:44" ht="15.6" x14ac:dyDescent="0.3">
      <c r="A44" s="5">
        <v>43</v>
      </c>
      <c r="B44" s="6" t="s">
        <v>134</v>
      </c>
      <c r="C44" s="6" t="s">
        <v>133</v>
      </c>
      <c r="D44" s="6" t="s">
        <v>128</v>
      </c>
      <c r="E44" s="6" t="s">
        <v>12</v>
      </c>
      <c r="F44" s="6" t="s">
        <v>13</v>
      </c>
      <c r="G44" s="6" t="s">
        <v>35</v>
      </c>
      <c r="H44" s="5">
        <v>5</v>
      </c>
      <c r="I44" s="74" t="s">
        <v>273</v>
      </c>
      <c r="J44" s="74"/>
      <c r="K44" s="46">
        <v>25.28</v>
      </c>
      <c r="L44" s="45">
        <v>36.479999999999997</v>
      </c>
      <c r="M44" s="46">
        <v>37.119999999999997</v>
      </c>
      <c r="N44" s="46">
        <v>46.85</v>
      </c>
      <c r="O44" s="46">
        <v>53.74</v>
      </c>
      <c r="P44" s="46">
        <v>41.65</v>
      </c>
      <c r="Q44" s="46">
        <v>25.54</v>
      </c>
      <c r="R44" s="46">
        <v>60.31</v>
      </c>
      <c r="S44" s="46">
        <v>59.73</v>
      </c>
      <c r="T44" s="46">
        <v>48.25</v>
      </c>
      <c r="U44" s="46">
        <v>45.18</v>
      </c>
      <c r="V44" s="46">
        <v>44.15</v>
      </c>
      <c r="W44" s="46">
        <v>9.8699999999999992</v>
      </c>
      <c r="X44" s="46">
        <v>47.49</v>
      </c>
      <c r="Y44" s="46">
        <v>38.24</v>
      </c>
      <c r="Z44" s="46">
        <v>39.96</v>
      </c>
      <c r="AA44" s="46">
        <v>37.79</v>
      </c>
      <c r="AB44" s="46">
        <v>70.95</v>
      </c>
      <c r="AC44" s="53">
        <v>46.78</v>
      </c>
      <c r="AD44" s="60">
        <v>47.13</v>
      </c>
      <c r="AE44" s="60">
        <v>47.08</v>
      </c>
      <c r="AF44" s="60">
        <v>49</v>
      </c>
      <c r="AG44" s="60">
        <v>40.450000000000003</v>
      </c>
      <c r="AH44" s="54">
        <v>41.45</v>
      </c>
      <c r="AI44" s="46">
        <v>38.94</v>
      </c>
      <c r="AJ44" s="46">
        <v>34.25</v>
      </c>
      <c r="AK44" s="46">
        <v>34.162999999999997</v>
      </c>
      <c r="AL44" s="46">
        <v>51.056000000000012</v>
      </c>
      <c r="AM44" s="46">
        <v>48.771000000000001</v>
      </c>
      <c r="AN44" s="46">
        <v>24.532</v>
      </c>
      <c r="AO44" s="46">
        <v>32.591999999999999</v>
      </c>
      <c r="AP44" s="46"/>
      <c r="AQ44" s="46">
        <f t="shared" si="2"/>
        <v>42.089483870967754</v>
      </c>
      <c r="AR44" s="67">
        <f t="shared" si="3"/>
        <v>8.4178967741935509</v>
      </c>
    </row>
    <row r="45" spans="1:44" ht="15.6" x14ac:dyDescent="0.3">
      <c r="A45" s="5">
        <v>44</v>
      </c>
      <c r="B45" s="12" t="s">
        <v>246</v>
      </c>
      <c r="C45" s="12" t="s">
        <v>247</v>
      </c>
      <c r="D45" s="6" t="s">
        <v>128</v>
      </c>
      <c r="E45" s="6" t="s">
        <v>12</v>
      </c>
      <c r="F45" s="6" t="s">
        <v>13</v>
      </c>
      <c r="G45" s="6" t="s">
        <v>35</v>
      </c>
      <c r="H45" s="5">
        <v>5</v>
      </c>
      <c r="I45" s="74" t="s">
        <v>273</v>
      </c>
      <c r="J45" s="74"/>
      <c r="K45" s="46">
        <v>24.95</v>
      </c>
      <c r="L45" s="45">
        <v>38.369999999999997</v>
      </c>
      <c r="M45" s="46">
        <v>17.23</v>
      </c>
      <c r="N45" s="46">
        <v>31.14</v>
      </c>
      <c r="O45" s="46">
        <v>14.26</v>
      </c>
      <c r="P45" s="46">
        <v>52.53</v>
      </c>
      <c r="Q45" s="46">
        <v>15.69</v>
      </c>
      <c r="R45" s="46">
        <v>53.55</v>
      </c>
      <c r="S45" s="46">
        <v>39.18</v>
      </c>
      <c r="T45" s="46">
        <v>28.79</v>
      </c>
      <c r="U45" s="46">
        <v>21.45</v>
      </c>
      <c r="V45" s="46">
        <v>37.14</v>
      </c>
      <c r="W45" s="46">
        <v>2.1</v>
      </c>
      <c r="X45" s="46">
        <v>23.32</v>
      </c>
      <c r="Y45" s="46">
        <v>10.73</v>
      </c>
      <c r="Z45" s="46">
        <v>49.8</v>
      </c>
      <c r="AA45" s="46">
        <v>41.24</v>
      </c>
      <c r="AB45" s="46">
        <v>28.23</v>
      </c>
      <c r="AC45" s="53">
        <v>25.15</v>
      </c>
      <c r="AD45" s="60">
        <v>5.53</v>
      </c>
      <c r="AE45" s="60">
        <v>49.76</v>
      </c>
      <c r="AF45" s="60">
        <v>11.87</v>
      </c>
      <c r="AG45" s="60">
        <v>36.96</v>
      </c>
      <c r="AH45" s="54">
        <v>38.130000000000003</v>
      </c>
      <c r="AI45" s="46">
        <v>19.75</v>
      </c>
      <c r="AJ45" s="46">
        <v>41.24</v>
      </c>
      <c r="AK45" s="46">
        <v>22.509999999999998</v>
      </c>
      <c r="AL45" s="46">
        <v>28.387</v>
      </c>
      <c r="AM45" s="46">
        <v>32.741</v>
      </c>
      <c r="AN45" s="46">
        <v>32.274000000000001</v>
      </c>
      <c r="AO45" s="46">
        <v>14.530000000000001</v>
      </c>
      <c r="AP45" s="46"/>
      <c r="AQ45" s="46">
        <f t="shared" si="2"/>
        <v>28.662322580645164</v>
      </c>
      <c r="AR45" s="67">
        <f t="shared" si="3"/>
        <v>5.7324645161290331</v>
      </c>
    </row>
    <row r="46" spans="1:44" ht="15.6" x14ac:dyDescent="0.3">
      <c r="A46" s="5">
        <v>45</v>
      </c>
      <c r="B46" s="6" t="s">
        <v>58</v>
      </c>
      <c r="C46" s="12" t="s">
        <v>213</v>
      </c>
      <c r="D46" s="6" t="s">
        <v>61</v>
      </c>
      <c r="E46" s="6" t="s">
        <v>12</v>
      </c>
      <c r="F46" s="6" t="s">
        <v>13</v>
      </c>
      <c r="G46" s="6" t="s">
        <v>35</v>
      </c>
      <c r="H46" s="5">
        <v>3</v>
      </c>
      <c r="I46" s="74" t="s">
        <v>273</v>
      </c>
      <c r="J46" s="74"/>
      <c r="K46" s="46">
        <v>47.81</v>
      </c>
      <c r="L46" s="45">
        <v>65.62</v>
      </c>
      <c r="M46" s="46">
        <v>68.459999999999994</v>
      </c>
      <c r="N46" s="46">
        <v>65.5</v>
      </c>
      <c r="O46" s="46">
        <v>6.99</v>
      </c>
      <c r="P46" s="46">
        <v>35.04</v>
      </c>
      <c r="Q46" s="46">
        <v>54.63</v>
      </c>
      <c r="R46" s="46">
        <v>43.98</v>
      </c>
      <c r="S46" s="46">
        <v>67.209999999999994</v>
      </c>
      <c r="T46" s="46">
        <v>66.56</v>
      </c>
      <c r="U46" s="46">
        <v>70.66</v>
      </c>
      <c r="V46" s="46">
        <v>75.349999999999994</v>
      </c>
      <c r="W46" s="46">
        <v>74.239999999999995</v>
      </c>
      <c r="X46" s="46">
        <v>30.07</v>
      </c>
      <c r="Y46" s="46">
        <v>0</v>
      </c>
      <c r="Z46" s="46">
        <v>0</v>
      </c>
      <c r="AA46" s="46">
        <v>0</v>
      </c>
      <c r="AB46" s="46">
        <v>0</v>
      </c>
      <c r="AC46" s="53">
        <v>0</v>
      </c>
      <c r="AD46" s="60">
        <v>0</v>
      </c>
      <c r="AE46" s="60">
        <v>0</v>
      </c>
      <c r="AF46" s="60">
        <v>0</v>
      </c>
      <c r="AG46" s="60">
        <v>0</v>
      </c>
      <c r="AH46" s="54">
        <v>0</v>
      </c>
      <c r="AI46" s="46">
        <v>0</v>
      </c>
      <c r="AJ46" s="46">
        <v>0</v>
      </c>
      <c r="AK46" s="46">
        <v>7.2999999999999995E-2</v>
      </c>
      <c r="AL46" s="46">
        <v>0</v>
      </c>
      <c r="AM46" s="46">
        <v>0</v>
      </c>
      <c r="AN46" s="46">
        <v>0</v>
      </c>
      <c r="AO46" s="46">
        <v>48.141999999999989</v>
      </c>
      <c r="AP46" s="46"/>
      <c r="AQ46" s="46">
        <f t="shared" si="2"/>
        <v>26.462419354838708</v>
      </c>
      <c r="AR46" s="67">
        <f t="shared" si="3"/>
        <v>8.8208064516129028</v>
      </c>
    </row>
    <row r="47" spans="1:44" ht="15.6" x14ac:dyDescent="0.3">
      <c r="A47" s="5">
        <v>46</v>
      </c>
      <c r="B47" s="6" t="s">
        <v>58</v>
      </c>
      <c r="C47" s="12" t="s">
        <v>214</v>
      </c>
      <c r="D47" s="6" t="s">
        <v>61</v>
      </c>
      <c r="E47" s="6" t="s">
        <v>12</v>
      </c>
      <c r="F47" s="6" t="s">
        <v>13</v>
      </c>
      <c r="G47" s="6" t="s">
        <v>35</v>
      </c>
      <c r="H47" s="5">
        <v>9</v>
      </c>
      <c r="I47" s="74" t="s">
        <v>273</v>
      </c>
      <c r="J47" s="74"/>
      <c r="K47" s="46">
        <v>120.13</v>
      </c>
      <c r="L47" s="45">
        <v>162.76</v>
      </c>
      <c r="M47" s="46">
        <v>167.82</v>
      </c>
      <c r="N47" s="46">
        <v>240.61</v>
      </c>
      <c r="O47" s="46">
        <v>280.93</v>
      </c>
      <c r="P47" s="46">
        <v>176.2</v>
      </c>
      <c r="Q47" s="46">
        <v>225.17</v>
      </c>
      <c r="R47" s="46">
        <v>224.22</v>
      </c>
      <c r="S47" s="46">
        <v>163.22</v>
      </c>
      <c r="T47" s="46">
        <v>171.28</v>
      </c>
      <c r="U47" s="46">
        <v>240.91</v>
      </c>
      <c r="V47" s="46">
        <v>195.83</v>
      </c>
      <c r="W47" s="46">
        <v>243.73</v>
      </c>
      <c r="X47" s="46">
        <v>177.97</v>
      </c>
      <c r="Y47" s="46">
        <v>232.4</v>
      </c>
      <c r="Z47" s="46">
        <v>202.86</v>
      </c>
      <c r="AA47" s="46">
        <v>228.67</v>
      </c>
      <c r="AB47" s="46">
        <v>193.3</v>
      </c>
      <c r="AC47" s="53">
        <v>203.72</v>
      </c>
      <c r="AD47" s="60">
        <v>199.34</v>
      </c>
      <c r="AE47" s="60">
        <v>205.19</v>
      </c>
      <c r="AF47" s="60">
        <v>218.76</v>
      </c>
      <c r="AG47" s="60">
        <v>190.13</v>
      </c>
      <c r="AH47" s="54">
        <v>235.8</v>
      </c>
      <c r="AI47" s="46">
        <v>186.17</v>
      </c>
      <c r="AJ47" s="46">
        <v>262.45999999999998</v>
      </c>
      <c r="AK47" s="46">
        <v>585.39099999999996</v>
      </c>
      <c r="AL47" s="46">
        <v>250.34200000000004</v>
      </c>
      <c r="AM47" s="46">
        <v>132.88400000000004</v>
      </c>
      <c r="AN47" s="46">
        <v>214.56000000000009</v>
      </c>
      <c r="AO47" s="46">
        <v>167.274</v>
      </c>
      <c r="AP47" s="46"/>
      <c r="AQ47" s="46">
        <f t="shared" si="2"/>
        <v>216.13003225806455</v>
      </c>
      <c r="AR47" s="67">
        <f t="shared" si="3"/>
        <v>24.01444802867384</v>
      </c>
    </row>
    <row r="48" spans="1:44" ht="15.6" x14ac:dyDescent="0.3">
      <c r="A48" s="5">
        <v>47</v>
      </c>
      <c r="B48" s="6" t="s">
        <v>58</v>
      </c>
      <c r="C48" s="12" t="s">
        <v>215</v>
      </c>
      <c r="D48" s="6" t="s">
        <v>63</v>
      </c>
      <c r="E48" s="6" t="s">
        <v>19</v>
      </c>
      <c r="F48" s="6" t="s">
        <v>13</v>
      </c>
      <c r="G48" s="12" t="s">
        <v>35</v>
      </c>
      <c r="H48" s="5">
        <v>8</v>
      </c>
      <c r="I48" s="74" t="s">
        <v>273</v>
      </c>
      <c r="J48" s="74"/>
      <c r="K48" s="46">
        <v>40.29</v>
      </c>
      <c r="L48" s="45">
        <v>54.55</v>
      </c>
      <c r="M48" s="46">
        <v>52.28</v>
      </c>
      <c r="N48" s="46">
        <v>78.75</v>
      </c>
      <c r="O48" s="46">
        <v>64.31</v>
      </c>
      <c r="P48" s="46">
        <v>85.81</v>
      </c>
      <c r="Q48" s="59">
        <v>88.74</v>
      </c>
      <c r="R48" s="46">
        <v>54.43</v>
      </c>
      <c r="S48" s="46">
        <v>46.11</v>
      </c>
      <c r="T48" s="46">
        <v>84.65</v>
      </c>
      <c r="U48" s="46">
        <v>96.96</v>
      </c>
      <c r="V48" s="46">
        <v>56.74</v>
      </c>
      <c r="W48" s="46">
        <v>71.62</v>
      </c>
      <c r="X48" s="46">
        <v>88.46</v>
      </c>
      <c r="Y48" s="46">
        <v>47.62</v>
      </c>
      <c r="Z48" s="46">
        <v>68.47</v>
      </c>
      <c r="AA48" s="46">
        <v>50.2</v>
      </c>
      <c r="AB48" s="46">
        <v>66.56</v>
      </c>
      <c r="AC48" s="53">
        <v>96.85</v>
      </c>
      <c r="AD48" s="60">
        <v>79.69</v>
      </c>
      <c r="AE48" s="60">
        <v>75.459999999999994</v>
      </c>
      <c r="AF48" s="60">
        <v>60.11</v>
      </c>
      <c r="AG48" s="60">
        <v>83.41</v>
      </c>
      <c r="AH48" s="60">
        <v>88.35</v>
      </c>
      <c r="AI48" s="60">
        <v>83.51</v>
      </c>
      <c r="AJ48" s="60">
        <v>65.180000000000007</v>
      </c>
      <c r="AK48" s="46">
        <v>96.733000000000004</v>
      </c>
      <c r="AL48" s="46">
        <v>95.927999999999997</v>
      </c>
      <c r="AM48" s="46">
        <v>29.555999999999997</v>
      </c>
      <c r="AN48" s="46">
        <v>58.347000000000001</v>
      </c>
      <c r="AO48" s="46">
        <v>48.844000000000001</v>
      </c>
      <c r="AP48" s="46"/>
      <c r="AQ48" s="46">
        <f t="shared" si="2"/>
        <v>69.629612903225805</v>
      </c>
      <c r="AR48" s="67">
        <f t="shared" si="3"/>
        <v>8.7037016129032256</v>
      </c>
    </row>
    <row r="49" spans="1:44" ht="15.6" x14ac:dyDescent="0.3">
      <c r="A49" s="5">
        <v>48</v>
      </c>
      <c r="B49" s="6" t="s">
        <v>58</v>
      </c>
      <c r="C49" s="12" t="s">
        <v>215</v>
      </c>
      <c r="D49" s="6" t="s">
        <v>63</v>
      </c>
      <c r="E49" s="6" t="s">
        <v>19</v>
      </c>
      <c r="F49" s="6" t="s">
        <v>64</v>
      </c>
      <c r="G49" s="6" t="s">
        <v>80</v>
      </c>
      <c r="H49" s="5">
        <v>1</v>
      </c>
      <c r="I49" s="74" t="s">
        <v>273</v>
      </c>
      <c r="J49" s="74"/>
      <c r="K49" s="46">
        <v>0</v>
      </c>
      <c r="L49" s="45">
        <v>3.16</v>
      </c>
      <c r="M49" s="45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0.34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60">
        <v>0</v>
      </c>
      <c r="AG49" s="60">
        <v>0</v>
      </c>
      <c r="AH49" s="54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v>0</v>
      </c>
      <c r="AP49" s="46"/>
      <c r="AQ49" s="46">
        <f t="shared" si="2"/>
        <v>0.11290322580645161</v>
      </c>
      <c r="AR49" s="67">
        <f t="shared" si="3"/>
        <v>0.11290322580645161</v>
      </c>
    </row>
    <row r="50" spans="1:44" ht="15.6" x14ac:dyDescent="0.3">
      <c r="A50" s="5">
        <v>49</v>
      </c>
      <c r="B50" s="6" t="s">
        <v>58</v>
      </c>
      <c r="C50" s="12" t="s">
        <v>216</v>
      </c>
      <c r="D50" s="6" t="s">
        <v>128</v>
      </c>
      <c r="E50" s="6" t="s">
        <v>12</v>
      </c>
      <c r="F50" s="6" t="s">
        <v>13</v>
      </c>
      <c r="G50" s="12" t="s">
        <v>35</v>
      </c>
      <c r="H50" s="5">
        <v>7</v>
      </c>
      <c r="I50" s="74" t="s">
        <v>273</v>
      </c>
      <c r="J50" s="74"/>
      <c r="K50" s="46">
        <v>141.72</v>
      </c>
      <c r="L50" s="45">
        <v>137.96</v>
      </c>
      <c r="M50" s="46">
        <v>165.14</v>
      </c>
      <c r="N50" s="46">
        <v>118.8</v>
      </c>
      <c r="O50" s="46">
        <v>205.87</v>
      </c>
      <c r="P50" s="46">
        <v>145.13</v>
      </c>
      <c r="Q50" s="46">
        <v>172.22</v>
      </c>
      <c r="R50" s="46">
        <v>109.09</v>
      </c>
      <c r="S50" s="46">
        <v>140.01</v>
      </c>
      <c r="T50" s="46">
        <v>138.32</v>
      </c>
      <c r="U50" s="46">
        <v>169.21</v>
      </c>
      <c r="V50" s="46">
        <v>161.21</v>
      </c>
      <c r="W50" s="46">
        <v>121.11</v>
      </c>
      <c r="X50" s="46">
        <v>124.03</v>
      </c>
      <c r="Y50" s="46">
        <v>128.94999999999999</v>
      </c>
      <c r="Z50" s="46">
        <v>155.84</v>
      </c>
      <c r="AA50" s="46">
        <v>110.6</v>
      </c>
      <c r="AB50" s="46">
        <v>140.66999999999999</v>
      </c>
      <c r="AC50" s="53">
        <v>165.56</v>
      </c>
      <c r="AD50" s="60">
        <v>154.24</v>
      </c>
      <c r="AE50" s="60">
        <v>172.5</v>
      </c>
      <c r="AF50" s="60">
        <v>136.84</v>
      </c>
      <c r="AG50" s="60">
        <v>150.16</v>
      </c>
      <c r="AH50" s="54">
        <v>111.49</v>
      </c>
      <c r="AI50" s="46">
        <v>163.61000000000001</v>
      </c>
      <c r="AJ50" s="46">
        <v>199.64</v>
      </c>
      <c r="AK50" s="46">
        <v>159.74200000000005</v>
      </c>
      <c r="AL50" s="46">
        <v>218.78</v>
      </c>
      <c r="AM50" s="46">
        <v>150.85599999999997</v>
      </c>
      <c r="AN50" s="46">
        <v>123.87399999999998</v>
      </c>
      <c r="AO50" s="46">
        <v>169.38900000000004</v>
      </c>
      <c r="AP50" s="46"/>
      <c r="AQ50" s="46">
        <f t="shared" si="2"/>
        <v>150.40519354838705</v>
      </c>
      <c r="AR50" s="67">
        <f t="shared" si="3"/>
        <v>21.48645622119815</v>
      </c>
    </row>
    <row r="51" spans="1:44" ht="15.6" x14ac:dyDescent="0.3">
      <c r="A51" s="5">
        <v>50</v>
      </c>
      <c r="B51" s="6" t="s">
        <v>58</v>
      </c>
      <c r="C51" s="12" t="s">
        <v>249</v>
      </c>
      <c r="D51" s="6" t="s">
        <v>128</v>
      </c>
      <c r="E51" s="6" t="s">
        <v>12</v>
      </c>
      <c r="F51" s="6" t="s">
        <v>13</v>
      </c>
      <c r="G51" s="12" t="s">
        <v>35</v>
      </c>
      <c r="H51" s="5">
        <v>8</v>
      </c>
      <c r="I51" s="74" t="s">
        <v>273</v>
      </c>
      <c r="J51" s="74"/>
      <c r="K51" s="46">
        <v>102.6</v>
      </c>
      <c r="L51" s="45">
        <v>161.63</v>
      </c>
      <c r="M51" s="46">
        <v>129.30000000000001</v>
      </c>
      <c r="N51" s="46">
        <v>148.38</v>
      </c>
      <c r="O51" s="46">
        <v>126</v>
      </c>
      <c r="P51" s="46">
        <v>140.03</v>
      </c>
      <c r="Q51" s="46">
        <v>140.06</v>
      </c>
      <c r="R51" s="46">
        <v>149.12</v>
      </c>
      <c r="S51" s="46">
        <v>131.74</v>
      </c>
      <c r="T51" s="46">
        <v>132.76</v>
      </c>
      <c r="U51" s="46">
        <v>146.05000000000001</v>
      </c>
      <c r="V51" s="46">
        <v>131.84</v>
      </c>
      <c r="W51" s="46">
        <v>131.55000000000001</v>
      </c>
      <c r="X51" s="60">
        <v>139.26</v>
      </c>
      <c r="Y51" s="46">
        <v>128.12</v>
      </c>
      <c r="Z51" s="46">
        <v>168.72</v>
      </c>
      <c r="AA51" s="46">
        <v>174.26</v>
      </c>
      <c r="AB51" s="46">
        <v>164.13</v>
      </c>
      <c r="AC51" s="53">
        <v>149.15</v>
      </c>
      <c r="AD51" s="60">
        <v>156.96</v>
      </c>
      <c r="AE51" s="60">
        <v>123.86</v>
      </c>
      <c r="AF51" s="60">
        <v>135.34</v>
      </c>
      <c r="AG51" s="60">
        <v>180.99</v>
      </c>
      <c r="AH51" s="54">
        <v>146.41999999999999</v>
      </c>
      <c r="AI51" s="46">
        <v>151.65</v>
      </c>
      <c r="AJ51" s="46">
        <v>159.35</v>
      </c>
      <c r="AK51" s="46">
        <v>135.92400000000001</v>
      </c>
      <c r="AL51" s="46">
        <v>160.33300000000006</v>
      </c>
      <c r="AM51" s="46">
        <v>134.50200000000001</v>
      </c>
      <c r="AN51" s="46">
        <v>140.17099999999999</v>
      </c>
      <c r="AO51" s="46">
        <v>165.44000000000003</v>
      </c>
      <c r="AP51" s="46"/>
      <c r="AQ51" s="46">
        <f t="shared" si="2"/>
        <v>144.69806451612902</v>
      </c>
      <c r="AR51" s="67">
        <f t="shared" si="3"/>
        <v>18.087258064516128</v>
      </c>
    </row>
    <row r="52" spans="1:44" ht="15.6" x14ac:dyDescent="0.3">
      <c r="A52" s="5">
        <v>51</v>
      </c>
      <c r="B52" s="6" t="s">
        <v>58</v>
      </c>
      <c r="C52" s="12" t="s">
        <v>256</v>
      </c>
      <c r="D52" s="6" t="s">
        <v>128</v>
      </c>
      <c r="E52" s="6" t="s">
        <v>12</v>
      </c>
      <c r="F52" s="6" t="s">
        <v>13</v>
      </c>
      <c r="G52" s="12" t="s">
        <v>35</v>
      </c>
      <c r="H52" s="5">
        <v>6</v>
      </c>
      <c r="I52" s="74" t="s">
        <v>273</v>
      </c>
      <c r="J52" s="74"/>
      <c r="K52" s="46">
        <v>9.25</v>
      </c>
      <c r="L52" s="45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53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46">
        <v>18.934000000000001</v>
      </c>
      <c r="AL52" s="46">
        <v>0</v>
      </c>
      <c r="AM52" s="46">
        <v>0</v>
      </c>
      <c r="AN52" s="46">
        <v>0</v>
      </c>
      <c r="AO52" s="46">
        <v>0</v>
      </c>
      <c r="AP52" s="46"/>
      <c r="AQ52" s="46">
        <f t="shared" si="2"/>
        <v>0.90916129032258064</v>
      </c>
      <c r="AR52" s="67">
        <f t="shared" si="3"/>
        <v>0.15152688172043011</v>
      </c>
    </row>
    <row r="53" spans="1:44" x14ac:dyDescent="0.3">
      <c r="A53" s="5">
        <v>52</v>
      </c>
      <c r="B53" s="6" t="s">
        <v>58</v>
      </c>
      <c r="C53" s="6" t="s">
        <v>59</v>
      </c>
      <c r="D53" s="6" t="s">
        <v>30</v>
      </c>
      <c r="E53" s="6" t="s">
        <v>19</v>
      </c>
      <c r="F53" s="6" t="s">
        <v>13</v>
      </c>
      <c r="G53" s="6" t="s">
        <v>14</v>
      </c>
      <c r="H53" s="5">
        <v>6</v>
      </c>
      <c r="I53" s="67" t="s">
        <v>160</v>
      </c>
      <c r="J53" s="67"/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60">
        <v>0</v>
      </c>
      <c r="AL53" s="60">
        <v>0</v>
      </c>
      <c r="AM53" s="46">
        <v>0</v>
      </c>
      <c r="AN53" s="46">
        <v>0</v>
      </c>
      <c r="AO53" s="46">
        <v>0</v>
      </c>
      <c r="AP53" s="46"/>
      <c r="AQ53" s="46">
        <f t="shared" si="2"/>
        <v>0</v>
      </c>
      <c r="AR53" s="67">
        <f t="shared" si="3"/>
        <v>0</v>
      </c>
    </row>
    <row r="54" spans="1:44" ht="15.6" x14ac:dyDescent="0.3">
      <c r="A54" s="5">
        <v>53</v>
      </c>
      <c r="B54" s="6" t="s">
        <v>119</v>
      </c>
      <c r="C54" s="12" t="s">
        <v>217</v>
      </c>
      <c r="D54" s="6" t="s">
        <v>30</v>
      </c>
      <c r="E54" s="6" t="s">
        <v>12</v>
      </c>
      <c r="F54" s="6" t="s">
        <v>121</v>
      </c>
      <c r="G54" s="6" t="s">
        <v>35</v>
      </c>
      <c r="H54" s="5">
        <v>20</v>
      </c>
      <c r="I54" s="74" t="s">
        <v>273</v>
      </c>
      <c r="J54" s="74"/>
      <c r="K54" s="46">
        <v>85.56</v>
      </c>
      <c r="L54" s="45">
        <v>52.2</v>
      </c>
      <c r="M54" s="46">
        <v>89.46</v>
      </c>
      <c r="N54" s="46">
        <v>81.92</v>
      </c>
      <c r="O54" s="46">
        <v>53.38</v>
      </c>
      <c r="P54" s="46">
        <v>53.18</v>
      </c>
      <c r="Q54" s="46">
        <v>78.760000000000005</v>
      </c>
      <c r="R54" s="60">
        <v>97.24</v>
      </c>
      <c r="S54" s="46">
        <v>46.12</v>
      </c>
      <c r="T54" s="46">
        <v>42.94</v>
      </c>
      <c r="U54" s="46">
        <v>56.31</v>
      </c>
      <c r="V54" s="46">
        <v>34.700000000000003</v>
      </c>
      <c r="W54" s="46">
        <v>74.239999999999995</v>
      </c>
      <c r="X54" s="46">
        <v>81.81</v>
      </c>
      <c r="Y54" s="46">
        <v>76.81</v>
      </c>
      <c r="Z54" s="46">
        <v>94.36</v>
      </c>
      <c r="AA54" s="46">
        <v>88.22</v>
      </c>
      <c r="AB54" s="46">
        <v>85.06</v>
      </c>
      <c r="AC54" s="53">
        <v>47.7</v>
      </c>
      <c r="AD54" s="60">
        <v>63.14</v>
      </c>
      <c r="AE54" s="60">
        <v>81.27</v>
      </c>
      <c r="AF54" s="60">
        <v>75.98</v>
      </c>
      <c r="AG54" s="60">
        <v>76.16</v>
      </c>
      <c r="AH54" s="54">
        <v>88.76</v>
      </c>
      <c r="AI54" s="46">
        <v>61.45</v>
      </c>
      <c r="AJ54" s="46">
        <v>35.17</v>
      </c>
      <c r="AK54" s="46">
        <v>53.18</v>
      </c>
      <c r="AL54" s="46">
        <v>57.586999999999982</v>
      </c>
      <c r="AM54" s="46">
        <v>90.632999999999981</v>
      </c>
      <c r="AN54" s="46">
        <v>91.524000000000001</v>
      </c>
      <c r="AO54" s="46">
        <v>100.57699999999997</v>
      </c>
      <c r="AP54" s="46"/>
      <c r="AQ54" s="46">
        <f t="shared" si="2"/>
        <v>70.819387096774193</v>
      </c>
      <c r="AR54" s="67">
        <f t="shared" si="3"/>
        <v>3.5409693548387096</v>
      </c>
    </row>
    <row r="55" spans="1:44" ht="15.6" x14ac:dyDescent="0.3">
      <c r="A55" s="5">
        <v>54</v>
      </c>
      <c r="B55" s="6" t="s">
        <v>119</v>
      </c>
      <c r="C55" s="12" t="s">
        <v>218</v>
      </c>
      <c r="D55" s="6" t="s">
        <v>128</v>
      </c>
      <c r="E55" s="6" t="s">
        <v>12</v>
      </c>
      <c r="F55" s="6" t="s">
        <v>121</v>
      </c>
      <c r="G55" s="6" t="s">
        <v>35</v>
      </c>
      <c r="H55" s="5">
        <v>3</v>
      </c>
      <c r="I55" s="74" t="s">
        <v>273</v>
      </c>
      <c r="J55" s="74"/>
      <c r="K55" s="46">
        <v>0</v>
      </c>
      <c r="L55" s="45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4.4000000000000004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5.43</v>
      </c>
      <c r="Z55" s="46">
        <v>0</v>
      </c>
      <c r="AA55" s="46">
        <v>0</v>
      </c>
      <c r="AB55" s="46">
        <v>0</v>
      </c>
      <c r="AC55" s="46">
        <v>0</v>
      </c>
      <c r="AD55" s="46">
        <v>0.64</v>
      </c>
      <c r="AE55" s="46">
        <v>0</v>
      </c>
      <c r="AF55" s="60">
        <v>0.28000000000000003</v>
      </c>
      <c r="AG55" s="60">
        <v>0</v>
      </c>
      <c r="AH55" s="54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v>0</v>
      </c>
      <c r="AP55" s="46"/>
      <c r="AQ55" s="46">
        <f t="shared" si="2"/>
        <v>0.34677419354838712</v>
      </c>
      <c r="AR55" s="67">
        <f t="shared" si="3"/>
        <v>0.11559139784946237</v>
      </c>
    </row>
    <row r="56" spans="1:44" ht="15.6" x14ac:dyDescent="0.3">
      <c r="A56" s="5">
        <v>55</v>
      </c>
      <c r="B56" s="6" t="s">
        <v>55</v>
      </c>
      <c r="C56" s="12" t="s">
        <v>219</v>
      </c>
      <c r="D56" s="6" t="s">
        <v>57</v>
      </c>
      <c r="E56" s="6" t="s">
        <v>12</v>
      </c>
      <c r="F56" s="6" t="s">
        <v>13</v>
      </c>
      <c r="G56" s="6" t="s">
        <v>35</v>
      </c>
      <c r="H56" s="5">
        <v>40</v>
      </c>
      <c r="I56" s="74" t="s">
        <v>273</v>
      </c>
      <c r="J56" s="74"/>
      <c r="K56" s="46">
        <v>184.7</v>
      </c>
      <c r="L56" s="45">
        <v>218.83</v>
      </c>
      <c r="M56" s="45">
        <v>171.16</v>
      </c>
      <c r="N56" s="46">
        <v>251.78</v>
      </c>
      <c r="O56" s="46">
        <v>361.17</v>
      </c>
      <c r="P56" s="46">
        <v>258.5</v>
      </c>
      <c r="Q56" s="46">
        <v>125.07</v>
      </c>
      <c r="R56" s="46">
        <v>141.03</v>
      </c>
      <c r="S56" s="46">
        <v>319.42</v>
      </c>
      <c r="T56" s="46">
        <v>249.84</v>
      </c>
      <c r="U56" s="46">
        <v>307.58</v>
      </c>
      <c r="V56" s="46">
        <v>485.45</v>
      </c>
      <c r="W56" s="46">
        <v>128.13</v>
      </c>
      <c r="X56" s="46">
        <v>363.58</v>
      </c>
      <c r="Y56" s="46">
        <v>367.01</v>
      </c>
      <c r="Z56" s="46">
        <v>316.85000000000002</v>
      </c>
      <c r="AA56" s="46">
        <v>354.09</v>
      </c>
      <c r="AB56" s="46">
        <v>390.47</v>
      </c>
      <c r="AC56" s="53">
        <v>450.48</v>
      </c>
      <c r="AD56" s="60">
        <v>373.42</v>
      </c>
      <c r="AE56" s="60">
        <v>132.88999999999999</v>
      </c>
      <c r="AF56" s="60">
        <v>420.78</v>
      </c>
      <c r="AG56" s="60">
        <v>234.82</v>
      </c>
      <c r="AH56" s="54">
        <v>389.47</v>
      </c>
      <c r="AI56" s="46">
        <v>370.66</v>
      </c>
      <c r="AJ56" s="46">
        <v>430.36</v>
      </c>
      <c r="AK56" s="46">
        <v>327.93699999999995</v>
      </c>
      <c r="AL56" s="46">
        <v>235.381</v>
      </c>
      <c r="AM56" s="46">
        <v>408.7759999999999</v>
      </c>
      <c r="AN56" s="46">
        <v>344.95500000000004</v>
      </c>
      <c r="AO56" s="46">
        <v>405.61800000000011</v>
      </c>
      <c r="AP56" s="46"/>
      <c r="AQ56" s="46">
        <f t="shared" si="2"/>
        <v>307.10345161290326</v>
      </c>
      <c r="AR56" s="67">
        <f t="shared" si="3"/>
        <v>7.6775862903225818</v>
      </c>
    </row>
    <row r="57" spans="1:44" ht="15.6" x14ac:dyDescent="0.3">
      <c r="A57" s="5">
        <v>56</v>
      </c>
      <c r="B57" s="12" t="s">
        <v>221</v>
      </c>
      <c r="C57" s="12" t="s">
        <v>220</v>
      </c>
      <c r="D57" s="6" t="s">
        <v>30</v>
      </c>
      <c r="E57" s="6" t="s">
        <v>12</v>
      </c>
      <c r="F57" s="6" t="s">
        <v>13</v>
      </c>
      <c r="G57" s="6" t="s">
        <v>35</v>
      </c>
      <c r="H57" s="5">
        <v>19</v>
      </c>
      <c r="I57" s="74" t="s">
        <v>273</v>
      </c>
      <c r="J57" s="74"/>
      <c r="K57" s="46">
        <v>24.08</v>
      </c>
      <c r="L57" s="45">
        <v>26</v>
      </c>
      <c r="M57" s="45">
        <v>30.54</v>
      </c>
      <c r="N57" s="46">
        <v>34.96</v>
      </c>
      <c r="O57" s="46">
        <v>24.06</v>
      </c>
      <c r="P57" s="46">
        <v>24.84</v>
      </c>
      <c r="Q57" s="46">
        <v>18.989999999999998</v>
      </c>
      <c r="R57" s="46">
        <v>23.73</v>
      </c>
      <c r="S57" s="46">
        <v>22.45</v>
      </c>
      <c r="T57" s="46">
        <v>31.18</v>
      </c>
      <c r="U57" s="46">
        <v>35.229999999999997</v>
      </c>
      <c r="V57" s="46">
        <v>14.3</v>
      </c>
      <c r="W57" s="46">
        <v>20.5</v>
      </c>
      <c r="X57" s="46">
        <v>20.239999999999998</v>
      </c>
      <c r="Y57" s="46">
        <v>20.92</v>
      </c>
      <c r="Z57" s="46">
        <v>27.29</v>
      </c>
      <c r="AA57" s="46">
        <v>24.71</v>
      </c>
      <c r="AB57" s="46">
        <v>17.29</v>
      </c>
      <c r="AC57" s="53">
        <v>16.78</v>
      </c>
      <c r="AD57" s="60">
        <v>11.01</v>
      </c>
      <c r="AE57" s="60">
        <v>17.899999999999999</v>
      </c>
      <c r="AF57" s="60">
        <v>19.84</v>
      </c>
      <c r="AG57" s="60">
        <v>22.33</v>
      </c>
      <c r="AH57" s="54">
        <v>11.24</v>
      </c>
      <c r="AI57" s="46">
        <v>12.96</v>
      </c>
      <c r="AJ57" s="46">
        <v>5.65</v>
      </c>
      <c r="AK57" s="46">
        <v>23.329000000000001</v>
      </c>
      <c r="AL57" s="46">
        <v>16.751999999999999</v>
      </c>
      <c r="AM57" s="46">
        <v>15.953999999999997</v>
      </c>
      <c r="AN57" s="46">
        <v>15.282</v>
      </c>
      <c r="AO57" s="46">
        <v>15.963000000000001</v>
      </c>
      <c r="AP57" s="46"/>
      <c r="AQ57" s="46">
        <f t="shared" si="2"/>
        <v>20.848387096774189</v>
      </c>
      <c r="AR57" s="67">
        <f t="shared" si="3"/>
        <v>1.0972835314091678</v>
      </c>
    </row>
    <row r="58" spans="1:44" x14ac:dyDescent="0.3">
      <c r="A58" s="5">
        <v>57</v>
      </c>
      <c r="B58" s="12" t="s">
        <v>222</v>
      </c>
      <c r="C58" s="12" t="s">
        <v>223</v>
      </c>
      <c r="D58" s="6" t="s">
        <v>69</v>
      </c>
      <c r="E58" s="6" t="s">
        <v>12</v>
      </c>
      <c r="F58" s="6" t="s">
        <v>40</v>
      </c>
      <c r="G58" s="6" t="s">
        <v>35</v>
      </c>
      <c r="H58" s="5">
        <v>2</v>
      </c>
      <c r="I58" s="67" t="s">
        <v>272</v>
      </c>
      <c r="J58" s="67"/>
      <c r="K58" s="46">
        <v>0</v>
      </c>
      <c r="L58" s="45">
        <v>0</v>
      </c>
      <c r="M58" s="45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60">
        <v>0</v>
      </c>
      <c r="AG58" s="60">
        <v>0</v>
      </c>
      <c r="AH58" s="54">
        <v>0</v>
      </c>
      <c r="AI58" s="46">
        <v>0</v>
      </c>
      <c r="AJ58" s="46">
        <v>0</v>
      </c>
      <c r="AK58" s="46">
        <v>0</v>
      </c>
      <c r="AL58" s="46">
        <v>0</v>
      </c>
      <c r="AM58" s="46">
        <v>0</v>
      </c>
      <c r="AN58" s="46">
        <v>0</v>
      </c>
      <c r="AO58" s="46">
        <v>0</v>
      </c>
      <c r="AP58" s="46"/>
      <c r="AQ58" s="46">
        <f t="shared" si="2"/>
        <v>0</v>
      </c>
      <c r="AR58" s="67">
        <f t="shared" si="3"/>
        <v>0</v>
      </c>
    </row>
    <row r="59" spans="1:44" ht="15.6" x14ac:dyDescent="0.3">
      <c r="A59" s="5">
        <v>58</v>
      </c>
      <c r="B59" s="12" t="s">
        <v>175</v>
      </c>
      <c r="C59" s="12" t="s">
        <v>174</v>
      </c>
      <c r="D59" s="6" t="s">
        <v>128</v>
      </c>
      <c r="E59" s="6" t="s">
        <v>12</v>
      </c>
      <c r="F59" s="6" t="s">
        <v>121</v>
      </c>
      <c r="G59" s="6" t="s">
        <v>35</v>
      </c>
      <c r="H59" s="5">
        <v>10</v>
      </c>
      <c r="I59" s="74" t="s">
        <v>273</v>
      </c>
      <c r="J59" s="74"/>
      <c r="K59" s="46">
        <v>56.81</v>
      </c>
      <c r="L59" s="45">
        <v>53.44</v>
      </c>
      <c r="M59" s="45">
        <v>85.51</v>
      </c>
      <c r="N59" s="46">
        <v>40.35</v>
      </c>
      <c r="O59" s="46">
        <v>0</v>
      </c>
      <c r="P59" s="46">
        <v>15.77</v>
      </c>
      <c r="Q59" s="46">
        <v>131.88</v>
      </c>
      <c r="R59" s="46">
        <v>104.4</v>
      </c>
      <c r="S59" s="46">
        <v>76.38</v>
      </c>
      <c r="T59" s="46">
        <v>33.840000000000003</v>
      </c>
      <c r="U59" s="46">
        <v>74.98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60">
        <v>9.19</v>
      </c>
      <c r="AE59" s="60">
        <v>30.78</v>
      </c>
      <c r="AF59" s="60">
        <v>49.76</v>
      </c>
      <c r="AG59" s="60">
        <v>67.17</v>
      </c>
      <c r="AH59" s="60">
        <v>33.590000000000003</v>
      </c>
      <c r="AI59" s="60">
        <v>79.14</v>
      </c>
      <c r="AJ59" s="60">
        <v>84.39</v>
      </c>
      <c r="AK59" s="46">
        <v>92.98</v>
      </c>
      <c r="AL59" s="46">
        <v>75.89</v>
      </c>
      <c r="AM59" s="46">
        <v>99.862000000000009</v>
      </c>
      <c r="AN59" s="46">
        <v>72.068999999999988</v>
      </c>
      <c r="AO59" s="46">
        <v>53.724999999999994</v>
      </c>
      <c r="AP59" s="46"/>
      <c r="AQ59" s="46">
        <f t="shared" si="2"/>
        <v>45.867935483870973</v>
      </c>
      <c r="AR59" s="67">
        <f t="shared" si="3"/>
        <v>4.5867935483870976</v>
      </c>
    </row>
    <row r="60" spans="1:44" ht="15.6" x14ac:dyDescent="0.3">
      <c r="A60" s="5">
        <v>59</v>
      </c>
      <c r="B60" s="12" t="s">
        <v>175</v>
      </c>
      <c r="C60" s="12" t="s">
        <v>174</v>
      </c>
      <c r="D60" s="6" t="s">
        <v>128</v>
      </c>
      <c r="E60" s="6" t="s">
        <v>12</v>
      </c>
      <c r="F60" s="6" t="s">
        <v>40</v>
      </c>
      <c r="G60" s="6" t="s">
        <v>35</v>
      </c>
      <c r="H60" s="5">
        <v>1</v>
      </c>
      <c r="I60" s="74" t="s">
        <v>273</v>
      </c>
      <c r="J60" s="74"/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24.26</v>
      </c>
      <c r="S60" s="46">
        <v>19.25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60">
        <v>0</v>
      </c>
      <c r="AE60" s="60">
        <v>0</v>
      </c>
      <c r="AF60" s="60">
        <v>6.95</v>
      </c>
      <c r="AG60" s="60">
        <v>0</v>
      </c>
      <c r="AH60" s="54">
        <v>0</v>
      </c>
      <c r="AI60" s="54">
        <v>0</v>
      </c>
      <c r="AJ60" s="54">
        <v>0</v>
      </c>
      <c r="AK60" s="54">
        <v>0</v>
      </c>
      <c r="AL60" s="54">
        <v>0</v>
      </c>
      <c r="AM60" s="46">
        <v>0</v>
      </c>
      <c r="AN60" s="46">
        <v>0</v>
      </c>
      <c r="AO60" s="46">
        <v>0</v>
      </c>
      <c r="AP60" s="46"/>
      <c r="AQ60" s="46">
        <f t="shared" si="2"/>
        <v>1.6277419354838711</v>
      </c>
      <c r="AR60" s="67">
        <f t="shared" si="3"/>
        <v>1.6277419354838711</v>
      </c>
    </row>
    <row r="61" spans="1:44" x14ac:dyDescent="0.3">
      <c r="A61" s="5">
        <v>60</v>
      </c>
      <c r="B61" s="12" t="s">
        <v>175</v>
      </c>
      <c r="C61" s="12" t="s">
        <v>241</v>
      </c>
      <c r="D61" s="6" t="s">
        <v>128</v>
      </c>
      <c r="E61" s="6" t="s">
        <v>12</v>
      </c>
      <c r="F61" s="6" t="s">
        <v>124</v>
      </c>
      <c r="G61" s="6" t="s">
        <v>80</v>
      </c>
      <c r="H61" s="5">
        <v>1</v>
      </c>
      <c r="I61" s="67" t="s">
        <v>160</v>
      </c>
      <c r="J61" s="67"/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0</v>
      </c>
      <c r="AE61" s="46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46">
        <v>0</v>
      </c>
      <c r="AN61" s="46">
        <v>0</v>
      </c>
      <c r="AO61" s="46">
        <v>0</v>
      </c>
      <c r="AP61" s="46"/>
      <c r="AQ61" s="46">
        <f t="shared" si="2"/>
        <v>0</v>
      </c>
      <c r="AR61" s="67">
        <f t="shared" si="3"/>
        <v>0</v>
      </c>
    </row>
    <row r="62" spans="1:44" x14ac:dyDescent="0.3">
      <c r="A62" s="5">
        <v>61</v>
      </c>
      <c r="B62" s="12" t="s">
        <v>175</v>
      </c>
      <c r="C62" s="12" t="s">
        <v>240</v>
      </c>
      <c r="D62" s="6" t="s">
        <v>128</v>
      </c>
      <c r="E62" s="6" t="s">
        <v>12</v>
      </c>
      <c r="F62" s="6" t="s">
        <v>124</v>
      </c>
      <c r="G62" s="6" t="s">
        <v>80</v>
      </c>
      <c r="H62" s="5">
        <v>1</v>
      </c>
      <c r="I62" s="67" t="s">
        <v>160</v>
      </c>
      <c r="J62" s="67"/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46">
        <v>0</v>
      </c>
      <c r="AN62" s="46">
        <v>0</v>
      </c>
      <c r="AO62" s="46">
        <v>0</v>
      </c>
      <c r="AP62" s="46"/>
      <c r="AQ62" s="46">
        <f t="shared" si="2"/>
        <v>0</v>
      </c>
      <c r="AR62" s="67">
        <f t="shared" si="3"/>
        <v>0</v>
      </c>
    </row>
    <row r="63" spans="1:44" x14ac:dyDescent="0.3">
      <c r="A63" s="5">
        <v>62</v>
      </c>
      <c r="B63" s="12" t="s">
        <v>175</v>
      </c>
      <c r="C63" s="12" t="s">
        <v>242</v>
      </c>
      <c r="D63" s="6" t="s">
        <v>128</v>
      </c>
      <c r="E63" s="6" t="s">
        <v>12</v>
      </c>
      <c r="F63" s="6" t="s">
        <v>124</v>
      </c>
      <c r="G63" s="6" t="s">
        <v>80</v>
      </c>
      <c r="H63" s="5">
        <v>1</v>
      </c>
      <c r="I63" s="67" t="s">
        <v>160</v>
      </c>
      <c r="J63" s="67"/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0</v>
      </c>
      <c r="AK63" s="60">
        <v>0</v>
      </c>
      <c r="AL63" s="60">
        <v>0</v>
      </c>
      <c r="AM63" s="46">
        <v>0</v>
      </c>
      <c r="AN63" s="46">
        <v>0</v>
      </c>
      <c r="AO63" s="46">
        <v>0</v>
      </c>
      <c r="AP63" s="46"/>
      <c r="AQ63" s="46">
        <f t="shared" si="2"/>
        <v>0</v>
      </c>
      <c r="AR63" s="67">
        <f t="shared" si="3"/>
        <v>0</v>
      </c>
    </row>
    <row r="64" spans="1:44" ht="15.6" x14ac:dyDescent="0.3">
      <c r="A64" s="5">
        <v>63</v>
      </c>
      <c r="B64" s="6" t="s">
        <v>65</v>
      </c>
      <c r="C64" s="12" t="s">
        <v>224</v>
      </c>
      <c r="D64" s="6" t="s">
        <v>30</v>
      </c>
      <c r="E64" s="6" t="s">
        <v>12</v>
      </c>
      <c r="F64" s="6" t="s">
        <v>13</v>
      </c>
      <c r="G64" s="6" t="s">
        <v>35</v>
      </c>
      <c r="H64" s="5">
        <v>5</v>
      </c>
      <c r="I64" s="74" t="s">
        <v>273</v>
      </c>
      <c r="J64" s="74"/>
      <c r="K64" s="46">
        <v>58.7</v>
      </c>
      <c r="L64" s="45">
        <v>42.1</v>
      </c>
      <c r="M64" s="46">
        <v>66.33</v>
      </c>
      <c r="N64" s="46">
        <v>56.66</v>
      </c>
      <c r="O64" s="46">
        <v>49.89</v>
      </c>
      <c r="P64" s="46">
        <v>74.319999999999993</v>
      </c>
      <c r="Q64" s="46">
        <v>68.790000000000006</v>
      </c>
      <c r="R64" s="46">
        <v>80.489999999999995</v>
      </c>
      <c r="S64" s="46">
        <v>51.31</v>
      </c>
      <c r="T64" s="46">
        <v>63.21</v>
      </c>
      <c r="U64" s="46">
        <v>81.739999999999995</v>
      </c>
      <c r="V64" s="46">
        <v>87.14</v>
      </c>
      <c r="W64" s="46">
        <v>59.95</v>
      </c>
      <c r="X64" s="46">
        <v>78.84</v>
      </c>
      <c r="Y64" s="46">
        <v>50.99</v>
      </c>
      <c r="Z64" s="46">
        <v>73.52</v>
      </c>
      <c r="AA64" s="46">
        <v>76.81</v>
      </c>
      <c r="AB64" s="46">
        <v>72.78</v>
      </c>
      <c r="AC64" s="53">
        <v>65.97</v>
      </c>
      <c r="AD64" s="60">
        <v>76.59</v>
      </c>
      <c r="AE64" s="60">
        <v>60.55</v>
      </c>
      <c r="AF64" s="60">
        <v>59.57</v>
      </c>
      <c r="AG64" s="60">
        <v>45.29</v>
      </c>
      <c r="AH64" s="54">
        <v>61.73</v>
      </c>
      <c r="AI64" s="62">
        <v>64.02</v>
      </c>
      <c r="AJ64" s="46">
        <v>47.7</v>
      </c>
      <c r="AK64" s="46">
        <v>50.116</v>
      </c>
      <c r="AL64" s="46">
        <v>61.44</v>
      </c>
      <c r="AM64" s="46">
        <v>65.90100000000001</v>
      </c>
      <c r="AN64" s="46">
        <v>69.573999999999998</v>
      </c>
      <c r="AO64" s="46">
        <v>32.866999999999997</v>
      </c>
      <c r="AP64" s="46"/>
      <c r="AQ64" s="46">
        <f t="shared" si="2"/>
        <v>63.060903225806456</v>
      </c>
      <c r="AR64" s="67">
        <f t="shared" si="3"/>
        <v>12.612180645161292</v>
      </c>
    </row>
    <row r="65" spans="1:44" ht="15.6" x14ac:dyDescent="0.3">
      <c r="A65" s="5">
        <v>64</v>
      </c>
      <c r="B65" s="6" t="s">
        <v>65</v>
      </c>
      <c r="C65" s="12" t="s">
        <v>225</v>
      </c>
      <c r="D65" s="6" t="s">
        <v>30</v>
      </c>
      <c r="E65" s="6" t="s">
        <v>12</v>
      </c>
      <c r="F65" s="6" t="s">
        <v>13</v>
      </c>
      <c r="G65" s="6" t="s">
        <v>35</v>
      </c>
      <c r="H65" s="5">
        <v>16</v>
      </c>
      <c r="I65" s="74" t="s">
        <v>273</v>
      </c>
      <c r="J65" s="74"/>
      <c r="K65" s="46">
        <v>29.02</v>
      </c>
      <c r="L65" s="45">
        <v>37.700000000000003</v>
      </c>
      <c r="M65" s="46">
        <v>40.29</v>
      </c>
      <c r="N65" s="46">
        <v>29.22</v>
      </c>
      <c r="O65" s="46">
        <v>50.53</v>
      </c>
      <c r="P65" s="46">
        <v>38.64</v>
      </c>
      <c r="Q65" s="46">
        <v>40.85</v>
      </c>
      <c r="R65" s="46">
        <v>40.14</v>
      </c>
      <c r="S65" s="46">
        <v>53.39</v>
      </c>
      <c r="T65" s="46">
        <v>40.479999999999997</v>
      </c>
      <c r="U65" s="46">
        <v>39.47</v>
      </c>
      <c r="V65" s="46">
        <v>26.91</v>
      </c>
      <c r="W65" s="46">
        <v>41.22</v>
      </c>
      <c r="X65" s="46">
        <v>47.94</v>
      </c>
      <c r="Y65" s="46">
        <v>56.06</v>
      </c>
      <c r="Z65" s="46">
        <v>42.09</v>
      </c>
      <c r="AA65" s="46">
        <v>33.83</v>
      </c>
      <c r="AB65" s="46">
        <v>38.14</v>
      </c>
      <c r="AC65" s="53">
        <v>41.21</v>
      </c>
      <c r="AD65" s="60">
        <v>29.75</v>
      </c>
      <c r="AE65" s="60">
        <v>36.74</v>
      </c>
      <c r="AF65" s="60">
        <v>21.01</v>
      </c>
      <c r="AG65" s="60">
        <v>19.18</v>
      </c>
      <c r="AH65" s="54">
        <v>29.32</v>
      </c>
      <c r="AI65" s="46">
        <v>40.26</v>
      </c>
      <c r="AJ65" s="46">
        <v>2</v>
      </c>
      <c r="AK65" s="46">
        <v>53.508000000000003</v>
      </c>
      <c r="AL65" s="46">
        <v>42.566000000000003</v>
      </c>
      <c r="AM65" s="46">
        <v>45.423999999999999</v>
      </c>
      <c r="AN65" s="46">
        <v>47.387</v>
      </c>
      <c r="AO65" s="46">
        <v>55.872000000000014</v>
      </c>
      <c r="AP65" s="46"/>
      <c r="AQ65" s="46">
        <f t="shared" si="2"/>
        <v>38.391838709677415</v>
      </c>
      <c r="AR65" s="67">
        <f t="shared" si="3"/>
        <v>2.3994899193548385</v>
      </c>
    </row>
    <row r="66" spans="1:44" ht="15.6" x14ac:dyDescent="0.3">
      <c r="A66" s="5">
        <v>65</v>
      </c>
      <c r="B66" s="6" t="s">
        <v>65</v>
      </c>
      <c r="C66" s="12" t="s">
        <v>226</v>
      </c>
      <c r="D66" s="6" t="s">
        <v>30</v>
      </c>
      <c r="E66" s="6" t="s">
        <v>12</v>
      </c>
      <c r="F66" s="6" t="s">
        <v>13</v>
      </c>
      <c r="G66" s="6" t="s">
        <v>35</v>
      </c>
      <c r="H66" s="5">
        <v>10</v>
      </c>
      <c r="I66" s="74" t="s">
        <v>273</v>
      </c>
      <c r="J66" s="74"/>
      <c r="K66" s="46">
        <v>34.11</v>
      </c>
      <c r="L66" s="45">
        <v>18.87</v>
      </c>
      <c r="M66" s="46">
        <v>25.14</v>
      </c>
      <c r="N66" s="46">
        <v>32.880000000000003</v>
      </c>
      <c r="O66" s="46">
        <v>18.16</v>
      </c>
      <c r="P66" s="46">
        <v>10.86</v>
      </c>
      <c r="Q66" s="46">
        <v>33.49</v>
      </c>
      <c r="R66" s="46">
        <v>14.75</v>
      </c>
      <c r="S66" s="46">
        <v>22.36</v>
      </c>
      <c r="T66" s="46">
        <v>30.25</v>
      </c>
      <c r="U66" s="46">
        <v>9.5299999999999994</v>
      </c>
      <c r="V66" s="46">
        <v>9.83</v>
      </c>
      <c r="W66" s="46">
        <v>16.47</v>
      </c>
      <c r="X66" s="46">
        <v>24.4</v>
      </c>
      <c r="Y66" s="46">
        <v>24.72</v>
      </c>
      <c r="Z66" s="46">
        <v>33.159999999999997</v>
      </c>
      <c r="AA66" s="46">
        <v>30.98</v>
      </c>
      <c r="AB66" s="46">
        <v>21.12</v>
      </c>
      <c r="AC66" s="53">
        <v>7.99</v>
      </c>
      <c r="AD66" s="60">
        <v>11.38</v>
      </c>
      <c r="AE66" s="62">
        <v>42.36</v>
      </c>
      <c r="AF66" s="60">
        <v>29.77</v>
      </c>
      <c r="AG66" s="60">
        <v>37.53</v>
      </c>
      <c r="AH66" s="54">
        <v>19.920000000000002</v>
      </c>
      <c r="AI66" s="46">
        <v>8.48</v>
      </c>
      <c r="AJ66" s="46">
        <v>8.99</v>
      </c>
      <c r="AK66" s="46">
        <v>29</v>
      </c>
      <c r="AL66" s="46">
        <v>51.481999999999999</v>
      </c>
      <c r="AM66" s="46">
        <v>37.358000000000004</v>
      </c>
      <c r="AN66" s="46">
        <v>42.78</v>
      </c>
      <c r="AO66" s="46">
        <v>39.161999999999999</v>
      </c>
      <c r="AP66" s="46"/>
      <c r="AQ66" s="46">
        <f t="shared" ref="AQ66:AQ94" si="4">AVERAGE(K66:AO66)</f>
        <v>25.073612903225804</v>
      </c>
      <c r="AR66" s="67">
        <f t="shared" ref="AR66:AR94" si="5">AQ66/H66</f>
        <v>2.5073612903225806</v>
      </c>
    </row>
    <row r="67" spans="1:44" ht="15.6" x14ac:dyDescent="0.3">
      <c r="A67" s="5">
        <v>66</v>
      </c>
      <c r="B67" s="6" t="s">
        <v>65</v>
      </c>
      <c r="C67" s="12" t="s">
        <v>227</v>
      </c>
      <c r="D67" s="6" t="s">
        <v>30</v>
      </c>
      <c r="E67" s="6" t="s">
        <v>12</v>
      </c>
      <c r="F67" s="6" t="s">
        <v>13</v>
      </c>
      <c r="G67" s="6" t="s">
        <v>35</v>
      </c>
      <c r="H67" s="5">
        <v>13</v>
      </c>
      <c r="I67" s="74" t="s">
        <v>273</v>
      </c>
      <c r="J67" s="74"/>
      <c r="K67" s="46">
        <v>4.6399999999999997</v>
      </c>
      <c r="L67" s="45">
        <v>68.41</v>
      </c>
      <c r="M67" s="45">
        <v>59.75</v>
      </c>
      <c r="N67" s="45">
        <v>31.16</v>
      </c>
      <c r="O67" s="45">
        <v>47.67</v>
      </c>
      <c r="P67" s="45">
        <v>15.19</v>
      </c>
      <c r="Q67" s="45">
        <v>52.67</v>
      </c>
      <c r="R67" s="46">
        <v>61.85</v>
      </c>
      <c r="S67" s="46">
        <v>75.98</v>
      </c>
      <c r="T67" s="46">
        <v>39.590000000000003</v>
      </c>
      <c r="U67" s="46">
        <v>22.1</v>
      </c>
      <c r="V67" s="46">
        <v>25.94</v>
      </c>
      <c r="W67" s="46">
        <v>33.79</v>
      </c>
      <c r="X67" s="46">
        <v>58.43</v>
      </c>
      <c r="Y67" s="46">
        <v>49.99</v>
      </c>
      <c r="Z67" s="46">
        <v>63.47</v>
      </c>
      <c r="AA67" s="46">
        <v>50.95</v>
      </c>
      <c r="AB67" s="46">
        <v>61.02</v>
      </c>
      <c r="AC67" s="53">
        <v>29.16</v>
      </c>
      <c r="AD67" s="60">
        <v>21.64</v>
      </c>
      <c r="AE67" s="60">
        <v>50.79</v>
      </c>
      <c r="AF67" s="60">
        <v>48.97</v>
      </c>
      <c r="AG67" s="60">
        <v>45.53</v>
      </c>
      <c r="AH67" s="60">
        <v>34.619999999999997</v>
      </c>
      <c r="AI67" s="60">
        <v>31.06</v>
      </c>
      <c r="AJ67" s="60">
        <v>17.14</v>
      </c>
      <c r="AK67" s="60">
        <v>15.847</v>
      </c>
      <c r="AL67" s="60">
        <v>43.585000000000001</v>
      </c>
      <c r="AM67" s="46">
        <v>41.130999999999993</v>
      </c>
      <c r="AN67" s="46">
        <v>44.524999999999999</v>
      </c>
      <c r="AO67" s="46">
        <v>64.078000000000003</v>
      </c>
      <c r="AP67" s="46"/>
      <c r="AQ67" s="46">
        <f t="shared" si="4"/>
        <v>42.279870967741942</v>
      </c>
      <c r="AR67" s="67">
        <f t="shared" si="5"/>
        <v>3.25229776674938</v>
      </c>
    </row>
    <row r="68" spans="1:44" ht="15.6" x14ac:dyDescent="0.3">
      <c r="A68" s="5">
        <v>67</v>
      </c>
      <c r="B68" s="6" t="s">
        <v>65</v>
      </c>
      <c r="C68" s="12" t="s">
        <v>297</v>
      </c>
      <c r="D68" s="6" t="s">
        <v>30</v>
      </c>
      <c r="E68" s="6" t="s">
        <v>12</v>
      </c>
      <c r="F68" s="6" t="s">
        <v>13</v>
      </c>
      <c r="G68" s="6" t="s">
        <v>35</v>
      </c>
      <c r="H68" s="5">
        <v>6</v>
      </c>
      <c r="I68" s="74" t="s">
        <v>273</v>
      </c>
      <c r="J68" s="74"/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5">
        <v>0</v>
      </c>
      <c r="Q68" s="45">
        <v>0</v>
      </c>
      <c r="R68" s="46">
        <v>0</v>
      </c>
      <c r="S68" s="46">
        <v>0</v>
      </c>
      <c r="T68" s="46">
        <v>0</v>
      </c>
      <c r="U68" s="46">
        <v>6.96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62">
        <v>0</v>
      </c>
      <c r="AE68" s="60">
        <v>0</v>
      </c>
      <c r="AF68" s="60">
        <v>0</v>
      </c>
      <c r="AG68" s="60">
        <v>0.01</v>
      </c>
      <c r="AH68" s="60">
        <v>5.57</v>
      </c>
      <c r="AI68" s="60">
        <v>0</v>
      </c>
      <c r="AJ68" s="60">
        <v>0</v>
      </c>
      <c r="AK68" s="60">
        <v>0</v>
      </c>
      <c r="AL68" s="60">
        <v>4.8170000000000002</v>
      </c>
      <c r="AM68" s="46">
        <v>0</v>
      </c>
      <c r="AN68" s="46">
        <v>0</v>
      </c>
      <c r="AO68" s="46">
        <v>0</v>
      </c>
      <c r="AP68" s="46"/>
      <c r="AQ68" s="46">
        <f t="shared" si="4"/>
        <v>0.55990322580645158</v>
      </c>
      <c r="AR68" s="67">
        <f t="shared" si="5"/>
        <v>9.3317204301075263E-2</v>
      </c>
    </row>
    <row r="69" spans="1:44" x14ac:dyDescent="0.3">
      <c r="A69" s="5">
        <v>68</v>
      </c>
      <c r="B69" s="6" t="s">
        <v>65</v>
      </c>
      <c r="C69" s="12" t="s">
        <v>228</v>
      </c>
      <c r="D69" s="6" t="s">
        <v>30</v>
      </c>
      <c r="E69" s="6" t="s">
        <v>12</v>
      </c>
      <c r="F69" s="6" t="s">
        <v>13</v>
      </c>
      <c r="G69" s="6" t="s">
        <v>35</v>
      </c>
      <c r="H69" s="5">
        <v>1</v>
      </c>
      <c r="I69" s="67" t="s">
        <v>272</v>
      </c>
      <c r="J69" s="67"/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0</v>
      </c>
      <c r="AE69" s="46">
        <v>0</v>
      </c>
      <c r="AF69" s="60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60">
        <v>0</v>
      </c>
      <c r="AP69" s="60"/>
      <c r="AQ69" s="46">
        <f t="shared" si="4"/>
        <v>0</v>
      </c>
      <c r="AR69" s="67">
        <f t="shared" si="5"/>
        <v>0</v>
      </c>
    </row>
    <row r="70" spans="1:44" x14ac:dyDescent="0.3">
      <c r="A70" s="5">
        <v>69</v>
      </c>
      <c r="B70" s="6" t="s">
        <v>65</v>
      </c>
      <c r="C70" s="12" t="s">
        <v>110</v>
      </c>
      <c r="D70" s="6" t="s">
        <v>30</v>
      </c>
      <c r="E70" s="6" t="s">
        <v>12</v>
      </c>
      <c r="F70" s="6" t="s">
        <v>13</v>
      </c>
      <c r="G70" s="6" t="s">
        <v>35</v>
      </c>
      <c r="H70" s="5">
        <v>1</v>
      </c>
      <c r="I70" s="67" t="s">
        <v>272</v>
      </c>
      <c r="J70" s="67"/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46">
        <v>0</v>
      </c>
      <c r="AL70" s="46">
        <v>0</v>
      </c>
      <c r="AM70" s="46">
        <v>0</v>
      </c>
      <c r="AN70" s="46">
        <v>0</v>
      </c>
      <c r="AO70" s="46">
        <v>0</v>
      </c>
      <c r="AP70" s="46"/>
      <c r="AQ70" s="46">
        <f t="shared" si="4"/>
        <v>0</v>
      </c>
      <c r="AR70" s="67">
        <f t="shared" si="5"/>
        <v>0</v>
      </c>
    </row>
    <row r="71" spans="1:44" x14ac:dyDescent="0.3">
      <c r="A71" s="5">
        <v>70</v>
      </c>
      <c r="B71" s="6" t="s">
        <v>65</v>
      </c>
      <c r="C71" s="12" t="s">
        <v>229</v>
      </c>
      <c r="D71" s="6" t="s">
        <v>128</v>
      </c>
      <c r="E71" s="6" t="s">
        <v>12</v>
      </c>
      <c r="F71" s="6" t="s">
        <v>40</v>
      </c>
      <c r="G71" s="6" t="s">
        <v>35</v>
      </c>
      <c r="H71" s="5">
        <v>2</v>
      </c>
      <c r="I71" s="67" t="s">
        <v>160</v>
      </c>
      <c r="J71" s="67"/>
      <c r="K71" s="46">
        <v>0</v>
      </c>
      <c r="L71" s="45">
        <v>0</v>
      </c>
      <c r="M71" s="45">
        <v>47.37</v>
      </c>
      <c r="N71" s="45">
        <v>0</v>
      </c>
      <c r="O71" s="45">
        <v>2.4500000000000002</v>
      </c>
      <c r="P71" s="45">
        <v>0</v>
      </c>
      <c r="Q71" s="45">
        <v>1.79</v>
      </c>
      <c r="R71" s="45">
        <v>0</v>
      </c>
      <c r="S71" s="45">
        <v>4.92</v>
      </c>
      <c r="T71" s="45">
        <v>0</v>
      </c>
      <c r="U71" s="45">
        <v>37.159999999999997</v>
      </c>
      <c r="V71" s="45">
        <v>0</v>
      </c>
      <c r="W71" s="45">
        <v>0</v>
      </c>
      <c r="X71" s="45">
        <v>10.18</v>
      </c>
      <c r="Y71" s="46">
        <v>3.9</v>
      </c>
      <c r="Z71" s="46">
        <v>0</v>
      </c>
      <c r="AA71" s="46">
        <v>0</v>
      </c>
      <c r="AB71" s="46">
        <v>0</v>
      </c>
      <c r="AC71" s="46">
        <v>3.78</v>
      </c>
      <c r="AD71" s="46">
        <v>0</v>
      </c>
      <c r="AE71" s="46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46">
        <v>0</v>
      </c>
      <c r="AL71" s="46">
        <v>0</v>
      </c>
      <c r="AM71" s="46">
        <v>0</v>
      </c>
      <c r="AN71" s="46">
        <v>0</v>
      </c>
      <c r="AO71" s="46">
        <v>0</v>
      </c>
      <c r="AP71" s="46"/>
      <c r="AQ71" s="46">
        <f t="shared" si="4"/>
        <v>3.5983870967741938</v>
      </c>
      <c r="AR71" s="67">
        <f t="shared" si="5"/>
        <v>1.7991935483870969</v>
      </c>
    </row>
    <row r="72" spans="1:44" x14ac:dyDescent="0.3">
      <c r="A72" s="5">
        <v>71</v>
      </c>
      <c r="B72" s="6" t="s">
        <v>65</v>
      </c>
      <c r="C72" s="12" t="s">
        <v>230</v>
      </c>
      <c r="D72" s="6"/>
      <c r="E72" s="6" t="s">
        <v>130</v>
      </c>
      <c r="F72" s="6" t="s">
        <v>121</v>
      </c>
      <c r="G72" s="6" t="s">
        <v>35</v>
      </c>
      <c r="H72" s="5">
        <v>2</v>
      </c>
      <c r="I72" s="67" t="s">
        <v>160</v>
      </c>
      <c r="J72" s="67"/>
      <c r="K72" s="46">
        <v>11.59</v>
      </c>
      <c r="L72" s="51">
        <v>0</v>
      </c>
      <c r="M72" s="51">
        <v>2.0499999999999998</v>
      </c>
      <c r="N72" s="51">
        <v>12.92</v>
      </c>
      <c r="O72" s="51">
        <v>0</v>
      </c>
      <c r="P72" s="51">
        <v>0</v>
      </c>
      <c r="Q72" s="51">
        <v>8.92</v>
      </c>
      <c r="R72" s="51">
        <v>1.97</v>
      </c>
      <c r="S72" s="51">
        <v>4.26</v>
      </c>
      <c r="T72" s="51">
        <v>7.4</v>
      </c>
      <c r="U72" s="51">
        <v>6.73</v>
      </c>
      <c r="V72" s="51">
        <v>0</v>
      </c>
      <c r="W72" s="51">
        <v>0.25</v>
      </c>
      <c r="X72" s="51">
        <v>9.27</v>
      </c>
      <c r="Y72" s="51">
        <v>0</v>
      </c>
      <c r="Z72" s="51">
        <v>4.42</v>
      </c>
      <c r="AA72" s="51">
        <v>7.07</v>
      </c>
      <c r="AB72" s="51">
        <v>7.67</v>
      </c>
      <c r="AC72" s="51">
        <v>0</v>
      </c>
      <c r="AD72" s="60">
        <v>4.3899999999999997</v>
      </c>
      <c r="AE72" s="60">
        <v>0.25</v>
      </c>
      <c r="AF72" s="60">
        <v>7.77</v>
      </c>
      <c r="AG72" s="60">
        <v>0</v>
      </c>
      <c r="AH72" s="60">
        <v>12.2</v>
      </c>
      <c r="AI72" s="60">
        <v>4.6500000000000004</v>
      </c>
      <c r="AJ72" s="60">
        <v>0</v>
      </c>
      <c r="AK72" s="60">
        <v>0</v>
      </c>
      <c r="AL72" s="60">
        <v>11.803000000000001</v>
      </c>
      <c r="AM72" s="46">
        <v>11.087999999999999</v>
      </c>
      <c r="AN72" s="46">
        <v>14.202</v>
      </c>
      <c r="AO72" s="46">
        <v>0</v>
      </c>
      <c r="AP72" s="46"/>
      <c r="AQ72" s="46">
        <f t="shared" si="4"/>
        <v>4.8668709677419351</v>
      </c>
      <c r="AR72" s="67">
        <f t="shared" si="5"/>
        <v>2.4334354838709675</v>
      </c>
    </row>
    <row r="73" spans="1:44" x14ac:dyDescent="0.3">
      <c r="A73" s="5">
        <v>72</v>
      </c>
      <c r="B73" s="6" t="s">
        <v>65</v>
      </c>
      <c r="C73" s="12" t="s">
        <v>231</v>
      </c>
      <c r="D73" s="6" t="s">
        <v>128</v>
      </c>
      <c r="E73" s="6" t="s">
        <v>19</v>
      </c>
      <c r="F73" s="6" t="s">
        <v>13</v>
      </c>
      <c r="G73" s="6" t="s">
        <v>35</v>
      </c>
      <c r="H73" s="5">
        <v>6</v>
      </c>
      <c r="I73" s="67" t="s">
        <v>160</v>
      </c>
      <c r="J73" s="67"/>
      <c r="K73" s="46">
        <v>48.69</v>
      </c>
      <c r="L73" s="51">
        <v>40.159999999999997</v>
      </c>
      <c r="M73" s="51">
        <v>40.630000000000003</v>
      </c>
      <c r="N73" s="51">
        <v>13.49</v>
      </c>
      <c r="O73" s="51">
        <v>0</v>
      </c>
      <c r="P73" s="51">
        <v>45.93</v>
      </c>
      <c r="Q73" s="51">
        <v>38.159999999999997</v>
      </c>
      <c r="R73" s="51">
        <v>28.61</v>
      </c>
      <c r="S73" s="51">
        <v>22.53</v>
      </c>
      <c r="T73" s="51">
        <v>5.89</v>
      </c>
      <c r="U73" s="51">
        <v>6.13</v>
      </c>
      <c r="V73" s="51">
        <v>18.920000000000002</v>
      </c>
      <c r="W73" s="51">
        <v>45.11</v>
      </c>
      <c r="X73" s="51">
        <v>33.75</v>
      </c>
      <c r="Y73" s="51">
        <v>26.8</v>
      </c>
      <c r="Z73" s="51">
        <v>10.97</v>
      </c>
      <c r="AA73" s="51">
        <v>47.52</v>
      </c>
      <c r="AB73" s="51">
        <v>16.579999999999998</v>
      </c>
      <c r="AC73" s="51">
        <v>0</v>
      </c>
      <c r="AD73" s="51">
        <v>41.83</v>
      </c>
      <c r="AE73" s="51">
        <v>60.07</v>
      </c>
      <c r="AF73" s="51">
        <v>56.87</v>
      </c>
      <c r="AG73" s="51">
        <v>31.51</v>
      </c>
      <c r="AH73" s="51">
        <v>49.05</v>
      </c>
      <c r="AI73" s="51">
        <v>0</v>
      </c>
      <c r="AJ73" s="51">
        <v>0</v>
      </c>
      <c r="AK73" s="51">
        <v>46.63</v>
      </c>
      <c r="AL73" s="46">
        <v>31.128999999999998</v>
      </c>
      <c r="AM73" s="46">
        <v>49.238</v>
      </c>
      <c r="AN73" s="46">
        <v>66.265000000000015</v>
      </c>
      <c r="AO73" s="46">
        <v>46.561</v>
      </c>
      <c r="AP73" s="46"/>
      <c r="AQ73" s="46">
        <f t="shared" si="4"/>
        <v>31.258806451612909</v>
      </c>
      <c r="AR73" s="67">
        <f t="shared" si="5"/>
        <v>5.2098010752688184</v>
      </c>
    </row>
    <row r="74" spans="1:44" x14ac:dyDescent="0.3">
      <c r="A74" s="5">
        <v>73</v>
      </c>
      <c r="B74" s="6" t="s">
        <v>65</v>
      </c>
      <c r="C74" s="12" t="s">
        <v>231</v>
      </c>
      <c r="D74" s="6" t="s">
        <v>128</v>
      </c>
      <c r="E74" s="6" t="s">
        <v>19</v>
      </c>
      <c r="F74" s="6" t="s">
        <v>40</v>
      </c>
      <c r="G74" s="6" t="s">
        <v>35</v>
      </c>
      <c r="H74" s="5">
        <v>1</v>
      </c>
      <c r="I74" s="67" t="s">
        <v>160</v>
      </c>
      <c r="J74" s="67"/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/>
      <c r="AQ74" s="46">
        <f t="shared" si="4"/>
        <v>0</v>
      </c>
      <c r="AR74" s="67">
        <f t="shared" si="5"/>
        <v>0</v>
      </c>
    </row>
    <row r="75" spans="1:44" ht="15.6" x14ac:dyDescent="0.3">
      <c r="A75" s="5">
        <v>74</v>
      </c>
      <c r="B75" s="6" t="s">
        <v>65</v>
      </c>
      <c r="C75" s="12" t="s">
        <v>232</v>
      </c>
      <c r="D75" s="6" t="s">
        <v>128</v>
      </c>
      <c r="E75" s="6" t="s">
        <v>12</v>
      </c>
      <c r="F75" s="6" t="s">
        <v>121</v>
      </c>
      <c r="G75" s="6" t="s">
        <v>35</v>
      </c>
      <c r="H75" s="5">
        <v>20</v>
      </c>
      <c r="I75" s="74" t="s">
        <v>273</v>
      </c>
      <c r="J75" s="74"/>
      <c r="K75" s="46">
        <v>13.34</v>
      </c>
      <c r="L75" s="46">
        <v>2.61</v>
      </c>
      <c r="M75" s="46">
        <v>13.71</v>
      </c>
      <c r="N75" s="46">
        <v>13</v>
      </c>
      <c r="O75" s="46">
        <v>0</v>
      </c>
      <c r="P75" s="46">
        <v>13.81</v>
      </c>
      <c r="Q75" s="46">
        <v>6.13</v>
      </c>
      <c r="R75" s="46">
        <v>6.03</v>
      </c>
      <c r="S75" s="46">
        <v>6.98</v>
      </c>
      <c r="T75" s="46">
        <v>19.37</v>
      </c>
      <c r="U75" s="46">
        <v>4.54</v>
      </c>
      <c r="V75" s="46">
        <v>9.75</v>
      </c>
      <c r="W75" s="46">
        <v>9.93</v>
      </c>
      <c r="X75" s="46">
        <v>20.22</v>
      </c>
      <c r="Y75" s="46">
        <v>0.93</v>
      </c>
      <c r="Z75" s="46">
        <v>21.73</v>
      </c>
      <c r="AA75" s="46">
        <v>20.69</v>
      </c>
      <c r="AB75" s="46">
        <v>5.97</v>
      </c>
      <c r="AC75" s="46">
        <v>7.14</v>
      </c>
      <c r="AD75" s="60">
        <v>8.82</v>
      </c>
      <c r="AE75" s="60">
        <v>11.93</v>
      </c>
      <c r="AF75" s="60">
        <v>13.05</v>
      </c>
      <c r="AG75" s="60">
        <v>10.76</v>
      </c>
      <c r="AH75" s="46">
        <v>42.85</v>
      </c>
      <c r="AI75" s="46">
        <v>21.96</v>
      </c>
      <c r="AJ75" s="46">
        <v>22.6</v>
      </c>
      <c r="AK75" s="46">
        <v>33.445</v>
      </c>
      <c r="AL75" s="46">
        <v>17.904000000000003</v>
      </c>
      <c r="AM75" s="46">
        <v>16.940999999999999</v>
      </c>
      <c r="AN75" s="46">
        <v>15.680999999999999</v>
      </c>
      <c r="AO75" s="46">
        <v>10.003</v>
      </c>
      <c r="AP75" s="46"/>
      <c r="AQ75" s="46">
        <f t="shared" si="4"/>
        <v>13.607225806451611</v>
      </c>
      <c r="AR75" s="67">
        <f t="shared" si="5"/>
        <v>0.68036129032258053</v>
      </c>
    </row>
    <row r="76" spans="1:44" ht="15.6" x14ac:dyDescent="0.3">
      <c r="A76" s="5">
        <v>75</v>
      </c>
      <c r="B76" s="6" t="s">
        <v>65</v>
      </c>
      <c r="C76" s="12" t="s">
        <v>254</v>
      </c>
      <c r="D76" s="6"/>
      <c r="E76" s="6" t="s">
        <v>12</v>
      </c>
      <c r="F76" s="6" t="s">
        <v>121</v>
      </c>
      <c r="G76" s="6" t="s">
        <v>35</v>
      </c>
      <c r="H76" s="5">
        <v>10</v>
      </c>
      <c r="I76" s="74" t="s">
        <v>273</v>
      </c>
      <c r="J76" s="74"/>
      <c r="K76" s="46">
        <v>0</v>
      </c>
      <c r="L76" s="46">
        <v>7.68</v>
      </c>
      <c r="M76" s="46">
        <v>13.32</v>
      </c>
      <c r="N76" s="46">
        <v>3.18</v>
      </c>
      <c r="O76" s="46">
        <v>2.78</v>
      </c>
      <c r="P76" s="46">
        <v>2.75</v>
      </c>
      <c r="Q76" s="46">
        <v>7.98</v>
      </c>
      <c r="R76" s="46">
        <v>8.82</v>
      </c>
      <c r="S76" s="46">
        <v>26.04</v>
      </c>
      <c r="T76" s="46">
        <v>0.22</v>
      </c>
      <c r="U76" s="46">
        <v>0</v>
      </c>
      <c r="V76" s="46">
        <v>0.28999999999999998</v>
      </c>
      <c r="W76" s="46">
        <v>0.08</v>
      </c>
      <c r="X76" s="46">
        <v>0.88</v>
      </c>
      <c r="Y76" s="46">
        <v>0</v>
      </c>
      <c r="Z76" s="46">
        <v>0.81</v>
      </c>
      <c r="AA76" s="46">
        <v>0</v>
      </c>
      <c r="AB76" s="46">
        <v>7.75</v>
      </c>
      <c r="AC76" s="46">
        <v>0.33</v>
      </c>
      <c r="AD76" s="60">
        <v>9.41</v>
      </c>
      <c r="AE76" s="60">
        <v>9.4</v>
      </c>
      <c r="AF76" s="60">
        <v>21.09</v>
      </c>
      <c r="AG76" s="60">
        <v>13.67</v>
      </c>
      <c r="AH76" s="46">
        <v>22.13</v>
      </c>
      <c r="AI76" s="46">
        <v>13.87</v>
      </c>
      <c r="AJ76" s="46">
        <v>13.18</v>
      </c>
      <c r="AK76" s="46">
        <v>38.213000000000001</v>
      </c>
      <c r="AL76" s="46">
        <v>29.174999999999997</v>
      </c>
      <c r="AM76" s="46">
        <v>15.19</v>
      </c>
      <c r="AN76" s="46">
        <v>13.164</v>
      </c>
      <c r="AO76" s="46">
        <v>23.648999999999997</v>
      </c>
      <c r="AP76" s="46"/>
      <c r="AQ76" s="46">
        <f t="shared" si="4"/>
        <v>9.8403548387096773</v>
      </c>
      <c r="AR76" s="67">
        <f t="shared" si="5"/>
        <v>0.98403548387096773</v>
      </c>
    </row>
    <row r="77" spans="1:44" x14ac:dyDescent="0.3">
      <c r="A77" s="5">
        <v>76</v>
      </c>
      <c r="B77" s="6" t="s">
        <v>65</v>
      </c>
      <c r="C77" s="12" t="s">
        <v>233</v>
      </c>
      <c r="D77" s="6" t="s">
        <v>128</v>
      </c>
      <c r="E77" s="6" t="s">
        <v>12</v>
      </c>
      <c r="F77" s="6" t="s">
        <v>121</v>
      </c>
      <c r="G77" s="6" t="s">
        <v>35</v>
      </c>
      <c r="H77" s="5">
        <v>2</v>
      </c>
      <c r="I77" s="67" t="s">
        <v>272</v>
      </c>
      <c r="J77" s="67"/>
      <c r="K77" s="46">
        <v>0</v>
      </c>
      <c r="L77" s="46">
        <v>0</v>
      </c>
      <c r="M77" s="46">
        <v>0</v>
      </c>
      <c r="N77" s="45">
        <v>0</v>
      </c>
      <c r="O77" s="45">
        <v>0</v>
      </c>
      <c r="P77" s="45">
        <v>0</v>
      </c>
      <c r="Q77" s="45">
        <v>0</v>
      </c>
      <c r="R77" s="45">
        <v>0</v>
      </c>
      <c r="S77" s="45">
        <v>0</v>
      </c>
      <c r="T77" s="45">
        <v>0</v>
      </c>
      <c r="U77" s="45">
        <v>0</v>
      </c>
      <c r="V77" s="45">
        <v>0</v>
      </c>
      <c r="W77" s="45">
        <v>0</v>
      </c>
      <c r="X77" s="45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46">
        <v>0</v>
      </c>
      <c r="AN77" s="46">
        <v>0</v>
      </c>
      <c r="AO77" s="46">
        <v>0</v>
      </c>
      <c r="AP77" s="46"/>
      <c r="AQ77" s="46">
        <f t="shared" si="4"/>
        <v>0</v>
      </c>
      <c r="AR77" s="67">
        <f t="shared" si="5"/>
        <v>0</v>
      </c>
    </row>
    <row r="78" spans="1:44" x14ac:dyDescent="0.3">
      <c r="A78" s="5">
        <v>77</v>
      </c>
      <c r="B78" s="6" t="s">
        <v>65</v>
      </c>
      <c r="C78" s="12" t="s">
        <v>233</v>
      </c>
      <c r="D78" s="6" t="s">
        <v>128</v>
      </c>
      <c r="E78" s="6" t="s">
        <v>12</v>
      </c>
      <c r="F78" s="6" t="s">
        <v>40</v>
      </c>
      <c r="G78" s="6" t="s">
        <v>35</v>
      </c>
      <c r="H78" s="5">
        <v>2</v>
      </c>
      <c r="I78" s="67" t="s">
        <v>272</v>
      </c>
      <c r="J78" s="67"/>
      <c r="K78" s="46">
        <v>0</v>
      </c>
      <c r="L78" s="46">
        <v>0</v>
      </c>
      <c r="M78" s="46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45">
        <v>0</v>
      </c>
      <c r="T78" s="45">
        <v>0</v>
      </c>
      <c r="U78" s="45">
        <v>0</v>
      </c>
      <c r="V78" s="45">
        <v>0</v>
      </c>
      <c r="W78" s="45">
        <v>0</v>
      </c>
      <c r="X78" s="45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46">
        <v>0</v>
      </c>
      <c r="AN78" s="46">
        <v>0</v>
      </c>
      <c r="AO78" s="46">
        <v>0</v>
      </c>
      <c r="AP78" s="46"/>
      <c r="AQ78" s="46">
        <f t="shared" si="4"/>
        <v>0</v>
      </c>
      <c r="AR78" s="67">
        <f t="shared" si="5"/>
        <v>0</v>
      </c>
    </row>
    <row r="79" spans="1:44" x14ac:dyDescent="0.3">
      <c r="A79" s="5">
        <v>78</v>
      </c>
      <c r="B79" s="6" t="s">
        <v>65</v>
      </c>
      <c r="C79" t="s">
        <v>252</v>
      </c>
      <c r="D79" s="6" t="s">
        <v>236</v>
      </c>
      <c r="E79" s="6" t="s">
        <v>12</v>
      </c>
      <c r="F79" s="6" t="s">
        <v>121</v>
      </c>
      <c r="G79" s="6" t="s">
        <v>35</v>
      </c>
      <c r="H79" s="5">
        <v>3</v>
      </c>
      <c r="I79" s="67" t="s">
        <v>160</v>
      </c>
      <c r="J79" s="67"/>
      <c r="K79" s="46">
        <v>0</v>
      </c>
      <c r="L79" s="46">
        <v>0</v>
      </c>
      <c r="M79" s="46">
        <v>0</v>
      </c>
      <c r="N79" s="45">
        <v>1.87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6">
        <v>0</v>
      </c>
      <c r="Y79" s="46">
        <v>0</v>
      </c>
      <c r="Z79" s="46">
        <v>0.97</v>
      </c>
      <c r="AA79" s="46">
        <v>1.02</v>
      </c>
      <c r="AB79" s="46">
        <v>0.66</v>
      </c>
      <c r="AC79" s="46">
        <v>4.21</v>
      </c>
      <c r="AD79" s="60">
        <v>6.03</v>
      </c>
      <c r="AE79" s="60">
        <v>5.18</v>
      </c>
      <c r="AF79" s="60">
        <v>8.59</v>
      </c>
      <c r="AG79" s="60">
        <v>2.46</v>
      </c>
      <c r="AH79" s="60">
        <v>5.55</v>
      </c>
      <c r="AI79" s="60">
        <v>0.14000000000000001</v>
      </c>
      <c r="AJ79" s="60">
        <v>2.0499999999999998</v>
      </c>
      <c r="AK79" s="46">
        <v>6.2070000000000007</v>
      </c>
      <c r="AL79" s="46">
        <v>5.495000000000001</v>
      </c>
      <c r="AM79" s="46">
        <v>5.9969999999999999</v>
      </c>
      <c r="AN79" s="46">
        <v>8.1859999999999999</v>
      </c>
      <c r="AO79" s="46">
        <v>7.4089999999999998</v>
      </c>
      <c r="AP79" s="46"/>
      <c r="AQ79" s="46">
        <f t="shared" si="4"/>
        <v>2.3233548387096778</v>
      </c>
      <c r="AR79" s="67">
        <f t="shared" si="5"/>
        <v>0.77445161290322595</v>
      </c>
    </row>
    <row r="80" spans="1:44" x14ac:dyDescent="0.3">
      <c r="A80" s="5">
        <v>79</v>
      </c>
      <c r="B80" s="6" t="s">
        <v>65</v>
      </c>
      <c r="C80" s="12" t="s">
        <v>238</v>
      </c>
      <c r="D80" s="6" t="s">
        <v>236</v>
      </c>
      <c r="E80" s="6" t="s">
        <v>12</v>
      </c>
      <c r="F80" s="6" t="s">
        <v>121</v>
      </c>
      <c r="G80" s="6" t="s">
        <v>35</v>
      </c>
      <c r="H80" s="5">
        <v>3</v>
      </c>
      <c r="I80" s="67" t="s">
        <v>160</v>
      </c>
      <c r="J80" s="67"/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5">
        <v>0</v>
      </c>
      <c r="Q80" s="45">
        <v>0</v>
      </c>
      <c r="R80" s="45">
        <v>0</v>
      </c>
      <c r="S80" s="45">
        <v>0</v>
      </c>
      <c r="T80" s="45">
        <v>0</v>
      </c>
      <c r="U80" s="45">
        <v>0</v>
      </c>
      <c r="V80" s="45">
        <v>0</v>
      </c>
      <c r="W80" s="45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59">
        <v>0</v>
      </c>
      <c r="AM80" s="46">
        <v>0</v>
      </c>
      <c r="AN80" s="46">
        <v>0</v>
      </c>
      <c r="AO80" s="46">
        <v>0</v>
      </c>
      <c r="AP80" s="46"/>
      <c r="AQ80" s="46">
        <f t="shared" si="4"/>
        <v>0</v>
      </c>
      <c r="AR80" s="67">
        <f t="shared" si="5"/>
        <v>0</v>
      </c>
    </row>
    <row r="81" spans="1:44" x14ac:dyDescent="0.3">
      <c r="A81" s="5">
        <v>80</v>
      </c>
      <c r="B81" s="6" t="s">
        <v>65</v>
      </c>
      <c r="C81" s="12" t="s">
        <v>238</v>
      </c>
      <c r="D81" s="6" t="s">
        <v>236</v>
      </c>
      <c r="E81" s="6" t="s">
        <v>12</v>
      </c>
      <c r="F81" s="6" t="s">
        <v>95</v>
      </c>
      <c r="G81" s="6" t="s">
        <v>80</v>
      </c>
      <c r="H81" s="5">
        <v>1</v>
      </c>
      <c r="I81" s="67" t="s">
        <v>160</v>
      </c>
      <c r="J81" s="67"/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46">
        <v>0</v>
      </c>
      <c r="AN81" s="46">
        <v>0</v>
      </c>
      <c r="AO81" s="46">
        <v>0</v>
      </c>
      <c r="AP81" s="46"/>
      <c r="AQ81" s="46">
        <f t="shared" si="4"/>
        <v>0</v>
      </c>
      <c r="AR81" s="67">
        <f t="shared" si="5"/>
        <v>0</v>
      </c>
    </row>
    <row r="82" spans="1:44" x14ac:dyDescent="0.3">
      <c r="A82" s="5">
        <v>81</v>
      </c>
      <c r="B82" s="6" t="s">
        <v>65</v>
      </c>
      <c r="C82" s="12" t="s">
        <v>235</v>
      </c>
      <c r="D82" s="6" t="s">
        <v>236</v>
      </c>
      <c r="E82" s="6" t="s">
        <v>12</v>
      </c>
      <c r="F82" s="6" t="s">
        <v>121</v>
      </c>
      <c r="G82" s="6" t="s">
        <v>35</v>
      </c>
      <c r="H82" s="5">
        <v>3</v>
      </c>
      <c r="I82" s="67" t="s">
        <v>160</v>
      </c>
      <c r="J82" s="67"/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60">
        <v>0</v>
      </c>
      <c r="AG82" s="60">
        <v>0</v>
      </c>
      <c r="AH82" s="54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v>0</v>
      </c>
      <c r="AO82" s="46">
        <v>0</v>
      </c>
      <c r="AP82" s="46"/>
      <c r="AQ82" s="46">
        <f t="shared" si="4"/>
        <v>0</v>
      </c>
      <c r="AR82" s="67">
        <f t="shared" si="5"/>
        <v>0</v>
      </c>
    </row>
    <row r="83" spans="1:44" x14ac:dyDescent="0.3">
      <c r="A83" s="5">
        <v>82</v>
      </c>
      <c r="B83" s="6" t="s">
        <v>65</v>
      </c>
      <c r="C83" s="12" t="s">
        <v>237</v>
      </c>
      <c r="D83" s="6" t="s">
        <v>236</v>
      </c>
      <c r="E83" s="6" t="s">
        <v>12</v>
      </c>
      <c r="F83" s="6" t="s">
        <v>121</v>
      </c>
      <c r="G83" s="6" t="s">
        <v>35</v>
      </c>
      <c r="H83" s="5">
        <v>3</v>
      </c>
      <c r="I83" s="67" t="s">
        <v>160</v>
      </c>
      <c r="J83" s="67"/>
      <c r="K83" s="46">
        <v>5.15</v>
      </c>
      <c r="L83" s="45">
        <v>9.5</v>
      </c>
      <c r="M83" s="45">
        <v>7.84</v>
      </c>
      <c r="N83" s="45">
        <v>11.8</v>
      </c>
      <c r="O83" s="45">
        <v>0</v>
      </c>
      <c r="P83" s="46">
        <v>6.64</v>
      </c>
      <c r="Q83" s="46">
        <v>9.01</v>
      </c>
      <c r="R83" s="46">
        <v>9.56</v>
      </c>
      <c r="S83" s="46">
        <v>2.5499999999999998</v>
      </c>
      <c r="T83" s="46">
        <v>8.5399999999999991</v>
      </c>
      <c r="U83" s="46">
        <v>20.76</v>
      </c>
      <c r="V83" s="46">
        <v>4.4400000000000004</v>
      </c>
      <c r="W83" s="46">
        <v>5.98</v>
      </c>
      <c r="X83" s="46">
        <v>20.57</v>
      </c>
      <c r="Y83" s="46">
        <v>9.39</v>
      </c>
      <c r="Z83" s="46">
        <v>11.81</v>
      </c>
      <c r="AA83" s="46">
        <v>23.2</v>
      </c>
      <c r="AB83" s="46">
        <v>6.54</v>
      </c>
      <c r="AC83" s="46">
        <v>7.76</v>
      </c>
      <c r="AD83" s="60">
        <v>11.99</v>
      </c>
      <c r="AE83" s="60">
        <v>10.25</v>
      </c>
      <c r="AF83" s="60">
        <v>6.31</v>
      </c>
      <c r="AG83" s="60">
        <v>0</v>
      </c>
      <c r="AH83" s="54">
        <v>6.87</v>
      </c>
      <c r="AI83" s="46">
        <v>9.56</v>
      </c>
      <c r="AJ83" s="46">
        <v>5.22</v>
      </c>
      <c r="AK83" s="46">
        <v>8.2129999999999992</v>
      </c>
      <c r="AL83" s="46">
        <v>7.484</v>
      </c>
      <c r="AM83" s="46">
        <v>7.1070000000000002</v>
      </c>
      <c r="AN83" s="46">
        <v>13.334</v>
      </c>
      <c r="AO83" s="46">
        <v>15.109</v>
      </c>
      <c r="AP83" s="46"/>
      <c r="AQ83" s="46">
        <f t="shared" si="4"/>
        <v>9.1124838709677416</v>
      </c>
      <c r="AR83" s="67">
        <f t="shared" si="5"/>
        <v>3.0374946236559137</v>
      </c>
    </row>
    <row r="84" spans="1:44" x14ac:dyDescent="0.3">
      <c r="A84" s="5">
        <v>83</v>
      </c>
      <c r="B84" s="6" t="s">
        <v>65</v>
      </c>
      <c r="C84" s="12" t="s">
        <v>245</v>
      </c>
      <c r="D84" s="6" t="s">
        <v>236</v>
      </c>
      <c r="E84" s="6" t="s">
        <v>12</v>
      </c>
      <c r="F84" s="6" t="s">
        <v>121</v>
      </c>
      <c r="G84" s="6" t="s">
        <v>35</v>
      </c>
      <c r="H84" s="5">
        <v>3</v>
      </c>
      <c r="I84" s="67" t="s">
        <v>160</v>
      </c>
      <c r="J84" s="67"/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46">
        <v>0</v>
      </c>
      <c r="AL84" s="46">
        <v>0</v>
      </c>
      <c r="AM84" s="46">
        <v>0</v>
      </c>
      <c r="AN84" s="46">
        <v>0</v>
      </c>
      <c r="AO84" s="46">
        <v>0</v>
      </c>
      <c r="AP84" s="46"/>
      <c r="AQ84" s="46">
        <f t="shared" si="4"/>
        <v>0</v>
      </c>
      <c r="AR84" s="67">
        <f t="shared" si="5"/>
        <v>0</v>
      </c>
    </row>
    <row r="85" spans="1:44" x14ac:dyDescent="0.3">
      <c r="A85" s="5">
        <v>84</v>
      </c>
      <c r="B85" s="6" t="s">
        <v>65</v>
      </c>
      <c r="C85" s="12" t="s">
        <v>253</v>
      </c>
      <c r="D85" s="6" t="s">
        <v>236</v>
      </c>
      <c r="E85" s="6" t="s">
        <v>12</v>
      </c>
      <c r="F85" s="6" t="s">
        <v>121</v>
      </c>
      <c r="G85" s="6" t="s">
        <v>35</v>
      </c>
      <c r="H85" s="5">
        <v>3</v>
      </c>
      <c r="I85" s="67" t="s">
        <v>160</v>
      </c>
      <c r="J85" s="67"/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46">
        <v>0</v>
      </c>
      <c r="AL85" s="46">
        <v>0</v>
      </c>
      <c r="AM85" s="46">
        <v>0</v>
      </c>
      <c r="AN85" s="46">
        <v>0</v>
      </c>
      <c r="AO85" s="46">
        <v>0</v>
      </c>
      <c r="AP85" s="46"/>
      <c r="AQ85" s="46">
        <f t="shared" si="4"/>
        <v>0</v>
      </c>
      <c r="AR85" s="67">
        <f t="shared" si="5"/>
        <v>0</v>
      </c>
    </row>
    <row r="86" spans="1:44" x14ac:dyDescent="0.3">
      <c r="A86" s="5">
        <v>85</v>
      </c>
      <c r="B86" s="6" t="s">
        <v>65</v>
      </c>
      <c r="C86" s="12" t="s">
        <v>261</v>
      </c>
      <c r="D86" s="6" t="s">
        <v>236</v>
      </c>
      <c r="E86" s="6" t="s">
        <v>12</v>
      </c>
      <c r="F86" s="6" t="s">
        <v>121</v>
      </c>
      <c r="G86" s="6" t="s">
        <v>35</v>
      </c>
      <c r="H86" s="5">
        <v>16</v>
      </c>
      <c r="I86" s="67" t="s">
        <v>160</v>
      </c>
      <c r="J86" s="67"/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46">
        <v>0</v>
      </c>
      <c r="Q86" s="46">
        <v>0</v>
      </c>
      <c r="R86" s="45">
        <v>0</v>
      </c>
      <c r="S86" s="45">
        <v>0</v>
      </c>
      <c r="T86" s="45">
        <v>0</v>
      </c>
      <c r="U86" s="45">
        <v>0</v>
      </c>
      <c r="V86" s="45">
        <v>0</v>
      </c>
      <c r="W86" s="45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46">
        <v>0</v>
      </c>
      <c r="AN86" s="46">
        <v>0</v>
      </c>
      <c r="AO86" s="46">
        <v>0</v>
      </c>
      <c r="AP86" s="46"/>
      <c r="AQ86" s="46">
        <f t="shared" si="4"/>
        <v>0</v>
      </c>
      <c r="AR86" s="67">
        <f t="shared" si="5"/>
        <v>0</v>
      </c>
    </row>
    <row r="87" spans="1:44" ht="15.6" x14ac:dyDescent="0.3">
      <c r="A87" s="5">
        <v>86</v>
      </c>
      <c r="B87" s="6" t="s">
        <v>65</v>
      </c>
      <c r="C87" s="12" t="s">
        <v>298</v>
      </c>
      <c r="D87" s="6" t="s">
        <v>30</v>
      </c>
      <c r="E87" s="6" t="s">
        <v>12</v>
      </c>
      <c r="F87" s="6" t="s">
        <v>121</v>
      </c>
      <c r="G87" s="6" t="s">
        <v>35</v>
      </c>
      <c r="H87" s="5">
        <v>4</v>
      </c>
      <c r="I87" s="74" t="s">
        <v>273</v>
      </c>
      <c r="J87" s="74"/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5">
        <v>3.68</v>
      </c>
      <c r="S87" s="45">
        <v>1.76</v>
      </c>
      <c r="T87" s="45">
        <v>3.11</v>
      </c>
      <c r="U87" s="45">
        <v>2.84</v>
      </c>
      <c r="V87" s="10">
        <v>0.54</v>
      </c>
      <c r="W87" s="46">
        <v>0</v>
      </c>
      <c r="X87" s="46">
        <v>0</v>
      </c>
      <c r="Y87" s="46">
        <v>0</v>
      </c>
      <c r="Z87" s="46">
        <v>0</v>
      </c>
      <c r="AA87" s="46">
        <v>5.68</v>
      </c>
      <c r="AB87" s="46">
        <v>2.15</v>
      </c>
      <c r="AC87" s="46">
        <v>0</v>
      </c>
      <c r="AD87" s="46">
        <v>0</v>
      </c>
      <c r="AE87" s="46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46">
        <v>0</v>
      </c>
      <c r="AN87" s="46">
        <v>0</v>
      </c>
      <c r="AO87" s="46">
        <v>0</v>
      </c>
      <c r="AP87" s="46"/>
      <c r="AQ87" s="46">
        <f t="shared" si="4"/>
        <v>0.6374193548387096</v>
      </c>
      <c r="AR87" s="67">
        <f t="shared" si="5"/>
        <v>0.1593548387096774</v>
      </c>
    </row>
    <row r="88" spans="1:44" x14ac:dyDescent="0.3">
      <c r="A88" s="5">
        <v>87</v>
      </c>
      <c r="B88" s="6" t="s">
        <v>65</v>
      </c>
      <c r="C88" s="39" t="s">
        <v>115</v>
      </c>
      <c r="D88" s="6" t="s">
        <v>113</v>
      </c>
      <c r="E88" s="6" t="s">
        <v>19</v>
      </c>
      <c r="F88" s="6" t="s">
        <v>116</v>
      </c>
      <c r="G88" s="6" t="s">
        <v>80</v>
      </c>
      <c r="H88" s="5">
        <v>1</v>
      </c>
      <c r="I88" s="67" t="s">
        <v>160</v>
      </c>
      <c r="J88" s="67"/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45">
        <v>0</v>
      </c>
      <c r="Q88" s="45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46">
        <v>0</v>
      </c>
      <c r="AN88" s="46">
        <v>0</v>
      </c>
      <c r="AO88" s="46">
        <v>0</v>
      </c>
      <c r="AP88" s="46"/>
      <c r="AQ88" s="46">
        <f t="shared" si="4"/>
        <v>0</v>
      </c>
      <c r="AR88" s="67">
        <f t="shared" si="5"/>
        <v>0</v>
      </c>
    </row>
    <row r="89" spans="1:44" x14ac:dyDescent="0.3">
      <c r="A89" s="5">
        <v>88</v>
      </c>
      <c r="B89" s="6" t="s">
        <v>65</v>
      </c>
      <c r="C89" s="39" t="s">
        <v>117</v>
      </c>
      <c r="D89" s="6" t="s">
        <v>113</v>
      </c>
      <c r="E89" s="6" t="s">
        <v>19</v>
      </c>
      <c r="F89" s="6" t="s">
        <v>116</v>
      </c>
      <c r="G89" s="6" t="s">
        <v>80</v>
      </c>
      <c r="H89" s="5">
        <v>1</v>
      </c>
      <c r="I89" s="67" t="s">
        <v>160</v>
      </c>
      <c r="J89" s="67"/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5">
        <v>0</v>
      </c>
      <c r="Q89" s="45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46">
        <v>0</v>
      </c>
      <c r="AN89" s="46">
        <v>0</v>
      </c>
      <c r="AO89" s="46">
        <v>0</v>
      </c>
      <c r="AP89" s="46"/>
      <c r="AQ89" s="46">
        <f t="shared" si="4"/>
        <v>0</v>
      </c>
      <c r="AR89" s="67">
        <f t="shared" si="5"/>
        <v>0</v>
      </c>
    </row>
    <row r="90" spans="1:44" x14ac:dyDescent="0.3">
      <c r="A90" s="5">
        <v>89</v>
      </c>
      <c r="B90" s="6" t="s">
        <v>65</v>
      </c>
      <c r="C90" s="6" t="s">
        <v>66</v>
      </c>
      <c r="D90" s="6" t="s">
        <v>67</v>
      </c>
      <c r="E90" s="6" t="s">
        <v>12</v>
      </c>
      <c r="F90" s="6" t="s">
        <v>13</v>
      </c>
      <c r="G90" s="6" t="s">
        <v>14</v>
      </c>
      <c r="H90" s="5">
        <v>87</v>
      </c>
      <c r="I90" s="67" t="s">
        <v>160</v>
      </c>
      <c r="J90" s="67"/>
      <c r="K90" s="46">
        <v>0</v>
      </c>
      <c r="L90" s="45">
        <v>0</v>
      </c>
      <c r="M90" s="45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53">
        <v>0</v>
      </c>
      <c r="AD90" s="61">
        <v>0</v>
      </c>
      <c r="AE90" s="61">
        <v>0</v>
      </c>
      <c r="AF90" s="61">
        <v>0</v>
      </c>
      <c r="AG90" s="61">
        <v>0</v>
      </c>
      <c r="AH90" s="61">
        <v>0</v>
      </c>
      <c r="AI90" s="61">
        <v>0</v>
      </c>
      <c r="AJ90" s="61">
        <v>0</v>
      </c>
      <c r="AK90" s="61">
        <v>0</v>
      </c>
      <c r="AL90" s="61">
        <v>0</v>
      </c>
      <c r="AM90" s="46">
        <v>0</v>
      </c>
      <c r="AN90" s="46">
        <v>0</v>
      </c>
      <c r="AO90" s="46">
        <v>0</v>
      </c>
      <c r="AP90" s="46"/>
      <c r="AQ90" s="46">
        <f t="shared" si="4"/>
        <v>0</v>
      </c>
      <c r="AR90" s="67">
        <f t="shared" si="5"/>
        <v>0</v>
      </c>
    </row>
    <row r="91" spans="1:44" x14ac:dyDescent="0.3">
      <c r="A91" s="5">
        <v>90</v>
      </c>
      <c r="B91" s="6" t="s">
        <v>65</v>
      </c>
      <c r="C91" s="6" t="s">
        <v>70</v>
      </c>
      <c r="D91" s="6"/>
      <c r="E91" s="6" t="s">
        <v>12</v>
      </c>
      <c r="F91" s="6" t="s">
        <v>13</v>
      </c>
      <c r="G91" s="6" t="s">
        <v>14</v>
      </c>
      <c r="H91" s="5">
        <v>82</v>
      </c>
      <c r="I91" s="67" t="s">
        <v>160</v>
      </c>
      <c r="J91" s="67"/>
      <c r="K91" s="46">
        <v>2.915</v>
      </c>
      <c r="L91" s="45">
        <v>0</v>
      </c>
      <c r="M91" s="45">
        <v>0</v>
      </c>
      <c r="N91" s="46">
        <v>0</v>
      </c>
      <c r="O91" s="46">
        <v>0</v>
      </c>
      <c r="P91" s="46">
        <v>8.6300000000000008</v>
      </c>
      <c r="Q91" s="46">
        <v>6.056</v>
      </c>
      <c r="R91" s="46">
        <v>13.68</v>
      </c>
      <c r="S91" s="45">
        <v>17.536000000000001</v>
      </c>
      <c r="T91" s="46">
        <v>7.74</v>
      </c>
      <c r="U91" s="46">
        <v>0</v>
      </c>
      <c r="V91" s="46">
        <v>0</v>
      </c>
      <c r="W91" s="46">
        <v>6.3719999999999999</v>
      </c>
      <c r="X91" s="46">
        <v>12.134</v>
      </c>
      <c r="Y91" s="46">
        <v>4.1000000000000002E-2</v>
      </c>
      <c r="Z91" s="46">
        <v>0</v>
      </c>
      <c r="AA91" s="46">
        <v>13.653</v>
      </c>
      <c r="AB91" s="46">
        <v>0</v>
      </c>
      <c r="AC91" s="53">
        <v>0</v>
      </c>
      <c r="AD91" s="61">
        <v>0.11799999999999999</v>
      </c>
      <c r="AE91" s="61">
        <v>0</v>
      </c>
      <c r="AF91" s="61">
        <v>0</v>
      </c>
      <c r="AG91" s="61">
        <v>0</v>
      </c>
      <c r="AH91" s="61">
        <v>0</v>
      </c>
      <c r="AI91" s="61">
        <v>0</v>
      </c>
      <c r="AJ91" s="61">
        <v>0</v>
      </c>
      <c r="AK91" s="61">
        <v>0</v>
      </c>
      <c r="AL91" s="61">
        <v>0</v>
      </c>
      <c r="AM91" s="46">
        <v>0</v>
      </c>
      <c r="AN91" s="46">
        <v>0</v>
      </c>
      <c r="AO91" s="46">
        <v>0</v>
      </c>
      <c r="AP91" s="46"/>
      <c r="AQ91" s="46">
        <f t="shared" si="4"/>
        <v>2.8669354838709684</v>
      </c>
      <c r="AR91" s="67">
        <f t="shared" si="5"/>
        <v>3.4962627852084982E-2</v>
      </c>
    </row>
    <row r="92" spans="1:44" x14ac:dyDescent="0.3">
      <c r="A92" s="5">
        <v>91</v>
      </c>
      <c r="B92" s="6" t="s">
        <v>65</v>
      </c>
      <c r="C92" s="6" t="s">
        <v>74</v>
      </c>
      <c r="D92" s="6" t="s">
        <v>30</v>
      </c>
      <c r="E92" s="6" t="s">
        <v>19</v>
      </c>
      <c r="F92" s="6" t="s">
        <v>13</v>
      </c>
      <c r="G92" s="6" t="s">
        <v>14</v>
      </c>
      <c r="H92" s="5">
        <v>2</v>
      </c>
      <c r="I92" s="67" t="s">
        <v>160</v>
      </c>
      <c r="J92" s="67"/>
      <c r="K92" s="46">
        <v>0</v>
      </c>
      <c r="L92" s="45">
        <v>0</v>
      </c>
      <c r="M92" s="45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61">
        <v>0</v>
      </c>
      <c r="AG92" s="61">
        <v>0</v>
      </c>
      <c r="AH92" s="61">
        <v>0</v>
      </c>
      <c r="AI92" s="61">
        <v>0</v>
      </c>
      <c r="AJ92" s="61">
        <v>0</v>
      </c>
      <c r="AK92" s="61">
        <v>0</v>
      </c>
      <c r="AL92" s="61">
        <v>0</v>
      </c>
      <c r="AM92" s="46">
        <v>0</v>
      </c>
      <c r="AN92" s="46">
        <v>0</v>
      </c>
      <c r="AO92" s="46">
        <v>0</v>
      </c>
      <c r="AP92" s="46"/>
      <c r="AQ92" s="46">
        <f t="shared" si="4"/>
        <v>0</v>
      </c>
      <c r="AR92" s="67">
        <f t="shared" si="5"/>
        <v>0</v>
      </c>
    </row>
    <row r="93" spans="1:44" x14ac:dyDescent="0.3">
      <c r="A93" s="5">
        <v>92</v>
      </c>
      <c r="B93" s="6" t="s">
        <v>65</v>
      </c>
      <c r="C93" s="39" t="s">
        <v>122</v>
      </c>
      <c r="D93" s="6" t="s">
        <v>30</v>
      </c>
      <c r="E93" s="6" t="s">
        <v>19</v>
      </c>
      <c r="F93" s="6" t="s">
        <v>13</v>
      </c>
      <c r="G93" s="6" t="s">
        <v>14</v>
      </c>
      <c r="H93" s="5">
        <v>3</v>
      </c>
      <c r="I93" s="67" t="s">
        <v>160</v>
      </c>
      <c r="J93" s="67"/>
      <c r="K93" s="46">
        <v>0</v>
      </c>
      <c r="L93" s="45">
        <v>0</v>
      </c>
      <c r="M93" s="45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61">
        <v>0</v>
      </c>
      <c r="AG93" s="61">
        <v>0</v>
      </c>
      <c r="AH93" s="61">
        <v>0</v>
      </c>
      <c r="AI93" s="61">
        <v>0</v>
      </c>
      <c r="AJ93" s="61">
        <v>0</v>
      </c>
      <c r="AK93" s="48">
        <v>0</v>
      </c>
      <c r="AL93" s="48">
        <v>0</v>
      </c>
      <c r="AM93" s="46">
        <v>0</v>
      </c>
      <c r="AN93" s="46">
        <v>0</v>
      </c>
      <c r="AO93" s="46">
        <v>0</v>
      </c>
      <c r="AP93" s="46"/>
      <c r="AQ93" s="46">
        <f t="shared" si="4"/>
        <v>0</v>
      </c>
      <c r="AR93" s="67">
        <f t="shared" si="5"/>
        <v>0</v>
      </c>
    </row>
    <row r="94" spans="1:44" x14ac:dyDescent="0.3">
      <c r="A94" s="5">
        <v>93</v>
      </c>
      <c r="B94" s="6" t="s">
        <v>65</v>
      </c>
      <c r="C94" s="39" t="s">
        <v>143</v>
      </c>
      <c r="D94" s="6" t="s">
        <v>128</v>
      </c>
      <c r="E94" s="6" t="s">
        <v>12</v>
      </c>
      <c r="F94" s="6" t="s">
        <v>121</v>
      </c>
      <c r="G94" s="6" t="s">
        <v>14</v>
      </c>
      <c r="H94" s="5">
        <v>2</v>
      </c>
      <c r="I94" s="67" t="s">
        <v>272</v>
      </c>
      <c r="J94" s="67"/>
      <c r="K94" s="46">
        <v>0</v>
      </c>
      <c r="L94" s="45">
        <v>0</v>
      </c>
      <c r="M94" s="45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61">
        <v>0</v>
      </c>
      <c r="AG94" s="61">
        <v>0</v>
      </c>
      <c r="AH94" s="61">
        <v>0</v>
      </c>
      <c r="AI94" s="61">
        <v>0</v>
      </c>
      <c r="AJ94" s="61">
        <v>0</v>
      </c>
      <c r="AK94" s="46">
        <v>0</v>
      </c>
      <c r="AL94" s="46">
        <v>0</v>
      </c>
      <c r="AM94" s="46">
        <v>0</v>
      </c>
      <c r="AN94" s="46">
        <v>0</v>
      </c>
      <c r="AO94" s="46">
        <v>0</v>
      </c>
      <c r="AP94" s="46"/>
      <c r="AQ94" s="46">
        <f t="shared" si="4"/>
        <v>0</v>
      </c>
      <c r="AR94" s="67">
        <f t="shared" si="5"/>
        <v>0</v>
      </c>
    </row>
    <row r="95" spans="1:44" x14ac:dyDescent="0.3">
      <c r="A95" s="5"/>
      <c r="B95" s="6"/>
      <c r="C95" s="39"/>
      <c r="D95" s="6"/>
      <c r="E95" s="6"/>
      <c r="F95" s="6"/>
      <c r="G95" s="6"/>
      <c r="H95" s="5"/>
      <c r="I95" s="67"/>
      <c r="J95" s="67"/>
      <c r="K95" s="45"/>
      <c r="L95" s="45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8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12"/>
    </row>
    <row r="96" spans="1:44" x14ac:dyDescent="0.3">
      <c r="A96" s="5"/>
      <c r="B96" s="6"/>
      <c r="C96" s="14"/>
      <c r="D96" s="14"/>
      <c r="E96" s="13"/>
      <c r="F96" s="13"/>
      <c r="G96" s="13" t="s">
        <v>79</v>
      </c>
      <c r="H96" s="52">
        <f>SUM(H2:H94)</f>
        <v>643</v>
      </c>
      <c r="I96" s="52"/>
      <c r="J96" s="52"/>
      <c r="K96" s="44">
        <f t="shared" ref="K96:AO96" si="6">SUM(K2:K94)</f>
        <v>2361.3450000000003</v>
      </c>
      <c r="L96" s="44">
        <f t="shared" si="6"/>
        <v>2621.2099999999987</v>
      </c>
      <c r="M96" s="44">
        <f t="shared" si="6"/>
        <v>2852.4200000000005</v>
      </c>
      <c r="N96" s="44">
        <f t="shared" si="6"/>
        <v>2764.7899999999995</v>
      </c>
      <c r="O96" s="44">
        <f t="shared" si="6"/>
        <v>2841.9900000000002</v>
      </c>
      <c r="P96" s="44">
        <f t="shared" si="6"/>
        <v>2756.8900000000003</v>
      </c>
      <c r="Q96" s="44">
        <f t="shared" si="6"/>
        <v>2708.2260000000006</v>
      </c>
      <c r="R96" s="44">
        <f t="shared" si="6"/>
        <v>3100.8899999999994</v>
      </c>
      <c r="S96" s="44">
        <f t="shared" si="6"/>
        <v>3109.3760000000007</v>
      </c>
      <c r="T96" s="44">
        <f t="shared" si="6"/>
        <v>2674.0499999999997</v>
      </c>
      <c r="U96" s="44">
        <f t="shared" si="6"/>
        <v>3158.7400000000007</v>
      </c>
      <c r="V96" s="44">
        <f t="shared" si="6"/>
        <v>2719.3</v>
      </c>
      <c r="W96" s="44">
        <f t="shared" si="6"/>
        <v>2086.1119999999992</v>
      </c>
      <c r="X96" s="44">
        <f t="shared" si="6"/>
        <v>2335.5939999999996</v>
      </c>
      <c r="Y96" s="44">
        <f t="shared" si="6"/>
        <v>2722.9209999999998</v>
      </c>
      <c r="Z96" s="44">
        <f t="shared" si="6"/>
        <v>2731.4099999999989</v>
      </c>
      <c r="AA96" s="44">
        <f t="shared" si="6"/>
        <v>3082.282999999999</v>
      </c>
      <c r="AB96" s="44">
        <f t="shared" si="6"/>
        <v>2827.93</v>
      </c>
      <c r="AC96" s="44">
        <f t="shared" si="6"/>
        <v>2888.2259999999997</v>
      </c>
      <c r="AD96" s="44">
        <f t="shared" si="6"/>
        <v>2995.6880000000001</v>
      </c>
      <c r="AE96" s="44">
        <f t="shared" si="6"/>
        <v>2900.7200000000003</v>
      </c>
      <c r="AF96" s="44">
        <f t="shared" si="6"/>
        <v>3166.4600000000005</v>
      </c>
      <c r="AG96" s="44">
        <f t="shared" si="6"/>
        <v>2935.8700000000008</v>
      </c>
      <c r="AH96" s="44">
        <f t="shared" si="6"/>
        <v>3247.9500000000007</v>
      </c>
      <c r="AI96" s="44">
        <f t="shared" si="6"/>
        <v>3052.4599999999996</v>
      </c>
      <c r="AJ96" s="44">
        <f t="shared" si="6"/>
        <v>2972.4499999999994</v>
      </c>
      <c r="AK96" s="44">
        <f t="shared" si="6"/>
        <v>3511.7220000000007</v>
      </c>
      <c r="AL96" s="44">
        <f t="shared" si="6"/>
        <v>3196.0079999999994</v>
      </c>
      <c r="AM96" s="44">
        <f t="shared" si="6"/>
        <v>3235.3459999999995</v>
      </c>
      <c r="AN96" s="44">
        <f t="shared" si="6"/>
        <v>3249.1330000000007</v>
      </c>
      <c r="AO96" s="44">
        <f t="shared" si="6"/>
        <v>3245.741</v>
      </c>
      <c r="AP96" s="44"/>
      <c r="AQ96" s="46">
        <f t="shared" ref="AQ96" si="7">AVERAGE(K96:AO96)</f>
        <v>2904.9435806451615</v>
      </c>
      <c r="AR96" s="67">
        <f>AQ96/H96</f>
        <v>4.5177971705212467</v>
      </c>
    </row>
    <row r="97" spans="9:43" x14ac:dyDescent="0.3">
      <c r="I97" s="28"/>
      <c r="J97" s="28"/>
      <c r="K97" s="27"/>
      <c r="L97" s="28"/>
      <c r="M97"/>
      <c r="AM97" s="50"/>
      <c r="AN97" s="50"/>
      <c r="AO97" s="50"/>
      <c r="AP97" s="50"/>
      <c r="AQ97" t="s">
        <v>239</v>
      </c>
    </row>
    <row r="98" spans="9:43" x14ac:dyDescent="0.3">
      <c r="AQ98" s="50"/>
    </row>
  </sheetData>
  <autoFilter ref="A1:I94" xr:uid="{00000000-0009-0000-0000-00001E000000}"/>
  <pageMargins left="0.7" right="0.7" top="0.75" bottom="0.75" header="0.3" footer="0.3"/>
  <pageSetup scale="1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3:N35"/>
  <sheetViews>
    <sheetView topLeftCell="A25" workbookViewId="0">
      <selection activeCell="F29" sqref="F29"/>
    </sheetView>
  </sheetViews>
  <sheetFormatPr defaultRowHeight="14.4" x14ac:dyDescent="0.3"/>
  <cols>
    <col min="1" max="1" width="17.33203125" customWidth="1"/>
    <col min="2" max="2" width="16.33203125" bestFit="1" customWidth="1"/>
    <col min="3" max="3" width="9.88671875" bestFit="1" customWidth="1"/>
    <col min="4" max="4" width="8" bestFit="1" customWidth="1"/>
    <col min="5" max="5" width="10.33203125" bestFit="1" customWidth="1"/>
    <col min="6" max="6" width="7.33203125" bestFit="1" customWidth="1"/>
    <col min="7" max="7" width="10.5546875" bestFit="1" customWidth="1"/>
    <col min="8" max="8" width="9" bestFit="1" customWidth="1"/>
    <col min="9" max="9" width="8" bestFit="1" customWidth="1"/>
    <col min="10" max="10" width="7" bestFit="1" customWidth="1"/>
    <col min="11" max="11" width="12.6640625" bestFit="1" customWidth="1"/>
    <col min="12" max="12" width="11.109375" bestFit="1" customWidth="1"/>
    <col min="13" max="13" width="14.6640625" bestFit="1" customWidth="1"/>
    <col min="14" max="14" width="11.33203125" bestFit="1" customWidth="1"/>
    <col min="15" max="36" width="17.33203125" bestFit="1" customWidth="1"/>
    <col min="37" max="39" width="22.33203125" bestFit="1" customWidth="1"/>
  </cols>
  <sheetData>
    <row r="3" spans="1:14" x14ac:dyDescent="0.3">
      <c r="B3" s="29" t="s">
        <v>144</v>
      </c>
    </row>
    <row r="4" spans="1:14" x14ac:dyDescent="0.3">
      <c r="A4" s="30" t="s">
        <v>131</v>
      </c>
      <c r="B4" s="12" t="s">
        <v>175</v>
      </c>
      <c r="C4" s="12" t="s">
        <v>58</v>
      </c>
      <c r="D4" s="12" t="s">
        <v>65</v>
      </c>
      <c r="E4" s="12" t="s">
        <v>222</v>
      </c>
      <c r="F4" s="12" t="s">
        <v>134</v>
      </c>
      <c r="G4" s="12" t="s">
        <v>9</v>
      </c>
      <c r="H4" s="12" t="s">
        <v>55</v>
      </c>
      <c r="I4" s="12" t="s">
        <v>119</v>
      </c>
      <c r="J4" s="12" t="s">
        <v>221</v>
      </c>
      <c r="K4" s="12" t="s">
        <v>246</v>
      </c>
      <c r="L4" s="12" t="s">
        <v>49</v>
      </c>
      <c r="M4" s="12" t="s">
        <v>52</v>
      </c>
      <c r="N4" s="12" t="s">
        <v>83</v>
      </c>
    </row>
    <row r="5" spans="1:14" x14ac:dyDescent="0.3">
      <c r="A5" s="39" t="s">
        <v>301</v>
      </c>
      <c r="B5" s="12">
        <v>56.81</v>
      </c>
      <c r="C5" s="12">
        <v>445.36</v>
      </c>
      <c r="D5" s="12">
        <v>205.24</v>
      </c>
      <c r="E5" s="12">
        <v>0</v>
      </c>
      <c r="F5" s="12">
        <v>25.28</v>
      </c>
      <c r="G5" s="12">
        <v>1121.6200000000001</v>
      </c>
      <c r="H5" s="12">
        <v>180.24</v>
      </c>
      <c r="I5" s="12">
        <v>85.56</v>
      </c>
      <c r="J5" s="12">
        <v>20</v>
      </c>
      <c r="K5" s="12">
        <v>24.95</v>
      </c>
      <c r="L5" s="12">
        <v>98.77</v>
      </c>
      <c r="M5" s="12">
        <v>69.62</v>
      </c>
      <c r="N5" s="12">
        <v>2333.4499999999998</v>
      </c>
    </row>
    <row r="6" spans="1:14" x14ac:dyDescent="0.3">
      <c r="A6" s="39" t="s">
        <v>302</v>
      </c>
      <c r="B6" s="12">
        <v>53.44</v>
      </c>
      <c r="C6" s="12">
        <v>585.64</v>
      </c>
      <c r="D6" s="12">
        <v>227.03000000000003</v>
      </c>
      <c r="E6" s="12">
        <v>0</v>
      </c>
      <c r="F6" s="12">
        <v>36.479999999999997</v>
      </c>
      <c r="G6" s="12">
        <v>1112.08</v>
      </c>
      <c r="H6" s="12">
        <v>218.83</v>
      </c>
      <c r="I6" s="12">
        <v>52.2</v>
      </c>
      <c r="J6" s="12">
        <v>26</v>
      </c>
      <c r="K6" s="12">
        <v>38.369999999999997</v>
      </c>
      <c r="L6" s="12">
        <v>111.97</v>
      </c>
      <c r="M6" s="12">
        <v>159.13</v>
      </c>
      <c r="N6" s="12">
        <v>2621.1699999999996</v>
      </c>
    </row>
    <row r="7" spans="1:14" x14ac:dyDescent="0.3">
      <c r="A7" s="39" t="s">
        <v>303</v>
      </c>
      <c r="B7" s="12">
        <v>85.51</v>
      </c>
      <c r="C7" s="12">
        <v>689.55</v>
      </c>
      <c r="D7" s="12">
        <v>316.42999999999995</v>
      </c>
      <c r="E7" s="12">
        <v>0</v>
      </c>
      <c r="F7" s="12">
        <v>37.119999999999997</v>
      </c>
      <c r="G7" s="12">
        <v>1263.8000000000002</v>
      </c>
      <c r="H7" s="12">
        <v>171.16</v>
      </c>
      <c r="I7" s="12">
        <v>89.46</v>
      </c>
      <c r="J7" s="12">
        <v>30.54</v>
      </c>
      <c r="K7" s="12">
        <v>17.23</v>
      </c>
      <c r="L7" s="12">
        <v>72.290000000000006</v>
      </c>
      <c r="M7" s="12">
        <v>185.88</v>
      </c>
      <c r="N7" s="12">
        <v>2958.97</v>
      </c>
    </row>
    <row r="8" spans="1:14" x14ac:dyDescent="0.3">
      <c r="A8" s="26" t="s">
        <v>304</v>
      </c>
      <c r="B8" s="12">
        <v>40.35</v>
      </c>
      <c r="C8" s="12">
        <v>652.04</v>
      </c>
      <c r="D8" s="12">
        <v>206.18</v>
      </c>
      <c r="E8" s="12">
        <v>0</v>
      </c>
      <c r="F8" s="12">
        <v>46.85</v>
      </c>
      <c r="G8" s="12">
        <v>1162.2399999999998</v>
      </c>
      <c r="H8" s="12">
        <v>251.78</v>
      </c>
      <c r="I8" s="12">
        <v>81.92</v>
      </c>
      <c r="J8" s="12">
        <v>34.96</v>
      </c>
      <c r="K8" s="12">
        <v>31.14</v>
      </c>
      <c r="L8" s="12">
        <v>101.42</v>
      </c>
      <c r="M8" s="12">
        <v>155.91</v>
      </c>
      <c r="N8" s="12">
        <v>2764.79</v>
      </c>
    </row>
    <row r="9" spans="1:14" x14ac:dyDescent="0.3">
      <c r="A9" s="26" t="s">
        <v>305</v>
      </c>
      <c r="B9" s="12">
        <v>0</v>
      </c>
      <c r="C9" s="12">
        <v>684.1</v>
      </c>
      <c r="D9" s="12">
        <v>171.48</v>
      </c>
      <c r="E9" s="12">
        <v>0</v>
      </c>
      <c r="F9" s="12">
        <v>53.74</v>
      </c>
      <c r="G9" s="12">
        <v>1168.7</v>
      </c>
      <c r="H9" s="12">
        <v>361.17</v>
      </c>
      <c r="I9" s="12">
        <v>53.38</v>
      </c>
      <c r="J9" s="12">
        <v>24.06</v>
      </c>
      <c r="K9" s="12">
        <v>14.26</v>
      </c>
      <c r="L9" s="12">
        <v>128.21</v>
      </c>
      <c r="M9" s="12">
        <v>182.89</v>
      </c>
      <c r="N9" s="12">
        <v>2841.9900000000002</v>
      </c>
    </row>
    <row r="10" spans="1:14" x14ac:dyDescent="0.3">
      <c r="A10" s="26" t="s">
        <v>306</v>
      </c>
      <c r="B10" s="12">
        <v>15.77</v>
      </c>
      <c r="C10" s="12">
        <v>582.20999999999992</v>
      </c>
      <c r="D10" s="12">
        <v>208.14</v>
      </c>
      <c r="E10" s="12">
        <v>0</v>
      </c>
      <c r="F10" s="12">
        <v>41.65</v>
      </c>
      <c r="G10" s="12">
        <v>1269.53</v>
      </c>
      <c r="H10" s="12">
        <v>258.5</v>
      </c>
      <c r="I10" s="12">
        <v>53.18</v>
      </c>
      <c r="J10" s="12">
        <v>24.84</v>
      </c>
      <c r="K10" s="12">
        <v>52.53</v>
      </c>
      <c r="L10" s="12">
        <v>116.27000000000001</v>
      </c>
      <c r="M10" s="12">
        <v>125.64</v>
      </c>
      <c r="N10" s="12">
        <v>2748.2599999999998</v>
      </c>
    </row>
    <row r="11" spans="1:14" x14ac:dyDescent="0.3">
      <c r="A11" s="26" t="s">
        <v>307</v>
      </c>
      <c r="B11" s="12">
        <v>131.88</v>
      </c>
      <c r="C11" s="12">
        <v>680.81999999999994</v>
      </c>
      <c r="D11" s="12">
        <v>267.78999999999996</v>
      </c>
      <c r="E11" s="12">
        <v>0</v>
      </c>
      <c r="F11" s="12">
        <v>25.54</v>
      </c>
      <c r="G11" s="12">
        <v>1092.3599999999999</v>
      </c>
      <c r="H11" s="12">
        <v>125.07</v>
      </c>
      <c r="I11" s="12">
        <v>78.760000000000005</v>
      </c>
      <c r="J11" s="12">
        <v>18.989999999999998</v>
      </c>
      <c r="K11" s="12">
        <v>15.69</v>
      </c>
      <c r="L11" s="12">
        <v>105.85000000000001</v>
      </c>
      <c r="M11" s="12">
        <v>159.41999999999999</v>
      </c>
      <c r="N11" s="12">
        <v>2702.1699999999996</v>
      </c>
    </row>
    <row r="12" spans="1:14" x14ac:dyDescent="0.3">
      <c r="A12" s="26" t="s">
        <v>308</v>
      </c>
      <c r="B12" s="12">
        <v>128.66</v>
      </c>
      <c r="C12" s="12">
        <v>580.84</v>
      </c>
      <c r="D12" s="12">
        <v>255.9</v>
      </c>
      <c r="E12" s="12">
        <v>0</v>
      </c>
      <c r="F12" s="12">
        <v>60.31</v>
      </c>
      <c r="G12" s="12">
        <v>1441.15</v>
      </c>
      <c r="H12" s="12">
        <v>141.03</v>
      </c>
      <c r="I12" s="12">
        <v>97.24</v>
      </c>
      <c r="J12" s="12">
        <v>23.73</v>
      </c>
      <c r="K12" s="12">
        <v>53.55</v>
      </c>
      <c r="L12" s="12">
        <v>142.1</v>
      </c>
      <c r="M12" s="12">
        <v>162.69999999999999</v>
      </c>
      <c r="N12" s="12">
        <v>3087.21</v>
      </c>
    </row>
    <row r="13" spans="1:14" x14ac:dyDescent="0.3">
      <c r="A13" s="26" t="s">
        <v>310</v>
      </c>
      <c r="B13" s="12">
        <v>95.63</v>
      </c>
      <c r="C13" s="12">
        <v>548.29</v>
      </c>
      <c r="D13" s="12">
        <v>272.08</v>
      </c>
      <c r="E13" s="12">
        <v>0</v>
      </c>
      <c r="F13" s="12">
        <v>59.73</v>
      </c>
      <c r="G13" s="12">
        <v>1403.36</v>
      </c>
      <c r="H13" s="12">
        <v>319.42</v>
      </c>
      <c r="I13" s="12">
        <v>50.519999999999996</v>
      </c>
      <c r="J13" s="12">
        <v>22.45</v>
      </c>
      <c r="K13" s="12">
        <v>39.18</v>
      </c>
      <c r="L13" s="12">
        <v>146.65</v>
      </c>
      <c r="M13" s="12">
        <v>134.53</v>
      </c>
      <c r="N13" s="12">
        <v>3091.84</v>
      </c>
    </row>
    <row r="14" spans="1:14" x14ac:dyDescent="0.3">
      <c r="A14" s="26" t="s">
        <v>311</v>
      </c>
      <c r="B14" s="12">
        <v>33.840000000000003</v>
      </c>
      <c r="C14" s="12">
        <v>593.91</v>
      </c>
      <c r="D14" s="12">
        <v>218.06</v>
      </c>
      <c r="E14" s="12">
        <v>0</v>
      </c>
      <c r="F14" s="12">
        <v>48.25</v>
      </c>
      <c r="G14" s="12">
        <v>1160.1400000000001</v>
      </c>
      <c r="H14" s="12">
        <v>249.84</v>
      </c>
      <c r="I14" s="12">
        <v>42.94</v>
      </c>
      <c r="J14" s="12">
        <v>31.18</v>
      </c>
      <c r="K14" s="12">
        <v>28.79</v>
      </c>
      <c r="L14" s="12">
        <v>81.759999999999991</v>
      </c>
      <c r="M14" s="12">
        <v>177.6</v>
      </c>
      <c r="N14" s="12">
        <v>2666.31</v>
      </c>
    </row>
    <row r="15" spans="1:14" x14ac:dyDescent="0.3">
      <c r="A15" s="26" t="s">
        <v>312</v>
      </c>
      <c r="B15" s="12">
        <v>74.98</v>
      </c>
      <c r="C15" s="12">
        <v>723.79</v>
      </c>
      <c r="D15" s="12">
        <v>237.95999999999995</v>
      </c>
      <c r="E15" s="12">
        <v>0</v>
      </c>
      <c r="F15" s="12">
        <v>45.18</v>
      </c>
      <c r="G15" s="12">
        <v>1328.93</v>
      </c>
      <c r="H15" s="12">
        <v>307.58</v>
      </c>
      <c r="I15" s="12">
        <v>56.31</v>
      </c>
      <c r="J15" s="12">
        <v>35.229999999999997</v>
      </c>
      <c r="K15" s="12">
        <v>21.45</v>
      </c>
      <c r="L15" s="12">
        <v>178.94</v>
      </c>
      <c r="M15" s="12">
        <v>148.39000000000001</v>
      </c>
      <c r="N15" s="12">
        <v>3158.74</v>
      </c>
    </row>
    <row r="16" spans="1:14" x14ac:dyDescent="0.3">
      <c r="A16" s="26" t="s">
        <v>313</v>
      </c>
      <c r="B16" s="12">
        <v>0</v>
      </c>
      <c r="C16" s="12">
        <v>620.97</v>
      </c>
      <c r="D16" s="12">
        <v>183.76</v>
      </c>
      <c r="E16" s="12">
        <v>0</v>
      </c>
      <c r="F16" s="12">
        <v>44.15</v>
      </c>
      <c r="G16" s="12">
        <v>1117.98</v>
      </c>
      <c r="H16" s="12">
        <v>485.45</v>
      </c>
      <c r="I16" s="12">
        <v>34.700000000000003</v>
      </c>
      <c r="J16" s="12">
        <v>14.3</v>
      </c>
      <c r="K16" s="12">
        <v>37.14</v>
      </c>
      <c r="L16" s="12">
        <v>103.13</v>
      </c>
      <c r="M16" s="12">
        <v>77.72</v>
      </c>
      <c r="N16" s="12">
        <v>2719.2999999999997</v>
      </c>
    </row>
    <row r="17" spans="1:14" x14ac:dyDescent="0.3">
      <c r="A17" s="26" t="s">
        <v>314</v>
      </c>
      <c r="B17" s="12">
        <v>0</v>
      </c>
      <c r="C17" s="12">
        <v>642.25</v>
      </c>
      <c r="D17" s="12">
        <v>212.78000000000003</v>
      </c>
      <c r="E17" s="12">
        <v>0</v>
      </c>
      <c r="F17" s="12">
        <v>9.8699999999999992</v>
      </c>
      <c r="G17" s="12">
        <v>912.89</v>
      </c>
      <c r="H17" s="12">
        <v>128.13</v>
      </c>
      <c r="I17" s="12">
        <v>74.239999999999995</v>
      </c>
      <c r="J17" s="12">
        <v>20.5</v>
      </c>
      <c r="K17" s="12">
        <v>2.1</v>
      </c>
      <c r="L17" s="12">
        <v>0</v>
      </c>
      <c r="M17" s="12">
        <v>76.98</v>
      </c>
      <c r="N17" s="12">
        <v>2079.7399999999998</v>
      </c>
    </row>
    <row r="18" spans="1:14" x14ac:dyDescent="0.3">
      <c r="A18" s="26" t="s">
        <v>315</v>
      </c>
      <c r="B18" s="12">
        <v>0</v>
      </c>
      <c r="C18" s="12">
        <v>559.79</v>
      </c>
      <c r="D18" s="12">
        <v>304.48000000000008</v>
      </c>
      <c r="E18" s="12">
        <v>0</v>
      </c>
      <c r="F18" s="12">
        <v>47.49</v>
      </c>
      <c r="G18" s="12">
        <v>758.34999999999991</v>
      </c>
      <c r="H18" s="12">
        <v>363.58</v>
      </c>
      <c r="I18" s="12">
        <v>81.81</v>
      </c>
      <c r="J18" s="12">
        <v>20.239999999999998</v>
      </c>
      <c r="K18" s="12">
        <v>23.32</v>
      </c>
      <c r="L18" s="12">
        <v>93.3</v>
      </c>
      <c r="M18" s="12">
        <v>71.100000000000009</v>
      </c>
      <c r="N18" s="12">
        <v>2323.46</v>
      </c>
    </row>
    <row r="19" spans="1:14" x14ac:dyDescent="0.3">
      <c r="A19" s="26" t="s">
        <v>316</v>
      </c>
      <c r="B19" s="12">
        <v>0</v>
      </c>
      <c r="C19" s="12">
        <v>537.08999999999992</v>
      </c>
      <c r="D19" s="12">
        <v>222.78000000000003</v>
      </c>
      <c r="E19" s="12">
        <v>0</v>
      </c>
      <c r="F19" s="12">
        <v>38.24</v>
      </c>
      <c r="G19" s="12">
        <v>1265.0900000000001</v>
      </c>
      <c r="H19" s="12">
        <v>367.01</v>
      </c>
      <c r="I19" s="12">
        <v>82.240000000000009</v>
      </c>
      <c r="J19" s="12">
        <v>20.92</v>
      </c>
      <c r="K19" s="12">
        <v>10.73</v>
      </c>
      <c r="L19" s="12">
        <v>63.540000000000006</v>
      </c>
      <c r="M19" s="12">
        <v>115.24</v>
      </c>
      <c r="N19" s="12">
        <v>2722.8799999999997</v>
      </c>
    </row>
    <row r="20" spans="1:14" x14ac:dyDescent="0.3">
      <c r="A20" s="26" t="s">
        <v>317</v>
      </c>
      <c r="B20" s="12">
        <v>0</v>
      </c>
      <c r="C20" s="12">
        <v>595.8900000000001</v>
      </c>
      <c r="D20" s="12">
        <v>262.94999999999993</v>
      </c>
      <c r="E20" s="12">
        <v>0</v>
      </c>
      <c r="F20" s="12">
        <v>39.96</v>
      </c>
      <c r="G20" s="12">
        <v>1091.45</v>
      </c>
      <c r="H20" s="12">
        <v>316.85000000000002</v>
      </c>
      <c r="I20" s="12">
        <v>94.36</v>
      </c>
      <c r="J20" s="12">
        <v>27.29</v>
      </c>
      <c r="K20" s="12">
        <v>49.8</v>
      </c>
      <c r="L20" s="12">
        <v>112.07</v>
      </c>
      <c r="M20" s="12">
        <v>140.79</v>
      </c>
      <c r="N20" s="12">
        <v>2731.4100000000003</v>
      </c>
    </row>
    <row r="21" spans="1:14" x14ac:dyDescent="0.3">
      <c r="A21" s="26" t="s">
        <v>319</v>
      </c>
      <c r="B21" s="12">
        <v>0</v>
      </c>
      <c r="C21" s="12">
        <v>563.73</v>
      </c>
      <c r="D21" s="12">
        <v>297.75</v>
      </c>
      <c r="E21" s="12">
        <v>0</v>
      </c>
      <c r="F21" s="12">
        <v>37.79</v>
      </c>
      <c r="G21" s="12">
        <v>1398.36</v>
      </c>
      <c r="H21" s="12">
        <v>354.09</v>
      </c>
      <c r="I21" s="12">
        <v>88.22</v>
      </c>
      <c r="J21" s="12">
        <v>24.71</v>
      </c>
      <c r="K21" s="12">
        <v>41.24</v>
      </c>
      <c r="L21" s="12">
        <v>124.66</v>
      </c>
      <c r="M21" s="12">
        <v>138.08000000000001</v>
      </c>
      <c r="N21" s="12">
        <v>3068.6299999999997</v>
      </c>
    </row>
    <row r="22" spans="1:14" x14ac:dyDescent="0.3">
      <c r="A22" s="26" t="s">
        <v>320</v>
      </c>
      <c r="B22" s="12">
        <v>0</v>
      </c>
      <c r="C22" s="12">
        <v>564.66</v>
      </c>
      <c r="D22" s="12">
        <v>240.38</v>
      </c>
      <c r="E22" s="12">
        <v>0</v>
      </c>
      <c r="F22" s="12">
        <v>70.95</v>
      </c>
      <c r="G22" s="12">
        <v>1179.3499999999999</v>
      </c>
      <c r="H22" s="12">
        <v>390.47</v>
      </c>
      <c r="I22" s="12">
        <v>85.06</v>
      </c>
      <c r="J22" s="12">
        <v>17.29</v>
      </c>
      <c r="K22" s="12">
        <v>28.23</v>
      </c>
      <c r="L22" s="12">
        <v>102.61</v>
      </c>
      <c r="M22" s="12">
        <v>148.93</v>
      </c>
      <c r="N22" s="12">
        <v>2827.9300000000003</v>
      </c>
    </row>
    <row r="23" spans="1:14" x14ac:dyDescent="0.3">
      <c r="A23" s="26" t="s">
        <v>321</v>
      </c>
      <c r="B23" s="12">
        <v>0</v>
      </c>
      <c r="C23" s="12">
        <v>615.28</v>
      </c>
      <c r="D23" s="12">
        <v>167.55</v>
      </c>
      <c r="E23" s="12">
        <v>0</v>
      </c>
      <c r="F23" s="12">
        <v>46.78</v>
      </c>
      <c r="G23" s="12">
        <v>1211.0959999999998</v>
      </c>
      <c r="H23" s="12">
        <v>450.48</v>
      </c>
      <c r="I23" s="12">
        <v>47.7</v>
      </c>
      <c r="J23" s="12">
        <v>16.78</v>
      </c>
      <c r="K23" s="12">
        <v>25.15</v>
      </c>
      <c r="L23" s="12">
        <v>129.07</v>
      </c>
      <c r="M23" s="12">
        <v>178.34</v>
      </c>
      <c r="N23" s="12">
        <v>2888.2260000000001</v>
      </c>
    </row>
    <row r="24" spans="1:14" x14ac:dyDescent="0.3">
      <c r="A24" s="26" t="s">
        <v>322</v>
      </c>
      <c r="B24" s="12">
        <v>9.19</v>
      </c>
      <c r="C24" s="12">
        <v>590.23</v>
      </c>
      <c r="D24" s="12">
        <v>221.82999999999998</v>
      </c>
      <c r="E24" s="12">
        <v>0</v>
      </c>
      <c r="F24" s="12">
        <v>47.13</v>
      </c>
      <c r="G24" s="12">
        <v>1459.5</v>
      </c>
      <c r="H24" s="12">
        <v>373.42</v>
      </c>
      <c r="I24" s="12">
        <v>63.78</v>
      </c>
      <c r="J24" s="12">
        <v>11.01</v>
      </c>
      <c r="K24" s="12">
        <v>5.53</v>
      </c>
      <c r="L24" s="12">
        <v>122.97</v>
      </c>
      <c r="M24" s="12">
        <v>95.34</v>
      </c>
      <c r="N24" s="12">
        <v>2999.9300000000007</v>
      </c>
    </row>
    <row r="25" spans="1:14" x14ac:dyDescent="0.3">
      <c r="A25" s="26" t="s">
        <v>324</v>
      </c>
      <c r="B25" s="12">
        <v>30.78</v>
      </c>
      <c r="C25" s="12">
        <v>577.01</v>
      </c>
      <c r="D25" s="12">
        <v>287.51999999999992</v>
      </c>
      <c r="E25" s="12">
        <v>0</v>
      </c>
      <c r="F25" s="12">
        <v>47.08</v>
      </c>
      <c r="G25" s="12">
        <v>1353.9300000000003</v>
      </c>
      <c r="H25" s="12">
        <v>132.88999999999999</v>
      </c>
      <c r="I25" s="12">
        <v>81.27</v>
      </c>
      <c r="J25" s="12">
        <v>17.899999999999999</v>
      </c>
      <c r="K25" s="12">
        <v>49.76</v>
      </c>
      <c r="L25" s="12">
        <v>123.27000000000001</v>
      </c>
      <c r="M25" s="12">
        <v>199.31</v>
      </c>
      <c r="N25" s="12">
        <v>2900.7200000000003</v>
      </c>
    </row>
    <row r="26" spans="1:14" x14ac:dyDescent="0.3">
      <c r="A26" s="26" t="s">
        <v>325</v>
      </c>
      <c r="B26" s="12">
        <v>56.71</v>
      </c>
      <c r="C26" s="12">
        <v>551.05000000000007</v>
      </c>
      <c r="D26" s="12">
        <v>273</v>
      </c>
      <c r="E26" s="12">
        <v>0</v>
      </c>
      <c r="F26" s="12">
        <v>49</v>
      </c>
      <c r="G26" s="12">
        <v>1440.02</v>
      </c>
      <c r="H26" s="12">
        <v>420.78</v>
      </c>
      <c r="I26" s="12">
        <v>76.260000000000005</v>
      </c>
      <c r="J26" s="12">
        <v>19.84</v>
      </c>
      <c r="K26" s="12">
        <v>11.87</v>
      </c>
      <c r="L26" s="12">
        <v>141.66</v>
      </c>
      <c r="M26" s="12">
        <v>125.6</v>
      </c>
      <c r="N26" s="12">
        <v>3165.7900000000004</v>
      </c>
    </row>
    <row r="27" spans="1:14" x14ac:dyDescent="0.3">
      <c r="A27" s="26" t="s">
        <v>327</v>
      </c>
      <c r="B27" s="12">
        <v>67.17</v>
      </c>
      <c r="C27" s="12">
        <v>604.68999999999994</v>
      </c>
      <c r="D27" s="12">
        <v>205.93999999999997</v>
      </c>
      <c r="E27" s="12">
        <v>0</v>
      </c>
      <c r="F27" s="12">
        <v>40.450000000000003</v>
      </c>
      <c r="G27" s="12">
        <v>1384.18</v>
      </c>
      <c r="H27" s="12">
        <v>234.82</v>
      </c>
      <c r="I27" s="12">
        <v>76.16</v>
      </c>
      <c r="J27" s="12">
        <v>22.33</v>
      </c>
      <c r="K27" s="12">
        <v>36.96</v>
      </c>
      <c r="L27" s="12">
        <v>104.41</v>
      </c>
      <c r="M27" s="12">
        <v>158.76</v>
      </c>
      <c r="N27" s="12">
        <v>2935.87</v>
      </c>
    </row>
    <row r="28" spans="1:14" x14ac:dyDescent="0.3">
      <c r="A28" s="26" t="s">
        <v>326</v>
      </c>
      <c r="B28" s="12">
        <v>33.590000000000003</v>
      </c>
      <c r="C28" s="12">
        <v>582.05999999999995</v>
      </c>
      <c r="D28" s="12">
        <v>289.81</v>
      </c>
      <c r="E28" s="12">
        <v>0</v>
      </c>
      <c r="F28" s="12">
        <v>41.45</v>
      </c>
      <c r="G28" s="12">
        <v>1565.24</v>
      </c>
      <c r="H28" s="12">
        <v>389.47</v>
      </c>
      <c r="I28" s="12">
        <v>88.76</v>
      </c>
      <c r="J28" s="12">
        <v>11.24</v>
      </c>
      <c r="K28" s="12">
        <v>38.130000000000003</v>
      </c>
      <c r="L28" s="12">
        <v>74.930000000000007</v>
      </c>
      <c r="M28" s="12">
        <v>133.27000000000001</v>
      </c>
      <c r="N28" s="12">
        <v>3247.95</v>
      </c>
    </row>
    <row r="29" spans="1:14" x14ac:dyDescent="0.3">
      <c r="A29" s="26" t="s">
        <v>328</v>
      </c>
      <c r="B29" s="12">
        <v>79.14</v>
      </c>
      <c r="C29" s="12">
        <v>584.94000000000005</v>
      </c>
      <c r="D29" s="12">
        <v>194</v>
      </c>
      <c r="E29" s="12">
        <v>0</v>
      </c>
      <c r="F29" s="12">
        <v>38.94</v>
      </c>
      <c r="G29" s="12">
        <v>1424.3400000000001</v>
      </c>
      <c r="H29" s="12">
        <v>370.66</v>
      </c>
      <c r="I29" s="12">
        <v>61.45</v>
      </c>
      <c r="J29" s="12">
        <v>12.96</v>
      </c>
      <c r="K29" s="12">
        <v>19.75</v>
      </c>
      <c r="L29" s="12">
        <v>126.92</v>
      </c>
      <c r="M29" s="12">
        <v>139.36000000000001</v>
      </c>
      <c r="N29" s="12">
        <v>3052.46</v>
      </c>
    </row>
    <row r="30" spans="1:14" x14ac:dyDescent="0.3">
      <c r="A30" s="26" t="s">
        <v>329</v>
      </c>
      <c r="B30" s="12">
        <v>84.39</v>
      </c>
      <c r="C30" s="12">
        <v>686.63</v>
      </c>
      <c r="D30" s="12">
        <v>118.88000000000001</v>
      </c>
      <c r="E30" s="12">
        <v>0</v>
      </c>
      <c r="F30" s="12">
        <v>34.25</v>
      </c>
      <c r="G30" s="12">
        <v>1230.1100000000001</v>
      </c>
      <c r="H30" s="12">
        <v>430.36</v>
      </c>
      <c r="I30" s="12">
        <v>35.17</v>
      </c>
      <c r="J30" s="12">
        <v>5.65</v>
      </c>
      <c r="K30" s="12">
        <v>41.24</v>
      </c>
      <c r="L30" s="12">
        <v>161.88999999999999</v>
      </c>
      <c r="M30" s="12">
        <v>143.88</v>
      </c>
      <c r="N30" s="12">
        <v>2972.4500000000003</v>
      </c>
    </row>
    <row r="31" spans="1:14" x14ac:dyDescent="0.3">
      <c r="A31" s="26" t="s">
        <v>330</v>
      </c>
      <c r="B31" s="12">
        <v>92.98</v>
      </c>
      <c r="C31" s="12">
        <v>996.79699999999991</v>
      </c>
      <c r="D31" s="12">
        <v>281.17900000000003</v>
      </c>
      <c r="E31" s="12">
        <v>0</v>
      </c>
      <c r="F31" s="12">
        <v>34.162999999999997</v>
      </c>
      <c r="G31" s="12">
        <v>1410.6309999999999</v>
      </c>
      <c r="H31" s="12">
        <v>327.93699999999995</v>
      </c>
      <c r="I31" s="12">
        <v>53.18</v>
      </c>
      <c r="J31" s="12">
        <v>23.329000000000001</v>
      </c>
      <c r="K31" s="12">
        <v>22.509999999999998</v>
      </c>
      <c r="L31" s="12">
        <v>92.843000000000018</v>
      </c>
      <c r="M31" s="12">
        <v>171.26300000000001</v>
      </c>
      <c r="N31" s="12">
        <v>3506.8119999999999</v>
      </c>
    </row>
    <row r="32" spans="1:14" x14ac:dyDescent="0.3">
      <c r="A32" s="26" t="s">
        <v>331</v>
      </c>
      <c r="B32" s="12">
        <v>75.89</v>
      </c>
      <c r="C32" s="12">
        <v>720.32100000000014</v>
      </c>
      <c r="D32" s="12">
        <v>306.88</v>
      </c>
      <c r="E32" s="12">
        <v>0</v>
      </c>
      <c r="F32" s="12">
        <v>51.056000000000012</v>
      </c>
      <c r="G32" s="12">
        <v>1476.8629999999998</v>
      </c>
      <c r="H32" s="12">
        <v>235.381</v>
      </c>
      <c r="I32" s="12">
        <v>57.586999999999982</v>
      </c>
      <c r="J32" s="12">
        <v>16.751999999999999</v>
      </c>
      <c r="K32" s="12">
        <v>28.387</v>
      </c>
      <c r="L32" s="12">
        <v>127.095</v>
      </c>
      <c r="M32" s="12">
        <v>94.734000000000009</v>
      </c>
      <c r="N32" s="12">
        <v>3190.9459999999999</v>
      </c>
    </row>
    <row r="33" spans="1:14" x14ac:dyDescent="0.3">
      <c r="A33" s="26" t="s">
        <v>333</v>
      </c>
      <c r="B33" s="12">
        <v>99.862000000000009</v>
      </c>
      <c r="C33" s="12">
        <v>446.79800000000012</v>
      </c>
      <c r="D33" s="12">
        <v>295.37500000000006</v>
      </c>
      <c r="E33" s="12">
        <v>0</v>
      </c>
      <c r="F33" s="12">
        <v>48.771000000000001</v>
      </c>
      <c r="G33" s="12">
        <v>1506.201</v>
      </c>
      <c r="H33" s="12">
        <v>408.7759999999999</v>
      </c>
      <c r="I33" s="12">
        <v>90.632999999999981</v>
      </c>
      <c r="J33" s="12">
        <v>15.953999999999997</v>
      </c>
      <c r="K33" s="12">
        <v>32.741</v>
      </c>
      <c r="L33" s="12">
        <v>100.089</v>
      </c>
      <c r="M33" s="12">
        <v>189.14600000000002</v>
      </c>
      <c r="N33" s="12">
        <v>3234.346</v>
      </c>
    </row>
    <row r="34" spans="1:14" x14ac:dyDescent="0.3">
      <c r="A34" s="26" t="s">
        <v>332</v>
      </c>
      <c r="B34" s="12">
        <v>72.068999999999988</v>
      </c>
      <c r="C34" s="12">
        <v>536.952</v>
      </c>
      <c r="D34" s="12">
        <v>335.09799999999996</v>
      </c>
      <c r="E34" s="12">
        <v>0</v>
      </c>
      <c r="F34" s="12">
        <v>24.532</v>
      </c>
      <c r="G34" s="12">
        <v>1557.9430000000002</v>
      </c>
      <c r="H34" s="12">
        <v>344.95500000000004</v>
      </c>
      <c r="I34" s="12">
        <v>91.524000000000001</v>
      </c>
      <c r="J34" s="12">
        <v>15.282</v>
      </c>
      <c r="K34" s="12">
        <v>32.274000000000001</v>
      </c>
      <c r="L34" s="12">
        <v>116.50900000000004</v>
      </c>
      <c r="M34" s="12">
        <v>121.96499999999997</v>
      </c>
      <c r="N34" s="12">
        <v>3249.1030000000001</v>
      </c>
    </row>
    <row r="35" spans="1:14" x14ac:dyDescent="0.3">
      <c r="A35" s="26" t="s">
        <v>334</v>
      </c>
      <c r="B35" s="12">
        <v>53.724999999999994</v>
      </c>
      <c r="C35" s="12">
        <v>599.08900000000006</v>
      </c>
      <c r="D35" s="12">
        <v>294.70999999999998</v>
      </c>
      <c r="E35" s="12">
        <v>0</v>
      </c>
      <c r="F35" s="12">
        <v>32.591999999999999</v>
      </c>
      <c r="G35" s="12">
        <v>1454.8899999999996</v>
      </c>
      <c r="H35" s="12">
        <v>405.61800000000011</v>
      </c>
      <c r="I35" s="12">
        <v>100.57699999999997</v>
      </c>
      <c r="J35" s="12">
        <v>15.963000000000001</v>
      </c>
      <c r="K35" s="12">
        <v>14.530000000000001</v>
      </c>
      <c r="L35" s="12">
        <v>124.62700000000001</v>
      </c>
      <c r="M35" s="12">
        <v>149.41999999999999</v>
      </c>
      <c r="N35" s="12">
        <v>3245.741</v>
      </c>
    </row>
  </sheetData>
  <pageMargins left="0.7" right="0.7" top="0.75" bottom="0.75" header="0.3" footer="0.3"/>
  <pageSetup orientation="portrait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H106"/>
  <sheetViews>
    <sheetView topLeftCell="AA7" workbookViewId="0">
      <selection activeCell="F29" sqref="F29"/>
    </sheetView>
  </sheetViews>
  <sheetFormatPr defaultRowHeight="14.4" x14ac:dyDescent="0.3"/>
  <cols>
    <col min="1" max="1" width="52.109375" bestFit="1" customWidth="1"/>
    <col min="2" max="2" width="10.6640625" customWidth="1"/>
    <col min="3" max="25" width="17.33203125" customWidth="1"/>
    <col min="26" max="26" width="17.33203125" bestFit="1" customWidth="1"/>
    <col min="27" max="32" width="17.33203125" customWidth="1"/>
    <col min="33" max="33" width="15" customWidth="1"/>
    <col min="34" max="34" width="12.5546875" customWidth="1"/>
  </cols>
  <sheetData>
    <row r="1" spans="1:34" x14ac:dyDescent="0.3">
      <c r="A1" s="30" t="s">
        <v>1</v>
      </c>
      <c r="B1" s="12" t="s">
        <v>82</v>
      </c>
    </row>
    <row r="2" spans="1:34" x14ac:dyDescent="0.3">
      <c r="A2" s="30" t="s">
        <v>158</v>
      </c>
      <c r="B2" s="12" t="s">
        <v>82</v>
      </c>
    </row>
    <row r="4" spans="1:34" ht="43.2" x14ac:dyDescent="0.3">
      <c r="A4" s="30" t="s">
        <v>2</v>
      </c>
      <c r="B4" s="12" t="s">
        <v>84</v>
      </c>
      <c r="C4" s="12" t="s">
        <v>335</v>
      </c>
      <c r="D4" s="12" t="s">
        <v>336</v>
      </c>
      <c r="E4" s="12" t="s">
        <v>337</v>
      </c>
      <c r="F4" s="12" t="s">
        <v>338</v>
      </c>
      <c r="G4" s="12" t="s">
        <v>339</v>
      </c>
      <c r="H4" s="12" t="s">
        <v>340</v>
      </c>
      <c r="I4" s="12" t="s">
        <v>343</v>
      </c>
      <c r="J4" s="12" t="s">
        <v>342</v>
      </c>
      <c r="K4" s="12" t="s">
        <v>341</v>
      </c>
      <c r="L4" s="12" t="s">
        <v>344</v>
      </c>
      <c r="M4" s="12" t="s">
        <v>345</v>
      </c>
      <c r="N4" s="12" t="s">
        <v>346</v>
      </c>
      <c r="O4" s="12" t="s">
        <v>347</v>
      </c>
      <c r="P4" s="12" t="s">
        <v>348</v>
      </c>
      <c r="Q4" s="12" t="s">
        <v>349</v>
      </c>
      <c r="R4" s="12" t="s">
        <v>350</v>
      </c>
      <c r="S4" s="12" t="s">
        <v>351</v>
      </c>
      <c r="T4" s="12" t="s">
        <v>358</v>
      </c>
      <c r="U4" s="12" t="s">
        <v>359</v>
      </c>
      <c r="V4" s="12" t="s">
        <v>360</v>
      </c>
      <c r="W4" s="12" t="s">
        <v>361</v>
      </c>
      <c r="X4" s="12" t="s">
        <v>362</v>
      </c>
      <c r="Y4" s="12" t="s">
        <v>363</v>
      </c>
      <c r="Z4" s="12" t="s">
        <v>364</v>
      </c>
      <c r="AA4" s="12" t="s">
        <v>365</v>
      </c>
      <c r="AB4" s="12" t="s">
        <v>367</v>
      </c>
      <c r="AC4" s="12" t="s">
        <v>368</v>
      </c>
      <c r="AD4" s="12" t="s">
        <v>369</v>
      </c>
      <c r="AE4" s="12" t="s">
        <v>371</v>
      </c>
      <c r="AF4" s="12" t="s">
        <v>372</v>
      </c>
      <c r="AG4" s="12" t="s">
        <v>85</v>
      </c>
      <c r="AH4" s="66" t="s">
        <v>155</v>
      </c>
    </row>
    <row r="5" spans="1:34" x14ac:dyDescent="0.3">
      <c r="A5" s="12" t="s">
        <v>133</v>
      </c>
      <c r="B5" s="10">
        <v>7</v>
      </c>
      <c r="C5" s="31">
        <v>60.66899999999999</v>
      </c>
      <c r="D5" s="31">
        <v>55.521000000000001</v>
      </c>
      <c r="E5" s="31">
        <v>41.25500000000001</v>
      </c>
      <c r="F5" s="31">
        <v>54.172000000000004</v>
      </c>
      <c r="G5" s="31">
        <v>35.952999999999996</v>
      </c>
      <c r="H5" s="31">
        <v>31.808</v>
      </c>
      <c r="I5" s="31">
        <v>42.978999999999999</v>
      </c>
      <c r="J5" s="31">
        <v>21.312000000000001</v>
      </c>
      <c r="K5" s="31">
        <v>38.313000000000002</v>
      </c>
      <c r="L5" s="31">
        <v>37.042000000000002</v>
      </c>
      <c r="M5" s="31">
        <v>54.891999999999996</v>
      </c>
      <c r="N5" s="31">
        <v>34.973999999999997</v>
      </c>
      <c r="O5" s="31">
        <v>33.332000000000001</v>
      </c>
      <c r="P5" s="31">
        <v>46.652000000000001</v>
      </c>
      <c r="Q5" s="31">
        <v>48.308</v>
      </c>
      <c r="R5" s="31">
        <v>33.067999999999998</v>
      </c>
      <c r="S5" s="31">
        <v>60.353999999999992</v>
      </c>
      <c r="T5" s="31">
        <v>35.170999999999999</v>
      </c>
      <c r="U5" s="31">
        <v>52.855999999999995</v>
      </c>
      <c r="V5" s="31">
        <v>38.616999999999997</v>
      </c>
      <c r="W5" s="31">
        <v>36.939</v>
      </c>
      <c r="X5" s="31">
        <v>38.615000000000002</v>
      </c>
      <c r="Y5" s="31">
        <v>60.556999999999988</v>
      </c>
      <c r="Z5" s="31">
        <v>30.625</v>
      </c>
      <c r="AA5" s="31">
        <v>47.486000000000004</v>
      </c>
      <c r="AB5" s="31">
        <v>28.314999999999998</v>
      </c>
      <c r="AC5" s="31">
        <v>60.355999999999995</v>
      </c>
      <c r="AD5" s="31">
        <v>56.737999999999992</v>
      </c>
      <c r="AE5" s="31">
        <v>39.556000000000004</v>
      </c>
      <c r="AF5" s="31">
        <v>45.502000000000002</v>
      </c>
      <c r="AG5" s="31">
        <v>43.397900000000007</v>
      </c>
      <c r="AH5" s="31">
        <v>6.1997000000000009</v>
      </c>
    </row>
    <row r="6" spans="1:34" x14ac:dyDescent="0.3">
      <c r="A6" s="12" t="s">
        <v>242</v>
      </c>
      <c r="B6" s="10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0.61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2.0333333333333332E-2</v>
      </c>
      <c r="AH6" s="31">
        <v>2.0333333333333332E-2</v>
      </c>
    </row>
    <row r="7" spans="1:34" x14ac:dyDescent="0.3">
      <c r="A7" s="12" t="s">
        <v>241</v>
      </c>
      <c r="B7" s="10">
        <v>1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9.7299999999999986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0.32433333333333331</v>
      </c>
      <c r="AH7" s="31">
        <v>0.32433333333333331</v>
      </c>
    </row>
    <row r="8" spans="1:34" x14ac:dyDescent="0.3">
      <c r="A8" s="12" t="s">
        <v>240</v>
      </c>
      <c r="B8" s="10">
        <v>1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</row>
    <row r="9" spans="1:34" x14ac:dyDescent="0.3">
      <c r="A9" s="12" t="s">
        <v>70</v>
      </c>
      <c r="B9" s="10">
        <v>82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  <c r="AH9" s="31">
        <v>0</v>
      </c>
    </row>
    <row r="10" spans="1:34" x14ac:dyDescent="0.3">
      <c r="A10" s="12" t="s">
        <v>252</v>
      </c>
      <c r="B10" s="10">
        <v>3</v>
      </c>
      <c r="C10" s="31">
        <v>5.7930000000000001</v>
      </c>
      <c r="D10" s="31">
        <v>0</v>
      </c>
      <c r="E10" s="31">
        <v>4.8129999999999997</v>
      </c>
      <c r="F10" s="31">
        <v>0.23799999999999999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1.732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2.9739999999999998</v>
      </c>
      <c r="W10" s="31">
        <v>1.8360000000000001</v>
      </c>
      <c r="X10" s="31">
        <v>0.97100000000000009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0.6119</v>
      </c>
      <c r="AH10" s="31">
        <v>0.20396666666666666</v>
      </c>
    </row>
    <row r="11" spans="1:34" x14ac:dyDescent="0.3">
      <c r="A11" s="12" t="s">
        <v>261</v>
      </c>
      <c r="B11" s="10">
        <v>16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</row>
    <row r="12" spans="1:34" x14ac:dyDescent="0.3">
      <c r="A12" s="12" t="s">
        <v>245</v>
      </c>
      <c r="B12" s="10">
        <v>3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  <c r="AH12" s="31">
        <v>0</v>
      </c>
    </row>
    <row r="13" spans="1:34" x14ac:dyDescent="0.3">
      <c r="A13" s="12" t="s">
        <v>237</v>
      </c>
      <c r="B13" s="10">
        <v>3</v>
      </c>
      <c r="C13" s="31">
        <v>8.7249999999999996</v>
      </c>
      <c r="D13" s="31">
        <v>7.7969999999999997</v>
      </c>
      <c r="E13" s="31">
        <v>0</v>
      </c>
      <c r="F13" s="31">
        <v>5.2690000000000001</v>
      </c>
      <c r="G13" s="31">
        <v>4.9359999999999999</v>
      </c>
      <c r="H13" s="31">
        <v>8.5020000000000007</v>
      </c>
      <c r="I13" s="31">
        <v>11.641000000000002</v>
      </c>
      <c r="J13" s="31">
        <v>9.2720000000000002</v>
      </c>
      <c r="K13" s="31">
        <v>8.8460000000000001</v>
      </c>
      <c r="L13" s="31">
        <v>4.415</v>
      </c>
      <c r="M13" s="31">
        <v>9.6829999999999998</v>
      </c>
      <c r="N13" s="31">
        <v>14.877000000000001</v>
      </c>
      <c r="O13" s="31">
        <v>5.6549999999999994</v>
      </c>
      <c r="P13" s="31">
        <v>10.09</v>
      </c>
      <c r="Q13" s="31">
        <v>11.655999999999999</v>
      </c>
      <c r="R13" s="31">
        <v>5.2010000000000005</v>
      </c>
      <c r="S13" s="31">
        <v>2.4490000000000003</v>
      </c>
      <c r="T13" s="31">
        <v>1.8440000000000001</v>
      </c>
      <c r="U13" s="31">
        <v>14.36</v>
      </c>
      <c r="V13" s="31">
        <v>4.9119999999999999</v>
      </c>
      <c r="W13" s="31">
        <v>15.72</v>
      </c>
      <c r="X13" s="31">
        <v>12.872</v>
      </c>
      <c r="Y13" s="31">
        <v>8.2910000000000004</v>
      </c>
      <c r="Z13" s="31">
        <v>2.9039999999999999</v>
      </c>
      <c r="AA13" s="31">
        <v>9.2000000000000011</v>
      </c>
      <c r="AB13" s="31">
        <v>12.58</v>
      </c>
      <c r="AC13" s="31">
        <v>9.7799999999999994</v>
      </c>
      <c r="AD13" s="31">
        <v>12.351000000000001</v>
      </c>
      <c r="AE13" s="31">
        <v>11.843</v>
      </c>
      <c r="AF13" s="31">
        <v>11.831</v>
      </c>
      <c r="AG13" s="31">
        <v>8.583400000000001</v>
      </c>
      <c r="AH13" s="31">
        <v>2.8611333333333335</v>
      </c>
    </row>
    <row r="14" spans="1:34" x14ac:dyDescent="0.3">
      <c r="A14" s="12" t="s">
        <v>253</v>
      </c>
      <c r="B14" s="10">
        <v>3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0</v>
      </c>
    </row>
    <row r="15" spans="1:34" x14ac:dyDescent="0.3">
      <c r="A15" s="12" t="s">
        <v>235</v>
      </c>
      <c r="B15" s="10">
        <v>3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</row>
    <row r="16" spans="1:34" x14ac:dyDescent="0.3">
      <c r="A16" s="12" t="s">
        <v>238</v>
      </c>
      <c r="B16" s="10">
        <v>4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</row>
    <row r="17" spans="1:34" x14ac:dyDescent="0.3">
      <c r="A17" s="12" t="s">
        <v>93</v>
      </c>
      <c r="B17" s="10">
        <v>1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</row>
    <row r="18" spans="1:34" x14ac:dyDescent="0.3">
      <c r="A18" s="12" t="s">
        <v>66</v>
      </c>
      <c r="B18" s="10">
        <v>87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</row>
    <row r="19" spans="1:34" x14ac:dyDescent="0.3">
      <c r="A19" s="12" t="s">
        <v>74</v>
      </c>
      <c r="B19" s="10">
        <v>2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</row>
    <row r="20" spans="1:34" x14ac:dyDescent="0.3">
      <c r="A20" s="12" t="s">
        <v>27</v>
      </c>
      <c r="B20" s="10">
        <v>4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</row>
    <row r="21" spans="1:34" x14ac:dyDescent="0.3">
      <c r="A21" s="12" t="s">
        <v>226</v>
      </c>
      <c r="B21" s="10">
        <v>10</v>
      </c>
      <c r="C21" s="31">
        <v>51.35799999999999</v>
      </c>
      <c r="D21" s="31">
        <v>7.7110000000000003</v>
      </c>
      <c r="E21" s="31">
        <v>16.495000000000001</v>
      </c>
      <c r="F21" s="31">
        <v>29.082000000000001</v>
      </c>
      <c r="G21" s="31">
        <v>1.5109999999999999</v>
      </c>
      <c r="H21" s="31">
        <v>42.338999999999999</v>
      </c>
      <c r="I21" s="31">
        <v>36.393000000000001</v>
      </c>
      <c r="J21" s="31">
        <v>24.850999999999999</v>
      </c>
      <c r="K21" s="31">
        <v>17.999000000000002</v>
      </c>
      <c r="L21" s="31">
        <v>22.471</v>
      </c>
      <c r="M21" s="31">
        <v>31.806999999999999</v>
      </c>
      <c r="N21" s="31">
        <v>20.076000000000001</v>
      </c>
      <c r="O21" s="31">
        <v>23.121000000000002</v>
      </c>
      <c r="P21" s="31">
        <v>33.580999999999996</v>
      </c>
      <c r="Q21" s="31">
        <v>34.948</v>
      </c>
      <c r="R21" s="31">
        <v>7.5229999999999997</v>
      </c>
      <c r="S21" s="31">
        <v>16.649000000000001</v>
      </c>
      <c r="T21" s="31">
        <v>1.1840000000000002</v>
      </c>
      <c r="U21" s="31">
        <v>21.785</v>
      </c>
      <c r="V21" s="31">
        <v>12.846</v>
      </c>
      <c r="W21" s="31">
        <v>13.038999999999998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15.558966666666668</v>
      </c>
      <c r="AH21" s="31">
        <v>1.5558966666666669</v>
      </c>
    </row>
    <row r="22" spans="1:34" x14ac:dyDescent="0.3">
      <c r="A22" s="12" t="s">
        <v>217</v>
      </c>
      <c r="B22" s="10">
        <v>20</v>
      </c>
      <c r="C22" s="31">
        <v>81.986999999999981</v>
      </c>
      <c r="D22" s="31">
        <v>32.458000000000006</v>
      </c>
      <c r="E22" s="31">
        <v>56.978999999999999</v>
      </c>
      <c r="F22" s="31">
        <v>86.382000000000019</v>
      </c>
      <c r="G22" s="31">
        <v>63.963000000000008</v>
      </c>
      <c r="H22" s="31">
        <v>105.02900000000004</v>
      </c>
      <c r="I22" s="31">
        <v>89.885999999999996</v>
      </c>
      <c r="J22" s="31">
        <v>85.858000000000018</v>
      </c>
      <c r="K22" s="31">
        <v>37.676999999999985</v>
      </c>
      <c r="L22" s="31">
        <v>0</v>
      </c>
      <c r="M22" s="31">
        <v>18.732000000000003</v>
      </c>
      <c r="N22" s="31">
        <v>82.834000000000017</v>
      </c>
      <c r="O22" s="31">
        <v>74.2</v>
      </c>
      <c r="P22" s="31">
        <v>53.854000000000006</v>
      </c>
      <c r="Q22" s="31">
        <v>46.592999999999989</v>
      </c>
      <c r="R22" s="31">
        <v>38.385999999999996</v>
      </c>
      <c r="S22" s="31">
        <v>30.018000000000004</v>
      </c>
      <c r="T22" s="31">
        <v>61.083000000000013</v>
      </c>
      <c r="U22" s="31">
        <v>54.827000000000012</v>
      </c>
      <c r="V22" s="31">
        <v>53.35799999999999</v>
      </c>
      <c r="W22" s="31">
        <v>49.615000000000009</v>
      </c>
      <c r="X22" s="31">
        <v>68.853000000000009</v>
      </c>
      <c r="Y22" s="31">
        <v>18.622999999999998</v>
      </c>
      <c r="Z22" s="31">
        <v>58.523999999999994</v>
      </c>
      <c r="AA22" s="31">
        <v>83.000000000000028</v>
      </c>
      <c r="AB22" s="31">
        <v>68.045000000000002</v>
      </c>
      <c r="AC22" s="31">
        <v>75.736000000000018</v>
      </c>
      <c r="AD22" s="31">
        <v>58.998999999999995</v>
      </c>
      <c r="AE22" s="31">
        <v>21.266999999999999</v>
      </c>
      <c r="AF22" s="31">
        <v>2.09</v>
      </c>
      <c r="AG22" s="31">
        <v>55.295200000000015</v>
      </c>
      <c r="AH22" s="31">
        <v>2.7647600000000008</v>
      </c>
    </row>
    <row r="23" spans="1:34" x14ac:dyDescent="0.3">
      <c r="A23" s="12" t="s">
        <v>199</v>
      </c>
      <c r="B23" s="10">
        <v>6</v>
      </c>
      <c r="C23" s="31">
        <v>0</v>
      </c>
      <c r="D23" s="31">
        <v>0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  <c r="AC23" s="31">
        <v>0</v>
      </c>
      <c r="AD23" s="31">
        <v>0</v>
      </c>
      <c r="AE23" s="31">
        <v>0</v>
      </c>
      <c r="AF23" s="31">
        <v>0</v>
      </c>
      <c r="AG23" s="31">
        <v>0</v>
      </c>
      <c r="AH23" s="31">
        <v>0</v>
      </c>
    </row>
    <row r="24" spans="1:34" x14ac:dyDescent="0.3">
      <c r="A24" s="12" t="s">
        <v>200</v>
      </c>
      <c r="B24" s="10">
        <v>9</v>
      </c>
      <c r="C24" s="31">
        <v>92.787000000000006</v>
      </c>
      <c r="D24" s="31">
        <v>101.70000000000002</v>
      </c>
      <c r="E24" s="31">
        <v>79.428000000000011</v>
      </c>
      <c r="F24" s="31">
        <v>114.19099999999999</v>
      </c>
      <c r="G24" s="31">
        <v>83.426000000000002</v>
      </c>
      <c r="H24" s="31">
        <v>95.926000000000002</v>
      </c>
      <c r="I24" s="31">
        <v>120.46799999999999</v>
      </c>
      <c r="J24" s="31">
        <v>78.236999999999995</v>
      </c>
      <c r="K24" s="31">
        <v>106.523</v>
      </c>
      <c r="L24" s="31">
        <v>75.521000000000001</v>
      </c>
      <c r="M24" s="31">
        <v>78.786999999999992</v>
      </c>
      <c r="N24" s="31">
        <v>89.052000000000007</v>
      </c>
      <c r="O24" s="31">
        <v>125.167</v>
      </c>
      <c r="P24" s="31">
        <v>112.98900000000002</v>
      </c>
      <c r="Q24" s="31">
        <v>95.831999999999994</v>
      </c>
      <c r="R24" s="31">
        <v>91.771000000000001</v>
      </c>
      <c r="S24" s="31">
        <v>74.62</v>
      </c>
      <c r="T24" s="31">
        <v>122.54100000000001</v>
      </c>
      <c r="U24" s="31">
        <v>96.517000000000024</v>
      </c>
      <c r="V24" s="31">
        <v>109.999</v>
      </c>
      <c r="W24" s="31">
        <v>109.87600000000002</v>
      </c>
      <c r="X24" s="31">
        <v>104.227</v>
      </c>
      <c r="Y24" s="31">
        <v>99.611999999999995</v>
      </c>
      <c r="Z24" s="31">
        <v>114.58299999999997</v>
      </c>
      <c r="AA24" s="31">
        <v>116.70699999999997</v>
      </c>
      <c r="AB24" s="31">
        <v>101.64200000000001</v>
      </c>
      <c r="AC24" s="31">
        <v>100.25100000000003</v>
      </c>
      <c r="AD24" s="31">
        <v>101.52199999999999</v>
      </c>
      <c r="AE24" s="31">
        <v>104.72599999999997</v>
      </c>
      <c r="AF24" s="31">
        <v>86.288999999999987</v>
      </c>
      <c r="AG24" s="31">
        <v>99.497233333333313</v>
      </c>
      <c r="AH24" s="31">
        <v>11.055248148148145</v>
      </c>
    </row>
    <row r="25" spans="1:34" x14ac:dyDescent="0.3">
      <c r="A25" s="12" t="s">
        <v>201</v>
      </c>
      <c r="B25" s="10">
        <v>3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  <c r="AH25" s="31">
        <v>0</v>
      </c>
    </row>
    <row r="26" spans="1:34" x14ac:dyDescent="0.3">
      <c r="A26" s="12" t="s">
        <v>209</v>
      </c>
      <c r="B26" s="10">
        <v>5</v>
      </c>
      <c r="C26" s="31">
        <v>11.478000000000002</v>
      </c>
      <c r="D26" s="31">
        <v>1.536</v>
      </c>
      <c r="E26" s="31">
        <v>12.25</v>
      </c>
      <c r="F26" s="31">
        <v>6.6429999999999998</v>
      </c>
      <c r="G26" s="31">
        <v>11.609</v>
      </c>
      <c r="H26" s="31">
        <v>13.994999999999999</v>
      </c>
      <c r="I26" s="31">
        <v>6.4860000000000007</v>
      </c>
      <c r="J26" s="31">
        <v>17.888000000000002</v>
      </c>
      <c r="K26" s="31">
        <v>0</v>
      </c>
      <c r="L26" s="31">
        <v>12.443999999999999</v>
      </c>
      <c r="M26" s="31">
        <v>2.8879999999999999</v>
      </c>
      <c r="N26" s="31">
        <v>5.7569999999999997</v>
      </c>
      <c r="O26" s="31">
        <v>7.3719999999999999</v>
      </c>
      <c r="P26" s="31">
        <v>5.8840000000000003</v>
      </c>
      <c r="Q26" s="31">
        <v>9.6179999999999986</v>
      </c>
      <c r="R26" s="31">
        <v>0</v>
      </c>
      <c r="S26" s="31">
        <v>11.321</v>
      </c>
      <c r="T26" s="31">
        <v>10.404</v>
      </c>
      <c r="U26" s="31">
        <v>10.353999999999999</v>
      </c>
      <c r="V26" s="31">
        <v>0</v>
      </c>
      <c r="W26" s="31">
        <v>2.3290000000000002</v>
      </c>
      <c r="X26" s="31">
        <v>21.656999999999996</v>
      </c>
      <c r="Y26" s="31">
        <v>0</v>
      </c>
      <c r="Z26" s="31">
        <v>40.709999999999994</v>
      </c>
      <c r="AA26" s="31">
        <v>8.92</v>
      </c>
      <c r="AB26" s="31">
        <v>9.6159999999999997</v>
      </c>
      <c r="AC26" s="31">
        <v>7.4489999999999998</v>
      </c>
      <c r="AD26" s="31">
        <v>8.472999999999999</v>
      </c>
      <c r="AE26" s="31">
        <v>14.129999999999999</v>
      </c>
      <c r="AF26" s="31">
        <v>0</v>
      </c>
      <c r="AG26" s="31">
        <v>9.0403666666666673</v>
      </c>
      <c r="AH26" s="31">
        <v>1.8080733333333334</v>
      </c>
    </row>
    <row r="27" spans="1:34" x14ac:dyDescent="0.3">
      <c r="A27" s="12" t="s">
        <v>212</v>
      </c>
      <c r="B27" s="10">
        <v>7</v>
      </c>
      <c r="C27" s="31">
        <v>47.419999999999987</v>
      </c>
      <c r="D27" s="31">
        <v>95.404000000000011</v>
      </c>
      <c r="E27" s="31">
        <v>112.057</v>
      </c>
      <c r="F27" s="31">
        <v>133.75700000000001</v>
      </c>
      <c r="G27" s="31">
        <v>122.554</v>
      </c>
      <c r="H27" s="31">
        <v>109.09299999999999</v>
      </c>
      <c r="I27" s="31">
        <v>125.395</v>
      </c>
      <c r="J27" s="31">
        <v>109.68200000000002</v>
      </c>
      <c r="K27" s="31">
        <v>127.74</v>
      </c>
      <c r="L27" s="31">
        <v>141.24300000000002</v>
      </c>
      <c r="M27" s="31">
        <v>113.30300000000003</v>
      </c>
      <c r="N27" s="31">
        <v>121.16</v>
      </c>
      <c r="O27" s="31">
        <v>107.31399999999999</v>
      </c>
      <c r="P27" s="31">
        <v>151.55799999999999</v>
      </c>
      <c r="Q27" s="31">
        <v>103.56900000000002</v>
      </c>
      <c r="R27" s="31">
        <v>113.64100000000001</v>
      </c>
      <c r="S27" s="31">
        <v>129.637</v>
      </c>
      <c r="T27" s="31">
        <v>135.28599999999997</v>
      </c>
      <c r="U27" s="31">
        <v>80.781999999999996</v>
      </c>
      <c r="V27" s="31">
        <v>113.19100000000002</v>
      </c>
      <c r="W27" s="31">
        <v>147.005</v>
      </c>
      <c r="X27" s="31">
        <v>81.704999999999998</v>
      </c>
      <c r="Y27" s="31">
        <v>112.60800000000003</v>
      </c>
      <c r="Z27" s="31">
        <v>165.851</v>
      </c>
      <c r="AA27" s="31">
        <v>88.988</v>
      </c>
      <c r="AB27" s="31">
        <v>154.25400000000002</v>
      </c>
      <c r="AC27" s="31">
        <v>107.91599999999997</v>
      </c>
      <c r="AD27" s="31">
        <v>136.553</v>
      </c>
      <c r="AE27" s="31">
        <v>93.561000000000007</v>
      </c>
      <c r="AF27" s="31">
        <v>108.57599999999999</v>
      </c>
      <c r="AG27" s="31">
        <v>116.36010000000002</v>
      </c>
      <c r="AH27" s="31">
        <v>16.622871428571433</v>
      </c>
    </row>
    <row r="28" spans="1:34" x14ac:dyDescent="0.3">
      <c r="A28" s="12" t="s">
        <v>227</v>
      </c>
      <c r="B28" s="10">
        <v>13</v>
      </c>
      <c r="C28" s="31">
        <v>29.152999999999999</v>
      </c>
      <c r="D28" s="31">
        <v>21.111000000000001</v>
      </c>
      <c r="E28" s="31">
        <v>15.254999999999999</v>
      </c>
      <c r="F28" s="31">
        <v>52.864000000000004</v>
      </c>
      <c r="G28" s="31">
        <v>32.182000000000002</v>
      </c>
      <c r="H28" s="31">
        <v>44.149000000000008</v>
      </c>
      <c r="I28" s="31">
        <v>56.753999999999998</v>
      </c>
      <c r="J28" s="31">
        <v>45.23</v>
      </c>
      <c r="K28" s="31">
        <v>13.68</v>
      </c>
      <c r="L28" s="31">
        <v>36.673000000000002</v>
      </c>
      <c r="M28" s="31">
        <v>70.936999999999998</v>
      </c>
      <c r="N28" s="31">
        <v>28.782000000000004</v>
      </c>
      <c r="O28" s="31">
        <v>37.884999999999998</v>
      </c>
      <c r="P28" s="31">
        <v>35.511000000000003</v>
      </c>
      <c r="Q28" s="31">
        <v>28.686</v>
      </c>
      <c r="R28" s="31">
        <v>42.161000000000001</v>
      </c>
      <c r="S28" s="31">
        <v>13.548</v>
      </c>
      <c r="T28" s="31">
        <v>61.008999999999993</v>
      </c>
      <c r="U28" s="31">
        <v>32.177999999999997</v>
      </c>
      <c r="V28" s="31">
        <v>56.699999999999996</v>
      </c>
      <c r="W28" s="31">
        <v>48.585999999999999</v>
      </c>
      <c r="X28" s="31">
        <v>24.288</v>
      </c>
      <c r="Y28" s="31">
        <v>4.1550000000000002</v>
      </c>
      <c r="Z28" s="31">
        <v>25.257999999999999</v>
      </c>
      <c r="AA28" s="31">
        <v>42.51</v>
      </c>
      <c r="AB28" s="31">
        <v>37.529000000000003</v>
      </c>
      <c r="AC28" s="31">
        <v>26.082999999999998</v>
      </c>
      <c r="AD28" s="31">
        <v>14.141999999999999</v>
      </c>
      <c r="AE28" s="31">
        <v>21.864999999999995</v>
      </c>
      <c r="AF28" s="31">
        <v>21.536000000000001</v>
      </c>
      <c r="AG28" s="31">
        <v>34.013333333333335</v>
      </c>
      <c r="AH28" s="31">
        <v>2.6164102564102567</v>
      </c>
    </row>
    <row r="29" spans="1:34" x14ac:dyDescent="0.3">
      <c r="A29" s="12" t="s">
        <v>218</v>
      </c>
      <c r="B29" s="10">
        <v>3</v>
      </c>
      <c r="C29" s="31">
        <v>0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6.83</v>
      </c>
      <c r="V29" s="31">
        <v>3.9420000000000002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0.3590666666666667</v>
      </c>
      <c r="AH29" s="31">
        <v>0.1196888888888889</v>
      </c>
    </row>
    <row r="30" spans="1:34" x14ac:dyDescent="0.3">
      <c r="A30" s="12" t="s">
        <v>225</v>
      </c>
      <c r="B30" s="10">
        <v>16</v>
      </c>
      <c r="C30" s="31">
        <v>36.833999999999996</v>
      </c>
      <c r="D30" s="31">
        <v>53.452999999999996</v>
      </c>
      <c r="E30" s="31">
        <v>31.695000000000004</v>
      </c>
      <c r="F30" s="31">
        <v>29.454999999999998</v>
      </c>
      <c r="G30" s="31">
        <v>52.997999999999998</v>
      </c>
      <c r="H30" s="31">
        <v>29.923999999999999</v>
      </c>
      <c r="I30" s="31">
        <v>61.33</v>
      </c>
      <c r="J30" s="31">
        <v>34.482999999999997</v>
      </c>
      <c r="K30" s="31">
        <v>41.506</v>
      </c>
      <c r="L30" s="31">
        <v>36.855000000000004</v>
      </c>
      <c r="M30" s="31">
        <v>35.342999999999996</v>
      </c>
      <c r="N30" s="31">
        <v>32.945</v>
      </c>
      <c r="O30" s="31">
        <v>41.895000000000003</v>
      </c>
      <c r="P30" s="31">
        <v>34.113</v>
      </c>
      <c r="Q30" s="31">
        <v>53.163999999999994</v>
      </c>
      <c r="R30" s="31">
        <v>33.305999999999997</v>
      </c>
      <c r="S30" s="31">
        <v>47.616000000000007</v>
      </c>
      <c r="T30" s="31">
        <v>30.699000000000002</v>
      </c>
      <c r="U30" s="31">
        <v>34.4</v>
      </c>
      <c r="V30" s="31">
        <v>43.5</v>
      </c>
      <c r="W30" s="31">
        <v>11.654999999999999</v>
      </c>
      <c r="X30" s="31">
        <v>10.911999999999999</v>
      </c>
      <c r="Y30" s="31">
        <v>15.215999999999999</v>
      </c>
      <c r="Z30" s="31">
        <v>11.897</v>
      </c>
      <c r="AA30" s="31">
        <v>36.156000000000006</v>
      </c>
      <c r="AB30" s="31">
        <v>37.655000000000001</v>
      </c>
      <c r="AC30" s="31">
        <v>31.57</v>
      </c>
      <c r="AD30" s="31">
        <v>31.102</v>
      </c>
      <c r="AE30" s="31">
        <v>43.316000000000003</v>
      </c>
      <c r="AF30" s="31">
        <v>43.768000000000001</v>
      </c>
      <c r="AG30" s="31">
        <v>35.625366666666665</v>
      </c>
      <c r="AH30" s="31">
        <v>2.2265854166666665</v>
      </c>
    </row>
    <row r="31" spans="1:34" x14ac:dyDescent="0.3">
      <c r="A31" s="12" t="s">
        <v>248</v>
      </c>
      <c r="B31" s="10">
        <v>1</v>
      </c>
      <c r="C31" s="31">
        <v>0</v>
      </c>
      <c r="D31" s="31">
        <v>0</v>
      </c>
      <c r="E31" s="31">
        <v>0</v>
      </c>
      <c r="F31" s="31">
        <v>1.1850000000000001</v>
      </c>
      <c r="G31" s="31">
        <v>0</v>
      </c>
      <c r="H31" s="31">
        <v>0.86599999999999999</v>
      </c>
      <c r="I31" s="31">
        <v>1.1259999999999999</v>
      </c>
      <c r="J31" s="31">
        <v>0</v>
      </c>
      <c r="K31" s="31">
        <v>2.2149999999999999</v>
      </c>
      <c r="L31" s="31">
        <v>1.671</v>
      </c>
      <c r="M31" s="31">
        <v>0</v>
      </c>
      <c r="N31" s="31">
        <v>1.7289999999999999</v>
      </c>
      <c r="O31" s="31">
        <v>0</v>
      </c>
      <c r="P31" s="31">
        <v>0</v>
      </c>
      <c r="Q31" s="31">
        <v>0</v>
      </c>
      <c r="R31" s="31">
        <v>0</v>
      </c>
      <c r="S31" s="31">
        <v>4.8390000000000004</v>
      </c>
      <c r="T31" s="31">
        <v>0</v>
      </c>
      <c r="U31" s="31">
        <v>3.944</v>
      </c>
      <c r="V31" s="31">
        <v>0</v>
      </c>
      <c r="W31" s="31">
        <v>0</v>
      </c>
      <c r="X31" s="31">
        <v>0.86199999999999999</v>
      </c>
      <c r="Y31" s="31">
        <v>0</v>
      </c>
      <c r="Z31" s="31">
        <v>1.137</v>
      </c>
      <c r="AA31" s="31">
        <v>0</v>
      </c>
      <c r="AB31" s="31">
        <v>3.3679999999999999</v>
      </c>
      <c r="AC31" s="31">
        <v>0</v>
      </c>
      <c r="AD31" s="31">
        <v>0</v>
      </c>
      <c r="AE31" s="31">
        <v>0</v>
      </c>
      <c r="AF31" s="31">
        <v>1.7010000000000001</v>
      </c>
      <c r="AG31" s="31">
        <v>0.82143333333333324</v>
      </c>
      <c r="AH31" s="31">
        <v>0.82143333333333324</v>
      </c>
    </row>
    <row r="32" spans="1:34" x14ac:dyDescent="0.3">
      <c r="A32" s="12" t="s">
        <v>220</v>
      </c>
      <c r="B32" s="10">
        <v>19</v>
      </c>
      <c r="C32" s="31">
        <v>17.426000000000002</v>
      </c>
      <c r="D32" s="31">
        <v>14.012999999999998</v>
      </c>
      <c r="E32" s="31">
        <v>10.543999999999999</v>
      </c>
      <c r="F32" s="31">
        <v>10.267999999999999</v>
      </c>
      <c r="G32" s="31">
        <v>9.5830000000000002</v>
      </c>
      <c r="H32" s="31">
        <v>4.6909999999999998</v>
      </c>
      <c r="I32" s="31">
        <v>7.6910000000000007</v>
      </c>
      <c r="J32" s="31">
        <v>10.602</v>
      </c>
      <c r="K32" s="31">
        <v>8.9789999999999992</v>
      </c>
      <c r="L32" s="31">
        <v>12.777999999999999</v>
      </c>
      <c r="M32" s="31">
        <v>12.969000000000001</v>
      </c>
      <c r="N32" s="31">
        <v>22.423000000000002</v>
      </c>
      <c r="O32" s="31">
        <v>30.951000000000004</v>
      </c>
      <c r="P32" s="31">
        <v>23.697000000000003</v>
      </c>
      <c r="Q32" s="31">
        <v>12.286000000000001</v>
      </c>
      <c r="R32" s="31">
        <v>9.3330000000000002</v>
      </c>
      <c r="S32" s="31">
        <v>6.7469999999999999</v>
      </c>
      <c r="T32" s="31">
        <v>18.266000000000002</v>
      </c>
      <c r="U32" s="31">
        <v>12.381</v>
      </c>
      <c r="V32" s="31">
        <v>9.9280000000000008</v>
      </c>
      <c r="W32" s="31">
        <v>12.982000000000001</v>
      </c>
      <c r="X32" s="31">
        <v>10.141999999999999</v>
      </c>
      <c r="Y32" s="31">
        <v>13.483000000000001</v>
      </c>
      <c r="Z32" s="31">
        <v>12.562999999999999</v>
      </c>
      <c r="AA32" s="31">
        <v>12.133000000000001</v>
      </c>
      <c r="AB32" s="31">
        <v>10.643000000000001</v>
      </c>
      <c r="AC32" s="31">
        <v>11.326000000000001</v>
      </c>
      <c r="AD32" s="31">
        <v>9.9439999999999991</v>
      </c>
      <c r="AE32" s="31">
        <v>4.8479999999999999</v>
      </c>
      <c r="AF32" s="31">
        <v>16.393000000000001</v>
      </c>
      <c r="AG32" s="31">
        <v>12.667100000000001</v>
      </c>
      <c r="AH32" s="31">
        <v>0.66668947368421061</v>
      </c>
    </row>
    <row r="33" spans="1:34" x14ac:dyDescent="0.3">
      <c r="A33" s="12" t="s">
        <v>210</v>
      </c>
      <c r="B33" s="10">
        <v>10</v>
      </c>
      <c r="C33" s="31">
        <v>80.813000000000002</v>
      </c>
      <c r="D33" s="31">
        <v>103.05999999999999</v>
      </c>
      <c r="E33" s="31">
        <v>89.498000000000005</v>
      </c>
      <c r="F33" s="31">
        <v>115.79299999999998</v>
      </c>
      <c r="G33" s="31">
        <v>109.72199999999999</v>
      </c>
      <c r="H33" s="31">
        <v>104.55700000000002</v>
      </c>
      <c r="I33" s="31">
        <v>92.569000000000003</v>
      </c>
      <c r="J33" s="31">
        <v>66.986000000000004</v>
      </c>
      <c r="K33" s="31">
        <v>127.626</v>
      </c>
      <c r="L33" s="31">
        <v>86.23299999999999</v>
      </c>
      <c r="M33" s="31">
        <v>110.52499999999999</v>
      </c>
      <c r="N33" s="31">
        <v>45.262</v>
      </c>
      <c r="O33" s="31">
        <v>69.02600000000001</v>
      </c>
      <c r="P33" s="31">
        <v>98.146999999999991</v>
      </c>
      <c r="Q33" s="31">
        <v>99.78</v>
      </c>
      <c r="R33" s="31">
        <v>85.664000000000016</v>
      </c>
      <c r="S33" s="31">
        <v>110.40300000000003</v>
      </c>
      <c r="T33" s="31">
        <v>98.427000000000007</v>
      </c>
      <c r="U33" s="31">
        <v>98.651999999999973</v>
      </c>
      <c r="V33" s="31">
        <v>116.15699999999998</v>
      </c>
      <c r="W33" s="31">
        <v>103.52499999999999</v>
      </c>
      <c r="X33" s="31">
        <v>111.379</v>
      </c>
      <c r="Y33" s="31">
        <v>79.697000000000003</v>
      </c>
      <c r="Z33" s="31">
        <v>96.516000000000005</v>
      </c>
      <c r="AA33" s="31">
        <v>110.66000000000001</v>
      </c>
      <c r="AB33" s="31">
        <v>126.727</v>
      </c>
      <c r="AC33" s="31">
        <v>102.36099999999999</v>
      </c>
      <c r="AD33" s="31">
        <v>92.237000000000023</v>
      </c>
      <c r="AE33" s="31">
        <v>106.44499999999999</v>
      </c>
      <c r="AF33" s="31">
        <v>41.192999999999998</v>
      </c>
      <c r="AG33" s="31">
        <v>95.988</v>
      </c>
      <c r="AH33" s="31">
        <v>9.5988000000000007</v>
      </c>
    </row>
    <row r="34" spans="1:34" x14ac:dyDescent="0.3">
      <c r="A34" s="12" t="s">
        <v>211</v>
      </c>
      <c r="B34" s="10">
        <v>3</v>
      </c>
      <c r="C34" s="31">
        <v>16.309999999999999</v>
      </c>
      <c r="D34" s="31">
        <v>12.338000000000001</v>
      </c>
      <c r="E34" s="31">
        <v>14.169</v>
      </c>
      <c r="F34" s="31">
        <v>21.044</v>
      </c>
      <c r="G34" s="31">
        <v>19.241</v>
      </c>
      <c r="H34" s="31">
        <v>0.20799999999999999</v>
      </c>
      <c r="I34" s="31">
        <v>7.9009999999999998</v>
      </c>
      <c r="J34" s="31">
        <v>14.355</v>
      </c>
      <c r="K34" s="31">
        <v>0</v>
      </c>
      <c r="L34" s="31">
        <v>7.0460000000000003</v>
      </c>
      <c r="M34" s="31">
        <v>5.2910000000000004</v>
      </c>
      <c r="N34" s="31">
        <v>5.0469999999999997</v>
      </c>
      <c r="O34" s="31">
        <v>5.149</v>
      </c>
      <c r="P34" s="31">
        <v>3.6120000000000001</v>
      </c>
      <c r="Q34" s="31">
        <v>6.41</v>
      </c>
      <c r="R34" s="31">
        <v>0</v>
      </c>
      <c r="S34" s="31">
        <v>6.9109999999999996</v>
      </c>
      <c r="T34" s="31">
        <v>4.7389999999999999</v>
      </c>
      <c r="U34" s="31">
        <v>5.5650000000000004</v>
      </c>
      <c r="V34" s="31">
        <v>0.79600000000000004</v>
      </c>
      <c r="W34" s="31">
        <v>8.7669999999999995</v>
      </c>
      <c r="X34" s="31">
        <v>6.085</v>
      </c>
      <c r="Y34" s="31">
        <v>0</v>
      </c>
      <c r="Z34" s="31">
        <v>6.0650000000000004</v>
      </c>
      <c r="AA34" s="31">
        <v>4.7119999999999997</v>
      </c>
      <c r="AB34" s="31">
        <v>5.2460000000000004</v>
      </c>
      <c r="AC34" s="31">
        <v>4.3529999999999998</v>
      </c>
      <c r="AD34" s="31">
        <v>8.2080000000000002</v>
      </c>
      <c r="AE34" s="31">
        <v>0</v>
      </c>
      <c r="AF34" s="31">
        <v>0</v>
      </c>
      <c r="AG34" s="31">
        <v>6.6522666666666659</v>
      </c>
      <c r="AH34" s="31">
        <v>2.217422222222222</v>
      </c>
    </row>
    <row r="35" spans="1:34" x14ac:dyDescent="0.3">
      <c r="A35" s="12" t="s">
        <v>205</v>
      </c>
      <c r="B35" s="10">
        <v>3</v>
      </c>
      <c r="C35" s="31">
        <v>54.099999999999994</v>
      </c>
      <c r="D35" s="31">
        <v>71.229000000000013</v>
      </c>
      <c r="E35" s="31">
        <v>41.057000000000002</v>
      </c>
      <c r="F35" s="31">
        <v>49.744</v>
      </c>
      <c r="G35" s="31">
        <v>57.363999999999997</v>
      </c>
      <c r="H35" s="31">
        <v>61.917999999999999</v>
      </c>
      <c r="I35" s="31">
        <v>44.384999999999998</v>
      </c>
      <c r="J35" s="31">
        <v>51.154999999999994</v>
      </c>
      <c r="K35" s="31">
        <v>56.789000000000001</v>
      </c>
      <c r="L35" s="31">
        <v>70.805000000000007</v>
      </c>
      <c r="M35" s="31">
        <v>54.524000000000001</v>
      </c>
      <c r="N35" s="31">
        <v>33.116</v>
      </c>
      <c r="O35" s="31">
        <v>74.153000000000006</v>
      </c>
      <c r="P35" s="31">
        <v>48.935000000000002</v>
      </c>
      <c r="Q35" s="31">
        <v>41.001999999999995</v>
      </c>
      <c r="R35" s="31">
        <v>59.336000000000006</v>
      </c>
      <c r="S35" s="31">
        <v>56.158999999999999</v>
      </c>
      <c r="T35" s="31">
        <v>72.161000000000001</v>
      </c>
      <c r="U35" s="31">
        <v>30.049999999999997</v>
      </c>
      <c r="V35" s="31">
        <v>41.550000000000004</v>
      </c>
      <c r="W35" s="31">
        <v>59.273000000000003</v>
      </c>
      <c r="X35" s="31">
        <v>38.669000000000004</v>
      </c>
      <c r="Y35" s="31">
        <v>47.684999999999995</v>
      </c>
      <c r="Z35" s="31">
        <v>75.917000000000002</v>
      </c>
      <c r="AA35" s="31">
        <v>57.898000000000003</v>
      </c>
      <c r="AB35" s="31">
        <v>62.073999999999998</v>
      </c>
      <c r="AC35" s="31">
        <v>67.301000000000002</v>
      </c>
      <c r="AD35" s="31">
        <v>44.392000000000003</v>
      </c>
      <c r="AE35" s="31">
        <v>76.771999999999991</v>
      </c>
      <c r="AF35" s="31">
        <v>54.733999999999995</v>
      </c>
      <c r="AG35" s="31">
        <v>55.141566666666655</v>
      </c>
      <c r="AH35" s="31">
        <v>18.380522222222218</v>
      </c>
    </row>
    <row r="36" spans="1:34" x14ac:dyDescent="0.3">
      <c r="A36" s="12" t="s">
        <v>213</v>
      </c>
      <c r="B36" s="10">
        <v>3</v>
      </c>
      <c r="C36" s="31">
        <v>58.434000000000012</v>
      </c>
      <c r="D36" s="31">
        <v>64.965000000000003</v>
      </c>
      <c r="E36" s="31">
        <v>91.073999999999998</v>
      </c>
      <c r="F36" s="31">
        <v>89.86</v>
      </c>
      <c r="G36" s="31">
        <v>69.381999999999977</v>
      </c>
      <c r="H36" s="31">
        <v>88.791999999999987</v>
      </c>
      <c r="I36" s="31">
        <v>79.320999999999984</v>
      </c>
      <c r="J36" s="31">
        <v>88.494</v>
      </c>
      <c r="K36" s="31">
        <v>93.685000000000002</v>
      </c>
      <c r="L36" s="31">
        <v>93.82099999999997</v>
      </c>
      <c r="M36" s="31">
        <v>90.206999999999994</v>
      </c>
      <c r="N36" s="31">
        <v>89.820999999999998</v>
      </c>
      <c r="O36" s="31">
        <v>82.423999999999992</v>
      </c>
      <c r="P36" s="31">
        <v>95.436999999999998</v>
      </c>
      <c r="Q36" s="31">
        <v>73.14100000000002</v>
      </c>
      <c r="R36" s="31">
        <v>91.61999999999999</v>
      </c>
      <c r="S36" s="31">
        <v>59.532000000000004</v>
      </c>
      <c r="T36" s="31">
        <v>82.178000000000011</v>
      </c>
      <c r="U36" s="31">
        <v>8.4939999999999998</v>
      </c>
      <c r="V36" s="31">
        <v>0</v>
      </c>
      <c r="W36" s="31">
        <v>1.5069999999999999</v>
      </c>
      <c r="X36" s="31">
        <v>100.06000000000002</v>
      </c>
      <c r="Y36" s="31">
        <v>100.17800000000003</v>
      </c>
      <c r="Z36" s="31">
        <v>81.394000000000005</v>
      </c>
      <c r="AA36" s="31">
        <v>79.882999999999996</v>
      </c>
      <c r="AB36" s="31">
        <v>92.503</v>
      </c>
      <c r="AC36" s="31">
        <v>71.511000000000024</v>
      </c>
      <c r="AD36" s="31">
        <v>94.790999999999997</v>
      </c>
      <c r="AE36" s="31">
        <v>87.632000000000019</v>
      </c>
      <c r="AF36" s="31">
        <v>75.798000000000002</v>
      </c>
      <c r="AG36" s="31">
        <v>75.864633333333344</v>
      </c>
      <c r="AH36" s="31">
        <v>25.288211111111114</v>
      </c>
    </row>
    <row r="37" spans="1:34" x14ac:dyDescent="0.3">
      <c r="A37" s="12" t="s">
        <v>298</v>
      </c>
      <c r="B37" s="10">
        <v>4</v>
      </c>
      <c r="C37" s="31">
        <v>0</v>
      </c>
      <c r="D37" s="31">
        <v>0</v>
      </c>
      <c r="E37" s="31">
        <v>0</v>
      </c>
      <c r="F37" s="31">
        <v>2.6669999999999998</v>
      </c>
      <c r="G37" s="31">
        <v>0</v>
      </c>
      <c r="H37" s="31">
        <v>0</v>
      </c>
      <c r="I37" s="31">
        <v>0</v>
      </c>
      <c r="J37" s="31">
        <v>2.274</v>
      </c>
      <c r="K37" s="31">
        <v>0</v>
      </c>
      <c r="L37" s="31">
        <v>0</v>
      </c>
      <c r="M37" s="31">
        <v>1.1579999999999999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1">
        <v>0</v>
      </c>
      <c r="AE37" s="31">
        <v>0</v>
      </c>
      <c r="AF37" s="31">
        <v>0</v>
      </c>
      <c r="AG37" s="31">
        <v>0.20330000000000001</v>
      </c>
      <c r="AH37" s="31">
        <v>5.0825000000000002E-2</v>
      </c>
    </row>
    <row r="38" spans="1:34" x14ac:dyDescent="0.3">
      <c r="A38" s="12" t="s">
        <v>202</v>
      </c>
      <c r="B38" s="10">
        <v>8</v>
      </c>
      <c r="C38" s="31">
        <v>54.69400000000001</v>
      </c>
      <c r="D38" s="31">
        <v>43.104999999999997</v>
      </c>
      <c r="E38" s="31">
        <v>63.162999999999997</v>
      </c>
      <c r="F38" s="31">
        <v>71.160000000000011</v>
      </c>
      <c r="G38" s="31">
        <v>66.375</v>
      </c>
      <c r="H38" s="31">
        <v>121.589</v>
      </c>
      <c r="I38" s="31">
        <v>85.662999999999997</v>
      </c>
      <c r="J38" s="31">
        <v>59.411999999999999</v>
      </c>
      <c r="K38" s="31">
        <v>81.239000000000004</v>
      </c>
      <c r="L38" s="31">
        <v>63.446999999999989</v>
      </c>
      <c r="M38" s="31">
        <v>60.563000000000002</v>
      </c>
      <c r="N38" s="31">
        <v>105.46700000000001</v>
      </c>
      <c r="O38" s="31">
        <v>129.36799999999997</v>
      </c>
      <c r="P38" s="31">
        <v>72.718000000000004</v>
      </c>
      <c r="Q38" s="31">
        <v>84.918999999999997</v>
      </c>
      <c r="R38" s="31">
        <v>53.802999999999997</v>
      </c>
      <c r="S38" s="31">
        <v>52.661999999999999</v>
      </c>
      <c r="T38" s="31">
        <v>82.955000000000013</v>
      </c>
      <c r="U38" s="31">
        <v>90.96399999999997</v>
      </c>
      <c r="V38" s="31">
        <v>68.998999999999995</v>
      </c>
      <c r="W38" s="31">
        <v>48.95</v>
      </c>
      <c r="X38" s="31">
        <v>82.146000000000015</v>
      </c>
      <c r="Y38" s="31">
        <v>50.776000000000003</v>
      </c>
      <c r="Z38" s="31">
        <v>75.978999999999999</v>
      </c>
      <c r="AA38" s="31">
        <v>64.421000000000006</v>
      </c>
      <c r="AB38" s="31">
        <v>96.521999999999991</v>
      </c>
      <c r="AC38" s="31">
        <v>72.224000000000004</v>
      </c>
      <c r="AD38" s="31">
        <v>54.061000000000007</v>
      </c>
      <c r="AE38" s="31">
        <v>55.771000000000001</v>
      </c>
      <c r="AF38" s="31">
        <v>68.768000000000001</v>
      </c>
      <c r="AG38" s="31">
        <v>72.729433333333347</v>
      </c>
      <c r="AH38" s="31">
        <v>9.0911791666666684</v>
      </c>
    </row>
    <row r="39" spans="1:34" x14ac:dyDescent="0.3">
      <c r="A39" s="12" t="s">
        <v>356</v>
      </c>
      <c r="B39" s="10">
        <v>20</v>
      </c>
      <c r="C39" s="31">
        <v>2.7429999999999999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147.10299999999998</v>
      </c>
      <c r="J39" s="31">
        <v>172.29400000000001</v>
      </c>
      <c r="K39" s="31">
        <v>181.33</v>
      </c>
      <c r="L39" s="31">
        <v>198.70900000000003</v>
      </c>
      <c r="M39" s="31">
        <v>104.62700000000001</v>
      </c>
      <c r="N39" s="31">
        <v>155.64600000000002</v>
      </c>
      <c r="O39" s="31">
        <v>284.53599999999994</v>
      </c>
      <c r="P39" s="31">
        <v>172.42200000000003</v>
      </c>
      <c r="Q39" s="31">
        <v>201.98600000000002</v>
      </c>
      <c r="R39" s="31">
        <v>223.99999999999997</v>
      </c>
      <c r="S39" s="31">
        <v>118.42399999999996</v>
      </c>
      <c r="T39" s="31">
        <v>115.648</v>
      </c>
      <c r="U39" s="31">
        <v>174.001</v>
      </c>
      <c r="V39" s="31">
        <v>221.95600000000005</v>
      </c>
      <c r="W39" s="31">
        <v>230.66899999999998</v>
      </c>
      <c r="X39" s="31">
        <v>215.62700000000001</v>
      </c>
      <c r="Y39" s="31">
        <v>263.56400000000014</v>
      </c>
      <c r="Z39" s="31">
        <v>219.74499999999992</v>
      </c>
      <c r="AA39" s="31">
        <v>139.79599999999999</v>
      </c>
      <c r="AB39" s="31">
        <v>298.40200000000004</v>
      </c>
      <c r="AC39" s="31">
        <v>196.29400000000004</v>
      </c>
      <c r="AD39" s="31">
        <v>229.30200000000005</v>
      </c>
      <c r="AE39" s="31">
        <v>258.02699999999999</v>
      </c>
      <c r="AF39" s="31">
        <v>248.57900000000001</v>
      </c>
      <c r="AG39" s="31">
        <v>159.18099999999998</v>
      </c>
      <c r="AH39" s="31">
        <v>7.9590499999999995</v>
      </c>
    </row>
    <row r="40" spans="1:34" x14ac:dyDescent="0.3">
      <c r="A40" s="12" t="s">
        <v>215</v>
      </c>
      <c r="B40" s="10">
        <v>9</v>
      </c>
      <c r="C40" s="31">
        <v>110.92100000000001</v>
      </c>
      <c r="D40" s="31">
        <v>75.141000000000005</v>
      </c>
      <c r="E40" s="31">
        <v>121.15100000000005</v>
      </c>
      <c r="F40" s="31">
        <v>60.493999999999993</v>
      </c>
      <c r="G40" s="31">
        <v>64.053999999999988</v>
      </c>
      <c r="H40" s="31">
        <v>77.746999999999986</v>
      </c>
      <c r="I40" s="31">
        <v>94.909000000000034</v>
      </c>
      <c r="J40" s="31">
        <v>67.615000000000009</v>
      </c>
      <c r="K40" s="31">
        <v>55.069999999999979</v>
      </c>
      <c r="L40" s="31">
        <v>69.128</v>
      </c>
      <c r="M40" s="31">
        <v>92.507000000000005</v>
      </c>
      <c r="N40" s="31">
        <v>111.14599999999999</v>
      </c>
      <c r="O40" s="31">
        <v>68.707000000000008</v>
      </c>
      <c r="P40" s="31">
        <v>69.433000000000007</v>
      </c>
      <c r="Q40" s="31">
        <v>61.495999999999995</v>
      </c>
      <c r="R40" s="31">
        <v>76.682999999999993</v>
      </c>
      <c r="S40" s="31">
        <v>25.712</v>
      </c>
      <c r="T40" s="31">
        <v>44.289000000000001</v>
      </c>
      <c r="U40" s="31">
        <v>51.347000000000001</v>
      </c>
      <c r="V40" s="31">
        <v>65.95</v>
      </c>
      <c r="W40" s="31">
        <v>31.414999999999999</v>
      </c>
      <c r="X40" s="31">
        <v>52.971999999999994</v>
      </c>
      <c r="Y40" s="31">
        <v>95.902000000000029</v>
      </c>
      <c r="Z40" s="31">
        <v>83.887999999999991</v>
      </c>
      <c r="AA40" s="31">
        <v>112.90600000000001</v>
      </c>
      <c r="AB40" s="31">
        <v>64.38000000000001</v>
      </c>
      <c r="AC40" s="31">
        <v>88.450999999999979</v>
      </c>
      <c r="AD40" s="31">
        <v>55.752999999999986</v>
      </c>
      <c r="AE40" s="31">
        <v>30.207000000000001</v>
      </c>
      <c r="AF40" s="31">
        <v>62.162999999999997</v>
      </c>
      <c r="AG40" s="31">
        <v>71.384566666666672</v>
      </c>
      <c r="AH40" s="31">
        <v>8.923070833333334</v>
      </c>
    </row>
    <row r="41" spans="1:34" x14ac:dyDescent="0.3">
      <c r="A41" s="12" t="s">
        <v>229</v>
      </c>
      <c r="B41" s="10">
        <v>2</v>
      </c>
      <c r="C41" s="31">
        <v>0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0</v>
      </c>
      <c r="AE41" s="31">
        <v>4.0599999999999996</v>
      </c>
      <c r="AF41" s="31">
        <v>0</v>
      </c>
      <c r="AG41" s="31">
        <v>0.13533333333333333</v>
      </c>
      <c r="AH41" s="31">
        <v>6.7666666666666667E-2</v>
      </c>
    </row>
    <row r="42" spans="1:34" x14ac:dyDescent="0.3">
      <c r="A42" s="12" t="s">
        <v>233</v>
      </c>
      <c r="B42" s="10">
        <v>4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</row>
    <row r="43" spans="1:34" x14ac:dyDescent="0.3">
      <c r="A43" s="12" t="s">
        <v>224</v>
      </c>
      <c r="B43" s="10">
        <v>5</v>
      </c>
      <c r="C43" s="31">
        <v>54.02</v>
      </c>
      <c r="D43" s="31">
        <v>49.312000000000005</v>
      </c>
      <c r="E43" s="31">
        <v>46.436</v>
      </c>
      <c r="F43" s="31">
        <v>75.896000000000015</v>
      </c>
      <c r="G43" s="31">
        <v>49.452999999999996</v>
      </c>
      <c r="H43" s="31">
        <v>55.795000000000002</v>
      </c>
      <c r="I43" s="31">
        <v>22.443999999999996</v>
      </c>
      <c r="J43" s="31">
        <v>36.475999999999999</v>
      </c>
      <c r="K43" s="31">
        <v>50.649000000000008</v>
      </c>
      <c r="L43" s="31">
        <v>38.648999999999994</v>
      </c>
      <c r="M43" s="31">
        <v>45.260000000000005</v>
      </c>
      <c r="N43" s="31">
        <v>49.683999999999997</v>
      </c>
      <c r="O43" s="31">
        <v>42.98</v>
      </c>
      <c r="P43" s="31">
        <v>47.082999999999991</v>
      </c>
      <c r="Q43" s="31">
        <v>50.559999999999995</v>
      </c>
      <c r="R43" s="31">
        <v>51.246999999999993</v>
      </c>
      <c r="S43" s="31">
        <v>51.753000000000007</v>
      </c>
      <c r="T43" s="31">
        <v>69.652999999999992</v>
      </c>
      <c r="U43" s="31">
        <v>53.808999999999997</v>
      </c>
      <c r="V43" s="31">
        <v>66.293000000000006</v>
      </c>
      <c r="W43" s="31">
        <v>22.17</v>
      </c>
      <c r="X43" s="31">
        <v>34.059999999999995</v>
      </c>
      <c r="Y43" s="31">
        <v>41.742000000000004</v>
      </c>
      <c r="Z43" s="31">
        <v>36.180999999999997</v>
      </c>
      <c r="AA43" s="31">
        <v>19.619</v>
      </c>
      <c r="AB43" s="31">
        <v>38.147999999999982</v>
      </c>
      <c r="AC43" s="31">
        <v>26.860000000000003</v>
      </c>
      <c r="AD43" s="31">
        <v>50.018000000000001</v>
      </c>
      <c r="AE43" s="31">
        <v>43.98</v>
      </c>
      <c r="AF43" s="31">
        <v>37.733000000000004</v>
      </c>
      <c r="AG43" s="31">
        <v>45.265433333333327</v>
      </c>
      <c r="AH43" s="31">
        <v>9.0530866666666654</v>
      </c>
    </row>
    <row r="44" spans="1:34" x14ac:dyDescent="0.3">
      <c r="A44" s="12" t="s">
        <v>230</v>
      </c>
      <c r="B44" s="10">
        <v>2</v>
      </c>
      <c r="C44" s="31">
        <v>9.886000000000001</v>
      </c>
      <c r="D44" s="31">
        <v>0</v>
      </c>
      <c r="E44" s="31">
        <v>0.37799999999999995</v>
      </c>
      <c r="F44" s="31">
        <v>0</v>
      </c>
      <c r="G44" s="31">
        <v>3.75</v>
      </c>
      <c r="H44" s="31">
        <v>5.4669999999999996</v>
      </c>
      <c r="I44" s="31">
        <v>1.964</v>
      </c>
      <c r="J44" s="31">
        <v>0</v>
      </c>
      <c r="K44" s="31">
        <v>10.003</v>
      </c>
      <c r="L44" s="31">
        <v>0</v>
      </c>
      <c r="M44" s="31">
        <v>0</v>
      </c>
      <c r="N44" s="31">
        <v>5.226</v>
      </c>
      <c r="O44" s="31">
        <v>10.484</v>
      </c>
      <c r="P44" s="31">
        <v>0.72</v>
      </c>
      <c r="Q44" s="31">
        <v>20.253</v>
      </c>
      <c r="R44" s="31">
        <v>0</v>
      </c>
      <c r="S44" s="31">
        <v>0</v>
      </c>
      <c r="T44" s="31">
        <v>0</v>
      </c>
      <c r="U44" s="31">
        <v>0.42599999999999999</v>
      </c>
      <c r="V44" s="31">
        <v>12.457000000000001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31">
        <v>0</v>
      </c>
      <c r="AF44" s="31">
        <v>0</v>
      </c>
      <c r="AG44" s="31">
        <v>2.7004666666666668</v>
      </c>
      <c r="AH44" s="31">
        <v>1.3502333333333334</v>
      </c>
    </row>
    <row r="45" spans="1:34" x14ac:dyDescent="0.3">
      <c r="A45" s="12" t="s">
        <v>231</v>
      </c>
      <c r="B45" s="10">
        <v>7</v>
      </c>
      <c r="C45" s="31">
        <v>21.931999999999999</v>
      </c>
      <c r="D45" s="31">
        <v>0</v>
      </c>
      <c r="E45" s="31">
        <v>39.267000000000003</v>
      </c>
      <c r="F45" s="31">
        <v>42.683</v>
      </c>
      <c r="G45" s="31">
        <v>50.771999999999998</v>
      </c>
      <c r="H45" s="31">
        <v>41.890999999999998</v>
      </c>
      <c r="I45" s="31">
        <v>39.061999999999998</v>
      </c>
      <c r="J45" s="31">
        <v>0</v>
      </c>
      <c r="K45" s="31">
        <v>23.431000000000001</v>
      </c>
      <c r="L45" s="31">
        <v>33.884999999999998</v>
      </c>
      <c r="M45" s="31">
        <v>46.025999999999996</v>
      </c>
      <c r="N45" s="31">
        <v>65.206000000000003</v>
      </c>
      <c r="O45" s="31">
        <v>59.536000000000001</v>
      </c>
      <c r="P45" s="31">
        <v>66.477999999999994</v>
      </c>
      <c r="Q45" s="31">
        <v>0</v>
      </c>
      <c r="R45" s="31">
        <v>20.387</v>
      </c>
      <c r="S45" s="31">
        <v>3.7629999999999999</v>
      </c>
      <c r="T45" s="31">
        <v>81.242999999999995</v>
      </c>
      <c r="U45" s="31">
        <v>82.63900000000001</v>
      </c>
      <c r="V45" s="31">
        <v>73.975000000000009</v>
      </c>
      <c r="W45" s="31">
        <v>33.277999999999999</v>
      </c>
      <c r="X45" s="31">
        <v>6.8390000000000004</v>
      </c>
      <c r="Y45" s="31">
        <v>20.434000000000001</v>
      </c>
      <c r="Z45" s="31">
        <v>47.678000000000004</v>
      </c>
      <c r="AA45" s="31">
        <v>55.322999999999993</v>
      </c>
      <c r="AB45" s="31">
        <v>71.590999999999994</v>
      </c>
      <c r="AC45" s="31">
        <v>59.191999999999993</v>
      </c>
      <c r="AD45" s="31">
        <v>36.656999999999996</v>
      </c>
      <c r="AE45" s="31">
        <v>21.652000000000001</v>
      </c>
      <c r="AF45" s="31">
        <v>9.1509999999999998</v>
      </c>
      <c r="AG45" s="31">
        <v>38.465700000000005</v>
      </c>
      <c r="AH45" s="31">
        <v>6.4109500000000006</v>
      </c>
    </row>
    <row r="46" spans="1:34" x14ac:dyDescent="0.3">
      <c r="A46" s="12" t="s">
        <v>207</v>
      </c>
      <c r="B46" s="10">
        <v>6</v>
      </c>
      <c r="C46" s="31">
        <v>0</v>
      </c>
      <c r="D46" s="31">
        <v>7.9729999999999999</v>
      </c>
      <c r="E46" s="31">
        <v>0</v>
      </c>
      <c r="F46" s="31">
        <v>27.911999999999999</v>
      </c>
      <c r="G46" s="31">
        <v>15.375</v>
      </c>
      <c r="H46" s="31">
        <v>88.940000000000012</v>
      </c>
      <c r="I46" s="31">
        <v>11.52</v>
      </c>
      <c r="J46" s="31">
        <v>24.32</v>
      </c>
      <c r="K46" s="31">
        <v>7.44</v>
      </c>
      <c r="L46" s="31">
        <v>6.5350000000000001</v>
      </c>
      <c r="M46" s="31">
        <v>0</v>
      </c>
      <c r="N46" s="31">
        <v>0</v>
      </c>
      <c r="O46" s="31">
        <v>0</v>
      </c>
      <c r="P46" s="31">
        <v>0</v>
      </c>
      <c r="Q46" s="31">
        <v>7.3849999999999998</v>
      </c>
      <c r="R46" s="31">
        <v>29.620999999999999</v>
      </c>
      <c r="S46" s="31">
        <v>5.827</v>
      </c>
      <c r="T46" s="31">
        <v>6.476</v>
      </c>
      <c r="U46" s="31">
        <v>0</v>
      </c>
      <c r="V46" s="31">
        <v>10.4</v>
      </c>
      <c r="W46" s="31">
        <v>73.783000000000001</v>
      </c>
      <c r="X46" s="31">
        <v>40.335999999999999</v>
      </c>
      <c r="Y46" s="31">
        <v>78.495000000000005</v>
      </c>
      <c r="Z46" s="31">
        <v>41.88</v>
      </c>
      <c r="AA46" s="31">
        <v>0</v>
      </c>
      <c r="AB46" s="31">
        <v>32.35</v>
      </c>
      <c r="AC46" s="31">
        <v>0</v>
      </c>
      <c r="AD46" s="31">
        <v>0</v>
      </c>
      <c r="AE46" s="31">
        <v>0</v>
      </c>
      <c r="AF46" s="31">
        <v>0</v>
      </c>
      <c r="AG46" s="31">
        <v>18.5426</v>
      </c>
      <c r="AH46" s="31">
        <v>9.2713000000000001</v>
      </c>
    </row>
    <row r="47" spans="1:34" x14ac:dyDescent="0.3">
      <c r="A47" s="12" t="s">
        <v>214</v>
      </c>
      <c r="B47" s="10">
        <v>9</v>
      </c>
      <c r="C47" s="31">
        <v>206.10100000000003</v>
      </c>
      <c r="D47" s="31">
        <v>191.36100000000002</v>
      </c>
      <c r="E47" s="31">
        <v>164.60999999999999</v>
      </c>
      <c r="F47" s="31">
        <v>207.84500000000006</v>
      </c>
      <c r="G47" s="31">
        <v>128.27099999999999</v>
      </c>
      <c r="H47" s="31">
        <v>181.83000000000004</v>
      </c>
      <c r="I47" s="31">
        <v>224.43500000000006</v>
      </c>
      <c r="J47" s="31">
        <v>229.96100000000004</v>
      </c>
      <c r="K47" s="31">
        <v>126.10799999999999</v>
      </c>
      <c r="L47" s="31">
        <v>197.67700000000008</v>
      </c>
      <c r="M47" s="31">
        <v>231.86500000000001</v>
      </c>
      <c r="N47" s="31">
        <v>168.38800000000001</v>
      </c>
      <c r="O47" s="31">
        <v>205.02900000000002</v>
      </c>
      <c r="P47" s="31">
        <v>148.67199999999994</v>
      </c>
      <c r="Q47" s="31">
        <v>203.81700000000012</v>
      </c>
      <c r="R47" s="31">
        <v>202.31699999999998</v>
      </c>
      <c r="S47" s="31">
        <v>161.14299999999997</v>
      </c>
      <c r="T47" s="31">
        <v>138.52000000000004</v>
      </c>
      <c r="U47" s="31">
        <v>129.53200000000001</v>
      </c>
      <c r="V47" s="31">
        <v>153.40299999999996</v>
      </c>
      <c r="W47" s="31">
        <v>165.92300000000003</v>
      </c>
      <c r="X47" s="31">
        <v>187.10499999999996</v>
      </c>
      <c r="Y47" s="31">
        <v>171.27300000000002</v>
      </c>
      <c r="Z47" s="31">
        <v>163.67600000000004</v>
      </c>
      <c r="AA47" s="31">
        <v>146.69</v>
      </c>
      <c r="AB47" s="31">
        <v>179.577</v>
      </c>
      <c r="AC47" s="31">
        <v>175.92600000000004</v>
      </c>
      <c r="AD47" s="31">
        <v>198.50900000000004</v>
      </c>
      <c r="AE47" s="31">
        <v>139.04899999999998</v>
      </c>
      <c r="AF47" s="31">
        <v>172.73199999999997</v>
      </c>
      <c r="AG47" s="31">
        <v>176.71150000000003</v>
      </c>
      <c r="AH47" s="31">
        <v>19.634611111111113</v>
      </c>
    </row>
    <row r="48" spans="1:34" x14ac:dyDescent="0.3">
      <c r="A48" s="12" t="s">
        <v>228</v>
      </c>
      <c r="B48" s="10">
        <v>1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</row>
    <row r="49" spans="1:34" x14ac:dyDescent="0.3">
      <c r="A49" s="12" t="s">
        <v>94</v>
      </c>
      <c r="B49" s="10">
        <v>2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0</v>
      </c>
    </row>
    <row r="50" spans="1:34" x14ac:dyDescent="0.3">
      <c r="A50" s="12" t="s">
        <v>219</v>
      </c>
      <c r="B50" s="10">
        <v>40</v>
      </c>
      <c r="C50" s="31">
        <v>362.46300000000014</v>
      </c>
      <c r="D50" s="31">
        <v>452.41100000000012</v>
      </c>
      <c r="E50" s="31">
        <v>298.70900000000006</v>
      </c>
      <c r="F50" s="31">
        <v>225.67100000000005</v>
      </c>
      <c r="G50" s="31">
        <v>374.2609999999998</v>
      </c>
      <c r="H50" s="31">
        <v>368.7639999999999</v>
      </c>
      <c r="I50" s="31">
        <v>340.53700000000009</v>
      </c>
      <c r="J50" s="31">
        <v>494.35799999999978</v>
      </c>
      <c r="K50" s="31">
        <v>441.25200000000007</v>
      </c>
      <c r="L50" s="31">
        <v>342.89299999999992</v>
      </c>
      <c r="M50" s="31">
        <v>331.24899999999997</v>
      </c>
      <c r="N50" s="31">
        <v>367.21699999999976</v>
      </c>
      <c r="O50" s="31">
        <v>325.6819999999999</v>
      </c>
      <c r="P50" s="31">
        <v>337.17999999999972</v>
      </c>
      <c r="Q50" s="31">
        <v>400.59800000000007</v>
      </c>
      <c r="R50" s="31">
        <v>552.97999999999979</v>
      </c>
      <c r="S50" s="31">
        <v>494.17200000000014</v>
      </c>
      <c r="T50" s="31">
        <v>300.8180000000001</v>
      </c>
      <c r="U50" s="31">
        <v>164.72900000000001</v>
      </c>
      <c r="V50" s="31">
        <v>428.42599999999987</v>
      </c>
      <c r="W50" s="31">
        <v>320.75099999999986</v>
      </c>
      <c r="X50" s="31">
        <v>347.24999999999983</v>
      </c>
      <c r="Y50" s="31">
        <v>505.13100000000009</v>
      </c>
      <c r="Z50" s="31">
        <v>338.87099999999992</v>
      </c>
      <c r="AA50" s="31">
        <v>200.49999999999994</v>
      </c>
      <c r="AB50" s="31">
        <v>342.94599999999997</v>
      </c>
      <c r="AC50" s="31">
        <v>360.89100000000008</v>
      </c>
      <c r="AD50" s="31">
        <v>359.50299999999993</v>
      </c>
      <c r="AE50" s="31">
        <v>445.67899999999992</v>
      </c>
      <c r="AF50" s="31">
        <v>437.28000000000003</v>
      </c>
      <c r="AG50" s="31">
        <v>368.77239999999995</v>
      </c>
      <c r="AH50" s="31">
        <v>9.2193099999999983</v>
      </c>
    </row>
    <row r="51" spans="1:34" x14ac:dyDescent="0.3">
      <c r="A51" s="12" t="s">
        <v>117</v>
      </c>
      <c r="B51" s="10">
        <v>1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  <c r="AH51" s="31">
        <v>0</v>
      </c>
    </row>
    <row r="52" spans="1:34" x14ac:dyDescent="0.3">
      <c r="A52" s="12" t="s">
        <v>115</v>
      </c>
      <c r="B52" s="10">
        <v>1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0</v>
      </c>
      <c r="AE52" s="31">
        <v>0</v>
      </c>
      <c r="AF52" s="31">
        <v>0</v>
      </c>
      <c r="AG52" s="31">
        <v>0</v>
      </c>
      <c r="AH52" s="31">
        <v>0</v>
      </c>
    </row>
    <row r="53" spans="1:34" x14ac:dyDescent="0.3">
      <c r="A53" s="12" t="s">
        <v>223</v>
      </c>
      <c r="B53" s="10">
        <v>2</v>
      </c>
      <c r="C53" s="31">
        <v>0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</row>
    <row r="54" spans="1:34" x14ac:dyDescent="0.3">
      <c r="A54" s="12" t="s">
        <v>122</v>
      </c>
      <c r="B54" s="10">
        <v>3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0</v>
      </c>
      <c r="AE54" s="31">
        <v>0</v>
      </c>
      <c r="AF54" s="31">
        <v>0</v>
      </c>
      <c r="AG54" s="31">
        <v>0</v>
      </c>
      <c r="AH54" s="31">
        <v>0</v>
      </c>
    </row>
    <row r="55" spans="1:34" x14ac:dyDescent="0.3">
      <c r="A55" s="12" t="s">
        <v>143</v>
      </c>
      <c r="B55" s="10">
        <v>2</v>
      </c>
      <c r="C55" s="31">
        <v>0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6.25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0.20833333333333334</v>
      </c>
      <c r="AH55" s="31">
        <v>0.10416666666666667</v>
      </c>
    </row>
    <row r="56" spans="1:34" x14ac:dyDescent="0.3">
      <c r="A56" s="12" t="s">
        <v>208</v>
      </c>
      <c r="B56" s="10">
        <v>10</v>
      </c>
      <c r="C56" s="31">
        <v>97.52600000000001</v>
      </c>
      <c r="D56" s="31">
        <v>98.783999999999992</v>
      </c>
      <c r="E56" s="31">
        <v>98.031000000000006</v>
      </c>
      <c r="F56" s="31">
        <v>106.316</v>
      </c>
      <c r="G56" s="31">
        <v>91.533000000000001</v>
      </c>
      <c r="H56" s="31">
        <v>123.486</v>
      </c>
      <c r="I56" s="31">
        <v>76.545999999999978</v>
      </c>
      <c r="J56" s="31">
        <v>85.207999999999998</v>
      </c>
      <c r="K56" s="31">
        <v>62.314999999999998</v>
      </c>
      <c r="L56" s="31">
        <v>100.32600000000001</v>
      </c>
      <c r="M56" s="31">
        <v>93.346000000000004</v>
      </c>
      <c r="N56" s="31">
        <v>92.225999999999985</v>
      </c>
      <c r="O56" s="31">
        <v>73.712000000000003</v>
      </c>
      <c r="P56" s="31">
        <v>84.364999999999995</v>
      </c>
      <c r="Q56" s="31">
        <v>108.185</v>
      </c>
      <c r="R56" s="31">
        <v>89.894000000000005</v>
      </c>
      <c r="S56" s="31">
        <v>66.802999999999997</v>
      </c>
      <c r="T56" s="31">
        <v>81.814000000000007</v>
      </c>
      <c r="U56" s="31">
        <v>82.456000000000003</v>
      </c>
      <c r="V56" s="31">
        <v>105.383</v>
      </c>
      <c r="W56" s="31">
        <v>81.485000000000014</v>
      </c>
      <c r="X56" s="31">
        <v>66.335999999999999</v>
      </c>
      <c r="Y56" s="31">
        <v>81.84</v>
      </c>
      <c r="Z56" s="31">
        <v>68.585999999999999</v>
      </c>
      <c r="AA56" s="31">
        <v>98.956999999999994</v>
      </c>
      <c r="AB56" s="31">
        <v>77.272999999999996</v>
      </c>
      <c r="AC56" s="31">
        <v>92.04500000000003</v>
      </c>
      <c r="AD56" s="31">
        <v>88.066000000000003</v>
      </c>
      <c r="AE56" s="31">
        <v>100.084</v>
      </c>
      <c r="AF56" s="31">
        <v>87.611999999999995</v>
      </c>
      <c r="AG56" s="31">
        <v>88.684633333333309</v>
      </c>
      <c r="AH56" s="31">
        <v>8.8684633333333309</v>
      </c>
    </row>
    <row r="57" spans="1:34" x14ac:dyDescent="0.3">
      <c r="A57" s="12" t="s">
        <v>244</v>
      </c>
      <c r="B57" s="10">
        <v>5</v>
      </c>
      <c r="C57" s="31">
        <v>44.352000000000004</v>
      </c>
      <c r="D57" s="31">
        <v>24.85</v>
      </c>
      <c r="E57" s="31">
        <v>13.082000000000001</v>
      </c>
      <c r="F57" s="31">
        <v>30.400999999999996</v>
      </c>
      <c r="G57" s="31">
        <v>7.4269999999999996</v>
      </c>
      <c r="H57" s="31">
        <v>27.575000000000003</v>
      </c>
      <c r="I57" s="31">
        <v>13.407</v>
      </c>
      <c r="J57" s="31">
        <v>31.229999999999997</v>
      </c>
      <c r="K57" s="31">
        <v>18.228000000000002</v>
      </c>
      <c r="L57" s="31">
        <v>32.004000000000005</v>
      </c>
      <c r="M57" s="31">
        <v>6.2439999999999998</v>
      </c>
      <c r="N57" s="31">
        <v>24.469000000000001</v>
      </c>
      <c r="O57" s="31">
        <v>20.198</v>
      </c>
      <c r="P57" s="31">
        <v>12.505000000000001</v>
      </c>
      <c r="Q57" s="31">
        <v>28.642999999999997</v>
      </c>
      <c r="R57" s="31">
        <v>18.861000000000001</v>
      </c>
      <c r="S57" s="31">
        <v>24.758000000000003</v>
      </c>
      <c r="T57" s="31">
        <v>21.658999999999999</v>
      </c>
      <c r="U57" s="31">
        <v>22.920999999999999</v>
      </c>
      <c r="V57" s="31">
        <v>13.978</v>
      </c>
      <c r="W57" s="31">
        <v>16.182000000000002</v>
      </c>
      <c r="X57" s="31">
        <v>20.335000000000001</v>
      </c>
      <c r="Y57" s="31">
        <v>24.777999999999999</v>
      </c>
      <c r="Z57" s="31">
        <v>15.568</v>
      </c>
      <c r="AA57" s="31">
        <v>26.222000000000001</v>
      </c>
      <c r="AB57" s="31">
        <v>19.699000000000002</v>
      </c>
      <c r="AC57" s="31">
        <v>33.756999999999998</v>
      </c>
      <c r="AD57" s="31">
        <v>10.327999999999999</v>
      </c>
      <c r="AE57" s="31">
        <v>22.818999999999999</v>
      </c>
      <c r="AF57" s="31">
        <v>21.548000000000002</v>
      </c>
      <c r="AG57" s="31">
        <v>21.600933333333327</v>
      </c>
      <c r="AH57" s="31">
        <v>5.4002333333333317</v>
      </c>
    </row>
    <row r="58" spans="1:34" x14ac:dyDescent="0.3">
      <c r="A58" s="12" t="s">
        <v>256</v>
      </c>
      <c r="B58" s="10">
        <v>6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9.9759999999999991</v>
      </c>
      <c r="Q58" s="31">
        <v>3.4319999999999999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0.44693333333333329</v>
      </c>
      <c r="AH58" s="31">
        <v>7.4488888888888882E-2</v>
      </c>
    </row>
    <row r="59" spans="1:34" x14ac:dyDescent="0.3">
      <c r="A59" s="12" t="s">
        <v>196</v>
      </c>
      <c r="B59" s="10">
        <v>10</v>
      </c>
      <c r="C59" s="31">
        <v>146.03</v>
      </c>
      <c r="D59" s="31">
        <v>198.52200000000002</v>
      </c>
      <c r="E59" s="31">
        <v>171.97</v>
      </c>
      <c r="F59" s="31">
        <v>171.15400000000002</v>
      </c>
      <c r="G59" s="31">
        <v>162.52099999999999</v>
      </c>
      <c r="H59" s="31">
        <v>141.15600000000006</v>
      </c>
      <c r="I59" s="31">
        <v>100.23200000000001</v>
      </c>
      <c r="J59" s="31">
        <v>162.05799999999994</v>
      </c>
      <c r="K59" s="31">
        <v>150.82199999999997</v>
      </c>
      <c r="L59" s="31">
        <v>119.06199999999998</v>
      </c>
      <c r="M59" s="31">
        <v>117.26200000000001</v>
      </c>
      <c r="N59" s="31">
        <v>95.807000000000002</v>
      </c>
      <c r="O59" s="31">
        <v>128.64099999999999</v>
      </c>
      <c r="P59" s="31">
        <v>123.92199999999997</v>
      </c>
      <c r="Q59" s="31">
        <v>150.06899999999999</v>
      </c>
      <c r="R59" s="31">
        <v>113.20900000000002</v>
      </c>
      <c r="S59" s="31">
        <v>56.286999999999999</v>
      </c>
      <c r="T59" s="31">
        <v>49.048999999999999</v>
      </c>
      <c r="U59" s="31">
        <v>58.014999999999993</v>
      </c>
      <c r="V59" s="31">
        <v>103.21100000000001</v>
      </c>
      <c r="W59" s="31">
        <v>91.392999999999986</v>
      </c>
      <c r="X59" s="31">
        <v>85.822999999999993</v>
      </c>
      <c r="Y59" s="31">
        <v>90.188999999999993</v>
      </c>
      <c r="Z59" s="31">
        <v>70.434999999999988</v>
      </c>
      <c r="AA59" s="31">
        <v>122.974</v>
      </c>
      <c r="AB59" s="31">
        <v>80.312999999999988</v>
      </c>
      <c r="AC59" s="31">
        <v>15.724</v>
      </c>
      <c r="AD59" s="31">
        <v>63.127000000000002</v>
      </c>
      <c r="AE59" s="31">
        <v>97.641000000000005</v>
      </c>
      <c r="AF59" s="31">
        <v>84.921999999999997</v>
      </c>
      <c r="AG59" s="31">
        <v>110.718</v>
      </c>
      <c r="AH59" s="31">
        <v>11.0718</v>
      </c>
    </row>
    <row r="60" spans="1:34" x14ac:dyDescent="0.3">
      <c r="A60" s="12" t="s">
        <v>352</v>
      </c>
      <c r="B60" s="10">
        <v>10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11.061999999999999</v>
      </c>
      <c r="P60" s="31">
        <v>71.956000000000017</v>
      </c>
      <c r="Q60" s="31">
        <v>136.88</v>
      </c>
      <c r="R60" s="31">
        <v>170.762</v>
      </c>
      <c r="S60" s="31">
        <v>86.208000000000013</v>
      </c>
      <c r="T60" s="31">
        <v>139.47300000000001</v>
      </c>
      <c r="U60" s="31">
        <v>190.65</v>
      </c>
      <c r="V60" s="31">
        <v>171.11</v>
      </c>
      <c r="W60" s="31">
        <v>182.32</v>
      </c>
      <c r="X60" s="31">
        <v>140.26</v>
      </c>
      <c r="Y60" s="31">
        <v>123.02</v>
      </c>
      <c r="Z60" s="31">
        <v>148.88</v>
      </c>
      <c r="AA60" s="31">
        <v>186.48000000000002</v>
      </c>
      <c r="AB60" s="31">
        <v>140.19</v>
      </c>
      <c r="AC60" s="31">
        <v>120.01</v>
      </c>
      <c r="AD60" s="31">
        <v>150.99</v>
      </c>
      <c r="AE60" s="31">
        <v>140.49</v>
      </c>
      <c r="AF60" s="31">
        <v>131.65</v>
      </c>
      <c r="AG60" s="31">
        <v>96.760966666666661</v>
      </c>
      <c r="AH60" s="31">
        <v>26.483808333333332</v>
      </c>
    </row>
    <row r="61" spans="1:34" x14ac:dyDescent="0.3">
      <c r="A61" s="12" t="s">
        <v>174</v>
      </c>
      <c r="B61" s="10">
        <v>11</v>
      </c>
      <c r="C61" s="31">
        <v>60.704999999999977</v>
      </c>
      <c r="D61" s="31">
        <v>85.320000000000022</v>
      </c>
      <c r="E61" s="31">
        <v>60.126000000000005</v>
      </c>
      <c r="F61" s="31">
        <v>90.430999999999997</v>
      </c>
      <c r="G61" s="31">
        <v>46.073000000000008</v>
      </c>
      <c r="H61" s="31">
        <v>18.837</v>
      </c>
      <c r="I61" s="31">
        <v>18.059999999999999</v>
      </c>
      <c r="J61" s="31">
        <v>43.782999999999994</v>
      </c>
      <c r="K61" s="31">
        <v>35.062000000000005</v>
      </c>
      <c r="L61" s="31">
        <v>48.127000000000002</v>
      </c>
      <c r="M61" s="31">
        <v>30.368999999999996</v>
      </c>
      <c r="N61" s="31">
        <v>19.170000000000002</v>
      </c>
      <c r="O61" s="31">
        <v>18.917000000000002</v>
      </c>
      <c r="P61" s="31">
        <v>18.794</v>
      </c>
      <c r="Q61" s="31">
        <v>56.327999999999996</v>
      </c>
      <c r="R61" s="31">
        <v>22.396000000000001</v>
      </c>
      <c r="S61" s="31">
        <v>36.854999999999997</v>
      </c>
      <c r="T61" s="31">
        <v>83.77</v>
      </c>
      <c r="U61" s="31">
        <v>20.29</v>
      </c>
      <c r="V61" s="31">
        <v>90.72999999999999</v>
      </c>
      <c r="W61" s="31">
        <v>34.589999999999996</v>
      </c>
      <c r="X61" s="31">
        <v>82.01</v>
      </c>
      <c r="Y61" s="31">
        <v>46.01</v>
      </c>
      <c r="Z61" s="31">
        <v>29.82</v>
      </c>
      <c r="AA61" s="31">
        <v>93.143000000000043</v>
      </c>
      <c r="AB61" s="31">
        <v>47.01400000000001</v>
      </c>
      <c r="AC61" s="31">
        <v>55.326999999999998</v>
      </c>
      <c r="AD61" s="31">
        <v>45.110000000000007</v>
      </c>
      <c r="AE61" s="31">
        <v>26.015999999999998</v>
      </c>
      <c r="AF61" s="31">
        <v>40.719000000000001</v>
      </c>
      <c r="AG61" s="31">
        <v>46.796733333333336</v>
      </c>
      <c r="AH61" s="31">
        <v>8.5619733333333343</v>
      </c>
    </row>
    <row r="62" spans="1:34" x14ac:dyDescent="0.3">
      <c r="A62" s="12" t="s">
        <v>204</v>
      </c>
      <c r="B62" s="10">
        <v>6</v>
      </c>
      <c r="C62" s="31">
        <v>38.747999999999998</v>
      </c>
      <c r="D62" s="31">
        <v>32.540999999999997</v>
      </c>
      <c r="E62" s="31">
        <v>37.167000000000002</v>
      </c>
      <c r="F62" s="31">
        <v>27.206</v>
      </c>
      <c r="G62" s="31">
        <v>28.418000000000003</v>
      </c>
      <c r="H62" s="31">
        <v>44.882000000000005</v>
      </c>
      <c r="I62" s="31">
        <v>24.459</v>
      </c>
      <c r="J62" s="31">
        <v>33.658999999999999</v>
      </c>
      <c r="K62" s="31">
        <v>28.021000000000001</v>
      </c>
      <c r="L62" s="31">
        <v>35.456999999999994</v>
      </c>
      <c r="M62" s="31">
        <v>25.707000000000001</v>
      </c>
      <c r="N62" s="31">
        <v>34.095999999999997</v>
      </c>
      <c r="O62" s="31">
        <v>29.009</v>
      </c>
      <c r="P62" s="31">
        <v>25.972999999999999</v>
      </c>
      <c r="Q62" s="31">
        <v>25.646000000000001</v>
      </c>
      <c r="R62" s="31">
        <v>32.616</v>
      </c>
      <c r="S62" s="31">
        <v>17.044</v>
      </c>
      <c r="T62" s="31">
        <v>35.080000000000005</v>
      </c>
      <c r="U62" s="31">
        <v>30.798000000000002</v>
      </c>
      <c r="V62" s="31">
        <v>42.176999999999992</v>
      </c>
      <c r="W62" s="31">
        <v>29.904</v>
      </c>
      <c r="X62" s="31">
        <v>41.655000000000001</v>
      </c>
      <c r="Y62" s="31">
        <v>32.567999999999998</v>
      </c>
      <c r="Z62" s="31">
        <v>27.71</v>
      </c>
      <c r="AA62" s="31">
        <v>42.534000000000006</v>
      </c>
      <c r="AB62" s="31">
        <v>37.451999999999998</v>
      </c>
      <c r="AC62" s="31">
        <v>45.494999999999997</v>
      </c>
      <c r="AD62" s="31">
        <v>26.019000000000002</v>
      </c>
      <c r="AE62" s="31">
        <v>34.502000000000002</v>
      </c>
      <c r="AF62" s="31">
        <v>36.163999999999994</v>
      </c>
      <c r="AG62" s="31">
        <v>32.756900000000002</v>
      </c>
      <c r="AH62" s="31">
        <v>5.4594833333333339</v>
      </c>
    </row>
    <row r="63" spans="1:34" x14ac:dyDescent="0.3">
      <c r="A63" s="12" t="s">
        <v>232</v>
      </c>
      <c r="B63" s="10">
        <v>20</v>
      </c>
      <c r="C63" s="31">
        <v>33.668999999999997</v>
      </c>
      <c r="D63" s="31">
        <v>30.119000000000003</v>
      </c>
      <c r="E63" s="31">
        <v>28.026</v>
      </c>
      <c r="F63" s="31">
        <v>35.923000000000002</v>
      </c>
      <c r="G63" s="31">
        <v>27.506</v>
      </c>
      <c r="H63" s="31">
        <v>31.949000000000005</v>
      </c>
      <c r="I63" s="31">
        <v>30.124999999999996</v>
      </c>
      <c r="J63" s="31">
        <v>18.560000000000002</v>
      </c>
      <c r="K63" s="31">
        <v>20.105000000000004</v>
      </c>
      <c r="L63" s="31">
        <v>30.866000000000007</v>
      </c>
      <c r="M63" s="31">
        <v>35.346000000000004</v>
      </c>
      <c r="N63" s="31">
        <v>30.258000000000003</v>
      </c>
      <c r="O63" s="31">
        <v>25.417000000000002</v>
      </c>
      <c r="P63" s="31">
        <v>34.856000000000002</v>
      </c>
      <c r="Q63" s="31">
        <v>28.591999999999995</v>
      </c>
      <c r="R63" s="31">
        <v>18.894000000000002</v>
      </c>
      <c r="S63" s="31">
        <v>15.389999999999999</v>
      </c>
      <c r="T63" s="31">
        <v>14.723999999999998</v>
      </c>
      <c r="U63" s="31">
        <v>38.815999999999995</v>
      </c>
      <c r="V63" s="31">
        <v>29.577999999999999</v>
      </c>
      <c r="W63" s="31">
        <v>22.245000000000001</v>
      </c>
      <c r="X63" s="31">
        <v>36.312000000000005</v>
      </c>
      <c r="Y63" s="31">
        <v>28.94</v>
      </c>
      <c r="Z63" s="31">
        <v>45.72699999999999</v>
      </c>
      <c r="AA63" s="31">
        <v>26.07</v>
      </c>
      <c r="AB63" s="31">
        <v>46.464999999999996</v>
      </c>
      <c r="AC63" s="31">
        <v>53.404999999999994</v>
      </c>
      <c r="AD63" s="31">
        <v>55.094000000000015</v>
      </c>
      <c r="AE63" s="31">
        <v>103.74699999999999</v>
      </c>
      <c r="AF63" s="31">
        <v>115.011</v>
      </c>
      <c r="AG63" s="31">
        <v>36.39116666666667</v>
      </c>
      <c r="AH63" s="31">
        <v>1.8195583333333336</v>
      </c>
    </row>
    <row r="64" spans="1:34" x14ac:dyDescent="0.3">
      <c r="A64" s="12" t="s">
        <v>357</v>
      </c>
      <c r="B64" s="10">
        <v>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>
        <v>0.06</v>
      </c>
      <c r="T64" s="31">
        <v>0</v>
      </c>
      <c r="U64" s="31">
        <v>0</v>
      </c>
      <c r="V64" s="31">
        <v>0</v>
      </c>
      <c r="W64" s="31">
        <v>9.0399999999999991</v>
      </c>
      <c r="X64" s="31">
        <v>7.234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10.852</v>
      </c>
      <c r="AE64" s="31">
        <v>0</v>
      </c>
      <c r="AF64" s="31">
        <v>0</v>
      </c>
      <c r="AG64" s="31">
        <v>1.9418571428571429</v>
      </c>
      <c r="AH64" s="31">
        <v>1.9418571428571429</v>
      </c>
    </row>
    <row r="65" spans="1:34" x14ac:dyDescent="0.3">
      <c r="A65" s="12" t="s">
        <v>271</v>
      </c>
      <c r="B65" s="10">
        <v>9</v>
      </c>
      <c r="C65" s="31">
        <v>87.8</v>
      </c>
      <c r="D65" s="31">
        <v>22.189999999999998</v>
      </c>
      <c r="E65" s="31">
        <v>34.61</v>
      </c>
      <c r="F65" s="31">
        <v>79.58</v>
      </c>
      <c r="G65" s="31">
        <v>35.24</v>
      </c>
      <c r="H65" s="31">
        <v>110.09</v>
      </c>
      <c r="I65" s="31">
        <v>154.16</v>
      </c>
      <c r="J65" s="31">
        <v>42.28</v>
      </c>
      <c r="K65" s="31">
        <v>36.93</v>
      </c>
      <c r="L65" s="31">
        <v>80.930000000000007</v>
      </c>
      <c r="M65" s="31">
        <v>148.21</v>
      </c>
      <c r="N65" s="31">
        <v>98.009999999999991</v>
      </c>
      <c r="O65" s="31">
        <v>110.13999999999999</v>
      </c>
      <c r="P65" s="31">
        <v>83.39</v>
      </c>
      <c r="Q65" s="31">
        <v>87.081999999999994</v>
      </c>
      <c r="R65" s="31">
        <v>33.82</v>
      </c>
      <c r="S65" s="31">
        <v>68.789999999999992</v>
      </c>
      <c r="T65" s="31">
        <v>105.16000000000001</v>
      </c>
      <c r="U65" s="31">
        <v>107.65</v>
      </c>
      <c r="V65" s="31">
        <v>120.16999999999999</v>
      </c>
      <c r="W65" s="31">
        <v>153.66000000000003</v>
      </c>
      <c r="X65" s="31">
        <v>40.270000000000003</v>
      </c>
      <c r="Y65" s="31">
        <v>38.770000000000003</v>
      </c>
      <c r="Z65" s="31">
        <v>120.24000000000001</v>
      </c>
      <c r="AA65" s="31">
        <v>181.89999999999998</v>
      </c>
      <c r="AB65" s="31">
        <v>221.06</v>
      </c>
      <c r="AC65" s="31">
        <v>196.99</v>
      </c>
      <c r="AD65" s="31">
        <v>131.26</v>
      </c>
      <c r="AE65" s="31">
        <v>69.2</v>
      </c>
      <c r="AF65" s="31">
        <v>71.37</v>
      </c>
      <c r="AG65" s="31">
        <v>107.18373333333332</v>
      </c>
      <c r="AH65" s="31">
        <v>86.376577777777769</v>
      </c>
    </row>
    <row r="66" spans="1:34" x14ac:dyDescent="0.3">
      <c r="A66" s="12" t="s">
        <v>249</v>
      </c>
      <c r="B66" s="10">
        <v>8</v>
      </c>
      <c r="C66" s="31">
        <v>134.126</v>
      </c>
      <c r="D66" s="31">
        <v>140.14000000000004</v>
      </c>
      <c r="E66" s="31">
        <v>143.00299999999999</v>
      </c>
      <c r="F66" s="31">
        <v>92.235000000000014</v>
      </c>
      <c r="G66" s="31">
        <v>118.54599999999999</v>
      </c>
      <c r="H66" s="31">
        <v>118.67600000000002</v>
      </c>
      <c r="I66" s="31">
        <v>148.321</v>
      </c>
      <c r="J66" s="31">
        <v>146.10799999999998</v>
      </c>
      <c r="K66" s="31">
        <v>133.54600000000002</v>
      </c>
      <c r="L66" s="31">
        <v>115.18599999999999</v>
      </c>
      <c r="M66" s="31">
        <v>133.06100000000001</v>
      </c>
      <c r="N66" s="31">
        <v>118.75399999999996</v>
      </c>
      <c r="O66" s="31">
        <v>122.387</v>
      </c>
      <c r="P66" s="31">
        <v>137.21900000000005</v>
      </c>
      <c r="Q66" s="31">
        <v>118.72100000000002</v>
      </c>
      <c r="R66" s="31">
        <v>114.53500000000005</v>
      </c>
      <c r="S66" s="31">
        <v>132.18199999999999</v>
      </c>
      <c r="T66" s="31">
        <v>143.60500000000002</v>
      </c>
      <c r="U66" s="31">
        <v>137.21299999999999</v>
      </c>
      <c r="V66" s="31">
        <v>137.90799999999996</v>
      </c>
      <c r="W66" s="31">
        <v>143.46200000000002</v>
      </c>
      <c r="X66" s="31">
        <v>102.23499999999999</v>
      </c>
      <c r="Y66" s="31">
        <v>158.36299999999994</v>
      </c>
      <c r="Z66" s="31">
        <v>124.371</v>
      </c>
      <c r="AA66" s="31">
        <v>123.85799999999999</v>
      </c>
      <c r="AB66" s="31">
        <v>135.26299999999998</v>
      </c>
      <c r="AC66" s="31">
        <v>88.382999999999996</v>
      </c>
      <c r="AD66" s="31">
        <v>120.45499999999998</v>
      </c>
      <c r="AE66" s="31">
        <v>119.58599999999998</v>
      </c>
      <c r="AF66" s="31">
        <v>142.636</v>
      </c>
      <c r="AG66" s="31">
        <v>128.13613333333333</v>
      </c>
      <c r="AH66" s="31">
        <v>16.017016666666667</v>
      </c>
    </row>
    <row r="67" spans="1:34" x14ac:dyDescent="0.3">
      <c r="A67" s="12" t="s">
        <v>254</v>
      </c>
      <c r="B67" s="10">
        <v>10</v>
      </c>
      <c r="C67" s="31">
        <v>35.433</v>
      </c>
      <c r="D67" s="31">
        <v>28.241999999999997</v>
      </c>
      <c r="E67" s="31">
        <v>29.069999999999997</v>
      </c>
      <c r="F67" s="31">
        <v>31.216000000000001</v>
      </c>
      <c r="G67" s="31">
        <v>27.029000000000003</v>
      </c>
      <c r="H67" s="31">
        <v>41.984000000000002</v>
      </c>
      <c r="I67" s="31">
        <v>23.408000000000001</v>
      </c>
      <c r="J67" s="31">
        <v>37.119</v>
      </c>
      <c r="K67" s="31">
        <v>18.933</v>
      </c>
      <c r="L67" s="31">
        <v>51.93099999999999</v>
      </c>
      <c r="M67" s="31">
        <v>49.159000000000006</v>
      </c>
      <c r="N67" s="31">
        <v>38.942000000000007</v>
      </c>
      <c r="O67" s="31">
        <v>49.283000000000001</v>
      </c>
      <c r="P67" s="31">
        <v>47.346999999999994</v>
      </c>
      <c r="Q67" s="31">
        <v>72.361000000000004</v>
      </c>
      <c r="R67" s="31">
        <v>69.347000000000008</v>
      </c>
      <c r="S67" s="31">
        <v>41.573999999999998</v>
      </c>
      <c r="T67" s="31">
        <v>63.977999999999994</v>
      </c>
      <c r="U67" s="31">
        <v>90.26700000000001</v>
      </c>
      <c r="V67" s="31">
        <v>76.049000000000021</v>
      </c>
      <c r="W67" s="31">
        <v>61.295000000000002</v>
      </c>
      <c r="X67" s="31">
        <v>39.856000000000002</v>
      </c>
      <c r="Y67" s="31">
        <v>67.363</v>
      </c>
      <c r="Z67" s="31">
        <v>76.285000000000011</v>
      </c>
      <c r="AA67" s="31">
        <v>81.114999999999981</v>
      </c>
      <c r="AB67" s="31">
        <v>31.753</v>
      </c>
      <c r="AC67" s="31">
        <v>68.7</v>
      </c>
      <c r="AD67" s="31">
        <v>82.572000000000003</v>
      </c>
      <c r="AE67" s="31">
        <v>53.409000000000006</v>
      </c>
      <c r="AF67" s="31">
        <v>52.080999999999989</v>
      </c>
      <c r="AG67" s="31">
        <v>51.236699999999999</v>
      </c>
      <c r="AH67" s="31">
        <v>5.1236699999999997</v>
      </c>
    </row>
    <row r="68" spans="1:34" x14ac:dyDescent="0.3">
      <c r="A68" s="12" t="s">
        <v>355</v>
      </c>
      <c r="B68" s="10">
        <v>10</v>
      </c>
      <c r="C68" s="31"/>
      <c r="D68" s="31"/>
      <c r="E68" s="31"/>
      <c r="F68" s="31"/>
      <c r="G68" s="31"/>
      <c r="H68" s="31"/>
      <c r="I68" s="31"/>
      <c r="J68" s="31"/>
      <c r="K68" s="31"/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0</v>
      </c>
      <c r="AE68" s="31">
        <v>112.51299999999999</v>
      </c>
      <c r="AF68" s="31">
        <v>214.93600000000006</v>
      </c>
      <c r="AG68" s="31">
        <v>15.592809523809526</v>
      </c>
      <c r="AH68" s="31">
        <v>1.5592809523809525</v>
      </c>
    </row>
    <row r="69" spans="1:34" x14ac:dyDescent="0.3">
      <c r="A69" s="12" t="s">
        <v>270</v>
      </c>
      <c r="B69" s="10">
        <v>5</v>
      </c>
      <c r="C69" s="31">
        <v>20.7</v>
      </c>
      <c r="D69" s="31">
        <v>0.877</v>
      </c>
      <c r="E69" s="31">
        <v>0</v>
      </c>
      <c r="F69" s="31">
        <v>25.4</v>
      </c>
      <c r="G69" s="31">
        <v>15.559999999999999</v>
      </c>
      <c r="H69" s="31">
        <v>4.22</v>
      </c>
      <c r="I69" s="31">
        <v>44.72</v>
      </c>
      <c r="J69" s="31">
        <v>17.55</v>
      </c>
      <c r="K69" s="31">
        <v>10.28</v>
      </c>
      <c r="L69" s="31">
        <v>22.880000000000003</v>
      </c>
      <c r="M69" s="31">
        <v>35.93</v>
      </c>
      <c r="N69" s="31">
        <v>80.199999999999989</v>
      </c>
      <c r="O69" s="31">
        <v>22.72</v>
      </c>
      <c r="P69" s="31">
        <v>2.4700000000000002</v>
      </c>
      <c r="Q69" s="31">
        <v>19.02</v>
      </c>
      <c r="R69" s="31">
        <v>15.69</v>
      </c>
      <c r="S69" s="31">
        <v>38.18</v>
      </c>
      <c r="T69" s="31">
        <v>29.46</v>
      </c>
      <c r="U69" s="31">
        <v>15.31</v>
      </c>
      <c r="V69" s="31">
        <v>40.729999999999997</v>
      </c>
      <c r="W69" s="31">
        <v>21.77</v>
      </c>
      <c r="X69" s="31">
        <v>23.67</v>
      </c>
      <c r="Y69" s="31">
        <v>14.219999999999999</v>
      </c>
      <c r="Z69" s="31">
        <v>21.34</v>
      </c>
      <c r="AA69" s="31">
        <v>25.47</v>
      </c>
      <c r="AB69" s="31">
        <v>28.36</v>
      </c>
      <c r="AC69" s="31">
        <v>44.21</v>
      </c>
      <c r="AD69" s="31">
        <v>8.6300000000000008</v>
      </c>
      <c r="AE69" s="31">
        <v>14.576999999999998</v>
      </c>
      <c r="AF69" s="31">
        <v>6.6440000000000001</v>
      </c>
      <c r="AG69" s="31">
        <v>22.3596</v>
      </c>
      <c r="AH69" s="31">
        <v>15.849266666666667</v>
      </c>
    </row>
    <row r="70" spans="1:34" x14ac:dyDescent="0.3">
      <c r="A70" s="12" t="s">
        <v>269</v>
      </c>
      <c r="B70" s="10">
        <v>7</v>
      </c>
      <c r="C70" s="31">
        <v>82.206999999999994</v>
      </c>
      <c r="D70" s="31">
        <v>86.182000000000002</v>
      </c>
      <c r="E70" s="31">
        <v>100.31799999999998</v>
      </c>
      <c r="F70" s="31">
        <v>124.20100000000001</v>
      </c>
      <c r="G70" s="31">
        <v>114.35400000000003</v>
      </c>
      <c r="H70" s="31">
        <v>136.255</v>
      </c>
      <c r="I70" s="31">
        <v>135.55200000000002</v>
      </c>
      <c r="J70" s="31">
        <v>95.733999999999995</v>
      </c>
      <c r="K70" s="31">
        <v>107.99199999999999</v>
      </c>
      <c r="L70" s="31">
        <v>130.25399999999999</v>
      </c>
      <c r="M70" s="31">
        <v>108.19800000000001</v>
      </c>
      <c r="N70" s="31">
        <v>86.295000000000016</v>
      </c>
      <c r="O70" s="31">
        <v>47.714000000000006</v>
      </c>
      <c r="P70" s="31">
        <v>129.614</v>
      </c>
      <c r="Q70" s="31">
        <v>128.709</v>
      </c>
      <c r="R70" s="31">
        <v>76.783999999999992</v>
      </c>
      <c r="S70" s="31">
        <v>102.22</v>
      </c>
      <c r="T70" s="31">
        <v>66.832999999999998</v>
      </c>
      <c r="U70" s="31">
        <v>72.283000000000001</v>
      </c>
      <c r="V70" s="31">
        <v>48.488</v>
      </c>
      <c r="W70" s="31">
        <v>67.423000000000002</v>
      </c>
      <c r="X70" s="31">
        <v>37.701999999999998</v>
      </c>
      <c r="Y70" s="31">
        <v>18.053999999999998</v>
      </c>
      <c r="Z70" s="31">
        <v>38.631</v>
      </c>
      <c r="AA70" s="31">
        <v>47.581000000000003</v>
      </c>
      <c r="AB70" s="31">
        <v>52.81900000000001</v>
      </c>
      <c r="AC70" s="31">
        <v>74.704999999999998</v>
      </c>
      <c r="AD70" s="31">
        <v>63.397000000000006</v>
      </c>
      <c r="AE70" s="31">
        <v>68.393000000000001</v>
      </c>
      <c r="AF70" s="31">
        <v>59.473999999999997</v>
      </c>
      <c r="AG70" s="31">
        <v>83.612200000000016</v>
      </c>
      <c r="AH70" s="31">
        <v>11.944600000000003</v>
      </c>
    </row>
    <row r="71" spans="1:34" x14ac:dyDescent="0.3">
      <c r="A71" s="12" t="s">
        <v>203</v>
      </c>
      <c r="B71" s="10">
        <v>27</v>
      </c>
      <c r="C71" s="31">
        <v>415.38</v>
      </c>
      <c r="D71" s="31">
        <v>429.96</v>
      </c>
      <c r="E71" s="31">
        <v>425.02</v>
      </c>
      <c r="F71" s="31">
        <v>393.2</v>
      </c>
      <c r="G71" s="31">
        <v>352</v>
      </c>
      <c r="H71" s="31">
        <v>393.42</v>
      </c>
      <c r="I71" s="31">
        <v>394.45</v>
      </c>
      <c r="J71" s="31">
        <v>388.14</v>
      </c>
      <c r="K71" s="31">
        <v>379.54</v>
      </c>
      <c r="L71" s="31">
        <v>408.76</v>
      </c>
      <c r="M71" s="31">
        <v>467.87299999999988</v>
      </c>
      <c r="N71" s="31">
        <v>419.67</v>
      </c>
      <c r="O71" s="31">
        <v>428.31</v>
      </c>
      <c r="P71" s="31">
        <v>459.90000000000003</v>
      </c>
      <c r="Q71" s="31">
        <v>462.68</v>
      </c>
      <c r="R71" s="31">
        <v>486.55</v>
      </c>
      <c r="S71" s="31">
        <v>285.25</v>
      </c>
      <c r="T71" s="31">
        <v>551.14</v>
      </c>
      <c r="U71" s="31">
        <v>359.27000000000004</v>
      </c>
      <c r="V71" s="31">
        <v>467.52</v>
      </c>
      <c r="W71" s="31">
        <v>442.77</v>
      </c>
      <c r="X71" s="31">
        <v>396.47</v>
      </c>
      <c r="Y71" s="31">
        <v>496.62</v>
      </c>
      <c r="Z71" s="31">
        <v>473.84</v>
      </c>
      <c r="AA71" s="31">
        <v>469.82</v>
      </c>
      <c r="AB71" s="31">
        <v>435.14</v>
      </c>
      <c r="AC71" s="31">
        <v>448.11</v>
      </c>
      <c r="AD71" s="31">
        <v>397.08</v>
      </c>
      <c r="AE71" s="31">
        <v>455.94</v>
      </c>
      <c r="AF71" s="31">
        <v>418.48</v>
      </c>
      <c r="AG71" s="31">
        <v>426.74343333333337</v>
      </c>
      <c r="AH71" s="31">
        <v>27.623990277777779</v>
      </c>
    </row>
    <row r="72" spans="1:34" x14ac:dyDescent="0.3">
      <c r="A72" s="12" t="s">
        <v>283</v>
      </c>
      <c r="B72" s="10">
        <v>5</v>
      </c>
      <c r="C72" s="31">
        <v>31.263999999999996</v>
      </c>
      <c r="D72" s="31">
        <v>28.219000000000001</v>
      </c>
      <c r="E72" s="31">
        <v>44.227999999999994</v>
      </c>
      <c r="F72" s="31">
        <v>47.819000000000003</v>
      </c>
      <c r="G72" s="31">
        <v>42.576000000000001</v>
      </c>
      <c r="H72" s="31">
        <v>30.171000000000003</v>
      </c>
      <c r="I72" s="31">
        <v>33.129000000000005</v>
      </c>
      <c r="J72" s="31">
        <v>40.810000000000009</v>
      </c>
      <c r="K72" s="31">
        <v>51.741</v>
      </c>
      <c r="L72" s="31">
        <v>40.271999999999991</v>
      </c>
      <c r="M72" s="31">
        <v>32.208999999999996</v>
      </c>
      <c r="N72" s="31">
        <v>18.353000000000002</v>
      </c>
      <c r="O72" s="31">
        <v>46.425999999999995</v>
      </c>
      <c r="P72" s="31">
        <v>54.948</v>
      </c>
      <c r="Q72" s="31">
        <v>24.738</v>
      </c>
      <c r="R72" s="31">
        <v>14.454000000000001</v>
      </c>
      <c r="S72" s="31">
        <v>68.355000000000018</v>
      </c>
      <c r="T72" s="31">
        <v>34.206000000000003</v>
      </c>
      <c r="U72" s="31">
        <v>37.832000000000008</v>
      </c>
      <c r="V72" s="31">
        <v>80.906999999999996</v>
      </c>
      <c r="W72" s="31">
        <v>43.004999999999995</v>
      </c>
      <c r="X72" s="31">
        <v>61.690999999999995</v>
      </c>
      <c r="Y72" s="31">
        <v>61.701000000000001</v>
      </c>
      <c r="Z72" s="31">
        <v>61.312000000000005</v>
      </c>
      <c r="AA72" s="31">
        <v>56.401999999999994</v>
      </c>
      <c r="AB72" s="31">
        <v>45.944000000000003</v>
      </c>
      <c r="AC72" s="31">
        <v>65.16</v>
      </c>
      <c r="AD72" s="31">
        <v>37.357000000000006</v>
      </c>
      <c r="AE72" s="31">
        <v>71.917000000000002</v>
      </c>
      <c r="AF72" s="31">
        <v>75.420000000000016</v>
      </c>
      <c r="AG72" s="31">
        <v>46.085533333333338</v>
      </c>
      <c r="AH72" s="31">
        <v>9.2171066666666679</v>
      </c>
    </row>
    <row r="73" spans="1:34" x14ac:dyDescent="0.3">
      <c r="A73" s="12" t="s">
        <v>318</v>
      </c>
      <c r="B73" s="10">
        <v>1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31">
        <v>0</v>
      </c>
      <c r="AD73" s="31">
        <v>0</v>
      </c>
      <c r="AE73" s="31">
        <v>0</v>
      </c>
      <c r="AF73" s="31">
        <v>0</v>
      </c>
      <c r="AG73" s="31">
        <v>0</v>
      </c>
      <c r="AH73" s="31">
        <v>0</v>
      </c>
    </row>
    <row r="74" spans="1:34" x14ac:dyDescent="0.3">
      <c r="A74" s="12" t="s">
        <v>247</v>
      </c>
      <c r="B74" s="10">
        <v>5</v>
      </c>
      <c r="C74" s="31">
        <v>45.093000000000004</v>
      </c>
      <c r="D74" s="31">
        <v>25.456</v>
      </c>
      <c r="E74" s="31">
        <v>19.960999999999999</v>
      </c>
      <c r="F74" s="31">
        <v>65.483999999999995</v>
      </c>
      <c r="G74" s="31">
        <v>35.512</v>
      </c>
      <c r="H74" s="31">
        <v>35.408000000000001</v>
      </c>
      <c r="I74" s="31">
        <v>17.722999999999999</v>
      </c>
      <c r="J74" s="31">
        <v>37.375999999999998</v>
      </c>
      <c r="K74" s="31">
        <v>31.4</v>
      </c>
      <c r="L74" s="31">
        <v>22.916</v>
      </c>
      <c r="M74" s="31">
        <v>18.177999999999997</v>
      </c>
      <c r="N74" s="31">
        <v>58.491999999999997</v>
      </c>
      <c r="O74" s="31">
        <v>20.175000000000001</v>
      </c>
      <c r="P74" s="31">
        <v>27.845000000000002</v>
      </c>
      <c r="Q74" s="31">
        <v>29.877000000000002</v>
      </c>
      <c r="R74" s="31">
        <v>52.015999999999998</v>
      </c>
      <c r="S74" s="31">
        <v>42.652000000000001</v>
      </c>
      <c r="T74" s="31">
        <v>23.265999999999998</v>
      </c>
      <c r="U74" s="31">
        <v>47.512999999999998</v>
      </c>
      <c r="V74" s="31">
        <v>11.891999999999999</v>
      </c>
      <c r="W74" s="31">
        <v>37.894000000000005</v>
      </c>
      <c r="X74" s="31">
        <v>38.787000000000006</v>
      </c>
      <c r="Y74" s="31">
        <v>11.366000000000001</v>
      </c>
      <c r="Z74" s="31">
        <v>35.331000000000003</v>
      </c>
      <c r="AA74" s="31">
        <v>35.659999999999997</v>
      </c>
      <c r="AB74" s="31">
        <v>27.433</v>
      </c>
      <c r="AC74" s="31">
        <v>29.887</v>
      </c>
      <c r="AD74" s="31">
        <v>36.596999999999994</v>
      </c>
      <c r="AE74" s="31">
        <v>30.191000000000003</v>
      </c>
      <c r="AF74" s="31">
        <v>37.707999999999998</v>
      </c>
      <c r="AG74" s="31">
        <v>32.969633333333334</v>
      </c>
      <c r="AH74" s="31">
        <v>6.5939266666666665</v>
      </c>
    </row>
    <row r="75" spans="1:34" x14ac:dyDescent="0.3">
      <c r="A75" s="12" t="s">
        <v>354</v>
      </c>
      <c r="B75" s="10">
        <v>4</v>
      </c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>
        <v>0</v>
      </c>
      <c r="R75" s="31">
        <v>0</v>
      </c>
      <c r="S75" s="31">
        <v>0</v>
      </c>
      <c r="T75" s="31">
        <v>18.981999999999999</v>
      </c>
      <c r="U75" s="31">
        <v>39.915999999999997</v>
      </c>
      <c r="V75" s="31">
        <v>18.748999999999999</v>
      </c>
      <c r="W75" s="31">
        <v>35.021000000000001</v>
      </c>
      <c r="X75" s="31">
        <v>67.013000000000005</v>
      </c>
      <c r="Y75" s="31">
        <v>27.397000000000002</v>
      </c>
      <c r="Z75" s="31">
        <v>50.093999999999994</v>
      </c>
      <c r="AA75" s="31">
        <v>25.358000000000004</v>
      </c>
      <c r="AB75" s="31">
        <v>34.625</v>
      </c>
      <c r="AC75" s="31">
        <v>0</v>
      </c>
      <c r="AD75" s="31">
        <v>14.329999999999998</v>
      </c>
      <c r="AE75" s="31">
        <v>7.4340000000000002</v>
      </c>
      <c r="AF75" s="31">
        <v>7.5369999999999999</v>
      </c>
      <c r="AG75" s="31">
        <v>21.653499999999998</v>
      </c>
      <c r="AH75" s="31">
        <v>5.4133749999999994</v>
      </c>
    </row>
    <row r="76" spans="1:34" x14ac:dyDescent="0.3">
      <c r="A76" s="12" t="s">
        <v>216</v>
      </c>
      <c r="B76" s="10">
        <v>7</v>
      </c>
      <c r="C76" s="31">
        <v>169.25700000000001</v>
      </c>
      <c r="D76" s="31">
        <v>168.529</v>
      </c>
      <c r="E76" s="31">
        <v>224.73000000000002</v>
      </c>
      <c r="F76" s="31">
        <v>155.98799999999997</v>
      </c>
      <c r="G76" s="31">
        <v>179.35499999999999</v>
      </c>
      <c r="H76" s="31">
        <v>154.839</v>
      </c>
      <c r="I76" s="31">
        <v>199.83699999999999</v>
      </c>
      <c r="J76" s="31">
        <v>170.78700000000001</v>
      </c>
      <c r="K76" s="31">
        <v>151.41600000000003</v>
      </c>
      <c r="L76" s="31">
        <v>187.49100000000001</v>
      </c>
      <c r="M76" s="31">
        <v>170.26199999999997</v>
      </c>
      <c r="N76" s="31">
        <v>182.91800000000003</v>
      </c>
      <c r="O76" s="31">
        <v>154.81699999999998</v>
      </c>
      <c r="P76" s="31">
        <v>169.952</v>
      </c>
      <c r="Q76" s="31">
        <v>203.65800000000002</v>
      </c>
      <c r="R76" s="31">
        <v>177.785</v>
      </c>
      <c r="S76" s="31">
        <v>165.208</v>
      </c>
      <c r="T76" s="31">
        <v>174.51</v>
      </c>
      <c r="U76" s="31">
        <v>172.27600000000001</v>
      </c>
      <c r="V76" s="31">
        <v>159.54400000000001</v>
      </c>
      <c r="W76" s="31">
        <v>173.67500000000004</v>
      </c>
      <c r="X76" s="31">
        <v>140.48100000000002</v>
      </c>
      <c r="Y76" s="31">
        <v>167.673</v>
      </c>
      <c r="Z76" s="31">
        <v>162.38</v>
      </c>
      <c r="AA76" s="31">
        <v>152.78799999999998</v>
      </c>
      <c r="AB76" s="31">
        <v>177.56899999999999</v>
      </c>
      <c r="AC76" s="31">
        <v>171.51999999999998</v>
      </c>
      <c r="AD76" s="31">
        <v>170.762</v>
      </c>
      <c r="AE76" s="31">
        <v>124.78499999999997</v>
      </c>
      <c r="AF76" s="31">
        <v>162.80799999999999</v>
      </c>
      <c r="AG76" s="31">
        <v>169.92000000000002</v>
      </c>
      <c r="AH76" s="31">
        <v>24.274285714285718</v>
      </c>
    </row>
    <row r="77" spans="1:34" x14ac:dyDescent="0.3">
      <c r="A77" s="12" t="s">
        <v>243</v>
      </c>
      <c r="B77" s="10">
        <v>1</v>
      </c>
      <c r="C77" s="31">
        <v>0</v>
      </c>
      <c r="D77" s="31">
        <v>0</v>
      </c>
      <c r="E77" s="31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31">
        <v>0</v>
      </c>
      <c r="AD77" s="31">
        <v>0</v>
      </c>
      <c r="AE77" s="31">
        <v>0</v>
      </c>
      <c r="AF77" s="31">
        <v>0</v>
      </c>
      <c r="AG77" s="31">
        <v>0</v>
      </c>
      <c r="AH77" s="31">
        <v>0</v>
      </c>
    </row>
    <row r="78" spans="1:34" x14ac:dyDescent="0.3">
      <c r="A78" s="12" t="s">
        <v>323</v>
      </c>
      <c r="B78" s="10">
        <v>3</v>
      </c>
      <c r="C78" s="31">
        <v>35.79</v>
      </c>
      <c r="D78" s="31">
        <v>34.923999999999999</v>
      </c>
      <c r="E78" s="31">
        <v>5.2950000000000008</v>
      </c>
      <c r="F78" s="31">
        <v>23.904000000000003</v>
      </c>
      <c r="G78" s="31">
        <v>20.911999999999999</v>
      </c>
      <c r="H78" s="31">
        <v>20.814999999999998</v>
      </c>
      <c r="I78" s="31">
        <v>25.189</v>
      </c>
      <c r="J78" s="31">
        <v>19.709000000000003</v>
      </c>
      <c r="K78" s="31">
        <v>40.298999999999999</v>
      </c>
      <c r="L78" s="31">
        <v>23.272000000000002</v>
      </c>
      <c r="M78" s="31">
        <v>30.690999999999995</v>
      </c>
      <c r="N78" s="31">
        <v>28.407</v>
      </c>
      <c r="O78" s="31">
        <v>24.849</v>
      </c>
      <c r="P78" s="31">
        <v>16.407000000000004</v>
      </c>
      <c r="Q78" s="31">
        <v>28.1</v>
      </c>
      <c r="R78" s="31">
        <v>28.734999999999999</v>
      </c>
      <c r="S78" s="31">
        <v>6.673</v>
      </c>
      <c r="T78" s="31">
        <v>16.117999999999999</v>
      </c>
      <c r="U78" s="31">
        <v>11.663</v>
      </c>
      <c r="V78" s="31">
        <v>30.077999999999999</v>
      </c>
      <c r="W78" s="31">
        <v>22.475999999999999</v>
      </c>
      <c r="X78" s="31">
        <v>15.468</v>
      </c>
      <c r="Y78" s="31">
        <v>51.064999999999998</v>
      </c>
      <c r="Z78" s="31">
        <v>17.210000000000004</v>
      </c>
      <c r="AA78" s="31">
        <v>9.1609999999999996</v>
      </c>
      <c r="AB78" s="31">
        <v>0.47000000000000003</v>
      </c>
      <c r="AC78" s="31">
        <v>13.73</v>
      </c>
      <c r="AD78" s="31">
        <v>9.9489999999999998</v>
      </c>
      <c r="AE78" s="31">
        <v>39.948</v>
      </c>
      <c r="AF78" s="31">
        <v>4.9460000000000006</v>
      </c>
      <c r="AG78" s="31">
        <v>21.875099999999996</v>
      </c>
      <c r="AH78" s="31">
        <v>7.2916999999999987</v>
      </c>
    </row>
    <row r="79" spans="1:34" x14ac:dyDescent="0.3">
      <c r="A79" s="12" t="s">
        <v>260</v>
      </c>
      <c r="B79" s="10">
        <v>10</v>
      </c>
      <c r="C79" s="31">
        <v>193.60500000000002</v>
      </c>
      <c r="D79" s="31">
        <v>185.48799999999997</v>
      </c>
      <c r="E79" s="31">
        <v>183.185</v>
      </c>
      <c r="F79" s="31">
        <v>209.19499999999996</v>
      </c>
      <c r="G79" s="31">
        <v>191.19</v>
      </c>
      <c r="H79" s="31">
        <v>173.94100000000003</v>
      </c>
      <c r="I79" s="31">
        <v>183.39400000000006</v>
      </c>
      <c r="J79" s="31">
        <v>182.90900000000005</v>
      </c>
      <c r="K79" s="31">
        <v>165.59300000000005</v>
      </c>
      <c r="L79" s="31">
        <v>155.46899999999999</v>
      </c>
      <c r="M79" s="31">
        <v>181.61199999999999</v>
      </c>
      <c r="N79" s="31">
        <v>192.881</v>
      </c>
      <c r="O79" s="31">
        <v>165.5</v>
      </c>
      <c r="P79" s="31">
        <v>188.96099999999998</v>
      </c>
      <c r="Q79" s="31">
        <v>162.23399999999998</v>
      </c>
      <c r="R79" s="31">
        <v>174.768</v>
      </c>
      <c r="S79" s="31">
        <v>187.87199999999999</v>
      </c>
      <c r="T79" s="31">
        <v>193.85700000000003</v>
      </c>
      <c r="U79" s="31">
        <v>161.25</v>
      </c>
      <c r="V79" s="31">
        <v>151.59</v>
      </c>
      <c r="W79" s="31">
        <v>196.85999999999999</v>
      </c>
      <c r="X79" s="31">
        <v>161.44999999999999</v>
      </c>
      <c r="Y79" s="31">
        <v>154.59</v>
      </c>
      <c r="Z79" s="31">
        <v>161.25</v>
      </c>
      <c r="AA79" s="31">
        <v>214.38</v>
      </c>
      <c r="AB79" s="31">
        <v>149.63</v>
      </c>
      <c r="AC79" s="31">
        <v>170.19</v>
      </c>
      <c r="AD79" s="31">
        <v>162.39000000000001</v>
      </c>
      <c r="AE79" s="31">
        <v>142.68</v>
      </c>
      <c r="AF79" s="31">
        <v>120.83</v>
      </c>
      <c r="AG79" s="31">
        <v>182.62729999999999</v>
      </c>
      <c r="AH79" s="31">
        <v>43.409700000000001</v>
      </c>
    </row>
    <row r="80" spans="1:34" x14ac:dyDescent="0.3">
      <c r="A80" s="12" t="s">
        <v>110</v>
      </c>
      <c r="B80" s="10">
        <v>1</v>
      </c>
      <c r="C80" s="31">
        <v>0</v>
      </c>
      <c r="D80" s="31">
        <v>0</v>
      </c>
      <c r="E80" s="31">
        <v>0</v>
      </c>
      <c r="F80" s="31">
        <v>0</v>
      </c>
      <c r="G80" s="31">
        <v>0</v>
      </c>
      <c r="H80" s="31">
        <v>0</v>
      </c>
      <c r="I80" s="31">
        <v>0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0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0</v>
      </c>
      <c r="W80" s="31">
        <v>0</v>
      </c>
      <c r="X80" s="31">
        <v>0</v>
      </c>
      <c r="Y80" s="31">
        <v>0</v>
      </c>
      <c r="Z80" s="31">
        <v>0</v>
      </c>
      <c r="AA80" s="31">
        <v>0</v>
      </c>
      <c r="AB80" s="31">
        <v>0</v>
      </c>
      <c r="AC80" s="31">
        <v>0</v>
      </c>
      <c r="AD80" s="31">
        <v>0</v>
      </c>
      <c r="AE80" s="31">
        <v>0</v>
      </c>
      <c r="AF80" s="31">
        <v>0</v>
      </c>
      <c r="AG80" s="31">
        <v>0</v>
      </c>
      <c r="AH80" s="31">
        <v>0</v>
      </c>
    </row>
    <row r="81" spans="1:34" x14ac:dyDescent="0.3">
      <c r="A81" s="12" t="s">
        <v>366</v>
      </c>
      <c r="B81" s="10">
        <v>5</v>
      </c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>
        <v>7.34</v>
      </c>
      <c r="AC81" s="31">
        <v>10.779</v>
      </c>
      <c r="AD81" s="31">
        <v>30.335000000000001</v>
      </c>
      <c r="AE81" s="31">
        <v>22.026000000000003</v>
      </c>
      <c r="AF81" s="31">
        <v>25.181000000000001</v>
      </c>
      <c r="AG81" s="31">
        <v>19.132200000000001</v>
      </c>
      <c r="AH81" s="31">
        <v>3.8264400000000003</v>
      </c>
    </row>
    <row r="82" spans="1:34" x14ac:dyDescent="0.3">
      <c r="A82" s="12" t="s">
        <v>370</v>
      </c>
      <c r="B82" s="10">
        <v>1</v>
      </c>
      <c r="C82" s="31">
        <v>11.381000000000002</v>
      </c>
      <c r="D82" s="31">
        <v>10</v>
      </c>
      <c r="E82" s="31">
        <v>17.872</v>
      </c>
      <c r="F82" s="31">
        <v>4.1310000000000002</v>
      </c>
      <c r="G82" s="31">
        <v>11.085999999999999</v>
      </c>
      <c r="H82" s="31">
        <v>20.155999999999999</v>
      </c>
      <c r="I82" s="31">
        <v>31.902000000000001</v>
      </c>
      <c r="J82" s="31">
        <v>21.640999999999998</v>
      </c>
      <c r="K82" s="31">
        <v>25.009</v>
      </c>
      <c r="L82" s="31">
        <v>23.792999999999999</v>
      </c>
      <c r="M82" s="31">
        <v>11.553000000000001</v>
      </c>
      <c r="N82" s="31">
        <v>10.913</v>
      </c>
      <c r="O82" s="31">
        <v>6.9079999999999986</v>
      </c>
      <c r="P82" s="31">
        <v>19.288</v>
      </c>
      <c r="Q82" s="31">
        <v>5.7839999999999998</v>
      </c>
      <c r="R82" s="31">
        <v>29.177999999999997</v>
      </c>
      <c r="S82" s="31">
        <v>9.3089999999999993</v>
      </c>
      <c r="T82" s="31">
        <v>4.1050000000000004</v>
      </c>
      <c r="U82" s="31">
        <v>16.320999999999998</v>
      </c>
      <c r="V82" s="31">
        <v>9.9669999999999987</v>
      </c>
      <c r="W82" s="31">
        <v>18.696999999999999</v>
      </c>
      <c r="X82" s="31">
        <v>15.146000000000001</v>
      </c>
      <c r="Y82" s="31">
        <v>20.624000000000002</v>
      </c>
      <c r="Z82" s="31">
        <v>5.7959999999999994</v>
      </c>
      <c r="AA82" s="31">
        <v>9.5400000000000009</v>
      </c>
      <c r="AB82" s="31">
        <v>17.004000000000001</v>
      </c>
      <c r="AC82" s="31">
        <v>12.996999999999998</v>
      </c>
      <c r="AD82" s="31">
        <v>16.77</v>
      </c>
      <c r="AE82" s="31">
        <v>22.481999999999999</v>
      </c>
      <c r="AF82" s="31">
        <v>11.35</v>
      </c>
      <c r="AG82" s="31">
        <v>15.023433333333337</v>
      </c>
      <c r="AH82" s="31">
        <v>15.023433333333337</v>
      </c>
    </row>
    <row r="83" spans="1:34" x14ac:dyDescent="0.3">
      <c r="A83" s="12" t="s">
        <v>83</v>
      </c>
      <c r="B83" s="10">
        <v>678</v>
      </c>
      <c r="C83" s="31">
        <v>3159.1130000000003</v>
      </c>
      <c r="D83" s="31">
        <v>3091.942</v>
      </c>
      <c r="E83" s="31">
        <v>2985.9769999999994</v>
      </c>
      <c r="F83" s="31">
        <v>3228.0589999999997</v>
      </c>
      <c r="G83" s="31">
        <v>2933.5729999999994</v>
      </c>
      <c r="H83" s="31">
        <v>3311.6800000000003</v>
      </c>
      <c r="I83" s="31">
        <v>3406.5759999999991</v>
      </c>
      <c r="J83" s="31">
        <v>3319.7760000000003</v>
      </c>
      <c r="K83" s="31">
        <v>3125.3320000000003</v>
      </c>
      <c r="L83" s="31">
        <v>3218.9370000000004</v>
      </c>
      <c r="M83" s="31">
        <v>3298.3529999999996</v>
      </c>
      <c r="N83" s="31">
        <v>3285.6959999999999</v>
      </c>
      <c r="O83" s="31">
        <v>3351.8829999999994</v>
      </c>
      <c r="P83" s="31">
        <v>3388.4539999999997</v>
      </c>
      <c r="Q83" s="31">
        <v>3576.7459999999992</v>
      </c>
      <c r="R83" s="31">
        <v>3562.342000000001</v>
      </c>
      <c r="S83" s="31">
        <v>2995.9289999999996</v>
      </c>
      <c r="T83" s="31">
        <v>3432.2430000000004</v>
      </c>
      <c r="U83" s="31">
        <v>3033.8619999999996</v>
      </c>
      <c r="V83" s="31">
        <v>3620.0880000000002</v>
      </c>
      <c r="W83" s="31">
        <v>3434.7600000000007</v>
      </c>
      <c r="X83" s="31">
        <v>3217.8359999999998</v>
      </c>
      <c r="Y83" s="31">
        <v>3502.5729999999999</v>
      </c>
      <c r="Z83" s="31">
        <v>3486.6480000000001</v>
      </c>
      <c r="AA83" s="31">
        <v>3466.9210000000003</v>
      </c>
      <c r="AB83" s="31">
        <v>3686.9290000000001</v>
      </c>
      <c r="AC83" s="31">
        <v>3466.9549999999995</v>
      </c>
      <c r="AD83" s="31">
        <v>3384.7249999999999</v>
      </c>
      <c r="AE83" s="31">
        <v>3504.7659999999987</v>
      </c>
      <c r="AF83" s="31">
        <v>3474.8440000000001</v>
      </c>
      <c r="AG83" s="31">
        <v>3400.3720000000008</v>
      </c>
      <c r="AH83" s="31">
        <v>535.71356436633778</v>
      </c>
    </row>
    <row r="102" spans="1:32" x14ac:dyDescent="0.3">
      <c r="A102" s="30" t="s">
        <v>158</v>
      </c>
      <c r="B102" s="30" t="s">
        <v>2</v>
      </c>
      <c r="C102" s="12" t="s">
        <v>335</v>
      </c>
      <c r="D102" s="12" t="s">
        <v>336</v>
      </c>
      <c r="E102" s="12" t="s">
        <v>337</v>
      </c>
      <c r="F102" s="12" t="s">
        <v>338</v>
      </c>
      <c r="G102" s="12" t="s">
        <v>339</v>
      </c>
      <c r="H102" s="12" t="s">
        <v>340</v>
      </c>
      <c r="I102" s="12" t="s">
        <v>343</v>
      </c>
      <c r="J102" s="12" t="s">
        <v>342</v>
      </c>
      <c r="K102" s="12" t="s">
        <v>341</v>
      </c>
      <c r="L102" s="12" t="s">
        <v>344</v>
      </c>
      <c r="M102" s="12" t="s">
        <v>345</v>
      </c>
      <c r="N102" s="12" t="s">
        <v>346</v>
      </c>
      <c r="O102" s="12" t="s">
        <v>347</v>
      </c>
      <c r="P102" s="12" t="s">
        <v>348</v>
      </c>
      <c r="Q102" s="12" t="s">
        <v>349</v>
      </c>
      <c r="R102" s="12" t="s">
        <v>350</v>
      </c>
      <c r="S102" s="12" t="s">
        <v>351</v>
      </c>
      <c r="T102" s="12" t="s">
        <v>358</v>
      </c>
      <c r="U102" s="12" t="s">
        <v>359</v>
      </c>
      <c r="V102" s="12" t="s">
        <v>360</v>
      </c>
      <c r="W102" s="12" t="s">
        <v>361</v>
      </c>
      <c r="X102" s="12" t="s">
        <v>362</v>
      </c>
      <c r="Y102" s="12" t="s">
        <v>363</v>
      </c>
      <c r="Z102" s="12" t="s">
        <v>364</v>
      </c>
      <c r="AA102" s="12" t="s">
        <v>365</v>
      </c>
      <c r="AB102" s="12" t="s">
        <v>367</v>
      </c>
      <c r="AC102" s="12" t="s">
        <v>368</v>
      </c>
      <c r="AD102" s="12" t="s">
        <v>369</v>
      </c>
      <c r="AE102" s="12" t="s">
        <v>371</v>
      </c>
      <c r="AF102" s="12" t="s">
        <v>372</v>
      </c>
    </row>
    <row r="103" spans="1:32" x14ac:dyDescent="0.3">
      <c r="A103" s="12" t="s">
        <v>273</v>
      </c>
      <c r="B103" s="12"/>
      <c r="C103" s="31">
        <v>2867.1380000000004</v>
      </c>
      <c r="D103" s="31">
        <v>2926.5550000000003</v>
      </c>
      <c r="E103" s="31">
        <v>2814.3990000000008</v>
      </c>
      <c r="F103" s="31">
        <v>2901.2</v>
      </c>
      <c r="G103" s="31">
        <v>2717.0869999999995</v>
      </c>
      <c r="H103" s="31">
        <v>2928.2029999999995</v>
      </c>
      <c r="I103" s="31">
        <v>3008.5079999999998</v>
      </c>
      <c r="J103" s="31">
        <v>3116.8869999999997</v>
      </c>
      <c r="K103" s="31">
        <v>2901.4359999999988</v>
      </c>
      <c r="L103" s="31">
        <v>2961.0959999999991</v>
      </c>
      <c r="M103" s="31">
        <v>2973.473</v>
      </c>
      <c r="N103" s="31">
        <v>2906.9269999999997</v>
      </c>
      <c r="O103" s="31">
        <v>2996.2509999999997</v>
      </c>
      <c r="P103" s="31">
        <v>3099.8120000000004</v>
      </c>
      <c r="Q103" s="31">
        <v>3306.875</v>
      </c>
      <c r="R103" s="31">
        <v>3346.9909999999991</v>
      </c>
      <c r="S103" s="31">
        <v>2772.643</v>
      </c>
      <c r="T103" s="31">
        <v>3057.0000000000014</v>
      </c>
      <c r="U103" s="31">
        <v>2680.3649999999993</v>
      </c>
      <c r="V103" s="31">
        <v>3230.4929999999999</v>
      </c>
      <c r="W103" s="31">
        <v>2999.6149999999998</v>
      </c>
      <c r="X103" s="31">
        <v>2960.22</v>
      </c>
      <c r="Y103" s="31">
        <v>3217.9730000000004</v>
      </c>
      <c r="Z103" s="31">
        <v>3121.3179999999998</v>
      </c>
      <c r="AA103" s="31">
        <v>3052.0990000000006</v>
      </c>
      <c r="AB103" s="31">
        <v>3196.2790000000005</v>
      </c>
      <c r="AC103" s="31">
        <v>3022.7750000000005</v>
      </c>
      <c r="AD103" s="31">
        <v>3073.1250000000005</v>
      </c>
      <c r="AE103" s="31">
        <v>3255.8889999999992</v>
      </c>
      <c r="AF103" s="31">
        <v>3266.3100000000009</v>
      </c>
    </row>
    <row r="104" spans="1:32" x14ac:dyDescent="0.3">
      <c r="A104" s="12" t="s">
        <v>160</v>
      </c>
      <c r="B104" s="12"/>
      <c r="C104" s="31">
        <v>291.97500000000002</v>
      </c>
      <c r="D104" s="31">
        <v>165.38700000000003</v>
      </c>
      <c r="E104" s="31">
        <v>171.578</v>
      </c>
      <c r="F104" s="31">
        <v>326.85899999999998</v>
      </c>
      <c r="G104" s="31">
        <v>216.48600000000002</v>
      </c>
      <c r="H104" s="31">
        <v>383.47700000000003</v>
      </c>
      <c r="I104" s="31">
        <v>398.06800000000004</v>
      </c>
      <c r="J104" s="31">
        <v>202.88899999999998</v>
      </c>
      <c r="K104" s="31">
        <v>223.89599999999999</v>
      </c>
      <c r="L104" s="31">
        <v>257.84100000000001</v>
      </c>
      <c r="M104" s="31">
        <v>324.88000000000005</v>
      </c>
      <c r="N104" s="31">
        <v>378.76900000000001</v>
      </c>
      <c r="O104" s="31">
        <v>355.63199999999995</v>
      </c>
      <c r="P104" s="31">
        <v>288.642</v>
      </c>
      <c r="Q104" s="31">
        <v>269.87099999999998</v>
      </c>
      <c r="R104" s="31">
        <v>215.35099999999997</v>
      </c>
      <c r="S104" s="31">
        <v>223.22600000000003</v>
      </c>
      <c r="T104" s="31">
        <v>368.99300000000005</v>
      </c>
      <c r="U104" s="31">
        <v>353.49700000000007</v>
      </c>
      <c r="V104" s="31">
        <v>389.59500000000003</v>
      </c>
      <c r="W104" s="31">
        <v>426.10500000000008</v>
      </c>
      <c r="X104" s="31">
        <v>250.38200000000001</v>
      </c>
      <c r="Y104" s="31">
        <v>284.60000000000002</v>
      </c>
      <c r="Z104" s="31">
        <v>365.32999999999993</v>
      </c>
      <c r="AA104" s="31">
        <v>414.82199999999995</v>
      </c>
      <c r="AB104" s="31">
        <v>490.65000000000003</v>
      </c>
      <c r="AC104" s="31">
        <v>444.18000000000006</v>
      </c>
      <c r="AD104" s="31">
        <v>300.74799999999999</v>
      </c>
      <c r="AE104" s="31">
        <v>248.87699999999992</v>
      </c>
      <c r="AF104" s="31">
        <v>208.53399999999996</v>
      </c>
    </row>
    <row r="105" spans="1:32" x14ac:dyDescent="0.3">
      <c r="A105" s="12" t="s">
        <v>272</v>
      </c>
      <c r="B105" s="12"/>
      <c r="C105" s="31">
        <v>0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0.06</v>
      </c>
      <c r="T105" s="31">
        <v>6.25</v>
      </c>
      <c r="U105" s="31">
        <v>0</v>
      </c>
      <c r="V105" s="31">
        <v>0</v>
      </c>
      <c r="W105" s="31">
        <v>9.0399999999999991</v>
      </c>
      <c r="X105" s="31">
        <v>7.234</v>
      </c>
      <c r="Y105" s="31">
        <v>0</v>
      </c>
      <c r="Z105" s="31">
        <v>0</v>
      </c>
      <c r="AA105" s="31">
        <v>0</v>
      </c>
      <c r="AB105" s="31">
        <v>0</v>
      </c>
      <c r="AC105" s="31">
        <v>0</v>
      </c>
      <c r="AD105" s="31">
        <v>10.852</v>
      </c>
      <c r="AE105" s="31">
        <v>0</v>
      </c>
      <c r="AF105" s="31">
        <v>0</v>
      </c>
    </row>
    <row r="106" spans="1:32" x14ac:dyDescent="0.3">
      <c r="A106" s="12" t="s">
        <v>83</v>
      </c>
      <c r="B106" s="12"/>
      <c r="C106" s="31">
        <v>3159.1130000000003</v>
      </c>
      <c r="D106" s="31">
        <v>3091.9420000000005</v>
      </c>
      <c r="E106" s="31">
        <v>2985.9770000000008</v>
      </c>
      <c r="F106" s="31">
        <v>3228.0589999999997</v>
      </c>
      <c r="G106" s="31">
        <v>2933.5729999999994</v>
      </c>
      <c r="H106" s="31">
        <v>3311.6799999999994</v>
      </c>
      <c r="I106" s="31">
        <v>3406.576</v>
      </c>
      <c r="J106" s="31">
        <v>3319.7759999999998</v>
      </c>
      <c r="K106" s="31">
        <v>3125.331999999999</v>
      </c>
      <c r="L106" s="31">
        <v>3218.936999999999</v>
      </c>
      <c r="M106" s="31">
        <v>3298.3530000000001</v>
      </c>
      <c r="N106" s="31">
        <v>3285.6959999999999</v>
      </c>
      <c r="O106" s="31">
        <v>3351.8829999999998</v>
      </c>
      <c r="P106" s="31">
        <v>3388.4540000000002</v>
      </c>
      <c r="Q106" s="31">
        <v>3576.7460000000001</v>
      </c>
      <c r="R106" s="31">
        <v>3562.3419999999992</v>
      </c>
      <c r="S106" s="31">
        <v>2995.9290000000001</v>
      </c>
      <c r="T106" s="31">
        <v>3432.2430000000013</v>
      </c>
      <c r="U106" s="31">
        <v>3033.8619999999992</v>
      </c>
      <c r="V106" s="31">
        <v>3620.0879999999997</v>
      </c>
      <c r="W106" s="31">
        <v>3434.7599999999998</v>
      </c>
      <c r="X106" s="31">
        <v>3217.8359999999998</v>
      </c>
      <c r="Y106" s="31">
        <v>3502.5730000000003</v>
      </c>
      <c r="Z106" s="31">
        <v>3486.6479999999997</v>
      </c>
      <c r="AA106" s="31">
        <v>3466.9210000000007</v>
      </c>
      <c r="AB106" s="31">
        <v>3686.9290000000005</v>
      </c>
      <c r="AC106" s="31">
        <v>3466.9550000000008</v>
      </c>
      <c r="AD106" s="31">
        <v>3384.7250000000004</v>
      </c>
      <c r="AE106" s="31">
        <v>3504.7659999999992</v>
      </c>
      <c r="AF106" s="31">
        <v>3474.844000000001</v>
      </c>
    </row>
  </sheetData>
  <pageMargins left="0.7" right="0.7" top="0.75" bottom="0.75" header="0.3" footer="0.3"/>
  <pageSetup orientation="portrait" r:id="rId3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03"/>
  <sheetViews>
    <sheetView zoomScaleNormal="100" workbookViewId="0">
      <pane xSplit="8" topLeftCell="AH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10" width="14" customWidth="1"/>
    <col min="11" max="11" width="10.44140625" style="28" bestFit="1" customWidth="1"/>
    <col min="12" max="12" width="10.44140625" style="27" bestFit="1" customWidth="1"/>
    <col min="13" max="13" width="10.44140625" style="28" bestFit="1" customWidth="1"/>
    <col min="14" max="14" width="10.44140625" bestFit="1" customWidth="1"/>
    <col min="15" max="15" width="10.5546875" customWidth="1"/>
    <col min="16" max="16" width="10.88671875" customWidth="1"/>
    <col min="17" max="17" width="10.44140625" bestFit="1" customWidth="1"/>
    <col min="18" max="19" width="11" customWidth="1"/>
    <col min="20" max="39" width="10.44140625" bestFit="1" customWidth="1"/>
    <col min="40" max="41" width="10.44140625" customWidth="1"/>
    <col min="43" max="43" width="10.33203125" customWidth="1"/>
  </cols>
  <sheetData>
    <row r="1" spans="1:43" ht="30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"/>
      <c r="K1" s="16">
        <v>45444</v>
      </c>
      <c r="L1" s="16">
        <v>45445</v>
      </c>
      <c r="M1" s="16">
        <v>45446</v>
      </c>
      <c r="N1" s="16">
        <v>45447</v>
      </c>
      <c r="O1" s="16">
        <v>45448</v>
      </c>
      <c r="P1" s="16">
        <v>45449</v>
      </c>
      <c r="Q1" s="16">
        <v>45450</v>
      </c>
      <c r="R1" s="16">
        <v>45451</v>
      </c>
      <c r="S1" s="16">
        <v>45452</v>
      </c>
      <c r="T1" s="16">
        <v>45453</v>
      </c>
      <c r="U1" s="16">
        <v>45454</v>
      </c>
      <c r="V1" s="16">
        <v>45455</v>
      </c>
      <c r="W1" s="16">
        <v>45456</v>
      </c>
      <c r="X1" s="16">
        <v>45457</v>
      </c>
      <c r="Y1" s="16">
        <v>45458</v>
      </c>
      <c r="Z1" s="16">
        <v>45459</v>
      </c>
      <c r="AA1" s="16">
        <v>45460</v>
      </c>
      <c r="AB1" s="16">
        <v>45461</v>
      </c>
      <c r="AC1" s="16">
        <v>45462</v>
      </c>
      <c r="AD1" s="16">
        <v>45463</v>
      </c>
      <c r="AE1" s="16">
        <v>45464</v>
      </c>
      <c r="AF1" s="16">
        <v>45465</v>
      </c>
      <c r="AG1" s="16">
        <v>45466</v>
      </c>
      <c r="AH1" s="16">
        <v>45467</v>
      </c>
      <c r="AI1" s="16">
        <v>45468</v>
      </c>
      <c r="AJ1" s="16">
        <v>45469</v>
      </c>
      <c r="AK1" s="16">
        <v>45470</v>
      </c>
      <c r="AL1" s="16">
        <v>45471</v>
      </c>
      <c r="AM1" s="16">
        <v>45472</v>
      </c>
      <c r="AN1" s="16">
        <v>45473</v>
      </c>
      <c r="AO1" s="16"/>
      <c r="AP1" s="13" t="s">
        <v>8</v>
      </c>
      <c r="AQ1" s="66" t="s">
        <v>154</v>
      </c>
    </row>
    <row r="2" spans="1:43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67"/>
      <c r="K2" s="46">
        <v>0</v>
      </c>
      <c r="L2" s="45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59">
        <v>0</v>
      </c>
      <c r="Y2" s="59">
        <v>0</v>
      </c>
      <c r="Z2" s="59">
        <v>0</v>
      </c>
      <c r="AA2" s="59">
        <v>0</v>
      </c>
      <c r="AB2" s="46">
        <v>0</v>
      </c>
      <c r="AC2" s="53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60">
        <v>0</v>
      </c>
      <c r="AK2" s="46">
        <v>0</v>
      </c>
      <c r="AL2" s="46">
        <v>0</v>
      </c>
      <c r="AM2" s="46">
        <v>0</v>
      </c>
      <c r="AN2" s="46">
        <v>0</v>
      </c>
      <c r="AO2" s="46"/>
      <c r="AP2" s="46">
        <f>AVERAGE(K2:AN2)</f>
        <v>0</v>
      </c>
      <c r="AQ2" s="67">
        <f>AP2/H2</f>
        <v>0</v>
      </c>
    </row>
    <row r="3" spans="1:43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67"/>
      <c r="K3" s="46">
        <v>92.787000000000006</v>
      </c>
      <c r="L3" s="46">
        <v>101.70000000000002</v>
      </c>
      <c r="M3" s="46">
        <v>79.428000000000011</v>
      </c>
      <c r="N3" s="46">
        <v>114.19099999999999</v>
      </c>
      <c r="O3" s="46">
        <v>83.426000000000002</v>
      </c>
      <c r="P3" s="46">
        <v>95.926000000000002</v>
      </c>
      <c r="Q3" s="46">
        <v>120.46799999999999</v>
      </c>
      <c r="R3" s="46">
        <v>78.236999999999995</v>
      </c>
      <c r="S3" s="46">
        <v>106.523</v>
      </c>
      <c r="T3" s="46">
        <v>75.521000000000001</v>
      </c>
      <c r="U3" s="46">
        <v>78.786999999999992</v>
      </c>
      <c r="V3" s="46">
        <v>89.052000000000007</v>
      </c>
      <c r="W3" s="46">
        <v>125.167</v>
      </c>
      <c r="X3" s="46">
        <v>112.98900000000002</v>
      </c>
      <c r="Y3" s="46">
        <v>95.831999999999994</v>
      </c>
      <c r="Z3" s="46">
        <v>91.771000000000001</v>
      </c>
      <c r="AA3" s="46">
        <v>74.62</v>
      </c>
      <c r="AB3" s="46">
        <v>122.54100000000001</v>
      </c>
      <c r="AC3" s="46">
        <v>96.517000000000024</v>
      </c>
      <c r="AD3" s="46">
        <v>109.999</v>
      </c>
      <c r="AE3" s="46">
        <v>109.87600000000002</v>
      </c>
      <c r="AF3" s="46">
        <v>104.227</v>
      </c>
      <c r="AG3" s="46">
        <v>99.611999999999995</v>
      </c>
      <c r="AH3" s="46">
        <v>114.58299999999997</v>
      </c>
      <c r="AI3" s="46">
        <v>116.70699999999997</v>
      </c>
      <c r="AJ3" s="46">
        <v>101.64200000000001</v>
      </c>
      <c r="AK3" s="46">
        <v>100.25100000000003</v>
      </c>
      <c r="AL3" s="46">
        <v>101.52199999999999</v>
      </c>
      <c r="AM3" s="46">
        <v>104.72599999999997</v>
      </c>
      <c r="AN3" s="46">
        <v>86.288999999999987</v>
      </c>
      <c r="AO3" s="46"/>
      <c r="AP3" s="46">
        <f t="shared" ref="AP3:AP66" si="0">AVERAGE(K3:AN3)</f>
        <v>99.497233333333313</v>
      </c>
      <c r="AQ3" s="67">
        <f t="shared" ref="AQ3:AQ67" si="1">AP3/H3</f>
        <v>11.055248148148145</v>
      </c>
    </row>
    <row r="4" spans="1:43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67"/>
      <c r="K4" s="46">
        <v>0</v>
      </c>
      <c r="L4" s="45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53">
        <v>0</v>
      </c>
      <c r="AD4" s="60">
        <v>0</v>
      </c>
      <c r="AE4" s="60">
        <v>0</v>
      </c>
      <c r="AF4" s="60">
        <v>0</v>
      </c>
      <c r="AG4" s="60">
        <v>0</v>
      </c>
      <c r="AH4" s="54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/>
      <c r="AP4" s="46">
        <f t="shared" si="0"/>
        <v>0</v>
      </c>
      <c r="AQ4" s="67">
        <f t="shared" si="1"/>
        <v>0</v>
      </c>
    </row>
    <row r="5" spans="1:43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74"/>
      <c r="K5" s="46">
        <v>54.69400000000001</v>
      </c>
      <c r="L5" s="46">
        <v>43.104999999999997</v>
      </c>
      <c r="M5" s="46">
        <v>63.162999999999997</v>
      </c>
      <c r="N5" s="46">
        <v>71.160000000000011</v>
      </c>
      <c r="O5" s="46">
        <v>66.375</v>
      </c>
      <c r="P5" s="46">
        <v>121.589</v>
      </c>
      <c r="Q5" s="46">
        <v>85.662999999999997</v>
      </c>
      <c r="R5" s="46">
        <v>59.411999999999999</v>
      </c>
      <c r="S5" s="46">
        <v>81.239000000000004</v>
      </c>
      <c r="T5" s="46">
        <v>63.446999999999989</v>
      </c>
      <c r="U5" s="46">
        <v>60.563000000000002</v>
      </c>
      <c r="V5" s="46">
        <v>105.46700000000001</v>
      </c>
      <c r="W5" s="46">
        <v>129.36799999999997</v>
      </c>
      <c r="X5" s="46">
        <v>72.718000000000004</v>
      </c>
      <c r="Y5" s="46">
        <v>84.918999999999997</v>
      </c>
      <c r="Z5" s="46">
        <v>53.802999999999997</v>
      </c>
      <c r="AA5" s="46">
        <v>52.661999999999999</v>
      </c>
      <c r="AB5" s="46">
        <v>82.955000000000013</v>
      </c>
      <c r="AC5" s="46">
        <v>90.96399999999997</v>
      </c>
      <c r="AD5" s="46">
        <v>68.998999999999995</v>
      </c>
      <c r="AE5" s="46">
        <v>48.95</v>
      </c>
      <c r="AF5" s="46">
        <v>82.146000000000015</v>
      </c>
      <c r="AG5" s="46">
        <v>50.776000000000003</v>
      </c>
      <c r="AH5" s="46">
        <v>75.978999999999999</v>
      </c>
      <c r="AI5" s="46">
        <v>64.421000000000006</v>
      </c>
      <c r="AJ5" s="46">
        <v>96.521999999999991</v>
      </c>
      <c r="AK5" s="46">
        <v>72.224000000000004</v>
      </c>
      <c r="AL5" s="46">
        <v>54.061000000000007</v>
      </c>
      <c r="AM5" s="46">
        <v>55.771000000000001</v>
      </c>
      <c r="AN5" s="46">
        <v>68.768000000000001</v>
      </c>
      <c r="AO5" s="46"/>
      <c r="AP5" s="46">
        <f t="shared" si="0"/>
        <v>72.729433333333347</v>
      </c>
      <c r="AQ5" s="67">
        <f t="shared" si="1"/>
        <v>9.0911791666666684</v>
      </c>
    </row>
    <row r="6" spans="1:43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24</v>
      </c>
      <c r="I6" s="74" t="s">
        <v>273</v>
      </c>
      <c r="J6" s="74"/>
      <c r="K6" s="46">
        <v>400.3</v>
      </c>
      <c r="L6" s="45">
        <v>424.71</v>
      </c>
      <c r="M6" s="45">
        <v>412.12</v>
      </c>
      <c r="N6" s="45">
        <v>388</v>
      </c>
      <c r="O6" s="45">
        <v>337.75</v>
      </c>
      <c r="P6" s="45">
        <v>386.5</v>
      </c>
      <c r="Q6" s="45">
        <v>381.61</v>
      </c>
      <c r="R6" s="45">
        <v>379.88</v>
      </c>
      <c r="S6" s="45">
        <v>378.61</v>
      </c>
      <c r="T6" s="45">
        <v>408.57</v>
      </c>
      <c r="U6" s="46">
        <v>467.87299999999988</v>
      </c>
      <c r="V6" s="46">
        <v>419.32</v>
      </c>
      <c r="W6" s="46">
        <v>421.4</v>
      </c>
      <c r="X6" s="46">
        <v>447.42</v>
      </c>
      <c r="Y6" s="46">
        <v>450.07</v>
      </c>
      <c r="Z6" s="46">
        <v>472.38</v>
      </c>
      <c r="AA6" s="46">
        <v>276.43</v>
      </c>
      <c r="AB6" s="46">
        <v>533</v>
      </c>
      <c r="AC6" s="46">
        <v>357.81</v>
      </c>
      <c r="AD6" s="46">
        <v>451.65</v>
      </c>
      <c r="AE6" s="46">
        <v>434.07</v>
      </c>
      <c r="AF6" s="46">
        <v>387.12</v>
      </c>
      <c r="AG6" s="46">
        <v>469.58</v>
      </c>
      <c r="AH6" s="46">
        <v>449.58</v>
      </c>
      <c r="AI6" s="46">
        <v>455.62</v>
      </c>
      <c r="AJ6" s="46">
        <v>427.02</v>
      </c>
      <c r="AK6" s="46">
        <v>435.24</v>
      </c>
      <c r="AL6" s="46">
        <v>388</v>
      </c>
      <c r="AM6" s="46">
        <v>451.57200000000012</v>
      </c>
      <c r="AN6" s="46">
        <v>409.61</v>
      </c>
      <c r="AO6" s="46"/>
      <c r="AP6" s="46">
        <f t="shared" si="0"/>
        <v>416.76050000000009</v>
      </c>
      <c r="AQ6" s="67">
        <f t="shared" si="1"/>
        <v>17.365020833333336</v>
      </c>
    </row>
    <row r="7" spans="1:43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74"/>
      <c r="K7" s="46">
        <v>15.08</v>
      </c>
      <c r="L7" s="45">
        <v>5.25</v>
      </c>
      <c r="M7" s="46">
        <v>12.9</v>
      </c>
      <c r="N7" s="46">
        <v>5.2</v>
      </c>
      <c r="O7" s="46">
        <v>14.25</v>
      </c>
      <c r="P7" s="46">
        <v>6.92</v>
      </c>
      <c r="Q7" s="46">
        <v>12.84</v>
      </c>
      <c r="R7" s="46">
        <v>8.26</v>
      </c>
      <c r="S7" s="46">
        <v>0.93</v>
      </c>
      <c r="T7" s="46">
        <v>0.19</v>
      </c>
      <c r="U7" s="46">
        <v>0</v>
      </c>
      <c r="V7" s="46">
        <v>0.35</v>
      </c>
      <c r="W7" s="46">
        <v>6.91</v>
      </c>
      <c r="X7" s="46">
        <v>12.48</v>
      </c>
      <c r="Y7" s="46">
        <v>12.61</v>
      </c>
      <c r="Z7" s="46">
        <v>14.17</v>
      </c>
      <c r="AA7" s="46">
        <v>8.82</v>
      </c>
      <c r="AB7" s="46">
        <v>18.14</v>
      </c>
      <c r="AC7" s="53">
        <v>1.42</v>
      </c>
      <c r="AD7" s="46">
        <v>15.87</v>
      </c>
      <c r="AE7" s="46">
        <v>8.6999999999999993</v>
      </c>
      <c r="AF7" s="46">
        <v>9.35</v>
      </c>
      <c r="AG7" s="60">
        <v>27.04</v>
      </c>
      <c r="AH7" s="54">
        <v>24.26</v>
      </c>
      <c r="AI7" s="46">
        <v>14.2</v>
      </c>
      <c r="AJ7" s="46">
        <v>8.1199999999999992</v>
      </c>
      <c r="AK7" s="46">
        <v>12.87</v>
      </c>
      <c r="AL7" s="46">
        <v>9.08</v>
      </c>
      <c r="AM7" s="46">
        <v>13.03</v>
      </c>
      <c r="AN7" s="46">
        <v>8.8699999999999992</v>
      </c>
      <c r="AO7" s="46"/>
      <c r="AP7" s="46">
        <f t="shared" si="0"/>
        <v>10.270333333333332</v>
      </c>
      <c r="AQ7" s="67">
        <f t="shared" si="1"/>
        <v>10.270333333333332</v>
      </c>
    </row>
    <row r="8" spans="1:43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124</v>
      </c>
      <c r="G8" s="6" t="s">
        <v>80</v>
      </c>
      <c r="H8" s="5">
        <v>2</v>
      </c>
      <c r="I8" s="74" t="s">
        <v>273</v>
      </c>
      <c r="J8" s="74"/>
      <c r="K8" s="46">
        <v>0</v>
      </c>
      <c r="L8" s="45">
        <v>0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0.04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/>
      <c r="AP8" s="46">
        <f t="shared" si="0"/>
        <v>1.3333333333333333E-3</v>
      </c>
      <c r="AQ8" s="67">
        <f t="shared" si="1"/>
        <v>6.6666666666666664E-4</v>
      </c>
    </row>
    <row r="9" spans="1:43" ht="15.6" x14ac:dyDescent="0.3">
      <c r="A9" s="5">
        <v>8</v>
      </c>
      <c r="B9" s="6" t="s">
        <v>9</v>
      </c>
      <c r="C9" s="12" t="s">
        <v>204</v>
      </c>
      <c r="D9" s="6" t="s">
        <v>128</v>
      </c>
      <c r="E9" s="6" t="s">
        <v>12</v>
      </c>
      <c r="F9" s="6" t="s">
        <v>13</v>
      </c>
      <c r="G9" s="6" t="s">
        <v>35</v>
      </c>
      <c r="H9" s="5">
        <v>6</v>
      </c>
      <c r="I9" s="74" t="s">
        <v>273</v>
      </c>
      <c r="J9" s="74"/>
      <c r="K9" s="46">
        <v>38.747999999999998</v>
      </c>
      <c r="L9" s="46">
        <v>32.540999999999997</v>
      </c>
      <c r="M9" s="46">
        <v>37.167000000000002</v>
      </c>
      <c r="N9" s="46">
        <v>27.206</v>
      </c>
      <c r="O9" s="46">
        <v>28.418000000000003</v>
      </c>
      <c r="P9" s="46">
        <v>44.882000000000005</v>
      </c>
      <c r="Q9" s="46">
        <v>24.459</v>
      </c>
      <c r="R9" s="46">
        <v>33.658999999999999</v>
      </c>
      <c r="S9" s="46">
        <v>28.021000000000001</v>
      </c>
      <c r="T9" s="46">
        <v>35.456999999999994</v>
      </c>
      <c r="U9" s="46">
        <v>25.707000000000001</v>
      </c>
      <c r="V9" s="46">
        <v>34.095999999999997</v>
      </c>
      <c r="W9" s="46">
        <v>29.009</v>
      </c>
      <c r="X9" s="46">
        <v>25.972999999999999</v>
      </c>
      <c r="Y9" s="46">
        <v>25.646000000000001</v>
      </c>
      <c r="Z9" s="46">
        <v>32.616</v>
      </c>
      <c r="AA9" s="46">
        <v>17.044</v>
      </c>
      <c r="AB9" s="46">
        <v>35.080000000000005</v>
      </c>
      <c r="AC9" s="46">
        <v>30.798000000000002</v>
      </c>
      <c r="AD9" s="46">
        <v>42.176999999999992</v>
      </c>
      <c r="AE9" s="46">
        <v>29.904</v>
      </c>
      <c r="AF9" s="46">
        <v>41.655000000000001</v>
      </c>
      <c r="AG9" s="46">
        <v>32.567999999999998</v>
      </c>
      <c r="AH9" s="46">
        <v>27.71</v>
      </c>
      <c r="AI9" s="46">
        <v>42.534000000000006</v>
      </c>
      <c r="AJ9" s="46">
        <v>37.451999999999998</v>
      </c>
      <c r="AK9" s="46">
        <v>45.494999999999997</v>
      </c>
      <c r="AL9" s="46">
        <v>26.019000000000002</v>
      </c>
      <c r="AM9" s="46">
        <v>34.502000000000002</v>
      </c>
      <c r="AN9" s="46">
        <v>36.163999999999994</v>
      </c>
      <c r="AO9" s="46"/>
      <c r="AP9" s="46">
        <f t="shared" si="0"/>
        <v>32.756900000000002</v>
      </c>
      <c r="AQ9" s="67">
        <f t="shared" si="1"/>
        <v>5.4594833333333339</v>
      </c>
    </row>
    <row r="10" spans="1:43" ht="15.6" x14ac:dyDescent="0.3">
      <c r="A10" s="5">
        <v>9</v>
      </c>
      <c r="B10" s="6" t="s">
        <v>9</v>
      </c>
      <c r="C10" s="12" t="s">
        <v>205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3</v>
      </c>
      <c r="I10" s="74" t="s">
        <v>273</v>
      </c>
      <c r="J10" s="74"/>
      <c r="K10" s="46">
        <v>54.099999999999994</v>
      </c>
      <c r="L10" s="46">
        <v>71.229000000000013</v>
      </c>
      <c r="M10" s="46">
        <v>41.057000000000002</v>
      </c>
      <c r="N10" s="46">
        <v>49.744</v>
      </c>
      <c r="O10" s="46">
        <v>57.363999999999997</v>
      </c>
      <c r="P10" s="46">
        <v>61.917999999999999</v>
      </c>
      <c r="Q10" s="46">
        <v>44.384999999999998</v>
      </c>
      <c r="R10" s="46">
        <v>51.154999999999994</v>
      </c>
      <c r="S10" s="46">
        <v>56.789000000000001</v>
      </c>
      <c r="T10" s="46">
        <v>70.805000000000007</v>
      </c>
      <c r="U10" s="46">
        <v>54.524000000000001</v>
      </c>
      <c r="V10" s="46">
        <v>33.116</v>
      </c>
      <c r="W10" s="46">
        <v>74.153000000000006</v>
      </c>
      <c r="X10" s="46">
        <v>48.935000000000002</v>
      </c>
      <c r="Y10" s="46">
        <v>41.001999999999995</v>
      </c>
      <c r="Z10" s="46">
        <v>59.336000000000006</v>
      </c>
      <c r="AA10" s="46">
        <v>56.158999999999999</v>
      </c>
      <c r="AB10" s="46">
        <v>72.161000000000001</v>
      </c>
      <c r="AC10" s="46">
        <v>30.049999999999997</v>
      </c>
      <c r="AD10" s="46">
        <v>41.550000000000004</v>
      </c>
      <c r="AE10" s="46">
        <v>59.273000000000003</v>
      </c>
      <c r="AF10" s="46">
        <v>38.669000000000004</v>
      </c>
      <c r="AG10" s="46">
        <v>47.684999999999995</v>
      </c>
      <c r="AH10" s="46">
        <v>75.917000000000002</v>
      </c>
      <c r="AI10" s="46">
        <v>57.898000000000003</v>
      </c>
      <c r="AJ10" s="46">
        <v>62.073999999999998</v>
      </c>
      <c r="AK10" s="46">
        <v>67.301000000000002</v>
      </c>
      <c r="AL10" s="46">
        <v>44.392000000000003</v>
      </c>
      <c r="AM10" s="46">
        <v>76.771999999999991</v>
      </c>
      <c r="AN10" s="46">
        <v>54.733999999999995</v>
      </c>
      <c r="AO10" s="46"/>
      <c r="AP10" s="46">
        <f t="shared" si="0"/>
        <v>55.141566666666655</v>
      </c>
      <c r="AQ10" s="67">
        <f t="shared" si="1"/>
        <v>18.380522222222218</v>
      </c>
    </row>
    <row r="11" spans="1:43" x14ac:dyDescent="0.3">
      <c r="A11" s="5">
        <v>10</v>
      </c>
      <c r="B11" s="6" t="s">
        <v>9</v>
      </c>
      <c r="C11" s="12" t="s">
        <v>248</v>
      </c>
      <c r="D11" s="6" t="s">
        <v>128</v>
      </c>
      <c r="E11" s="6" t="s">
        <v>19</v>
      </c>
      <c r="F11" s="6" t="s">
        <v>13</v>
      </c>
      <c r="G11" s="6" t="s">
        <v>35</v>
      </c>
      <c r="H11" s="5">
        <v>1</v>
      </c>
      <c r="I11" s="67" t="s">
        <v>160</v>
      </c>
      <c r="J11" s="67"/>
      <c r="K11" s="46">
        <v>0</v>
      </c>
      <c r="L11" s="46">
        <v>0</v>
      </c>
      <c r="M11" s="46">
        <v>0</v>
      </c>
      <c r="N11" s="46">
        <v>1.1850000000000001</v>
      </c>
      <c r="O11" s="46">
        <v>0</v>
      </c>
      <c r="P11" s="46">
        <v>0.86599999999999999</v>
      </c>
      <c r="Q11" s="46">
        <v>1.1259999999999999</v>
      </c>
      <c r="R11" s="46">
        <v>0</v>
      </c>
      <c r="S11" s="46">
        <v>2.2149999999999999</v>
      </c>
      <c r="T11" s="46">
        <v>1.671</v>
      </c>
      <c r="U11" s="46">
        <v>0</v>
      </c>
      <c r="V11" s="46">
        <v>1.7289999999999999</v>
      </c>
      <c r="W11" s="46">
        <v>0</v>
      </c>
      <c r="X11" s="46">
        <v>0</v>
      </c>
      <c r="Y11" s="46">
        <v>0</v>
      </c>
      <c r="Z11" s="46">
        <v>0</v>
      </c>
      <c r="AA11" s="46">
        <v>4.8390000000000004</v>
      </c>
      <c r="AB11" s="46">
        <v>0</v>
      </c>
      <c r="AC11" s="46">
        <v>3.944</v>
      </c>
      <c r="AD11" s="46">
        <v>0</v>
      </c>
      <c r="AE11" s="46">
        <v>0</v>
      </c>
      <c r="AF11" s="46">
        <v>0.86199999999999999</v>
      </c>
      <c r="AG11" s="46">
        <v>0</v>
      </c>
      <c r="AH11" s="46">
        <v>1.137</v>
      </c>
      <c r="AI11" s="46">
        <v>0</v>
      </c>
      <c r="AJ11" s="46">
        <v>3.3679999999999999</v>
      </c>
      <c r="AK11" s="46">
        <v>0</v>
      </c>
      <c r="AL11" s="46">
        <v>0</v>
      </c>
      <c r="AM11" s="46">
        <v>0</v>
      </c>
      <c r="AN11" s="46">
        <v>1.7010000000000001</v>
      </c>
      <c r="AO11" s="46"/>
      <c r="AP11" s="46">
        <f t="shared" si="0"/>
        <v>0.82143333333333324</v>
      </c>
      <c r="AQ11" s="67">
        <f t="shared" si="1"/>
        <v>0.82143333333333324</v>
      </c>
    </row>
    <row r="12" spans="1:43" x14ac:dyDescent="0.3">
      <c r="A12" s="5">
        <v>11</v>
      </c>
      <c r="B12" s="6" t="s">
        <v>9</v>
      </c>
      <c r="C12" s="12" t="s">
        <v>207</v>
      </c>
      <c r="D12" s="6" t="s">
        <v>128</v>
      </c>
      <c r="E12" s="6" t="s">
        <v>12</v>
      </c>
      <c r="F12" s="6" t="s">
        <v>13</v>
      </c>
      <c r="G12" s="6" t="s">
        <v>35</v>
      </c>
      <c r="H12" s="5">
        <v>2</v>
      </c>
      <c r="I12" s="67" t="s">
        <v>160</v>
      </c>
      <c r="J12" s="67"/>
      <c r="K12" s="46">
        <v>0</v>
      </c>
      <c r="L12" s="46">
        <v>0</v>
      </c>
      <c r="M12" s="46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5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/>
      <c r="AP12" s="46">
        <f t="shared" si="0"/>
        <v>0</v>
      </c>
      <c r="AQ12" s="67">
        <f t="shared" si="1"/>
        <v>0</v>
      </c>
    </row>
    <row r="13" spans="1:43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40</v>
      </c>
      <c r="G13" s="6" t="s">
        <v>35</v>
      </c>
      <c r="H13" s="5">
        <v>2</v>
      </c>
      <c r="I13" s="67" t="s">
        <v>160</v>
      </c>
      <c r="J13" s="67"/>
      <c r="K13" s="46"/>
      <c r="L13" s="46"/>
      <c r="M13" s="46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6"/>
      <c r="Z13" s="46"/>
      <c r="AA13" s="46"/>
      <c r="AB13" s="46"/>
      <c r="AC13" s="46"/>
      <c r="AD13" s="46"/>
      <c r="AE13" s="46"/>
      <c r="AF13" s="60"/>
      <c r="AG13" s="60">
        <v>0</v>
      </c>
      <c r="AH13" s="73">
        <v>14.44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/>
      <c r="AP13" s="46">
        <f t="shared" si="0"/>
        <v>1.8049999999999999</v>
      </c>
      <c r="AQ13" s="67">
        <f t="shared" si="1"/>
        <v>0.90249999999999997</v>
      </c>
    </row>
    <row r="14" spans="1:43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160</v>
      </c>
      <c r="J14" s="67"/>
      <c r="K14" s="46">
        <v>0</v>
      </c>
      <c r="L14" s="46">
        <v>7.9729999999999999</v>
      </c>
      <c r="M14" s="45">
        <v>0</v>
      </c>
      <c r="N14" s="46">
        <v>27.911999999999999</v>
      </c>
      <c r="O14" s="46">
        <v>15.375</v>
      </c>
      <c r="P14" s="46">
        <v>88.940000000000012</v>
      </c>
      <c r="Q14" s="45">
        <v>11.52</v>
      </c>
      <c r="R14" s="45">
        <v>24.32</v>
      </c>
      <c r="S14" s="45">
        <v>7.44</v>
      </c>
      <c r="T14" s="46">
        <v>6.5350000000000001</v>
      </c>
      <c r="U14" s="46">
        <v>0</v>
      </c>
      <c r="V14" s="46">
        <v>0</v>
      </c>
      <c r="W14" s="46">
        <v>0</v>
      </c>
      <c r="X14" s="46">
        <v>0</v>
      </c>
      <c r="Y14" s="46">
        <v>7.3849999999999998</v>
      </c>
      <c r="Z14" s="46">
        <v>29.620999999999999</v>
      </c>
      <c r="AA14" s="46">
        <v>5.827</v>
      </c>
      <c r="AB14" s="46">
        <v>6.476</v>
      </c>
      <c r="AC14" s="46">
        <v>0</v>
      </c>
      <c r="AD14" s="46">
        <v>10.4</v>
      </c>
      <c r="AE14" s="46">
        <v>73.783000000000001</v>
      </c>
      <c r="AF14" s="46">
        <v>40.335999999999999</v>
      </c>
      <c r="AG14" s="46">
        <v>78.495000000000005</v>
      </c>
      <c r="AH14" s="73">
        <v>27.44</v>
      </c>
      <c r="AI14" s="60">
        <v>0</v>
      </c>
      <c r="AJ14" s="60">
        <v>32.35</v>
      </c>
      <c r="AK14" s="46">
        <v>0</v>
      </c>
      <c r="AL14" s="46">
        <v>0</v>
      </c>
      <c r="AM14" s="46">
        <v>0</v>
      </c>
      <c r="AN14" s="46">
        <v>0</v>
      </c>
      <c r="AO14" s="46"/>
      <c r="AP14" s="46">
        <f t="shared" si="0"/>
        <v>16.7376</v>
      </c>
      <c r="AQ14" s="67">
        <f t="shared" si="1"/>
        <v>8.3688000000000002</v>
      </c>
    </row>
    <row r="15" spans="1:43" ht="15.6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74" t="s">
        <v>273</v>
      </c>
      <c r="J15" s="74"/>
      <c r="K15" s="46">
        <v>97.52600000000001</v>
      </c>
      <c r="L15" s="46">
        <v>98.783999999999992</v>
      </c>
      <c r="M15" s="46">
        <v>98.031000000000006</v>
      </c>
      <c r="N15" s="46">
        <v>106.316</v>
      </c>
      <c r="O15" s="46">
        <v>91.533000000000001</v>
      </c>
      <c r="P15" s="46">
        <v>123.486</v>
      </c>
      <c r="Q15" s="46">
        <v>76.545999999999978</v>
      </c>
      <c r="R15" s="46">
        <v>85.207999999999998</v>
      </c>
      <c r="S15" s="46">
        <v>62.314999999999998</v>
      </c>
      <c r="T15" s="46">
        <v>100.32600000000001</v>
      </c>
      <c r="U15" s="46">
        <v>93.346000000000004</v>
      </c>
      <c r="V15" s="46">
        <v>92.225999999999985</v>
      </c>
      <c r="W15" s="46">
        <v>73.712000000000003</v>
      </c>
      <c r="X15" s="46">
        <v>84.364999999999995</v>
      </c>
      <c r="Y15" s="46">
        <v>108.185</v>
      </c>
      <c r="Z15" s="46">
        <v>89.894000000000005</v>
      </c>
      <c r="AA15" s="46">
        <v>66.802999999999997</v>
      </c>
      <c r="AB15" s="46">
        <v>81.814000000000007</v>
      </c>
      <c r="AC15" s="46">
        <v>82.456000000000003</v>
      </c>
      <c r="AD15" s="46">
        <v>105.383</v>
      </c>
      <c r="AE15" s="46">
        <v>81.485000000000014</v>
      </c>
      <c r="AF15" s="46">
        <v>66.335999999999999</v>
      </c>
      <c r="AG15" s="46">
        <v>81.84</v>
      </c>
      <c r="AH15" s="46">
        <v>68.585999999999999</v>
      </c>
      <c r="AI15" s="46">
        <v>98.956999999999994</v>
      </c>
      <c r="AJ15" s="46">
        <v>77.272999999999996</v>
      </c>
      <c r="AK15" s="46">
        <v>92.04500000000003</v>
      </c>
      <c r="AL15" s="46">
        <v>88.066000000000003</v>
      </c>
      <c r="AM15" s="46">
        <v>100.084</v>
      </c>
      <c r="AN15" s="46">
        <v>87.611999999999995</v>
      </c>
      <c r="AO15" s="46"/>
      <c r="AP15" s="46">
        <f t="shared" si="0"/>
        <v>88.684633333333309</v>
      </c>
      <c r="AQ15" s="67">
        <f t="shared" si="1"/>
        <v>8.8684633333333309</v>
      </c>
    </row>
    <row r="16" spans="1:43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4</v>
      </c>
      <c r="I16" s="67" t="s">
        <v>160</v>
      </c>
      <c r="J16" s="67"/>
      <c r="K16" s="46">
        <v>44.352000000000004</v>
      </c>
      <c r="L16" s="46">
        <v>24.85</v>
      </c>
      <c r="M16" s="46">
        <v>13.082000000000001</v>
      </c>
      <c r="N16" s="46">
        <v>30.400999999999996</v>
      </c>
      <c r="O16" s="46">
        <v>7.4269999999999996</v>
      </c>
      <c r="P16" s="46">
        <v>27.575000000000003</v>
      </c>
      <c r="Q16" s="46">
        <v>13.407</v>
      </c>
      <c r="R16" s="46">
        <v>31.229999999999997</v>
      </c>
      <c r="S16" s="46">
        <v>18.228000000000002</v>
      </c>
      <c r="T16" s="46">
        <v>32.004000000000005</v>
      </c>
      <c r="U16" s="46">
        <v>6.2439999999999998</v>
      </c>
      <c r="V16" s="46">
        <v>24.469000000000001</v>
      </c>
      <c r="W16" s="46">
        <v>20.198</v>
      </c>
      <c r="X16" s="46">
        <v>12.505000000000001</v>
      </c>
      <c r="Y16" s="46">
        <v>28.642999999999997</v>
      </c>
      <c r="Z16" s="46">
        <v>18.861000000000001</v>
      </c>
      <c r="AA16" s="46">
        <v>24.758000000000003</v>
      </c>
      <c r="AB16" s="46">
        <v>21.658999999999999</v>
      </c>
      <c r="AC16" s="46">
        <v>22.920999999999999</v>
      </c>
      <c r="AD16" s="46">
        <v>13.978</v>
      </c>
      <c r="AE16" s="46">
        <v>16.182000000000002</v>
      </c>
      <c r="AF16" s="46">
        <v>20.335000000000001</v>
      </c>
      <c r="AG16" s="46">
        <v>24.777999999999999</v>
      </c>
      <c r="AH16" s="46">
        <v>15.568</v>
      </c>
      <c r="AI16" s="46">
        <v>26.222000000000001</v>
      </c>
      <c r="AJ16" s="46">
        <v>19.699000000000002</v>
      </c>
      <c r="AK16" s="46">
        <v>33.756999999999998</v>
      </c>
      <c r="AL16" s="46">
        <v>10.327999999999999</v>
      </c>
      <c r="AM16" s="46">
        <v>22.818999999999999</v>
      </c>
      <c r="AN16" s="46">
        <v>21.548000000000002</v>
      </c>
      <c r="AO16" s="46"/>
      <c r="AP16" s="46">
        <f t="shared" si="0"/>
        <v>21.600933333333327</v>
      </c>
      <c r="AQ16" s="67">
        <f t="shared" si="1"/>
        <v>5.4002333333333317</v>
      </c>
    </row>
    <row r="17" spans="1:43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67"/>
      <c r="K17" s="46">
        <v>0</v>
      </c>
      <c r="L17" s="46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5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46">
        <v>0</v>
      </c>
      <c r="AN17" s="46">
        <v>0</v>
      </c>
      <c r="AO17" s="46"/>
      <c r="AP17" s="46">
        <f t="shared" si="0"/>
        <v>0</v>
      </c>
      <c r="AQ17" s="67">
        <f t="shared" si="1"/>
        <v>0</v>
      </c>
    </row>
    <row r="18" spans="1:43" ht="15.6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10</v>
      </c>
      <c r="I18" s="74" t="s">
        <v>273</v>
      </c>
      <c r="J18" s="74"/>
      <c r="K18" s="46">
        <v>146.03</v>
      </c>
      <c r="L18" s="46">
        <v>198.52200000000002</v>
      </c>
      <c r="M18" s="46">
        <v>171.97</v>
      </c>
      <c r="N18" s="46">
        <v>171.15400000000002</v>
      </c>
      <c r="O18" s="46">
        <v>162.52099999999999</v>
      </c>
      <c r="P18" s="46">
        <v>141.15600000000006</v>
      </c>
      <c r="Q18" s="46">
        <v>100.23200000000001</v>
      </c>
      <c r="R18" s="46">
        <v>162.05799999999994</v>
      </c>
      <c r="S18" s="46">
        <v>150.82199999999997</v>
      </c>
      <c r="T18" s="46">
        <v>119.06199999999998</v>
      </c>
      <c r="U18" s="46">
        <v>117.26200000000001</v>
      </c>
      <c r="V18" s="46">
        <v>95.807000000000002</v>
      </c>
      <c r="W18" s="46">
        <v>128.64099999999999</v>
      </c>
      <c r="X18" s="46">
        <v>123.92199999999997</v>
      </c>
      <c r="Y18" s="46">
        <v>150.06899999999999</v>
      </c>
      <c r="Z18" s="46">
        <v>113.20900000000002</v>
      </c>
      <c r="AA18" s="46">
        <v>56.286999999999999</v>
      </c>
      <c r="AB18" s="46">
        <v>49.048999999999999</v>
      </c>
      <c r="AC18" s="46">
        <v>58.014999999999993</v>
      </c>
      <c r="AD18" s="46">
        <v>103.21100000000001</v>
      </c>
      <c r="AE18" s="46">
        <v>91.392999999999986</v>
      </c>
      <c r="AF18" s="46">
        <v>85.822999999999993</v>
      </c>
      <c r="AG18" s="46">
        <v>90.188999999999993</v>
      </c>
      <c r="AH18" s="46">
        <v>70.434999999999988</v>
      </c>
      <c r="AI18" s="46">
        <v>122.974</v>
      </c>
      <c r="AJ18" s="46">
        <v>80.312999999999988</v>
      </c>
      <c r="AK18" s="46">
        <v>15.724</v>
      </c>
      <c r="AL18" s="46">
        <v>63.127000000000002</v>
      </c>
      <c r="AM18" s="46">
        <v>97.641000000000005</v>
      </c>
      <c r="AN18" s="46">
        <v>84.921999999999997</v>
      </c>
      <c r="AO18" s="46"/>
      <c r="AP18" s="46">
        <f t="shared" si="0"/>
        <v>110.718</v>
      </c>
      <c r="AQ18" s="67">
        <f t="shared" si="1"/>
        <v>11.0718</v>
      </c>
    </row>
    <row r="19" spans="1:43" x14ac:dyDescent="0.3">
      <c r="A19" s="5">
        <v>18</v>
      </c>
      <c r="B19" s="6" t="s">
        <v>9</v>
      </c>
      <c r="C19" s="12" t="s">
        <v>271</v>
      </c>
      <c r="D19" s="6" t="s">
        <v>128</v>
      </c>
      <c r="E19" s="6" t="s">
        <v>12</v>
      </c>
      <c r="F19" s="6" t="s">
        <v>13</v>
      </c>
      <c r="G19" s="6" t="s">
        <v>35</v>
      </c>
      <c r="H19" s="5">
        <v>3</v>
      </c>
      <c r="I19" s="67" t="s">
        <v>160</v>
      </c>
      <c r="J19" s="67"/>
      <c r="K19" s="46">
        <v>6.67</v>
      </c>
      <c r="L19" s="46">
        <v>5.99</v>
      </c>
      <c r="M19" s="46">
        <v>6.51</v>
      </c>
      <c r="N19" s="45">
        <v>7.71</v>
      </c>
      <c r="O19" s="45">
        <v>1.27</v>
      </c>
      <c r="P19" s="45">
        <v>2.0699999999999998</v>
      </c>
      <c r="Q19" s="45">
        <v>11.25</v>
      </c>
      <c r="R19" s="45">
        <v>5.44</v>
      </c>
      <c r="S19" s="45">
        <v>8.1999999999999993</v>
      </c>
      <c r="T19" s="45">
        <v>6.13</v>
      </c>
      <c r="U19" s="46">
        <v>7.32</v>
      </c>
      <c r="V19" s="46">
        <v>7.46</v>
      </c>
      <c r="W19" s="46">
        <v>7.42</v>
      </c>
      <c r="X19" s="46">
        <v>6.28</v>
      </c>
      <c r="Y19" s="46">
        <v>28.632000000000001</v>
      </c>
      <c r="Z19" s="46">
        <v>6.79</v>
      </c>
      <c r="AA19" s="46">
        <v>49.43</v>
      </c>
      <c r="AB19" s="46">
        <v>48.46</v>
      </c>
      <c r="AC19" s="46">
        <v>6.75</v>
      </c>
      <c r="AD19" s="46">
        <v>32.94</v>
      </c>
      <c r="AE19" s="46">
        <v>46.57</v>
      </c>
      <c r="AF19" s="46">
        <v>1.02</v>
      </c>
      <c r="AG19" s="46">
        <v>38.770000000000003</v>
      </c>
      <c r="AH19" s="46">
        <v>32.799999999999997</v>
      </c>
      <c r="AI19" s="46">
        <v>35.78</v>
      </c>
      <c r="AJ19" s="46">
        <v>30.99</v>
      </c>
      <c r="AK19" s="46">
        <v>17.52</v>
      </c>
      <c r="AL19" s="46">
        <v>25.66</v>
      </c>
      <c r="AM19" s="46">
        <v>31.11</v>
      </c>
      <c r="AN19" s="46">
        <v>25.75</v>
      </c>
      <c r="AO19" s="46"/>
      <c r="AP19" s="46">
        <f t="shared" si="0"/>
        <v>18.289733333333331</v>
      </c>
      <c r="AQ19" s="67">
        <f t="shared" si="1"/>
        <v>6.0965777777777772</v>
      </c>
    </row>
    <row r="20" spans="1:43" x14ac:dyDescent="0.3">
      <c r="A20" s="5">
        <v>19</v>
      </c>
      <c r="B20" s="6" t="s">
        <v>9</v>
      </c>
      <c r="C20" s="12" t="s">
        <v>271</v>
      </c>
      <c r="D20" s="6" t="s">
        <v>128</v>
      </c>
      <c r="E20" s="6" t="s">
        <v>12</v>
      </c>
      <c r="F20" s="6" t="s">
        <v>40</v>
      </c>
      <c r="G20" s="6" t="s">
        <v>35</v>
      </c>
      <c r="H20" s="5">
        <v>2</v>
      </c>
      <c r="I20" s="67" t="s">
        <v>160</v>
      </c>
      <c r="J20" s="67"/>
      <c r="K20" s="46"/>
      <c r="L20" s="46"/>
      <c r="M20" s="46"/>
      <c r="N20" s="45"/>
      <c r="O20" s="45"/>
      <c r="P20" s="45"/>
      <c r="Q20" s="45"/>
      <c r="R20" s="45"/>
      <c r="S20" s="45"/>
      <c r="T20" s="45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>
        <v>0</v>
      </c>
      <c r="AF20" s="46">
        <v>0</v>
      </c>
      <c r="AG20" s="46">
        <v>0</v>
      </c>
      <c r="AH20" s="46">
        <v>32.25</v>
      </c>
      <c r="AI20" s="46">
        <v>16.079999999999998</v>
      </c>
      <c r="AJ20" s="46">
        <v>4.0199999999999996</v>
      </c>
      <c r="AK20" s="46">
        <v>32.51</v>
      </c>
      <c r="AL20" s="46">
        <v>48.96</v>
      </c>
      <c r="AM20" s="46">
        <v>2.29</v>
      </c>
      <c r="AN20" s="46">
        <v>36.17</v>
      </c>
      <c r="AO20" s="46"/>
      <c r="AP20" s="46">
        <f t="shared" si="0"/>
        <v>17.227999999999998</v>
      </c>
      <c r="AQ20" s="67">
        <f t="shared" si="1"/>
        <v>8.613999999999999</v>
      </c>
    </row>
    <row r="21" spans="1:43" x14ac:dyDescent="0.3">
      <c r="A21" s="5">
        <v>20</v>
      </c>
      <c r="B21" s="6" t="s">
        <v>9</v>
      </c>
      <c r="C21" s="12" t="s">
        <v>271</v>
      </c>
      <c r="D21" s="6" t="s">
        <v>128</v>
      </c>
      <c r="E21" s="6" t="s">
        <v>12</v>
      </c>
      <c r="F21" s="6" t="s">
        <v>95</v>
      </c>
      <c r="G21" s="6" t="s">
        <v>80</v>
      </c>
      <c r="H21" s="5">
        <v>1</v>
      </c>
      <c r="I21" s="67" t="s">
        <v>160</v>
      </c>
      <c r="J21" s="67"/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5">
        <v>0</v>
      </c>
      <c r="Q21" s="45">
        <v>0</v>
      </c>
      <c r="R21" s="45">
        <v>0</v>
      </c>
      <c r="S21" s="45">
        <v>0</v>
      </c>
      <c r="T21" s="45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/>
      <c r="AP21" s="46">
        <f t="shared" si="0"/>
        <v>0</v>
      </c>
      <c r="AQ21" s="67">
        <f t="shared" si="1"/>
        <v>0</v>
      </c>
    </row>
    <row r="22" spans="1:43" x14ac:dyDescent="0.3">
      <c r="A22" s="5">
        <v>21</v>
      </c>
      <c r="B22" s="6" t="s">
        <v>9</v>
      </c>
      <c r="C22" s="12" t="s">
        <v>271</v>
      </c>
      <c r="D22" s="6" t="s">
        <v>128</v>
      </c>
      <c r="E22" s="6" t="s">
        <v>12</v>
      </c>
      <c r="F22" s="6" t="s">
        <v>309</v>
      </c>
      <c r="G22" s="6" t="s">
        <v>80</v>
      </c>
      <c r="H22" s="5">
        <v>1</v>
      </c>
      <c r="I22" s="67" t="s">
        <v>160</v>
      </c>
      <c r="J22" s="67"/>
      <c r="K22" s="46">
        <v>0</v>
      </c>
      <c r="L22" s="46">
        <v>0</v>
      </c>
      <c r="M22" s="46">
        <v>25.75</v>
      </c>
      <c r="N22" s="46">
        <v>28.24</v>
      </c>
      <c r="O22" s="46">
        <v>0</v>
      </c>
      <c r="P22" s="45">
        <v>18.45</v>
      </c>
      <c r="Q22" s="45">
        <v>19.97</v>
      </c>
      <c r="R22" s="45">
        <v>0</v>
      </c>
      <c r="S22" s="45">
        <v>0</v>
      </c>
      <c r="T22" s="45">
        <v>34.5</v>
      </c>
      <c r="U22" s="46">
        <v>45.18</v>
      </c>
      <c r="V22" s="46">
        <v>37.58</v>
      </c>
      <c r="W22" s="46">
        <v>33.72</v>
      </c>
      <c r="X22" s="46">
        <v>9.75</v>
      </c>
      <c r="Y22" s="46">
        <v>0</v>
      </c>
      <c r="Z22" s="46">
        <v>0</v>
      </c>
      <c r="AA22" s="46">
        <v>8.23</v>
      </c>
      <c r="AB22" s="46">
        <v>10.1</v>
      </c>
      <c r="AC22" s="46">
        <v>34.39</v>
      </c>
      <c r="AD22" s="46">
        <v>24.8</v>
      </c>
      <c r="AE22" s="46">
        <v>7.63</v>
      </c>
      <c r="AF22" s="46">
        <v>0.12</v>
      </c>
      <c r="AG22" s="46">
        <v>0</v>
      </c>
      <c r="AH22" s="46">
        <v>8.2899999999999991</v>
      </c>
      <c r="AI22" s="46">
        <v>31.67</v>
      </c>
      <c r="AJ22" s="46">
        <v>27.09</v>
      </c>
      <c r="AK22" s="46">
        <v>29.92</v>
      </c>
      <c r="AL22" s="46">
        <v>0</v>
      </c>
      <c r="AM22" s="46">
        <v>0</v>
      </c>
      <c r="AN22" s="46">
        <v>0</v>
      </c>
      <c r="AO22" s="46"/>
      <c r="AP22" s="46">
        <f t="shared" si="0"/>
        <v>14.512666666666668</v>
      </c>
      <c r="AQ22" s="67">
        <f t="shared" si="1"/>
        <v>14.512666666666668</v>
      </c>
    </row>
    <row r="23" spans="1:43" x14ac:dyDescent="0.3">
      <c r="A23" s="5">
        <v>22</v>
      </c>
      <c r="B23" s="6" t="s">
        <v>9</v>
      </c>
      <c r="C23" s="12" t="s">
        <v>271</v>
      </c>
      <c r="D23" s="6" t="s">
        <v>128</v>
      </c>
      <c r="E23" s="6" t="s">
        <v>12</v>
      </c>
      <c r="F23" s="6" t="s">
        <v>251</v>
      </c>
      <c r="G23" s="6" t="s">
        <v>80</v>
      </c>
      <c r="H23" s="5">
        <v>1</v>
      </c>
      <c r="I23" s="67" t="s">
        <v>160</v>
      </c>
      <c r="J23" s="67"/>
      <c r="K23" s="46">
        <v>0</v>
      </c>
      <c r="L23" s="46">
        <v>0</v>
      </c>
      <c r="M23" s="46">
        <v>0</v>
      </c>
      <c r="N23" s="46">
        <v>0</v>
      </c>
      <c r="O23" s="46">
        <v>6.62</v>
      </c>
      <c r="P23" s="45">
        <v>35.44</v>
      </c>
      <c r="Q23" s="45">
        <v>41.66</v>
      </c>
      <c r="R23" s="75">
        <v>24.36</v>
      </c>
      <c r="S23" s="45">
        <v>0</v>
      </c>
      <c r="T23" s="45">
        <v>0</v>
      </c>
      <c r="U23" s="46">
        <v>2.2799999999999998</v>
      </c>
      <c r="V23" s="46">
        <v>18.739999999999998</v>
      </c>
      <c r="W23" s="46">
        <v>51.4</v>
      </c>
      <c r="X23" s="46">
        <v>58.81</v>
      </c>
      <c r="Y23" s="46">
        <v>9.9499999999999993</v>
      </c>
      <c r="Z23" s="46">
        <v>0</v>
      </c>
      <c r="AA23" s="46">
        <v>11.13</v>
      </c>
      <c r="AB23" s="46">
        <v>25.12</v>
      </c>
      <c r="AC23" s="46">
        <v>19.73</v>
      </c>
      <c r="AD23" s="46">
        <v>14.13</v>
      </c>
      <c r="AE23" s="46">
        <v>26.78</v>
      </c>
      <c r="AF23" s="46">
        <v>0</v>
      </c>
      <c r="AG23" s="46">
        <v>0</v>
      </c>
      <c r="AH23" s="46">
        <v>0</v>
      </c>
      <c r="AI23" s="46">
        <v>14.07</v>
      </c>
      <c r="AJ23" s="46">
        <v>15.71</v>
      </c>
      <c r="AK23" s="46">
        <v>6.31</v>
      </c>
      <c r="AL23" s="46">
        <v>20.36</v>
      </c>
      <c r="AM23" s="46">
        <v>16.100000000000001</v>
      </c>
      <c r="AN23" s="46">
        <v>9.4499999999999993</v>
      </c>
      <c r="AO23" s="46"/>
      <c r="AP23" s="46">
        <f t="shared" si="0"/>
        <v>14.271666666666667</v>
      </c>
      <c r="AQ23" s="67">
        <f t="shared" si="1"/>
        <v>14.271666666666667</v>
      </c>
    </row>
    <row r="24" spans="1:43" x14ac:dyDescent="0.3">
      <c r="A24" s="5">
        <v>23</v>
      </c>
      <c r="B24" s="6" t="s">
        <v>9</v>
      </c>
      <c r="C24" s="12" t="s">
        <v>271</v>
      </c>
      <c r="D24" s="6" t="s">
        <v>128</v>
      </c>
      <c r="E24" s="6" t="s">
        <v>12</v>
      </c>
      <c r="F24" s="6" t="s">
        <v>290</v>
      </c>
      <c r="G24" s="6" t="s">
        <v>80</v>
      </c>
      <c r="H24" s="5">
        <v>1</v>
      </c>
      <c r="I24" s="67" t="s">
        <v>160</v>
      </c>
      <c r="J24" s="67"/>
      <c r="K24" s="46">
        <v>81.13</v>
      </c>
      <c r="L24" s="46">
        <v>16.2</v>
      </c>
      <c r="M24" s="46">
        <v>2.35</v>
      </c>
      <c r="N24" s="46">
        <v>43.63</v>
      </c>
      <c r="O24" s="46">
        <v>27.35</v>
      </c>
      <c r="P24" s="45">
        <v>54.13</v>
      </c>
      <c r="Q24" s="45">
        <v>81.28</v>
      </c>
      <c r="R24" s="45">
        <v>12.48</v>
      </c>
      <c r="S24" s="45">
        <v>28.73</v>
      </c>
      <c r="T24" s="45">
        <v>40.299999999999997</v>
      </c>
      <c r="U24" s="46">
        <v>93.43</v>
      </c>
      <c r="V24" s="46">
        <v>34.229999999999997</v>
      </c>
      <c r="W24" s="46">
        <v>17.600000000000001</v>
      </c>
      <c r="X24" s="46">
        <v>8.5500000000000007</v>
      </c>
      <c r="Y24" s="46">
        <v>48.5</v>
      </c>
      <c r="Z24" s="46">
        <v>27.03</v>
      </c>
      <c r="AA24" s="46">
        <v>0</v>
      </c>
      <c r="AB24" s="46">
        <v>21.48</v>
      </c>
      <c r="AC24" s="46">
        <v>46.78</v>
      </c>
      <c r="AD24" s="46">
        <v>48.3</v>
      </c>
      <c r="AE24" s="46">
        <v>72.680000000000007</v>
      </c>
      <c r="AF24" s="46">
        <v>39.130000000000003</v>
      </c>
      <c r="AG24" s="46">
        <v>0</v>
      </c>
      <c r="AH24" s="46">
        <v>46.9</v>
      </c>
      <c r="AI24" s="46">
        <v>84.3</v>
      </c>
      <c r="AJ24" s="46">
        <v>143.25</v>
      </c>
      <c r="AK24" s="46">
        <v>110.73</v>
      </c>
      <c r="AL24" s="46">
        <v>36.28</v>
      </c>
      <c r="AM24" s="46">
        <v>19.7</v>
      </c>
      <c r="AN24" s="46">
        <v>0</v>
      </c>
      <c r="AO24" s="46"/>
      <c r="AP24" s="46">
        <f t="shared" si="0"/>
        <v>42.881666666666661</v>
      </c>
      <c r="AQ24" s="67">
        <f t="shared" si="1"/>
        <v>42.881666666666661</v>
      </c>
    </row>
    <row r="25" spans="1:43" ht="15.6" x14ac:dyDescent="0.3">
      <c r="A25" s="5">
        <v>24</v>
      </c>
      <c r="B25" s="6" t="s">
        <v>9</v>
      </c>
      <c r="C25" s="12" t="s">
        <v>269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7</v>
      </c>
      <c r="I25" s="74" t="s">
        <v>273</v>
      </c>
      <c r="J25" s="74"/>
      <c r="K25" s="46">
        <v>82.206999999999994</v>
      </c>
      <c r="L25" s="46">
        <v>86.182000000000002</v>
      </c>
      <c r="M25" s="46">
        <v>100.31799999999998</v>
      </c>
      <c r="N25" s="46">
        <v>124.20100000000001</v>
      </c>
      <c r="O25" s="46">
        <v>114.35400000000003</v>
      </c>
      <c r="P25" s="46">
        <v>136.255</v>
      </c>
      <c r="Q25" s="46">
        <v>135.55200000000002</v>
      </c>
      <c r="R25" s="46">
        <v>95.733999999999995</v>
      </c>
      <c r="S25" s="46">
        <v>107.99199999999999</v>
      </c>
      <c r="T25" s="46">
        <v>130.25399999999999</v>
      </c>
      <c r="U25" s="46">
        <v>108.19800000000001</v>
      </c>
      <c r="V25" s="46">
        <v>86.295000000000016</v>
      </c>
      <c r="W25" s="46">
        <v>47.714000000000006</v>
      </c>
      <c r="X25" s="46">
        <v>129.614</v>
      </c>
      <c r="Y25" s="46">
        <v>128.709</v>
      </c>
      <c r="Z25" s="46">
        <v>76.783999999999992</v>
      </c>
      <c r="AA25" s="46">
        <v>102.22</v>
      </c>
      <c r="AB25" s="46">
        <v>66.832999999999998</v>
      </c>
      <c r="AC25" s="46">
        <v>72.283000000000001</v>
      </c>
      <c r="AD25" s="46">
        <v>48.488</v>
      </c>
      <c r="AE25" s="46">
        <v>67.423000000000002</v>
      </c>
      <c r="AF25" s="46">
        <v>37.701999999999998</v>
      </c>
      <c r="AG25" s="46">
        <v>18.053999999999998</v>
      </c>
      <c r="AH25" s="46">
        <v>38.631</v>
      </c>
      <c r="AI25" s="46">
        <v>47.581000000000003</v>
      </c>
      <c r="AJ25" s="46">
        <v>52.81900000000001</v>
      </c>
      <c r="AK25" s="46">
        <v>74.704999999999998</v>
      </c>
      <c r="AL25" s="46">
        <v>63.397000000000006</v>
      </c>
      <c r="AM25" s="46">
        <v>68.393000000000001</v>
      </c>
      <c r="AN25" s="46">
        <v>59.473999999999997</v>
      </c>
      <c r="AO25" s="46"/>
      <c r="AP25" s="46">
        <f t="shared" si="0"/>
        <v>83.612200000000016</v>
      </c>
      <c r="AQ25" s="67">
        <f t="shared" si="1"/>
        <v>11.944600000000003</v>
      </c>
    </row>
    <row r="26" spans="1:43" x14ac:dyDescent="0.3">
      <c r="A26" s="5">
        <v>25</v>
      </c>
      <c r="B26" s="6" t="s">
        <v>9</v>
      </c>
      <c r="C26" s="12" t="s">
        <v>270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1</v>
      </c>
      <c r="I26" s="67" t="s">
        <v>160</v>
      </c>
      <c r="J26" s="67"/>
      <c r="K26" s="46">
        <v>0.1</v>
      </c>
      <c r="L26" s="46">
        <v>0.877</v>
      </c>
      <c r="M26" s="45">
        <v>0</v>
      </c>
      <c r="N26" s="45">
        <v>25.4</v>
      </c>
      <c r="O26" s="45">
        <v>1.71</v>
      </c>
      <c r="P26" s="45">
        <v>4.22</v>
      </c>
      <c r="Q26" s="75">
        <v>7.15</v>
      </c>
      <c r="R26" s="45">
        <v>5.9</v>
      </c>
      <c r="S26" s="45">
        <v>0</v>
      </c>
      <c r="T26" s="45">
        <v>7.92</v>
      </c>
      <c r="U26" s="46">
        <v>16.649999999999999</v>
      </c>
      <c r="V26" s="46">
        <v>5.38</v>
      </c>
      <c r="W26" s="46">
        <v>2.0699999999999998</v>
      </c>
      <c r="X26" s="46">
        <v>2.4700000000000002</v>
      </c>
      <c r="Y26" s="46">
        <v>0</v>
      </c>
      <c r="Z26" s="46">
        <v>0</v>
      </c>
      <c r="AA26" s="46">
        <v>6.34</v>
      </c>
      <c r="AB26" s="46">
        <v>17.61</v>
      </c>
      <c r="AC26" s="46">
        <v>13.25</v>
      </c>
      <c r="AD26" s="46">
        <v>0</v>
      </c>
      <c r="AE26" s="46">
        <v>21.77</v>
      </c>
      <c r="AF26" s="46">
        <v>13.45</v>
      </c>
      <c r="AG26" s="46">
        <v>5.97</v>
      </c>
      <c r="AH26" s="46">
        <v>2.74</v>
      </c>
      <c r="AI26" s="46">
        <v>11.57</v>
      </c>
      <c r="AJ26" s="46">
        <v>6.7</v>
      </c>
      <c r="AK26" s="46">
        <v>8.99</v>
      </c>
      <c r="AL26" s="46">
        <v>8.6300000000000008</v>
      </c>
      <c r="AM26" s="46">
        <v>14.576999999999998</v>
      </c>
      <c r="AN26" s="46">
        <v>6.6440000000000001</v>
      </c>
      <c r="AO26" s="46"/>
      <c r="AP26" s="46">
        <f t="shared" si="0"/>
        <v>7.2695999999999987</v>
      </c>
      <c r="AQ26" s="67">
        <f t="shared" si="1"/>
        <v>7.2695999999999987</v>
      </c>
    </row>
    <row r="27" spans="1:43" x14ac:dyDescent="0.3">
      <c r="A27" s="5">
        <v>26</v>
      </c>
      <c r="B27" s="6" t="s">
        <v>9</v>
      </c>
      <c r="C27" s="12" t="s">
        <v>270</v>
      </c>
      <c r="D27" s="6" t="s">
        <v>128</v>
      </c>
      <c r="E27" s="6" t="s">
        <v>12</v>
      </c>
      <c r="F27" s="6" t="s">
        <v>40</v>
      </c>
      <c r="G27" s="6" t="s">
        <v>35</v>
      </c>
      <c r="H27" s="5">
        <v>1</v>
      </c>
      <c r="I27" s="67" t="s">
        <v>160</v>
      </c>
      <c r="J27" s="67"/>
      <c r="K27" s="46">
        <v>9.73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2.0699999999999998</v>
      </c>
      <c r="S27" s="45">
        <v>0</v>
      </c>
      <c r="T27" s="45">
        <v>0</v>
      </c>
      <c r="U27" s="45">
        <v>0</v>
      </c>
      <c r="V27" s="45">
        <v>0.94</v>
      </c>
      <c r="W27" s="45">
        <v>0</v>
      </c>
      <c r="X27" s="45">
        <v>0</v>
      </c>
      <c r="Y27" s="45">
        <v>19.02</v>
      </c>
      <c r="Z27" s="46">
        <v>15.69</v>
      </c>
      <c r="AA27" s="46">
        <v>0</v>
      </c>
      <c r="AB27" s="46">
        <v>0</v>
      </c>
      <c r="AC27" s="46">
        <v>0</v>
      </c>
      <c r="AD27" s="46">
        <v>0</v>
      </c>
      <c r="AE27" s="46">
        <v>0</v>
      </c>
      <c r="AF27" s="46">
        <v>0</v>
      </c>
      <c r="AG27" s="46">
        <v>1.06</v>
      </c>
      <c r="AH27" s="46">
        <v>2.7</v>
      </c>
      <c r="AI27" s="46">
        <v>0</v>
      </c>
      <c r="AJ27" s="46">
        <v>0</v>
      </c>
      <c r="AK27" s="46">
        <v>0</v>
      </c>
      <c r="AL27" s="46">
        <v>0</v>
      </c>
      <c r="AM27" s="46">
        <v>0</v>
      </c>
      <c r="AN27" s="46">
        <v>0</v>
      </c>
      <c r="AO27" s="46"/>
      <c r="AP27" s="46">
        <f t="shared" si="0"/>
        <v>1.7070000000000001</v>
      </c>
      <c r="AQ27" s="67">
        <f t="shared" si="1"/>
        <v>1.7070000000000001</v>
      </c>
    </row>
    <row r="28" spans="1:43" x14ac:dyDescent="0.3">
      <c r="A28" s="5">
        <v>27</v>
      </c>
      <c r="B28" s="6" t="s">
        <v>9</v>
      </c>
      <c r="C28" s="12" t="s">
        <v>270</v>
      </c>
      <c r="D28" s="6" t="s">
        <v>128</v>
      </c>
      <c r="E28" s="6" t="s">
        <v>12</v>
      </c>
      <c r="F28" s="6" t="s">
        <v>124</v>
      </c>
      <c r="G28" s="6" t="s">
        <v>80</v>
      </c>
      <c r="H28" s="5">
        <v>1</v>
      </c>
      <c r="I28" s="67" t="s">
        <v>160</v>
      </c>
      <c r="J28" s="67"/>
      <c r="K28" s="46">
        <v>10.87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</v>
      </c>
      <c r="W28" s="45">
        <v>0</v>
      </c>
      <c r="X28" s="45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v>0</v>
      </c>
      <c r="AO28" s="46"/>
      <c r="AP28" s="46">
        <f t="shared" si="0"/>
        <v>0.36233333333333329</v>
      </c>
      <c r="AQ28" s="67">
        <f t="shared" si="1"/>
        <v>0.36233333333333329</v>
      </c>
    </row>
    <row r="29" spans="1:43" x14ac:dyDescent="0.3">
      <c r="A29" s="5">
        <v>28</v>
      </c>
      <c r="B29" s="6" t="s">
        <v>9</v>
      </c>
      <c r="C29" s="12" t="s">
        <v>270</v>
      </c>
      <c r="D29" s="6" t="s">
        <v>128</v>
      </c>
      <c r="E29" s="6" t="s">
        <v>12</v>
      </c>
      <c r="F29" s="6" t="s">
        <v>251</v>
      </c>
      <c r="G29" s="6" t="s">
        <v>80</v>
      </c>
      <c r="H29" s="5">
        <v>2</v>
      </c>
      <c r="I29" s="67" t="s">
        <v>160</v>
      </c>
      <c r="J29" s="67"/>
      <c r="K29" s="46">
        <v>0</v>
      </c>
      <c r="L29" s="45">
        <v>0</v>
      </c>
      <c r="M29" s="45">
        <v>0</v>
      </c>
      <c r="N29" s="45">
        <v>0</v>
      </c>
      <c r="O29" s="45">
        <v>13.85</v>
      </c>
      <c r="P29" s="45">
        <v>0</v>
      </c>
      <c r="Q29" s="45">
        <v>37.57</v>
      </c>
      <c r="R29" s="45">
        <v>9.58</v>
      </c>
      <c r="S29" s="45">
        <v>10.28</v>
      </c>
      <c r="T29" s="45">
        <v>14.96</v>
      </c>
      <c r="U29" s="46">
        <v>19.28</v>
      </c>
      <c r="V29" s="46">
        <v>73.88</v>
      </c>
      <c r="W29" s="46">
        <v>20.65</v>
      </c>
      <c r="X29" s="46">
        <v>0</v>
      </c>
      <c r="Y29" s="46">
        <v>0</v>
      </c>
      <c r="Z29" s="46">
        <v>0</v>
      </c>
      <c r="AA29" s="46">
        <v>31.84</v>
      </c>
      <c r="AB29" s="46">
        <v>11.85</v>
      </c>
      <c r="AC29" s="46">
        <v>2.06</v>
      </c>
      <c r="AD29" s="46">
        <v>40.729999999999997</v>
      </c>
      <c r="AE29" s="46">
        <v>0</v>
      </c>
      <c r="AF29" s="46">
        <v>10.220000000000001</v>
      </c>
      <c r="AG29" s="46">
        <v>7.19</v>
      </c>
      <c r="AH29" s="46">
        <v>15.9</v>
      </c>
      <c r="AI29" s="46">
        <v>13.9</v>
      </c>
      <c r="AJ29" s="46">
        <v>21.66</v>
      </c>
      <c r="AK29" s="46">
        <v>35.22</v>
      </c>
      <c r="AL29" s="46">
        <v>0</v>
      </c>
      <c r="AM29" s="46">
        <v>0</v>
      </c>
      <c r="AN29" s="46">
        <v>0</v>
      </c>
      <c r="AO29" s="46"/>
      <c r="AP29" s="46">
        <f t="shared" si="0"/>
        <v>13.020666666666667</v>
      </c>
      <c r="AQ29" s="67">
        <f t="shared" si="1"/>
        <v>6.5103333333333335</v>
      </c>
    </row>
    <row r="30" spans="1:43" x14ac:dyDescent="0.3">
      <c r="A30" s="5">
        <v>29</v>
      </c>
      <c r="B30" s="6" t="s">
        <v>9</v>
      </c>
      <c r="C30" s="12" t="s">
        <v>243</v>
      </c>
      <c r="D30" s="6" t="s">
        <v>128</v>
      </c>
      <c r="E30" s="6" t="s">
        <v>12</v>
      </c>
      <c r="F30" s="6" t="s">
        <v>124</v>
      </c>
      <c r="G30" s="6" t="s">
        <v>80</v>
      </c>
      <c r="H30" s="5">
        <v>1</v>
      </c>
      <c r="I30" s="67" t="s">
        <v>160</v>
      </c>
      <c r="J30" s="67"/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5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/>
      <c r="AP30" s="46">
        <f t="shared" si="0"/>
        <v>0</v>
      </c>
      <c r="AQ30" s="67">
        <f t="shared" si="1"/>
        <v>0</v>
      </c>
    </row>
    <row r="31" spans="1:43" ht="15.6" x14ac:dyDescent="0.3">
      <c r="A31" s="5">
        <v>30</v>
      </c>
      <c r="B31" s="6" t="s">
        <v>9</v>
      </c>
      <c r="C31" s="12" t="s">
        <v>260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9</v>
      </c>
      <c r="I31" s="74" t="s">
        <v>273</v>
      </c>
      <c r="J31" s="74"/>
      <c r="K31" s="46">
        <v>193.60500000000002</v>
      </c>
      <c r="L31" s="46">
        <v>185.48799999999997</v>
      </c>
      <c r="M31" s="46">
        <v>183.185</v>
      </c>
      <c r="N31" s="46">
        <v>209.19499999999996</v>
      </c>
      <c r="O31" s="46">
        <v>191.19</v>
      </c>
      <c r="P31" s="46">
        <v>173.94100000000003</v>
      </c>
      <c r="Q31" s="46">
        <v>183.39400000000006</v>
      </c>
      <c r="R31" s="46">
        <v>182.90900000000005</v>
      </c>
      <c r="S31" s="46">
        <v>165.59300000000005</v>
      </c>
      <c r="T31" s="46">
        <v>155.46899999999999</v>
      </c>
      <c r="U31" s="46">
        <v>176.12199999999999</v>
      </c>
      <c r="V31" s="46">
        <v>172.11099999999999</v>
      </c>
      <c r="W31" s="46">
        <v>125.69</v>
      </c>
      <c r="X31" s="46">
        <v>162.511</v>
      </c>
      <c r="Y31" s="46">
        <v>144.38399999999999</v>
      </c>
      <c r="Z31" s="46">
        <v>143.678</v>
      </c>
      <c r="AA31" s="46">
        <v>157.57199999999997</v>
      </c>
      <c r="AB31" s="46">
        <v>174.20700000000002</v>
      </c>
      <c r="AC31" s="46">
        <v>134.34</v>
      </c>
      <c r="AD31" s="46">
        <v>120.87</v>
      </c>
      <c r="AE31" s="46">
        <v>166.88</v>
      </c>
      <c r="AF31" s="46">
        <v>143.81</v>
      </c>
      <c r="AG31" s="46">
        <v>136.41</v>
      </c>
      <c r="AH31" s="46">
        <v>141.26</v>
      </c>
      <c r="AI31" s="46">
        <v>174.4</v>
      </c>
      <c r="AJ31" s="46">
        <v>117.56</v>
      </c>
      <c r="AK31" s="46">
        <v>137.63</v>
      </c>
      <c r="AL31" s="46">
        <v>137.12</v>
      </c>
      <c r="AM31" s="46">
        <v>115.29</v>
      </c>
      <c r="AN31" s="46">
        <v>92.78</v>
      </c>
      <c r="AO31" s="46"/>
      <c r="AP31" s="46">
        <f t="shared" si="0"/>
        <v>156.6198</v>
      </c>
      <c r="AQ31" s="67">
        <f t="shared" si="1"/>
        <v>17.402200000000001</v>
      </c>
    </row>
    <row r="32" spans="1:43" ht="15.6" x14ac:dyDescent="0.3">
      <c r="A32" s="5">
        <v>31</v>
      </c>
      <c r="B32" s="6" t="s">
        <v>9</v>
      </c>
      <c r="C32" s="12" t="s">
        <v>260</v>
      </c>
      <c r="D32" s="6" t="s">
        <v>128</v>
      </c>
      <c r="E32" s="6" t="s">
        <v>12</v>
      </c>
      <c r="F32" s="6" t="s">
        <v>309</v>
      </c>
      <c r="G32" s="6" t="s">
        <v>80</v>
      </c>
      <c r="H32" s="5">
        <v>1</v>
      </c>
      <c r="I32" s="74" t="s">
        <v>273</v>
      </c>
      <c r="J32" s="74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>
        <v>5.4899999999999993</v>
      </c>
      <c r="V32" s="46">
        <v>20.77</v>
      </c>
      <c r="W32" s="46">
        <v>39.809999999999995</v>
      </c>
      <c r="X32" s="46">
        <v>26.45</v>
      </c>
      <c r="Y32" s="46">
        <v>17.850000000000001</v>
      </c>
      <c r="Z32" s="46">
        <v>31.09</v>
      </c>
      <c r="AA32" s="46">
        <v>30.3</v>
      </c>
      <c r="AB32" s="46">
        <v>19.650000000000002</v>
      </c>
      <c r="AC32" s="46">
        <v>26.91</v>
      </c>
      <c r="AD32" s="46">
        <v>30.72</v>
      </c>
      <c r="AE32" s="46">
        <v>29.98</v>
      </c>
      <c r="AF32" s="46">
        <v>17.64</v>
      </c>
      <c r="AG32" s="46">
        <v>18.18</v>
      </c>
      <c r="AH32" s="46">
        <v>19.989999999999998</v>
      </c>
      <c r="AI32" s="46">
        <v>39.979999999999997</v>
      </c>
      <c r="AJ32" s="46">
        <v>32.07</v>
      </c>
      <c r="AK32" s="46">
        <v>32.56</v>
      </c>
      <c r="AL32" s="46">
        <v>25.27</v>
      </c>
      <c r="AM32" s="46">
        <v>27.39</v>
      </c>
      <c r="AN32" s="46">
        <v>28.05</v>
      </c>
      <c r="AO32" s="46"/>
      <c r="AP32" s="46">
        <f t="shared" si="0"/>
        <v>26.0075</v>
      </c>
      <c r="AQ32" s="67">
        <f t="shared" si="1"/>
        <v>26.0075</v>
      </c>
    </row>
    <row r="33" spans="1:43" ht="15.6" x14ac:dyDescent="0.3">
      <c r="A33" s="5">
        <v>32</v>
      </c>
      <c r="B33" s="6" t="s">
        <v>9</v>
      </c>
      <c r="C33" s="12" t="s">
        <v>352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8</v>
      </c>
      <c r="I33" s="74" t="s">
        <v>273</v>
      </c>
      <c r="J33" s="74"/>
      <c r="K33" s="46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0</v>
      </c>
      <c r="T33" s="45">
        <v>0</v>
      </c>
      <c r="U33" s="46">
        <v>0</v>
      </c>
      <c r="V33" s="46">
        <v>0</v>
      </c>
      <c r="W33" s="46">
        <v>11.061999999999999</v>
      </c>
      <c r="X33" s="46">
        <v>71.956000000000017</v>
      </c>
      <c r="Y33" s="46">
        <v>88.400999999999996</v>
      </c>
      <c r="Z33" s="46">
        <v>115.625</v>
      </c>
      <c r="AA33" s="46">
        <v>67.76100000000001</v>
      </c>
      <c r="AB33" s="46">
        <v>104.949</v>
      </c>
      <c r="AC33" s="46">
        <v>142.28</v>
      </c>
      <c r="AD33" s="46">
        <v>123.11</v>
      </c>
      <c r="AE33" s="46">
        <v>123.15</v>
      </c>
      <c r="AF33" s="46">
        <v>105.12</v>
      </c>
      <c r="AG33" s="46">
        <v>93.64</v>
      </c>
      <c r="AH33" s="46">
        <v>99.62</v>
      </c>
      <c r="AI33" s="46">
        <v>119.44</v>
      </c>
      <c r="AJ33" s="46">
        <v>105.88</v>
      </c>
      <c r="AK33" s="46">
        <v>89.65</v>
      </c>
      <c r="AL33" s="46">
        <v>108.73</v>
      </c>
      <c r="AM33" s="46">
        <v>94.35</v>
      </c>
      <c r="AN33" s="46">
        <v>87.01</v>
      </c>
      <c r="AO33" s="46"/>
      <c r="AP33" s="46">
        <f t="shared" si="0"/>
        <v>58.391133333333336</v>
      </c>
      <c r="AQ33" s="67">
        <f t="shared" si="1"/>
        <v>7.298891666666667</v>
      </c>
    </row>
    <row r="34" spans="1:43" ht="15.6" x14ac:dyDescent="0.3">
      <c r="A34" s="5">
        <v>33</v>
      </c>
      <c r="B34" s="6" t="s">
        <v>9</v>
      </c>
      <c r="C34" s="12" t="s">
        <v>352</v>
      </c>
      <c r="D34" s="6" t="s">
        <v>128</v>
      </c>
      <c r="E34" s="6" t="s">
        <v>12</v>
      </c>
      <c r="F34" s="6" t="s">
        <v>40</v>
      </c>
      <c r="G34" s="6" t="s">
        <v>35</v>
      </c>
      <c r="H34" s="5">
        <v>2</v>
      </c>
      <c r="I34" s="74" t="s">
        <v>273</v>
      </c>
      <c r="J34" s="74"/>
      <c r="K34" s="46"/>
      <c r="L34" s="45"/>
      <c r="M34" s="45"/>
      <c r="N34" s="45"/>
      <c r="O34" s="45"/>
      <c r="P34" s="45"/>
      <c r="Q34" s="45"/>
      <c r="R34" s="45"/>
      <c r="S34" s="45"/>
      <c r="T34" s="45"/>
      <c r="U34" s="46"/>
      <c r="V34" s="46"/>
      <c r="W34" s="46">
        <v>0</v>
      </c>
      <c r="X34" s="46">
        <v>0</v>
      </c>
      <c r="Y34" s="46">
        <v>48.478999999999999</v>
      </c>
      <c r="Z34" s="46">
        <v>55.137</v>
      </c>
      <c r="AA34" s="46">
        <v>18.447000000000003</v>
      </c>
      <c r="AB34" s="46">
        <v>34.524000000000001</v>
      </c>
      <c r="AC34" s="46">
        <v>48.37</v>
      </c>
      <c r="AD34" s="46">
        <v>48</v>
      </c>
      <c r="AE34" s="46">
        <v>59.17</v>
      </c>
      <c r="AF34" s="46">
        <v>35.14</v>
      </c>
      <c r="AG34" s="46">
        <v>29.38</v>
      </c>
      <c r="AH34" s="46">
        <v>49.26</v>
      </c>
      <c r="AI34" s="46">
        <v>67.040000000000006</v>
      </c>
      <c r="AJ34" s="46">
        <v>34.31</v>
      </c>
      <c r="AK34" s="46">
        <v>30.36</v>
      </c>
      <c r="AL34" s="46">
        <v>42.26</v>
      </c>
      <c r="AM34" s="46">
        <v>46.14</v>
      </c>
      <c r="AN34" s="46">
        <v>44.64</v>
      </c>
      <c r="AO34" s="46"/>
      <c r="AP34" s="46">
        <f t="shared" si="0"/>
        <v>38.369833333333332</v>
      </c>
      <c r="AQ34" s="67">
        <f t="shared" si="1"/>
        <v>19.184916666666666</v>
      </c>
    </row>
    <row r="35" spans="1:43" ht="15.6" x14ac:dyDescent="0.3">
      <c r="A35" s="5">
        <v>34</v>
      </c>
      <c r="B35" s="6" t="s">
        <v>9</v>
      </c>
      <c r="C35" s="12" t="s">
        <v>370</v>
      </c>
      <c r="D35" s="6" t="s">
        <v>128</v>
      </c>
      <c r="E35" s="6" t="s">
        <v>12</v>
      </c>
      <c r="F35" s="6" t="s">
        <v>13</v>
      </c>
      <c r="G35" s="6" t="s">
        <v>35</v>
      </c>
      <c r="H35" s="5">
        <v>1</v>
      </c>
      <c r="I35" s="74" t="s">
        <v>273</v>
      </c>
      <c r="J35" s="74"/>
      <c r="K35" s="46">
        <v>11.381000000000002</v>
      </c>
      <c r="L35" s="46">
        <v>10</v>
      </c>
      <c r="M35" s="46">
        <v>17.872</v>
      </c>
      <c r="N35" s="46">
        <v>4.1310000000000002</v>
      </c>
      <c r="O35" s="46">
        <v>11.085999999999999</v>
      </c>
      <c r="P35" s="46">
        <v>20.155999999999999</v>
      </c>
      <c r="Q35" s="46">
        <v>31.902000000000001</v>
      </c>
      <c r="R35" s="46">
        <v>21.640999999999998</v>
      </c>
      <c r="S35" s="46">
        <v>25.009</v>
      </c>
      <c r="T35" s="46">
        <v>23.792999999999999</v>
      </c>
      <c r="U35" s="46">
        <v>11.553000000000001</v>
      </c>
      <c r="V35" s="46">
        <v>10.913</v>
      </c>
      <c r="W35" s="46">
        <v>6.9079999999999986</v>
      </c>
      <c r="X35" s="46">
        <v>19.288</v>
      </c>
      <c r="Y35" s="46">
        <v>5.7839999999999998</v>
      </c>
      <c r="Z35" s="46">
        <v>29.177999999999997</v>
      </c>
      <c r="AA35" s="46">
        <v>9.3089999999999993</v>
      </c>
      <c r="AB35" s="46">
        <v>4.1050000000000004</v>
      </c>
      <c r="AC35" s="46">
        <v>16.320999999999998</v>
      </c>
      <c r="AD35" s="46">
        <v>9.9669999999999987</v>
      </c>
      <c r="AE35" s="46">
        <v>18.696999999999999</v>
      </c>
      <c r="AF35" s="46">
        <v>15.146000000000001</v>
      </c>
      <c r="AG35" s="46">
        <v>20.624000000000002</v>
      </c>
      <c r="AH35" s="46">
        <v>5.7959999999999994</v>
      </c>
      <c r="AI35" s="46">
        <v>9.5400000000000009</v>
      </c>
      <c r="AJ35" s="46">
        <v>17.004000000000001</v>
      </c>
      <c r="AK35" s="46">
        <v>12.996999999999998</v>
      </c>
      <c r="AL35" s="46">
        <v>16.77</v>
      </c>
      <c r="AM35" s="46">
        <v>22.481999999999999</v>
      </c>
      <c r="AN35" s="46">
        <v>11.35</v>
      </c>
      <c r="AO35" s="46"/>
      <c r="AP35" s="46">
        <f t="shared" si="0"/>
        <v>15.023433333333337</v>
      </c>
      <c r="AQ35" s="67">
        <f t="shared" si="1"/>
        <v>15.023433333333337</v>
      </c>
    </row>
    <row r="36" spans="1:43" ht="15.6" x14ac:dyDescent="0.3">
      <c r="A36" s="5">
        <v>35</v>
      </c>
      <c r="B36" s="6" t="s">
        <v>9</v>
      </c>
      <c r="C36" s="12" t="s">
        <v>283</v>
      </c>
      <c r="D36" s="6" t="s">
        <v>128</v>
      </c>
      <c r="E36" s="6" t="s">
        <v>12</v>
      </c>
      <c r="F36" s="6" t="s">
        <v>13</v>
      </c>
      <c r="G36" s="6" t="s">
        <v>35</v>
      </c>
      <c r="H36" s="5">
        <v>5</v>
      </c>
      <c r="I36" s="74" t="s">
        <v>273</v>
      </c>
      <c r="J36" s="74"/>
      <c r="K36" s="46">
        <v>31.263999999999996</v>
      </c>
      <c r="L36" s="46">
        <v>28.219000000000001</v>
      </c>
      <c r="M36" s="46">
        <v>44.227999999999994</v>
      </c>
      <c r="N36" s="46">
        <v>47.819000000000003</v>
      </c>
      <c r="O36" s="46">
        <v>42.576000000000001</v>
      </c>
      <c r="P36" s="46">
        <v>30.171000000000003</v>
      </c>
      <c r="Q36" s="46">
        <v>33.129000000000005</v>
      </c>
      <c r="R36" s="46">
        <v>40.810000000000009</v>
      </c>
      <c r="S36" s="46">
        <v>51.741</v>
      </c>
      <c r="T36" s="46">
        <v>40.271999999999991</v>
      </c>
      <c r="U36" s="46">
        <v>32.208999999999996</v>
      </c>
      <c r="V36" s="46">
        <v>18.353000000000002</v>
      </c>
      <c r="W36" s="46">
        <v>46.425999999999995</v>
      </c>
      <c r="X36" s="46">
        <v>54.948</v>
      </c>
      <c r="Y36" s="46">
        <v>24.738</v>
      </c>
      <c r="Z36" s="46">
        <v>14.454000000000001</v>
      </c>
      <c r="AA36" s="46">
        <v>68.355000000000018</v>
      </c>
      <c r="AB36" s="46">
        <v>34.206000000000003</v>
      </c>
      <c r="AC36" s="46">
        <v>37.832000000000008</v>
      </c>
      <c r="AD36" s="46">
        <v>80.906999999999996</v>
      </c>
      <c r="AE36" s="46">
        <v>43.004999999999995</v>
      </c>
      <c r="AF36" s="46">
        <v>61.690999999999995</v>
      </c>
      <c r="AG36" s="46">
        <v>61.701000000000001</v>
      </c>
      <c r="AH36" s="46">
        <v>61.312000000000005</v>
      </c>
      <c r="AI36" s="46">
        <v>56.401999999999994</v>
      </c>
      <c r="AJ36" s="46">
        <v>45.944000000000003</v>
      </c>
      <c r="AK36" s="46">
        <v>65.16</v>
      </c>
      <c r="AL36" s="46">
        <v>37.357000000000006</v>
      </c>
      <c r="AM36" s="46">
        <v>71.917000000000002</v>
      </c>
      <c r="AN36" s="46">
        <v>75.420000000000016</v>
      </c>
      <c r="AO36" s="46"/>
      <c r="AP36" s="46">
        <f t="shared" si="0"/>
        <v>46.085533333333338</v>
      </c>
      <c r="AQ36" s="67">
        <f t="shared" si="1"/>
        <v>9.2171066666666679</v>
      </c>
    </row>
    <row r="37" spans="1:43" ht="15.6" x14ac:dyDescent="0.3">
      <c r="A37" s="5">
        <v>36</v>
      </c>
      <c r="B37" s="6" t="s">
        <v>9</v>
      </c>
      <c r="C37" s="12" t="s">
        <v>318</v>
      </c>
      <c r="D37" s="6" t="s">
        <v>128</v>
      </c>
      <c r="E37" s="6" t="s">
        <v>12</v>
      </c>
      <c r="F37" s="6" t="s">
        <v>13</v>
      </c>
      <c r="G37" s="6" t="s">
        <v>35</v>
      </c>
      <c r="H37" s="5">
        <v>1</v>
      </c>
      <c r="I37" s="74" t="s">
        <v>272</v>
      </c>
      <c r="J37" s="74"/>
      <c r="K37" s="46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  <c r="T37" s="45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/>
      <c r="AP37" s="46">
        <f t="shared" si="0"/>
        <v>0</v>
      </c>
      <c r="AQ37" s="67">
        <f t="shared" si="1"/>
        <v>0</v>
      </c>
    </row>
    <row r="38" spans="1:43" ht="15.6" x14ac:dyDescent="0.3">
      <c r="A38" s="5">
        <v>37</v>
      </c>
      <c r="B38" s="6" t="s">
        <v>9</v>
      </c>
      <c r="C38" s="12" t="s">
        <v>323</v>
      </c>
      <c r="D38" s="6" t="s">
        <v>128</v>
      </c>
      <c r="E38" s="6" t="s">
        <v>12</v>
      </c>
      <c r="F38" s="6" t="s">
        <v>13</v>
      </c>
      <c r="G38" s="6" t="s">
        <v>35</v>
      </c>
      <c r="H38" s="5">
        <v>3</v>
      </c>
      <c r="I38" s="74" t="s">
        <v>273</v>
      </c>
      <c r="J38" s="74"/>
      <c r="K38" s="46">
        <v>35.79</v>
      </c>
      <c r="L38" s="46">
        <v>34.923999999999999</v>
      </c>
      <c r="M38" s="46">
        <v>5.2950000000000008</v>
      </c>
      <c r="N38" s="46">
        <v>23.904000000000003</v>
      </c>
      <c r="O38" s="46">
        <v>20.911999999999999</v>
      </c>
      <c r="P38" s="46">
        <v>20.814999999999998</v>
      </c>
      <c r="Q38" s="46">
        <v>25.189</v>
      </c>
      <c r="R38" s="46">
        <v>19.709000000000003</v>
      </c>
      <c r="S38" s="46">
        <v>40.298999999999999</v>
      </c>
      <c r="T38" s="46">
        <v>23.272000000000002</v>
      </c>
      <c r="U38" s="46">
        <v>30.690999999999995</v>
      </c>
      <c r="V38" s="46">
        <v>28.407</v>
      </c>
      <c r="W38" s="46">
        <v>24.849</v>
      </c>
      <c r="X38" s="46">
        <v>16.407000000000004</v>
      </c>
      <c r="Y38" s="46">
        <v>28.1</v>
      </c>
      <c r="Z38" s="46">
        <v>28.734999999999999</v>
      </c>
      <c r="AA38" s="46">
        <v>6.673</v>
      </c>
      <c r="AB38" s="46">
        <v>16.117999999999999</v>
      </c>
      <c r="AC38" s="46">
        <v>11.663</v>
      </c>
      <c r="AD38" s="46">
        <v>30.077999999999999</v>
      </c>
      <c r="AE38" s="46">
        <v>22.475999999999999</v>
      </c>
      <c r="AF38" s="46">
        <v>15.468</v>
      </c>
      <c r="AG38" s="46">
        <v>51.064999999999998</v>
      </c>
      <c r="AH38" s="46">
        <v>17.210000000000004</v>
      </c>
      <c r="AI38" s="46">
        <v>9.1609999999999996</v>
      </c>
      <c r="AJ38" s="46">
        <v>0.47000000000000003</v>
      </c>
      <c r="AK38" s="46">
        <v>13.73</v>
      </c>
      <c r="AL38" s="46">
        <v>9.9489999999999998</v>
      </c>
      <c r="AM38" s="46">
        <v>39.948</v>
      </c>
      <c r="AN38" s="46">
        <v>4.9460000000000006</v>
      </c>
      <c r="AO38" s="46"/>
      <c r="AP38" s="46">
        <f t="shared" si="0"/>
        <v>21.875099999999996</v>
      </c>
      <c r="AQ38" s="67">
        <f t="shared" si="1"/>
        <v>7.2916999999999987</v>
      </c>
    </row>
    <row r="39" spans="1:43" ht="15.6" x14ac:dyDescent="0.3">
      <c r="A39" s="5">
        <v>38</v>
      </c>
      <c r="B39" s="6" t="s">
        <v>9</v>
      </c>
      <c r="C39" s="12" t="s">
        <v>354</v>
      </c>
      <c r="D39" s="6" t="s">
        <v>128</v>
      </c>
      <c r="E39" s="6" t="s">
        <v>12</v>
      </c>
      <c r="F39" s="6" t="s">
        <v>13</v>
      </c>
      <c r="G39" s="6" t="s">
        <v>35</v>
      </c>
      <c r="H39" s="5">
        <v>6</v>
      </c>
      <c r="I39" s="74" t="s">
        <v>273</v>
      </c>
      <c r="J39" s="74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>
        <v>0</v>
      </c>
      <c r="Z39" s="46">
        <v>0</v>
      </c>
      <c r="AA39" s="46">
        <v>0</v>
      </c>
      <c r="AB39" s="46">
        <v>18.981999999999999</v>
      </c>
      <c r="AC39" s="46">
        <v>39.915999999999997</v>
      </c>
      <c r="AD39" s="46">
        <v>18.748999999999999</v>
      </c>
      <c r="AE39" s="46">
        <v>35.021000000000001</v>
      </c>
      <c r="AF39" s="46">
        <v>67.013000000000005</v>
      </c>
      <c r="AG39" s="46">
        <v>27.397000000000002</v>
      </c>
      <c r="AH39" s="46">
        <v>50.093999999999994</v>
      </c>
      <c r="AI39" s="46">
        <v>25.358000000000004</v>
      </c>
      <c r="AJ39" s="46">
        <v>34.625</v>
      </c>
      <c r="AK39" s="46">
        <v>0</v>
      </c>
      <c r="AL39" s="46">
        <v>14.329999999999998</v>
      </c>
      <c r="AM39" s="46">
        <v>7.4340000000000002</v>
      </c>
      <c r="AN39" s="46">
        <v>7.5369999999999999</v>
      </c>
      <c r="AO39" s="46"/>
      <c r="AP39" s="46">
        <f t="shared" si="0"/>
        <v>21.653499999999998</v>
      </c>
      <c r="AQ39" s="67">
        <f t="shared" si="1"/>
        <v>3.6089166666666661</v>
      </c>
    </row>
    <row r="40" spans="1:43" ht="15.6" x14ac:dyDescent="0.3">
      <c r="A40" s="5">
        <v>39</v>
      </c>
      <c r="B40" s="6" t="s">
        <v>9</v>
      </c>
      <c r="C40" s="12" t="s">
        <v>357</v>
      </c>
      <c r="D40" s="6" t="s">
        <v>128</v>
      </c>
      <c r="E40" s="6" t="s">
        <v>12</v>
      </c>
      <c r="F40" s="6" t="s">
        <v>353</v>
      </c>
      <c r="G40" s="6" t="s">
        <v>35</v>
      </c>
      <c r="H40" s="5">
        <v>1</v>
      </c>
      <c r="I40" s="74" t="s">
        <v>272</v>
      </c>
      <c r="J40" s="74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>
        <v>0.06</v>
      </c>
      <c r="AB40" s="46">
        <v>0</v>
      </c>
      <c r="AC40" s="46">
        <v>0</v>
      </c>
      <c r="AD40" s="46">
        <v>0</v>
      </c>
      <c r="AE40" s="46">
        <v>9.0399999999999991</v>
      </c>
      <c r="AF40" s="46">
        <v>7.234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10.852</v>
      </c>
      <c r="AM40" s="46">
        <v>0</v>
      </c>
      <c r="AN40" s="46">
        <v>0</v>
      </c>
      <c r="AO40" s="46"/>
      <c r="AP40" s="46">
        <f t="shared" si="0"/>
        <v>1.9418571428571429</v>
      </c>
      <c r="AQ40" s="67">
        <f t="shared" si="1"/>
        <v>1.9418571428571429</v>
      </c>
    </row>
    <row r="41" spans="1:43" ht="15.6" x14ac:dyDescent="0.3">
      <c r="A41" s="5">
        <v>40</v>
      </c>
      <c r="B41" s="6" t="s">
        <v>9</v>
      </c>
      <c r="C41" s="39" t="s">
        <v>366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5</v>
      </c>
      <c r="I41" s="74" t="s">
        <v>273</v>
      </c>
      <c r="J41" s="74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>
        <v>7.34</v>
      </c>
      <c r="AK41" s="46">
        <v>10.779</v>
      </c>
      <c r="AL41" s="46">
        <v>30.335000000000001</v>
      </c>
      <c r="AM41" s="46">
        <v>22.026000000000003</v>
      </c>
      <c r="AN41" s="46">
        <v>25.181000000000001</v>
      </c>
      <c r="AO41" s="46"/>
      <c r="AP41" s="46">
        <f t="shared" si="0"/>
        <v>19.132200000000001</v>
      </c>
      <c r="AQ41" s="67">
        <f>AP41/H41</f>
        <v>3.8264400000000003</v>
      </c>
    </row>
    <row r="42" spans="1:43" x14ac:dyDescent="0.3">
      <c r="A42" s="5">
        <v>41</v>
      </c>
      <c r="B42" s="6" t="s">
        <v>9</v>
      </c>
      <c r="C42" s="6" t="s">
        <v>93</v>
      </c>
      <c r="D42" s="6" t="s">
        <v>26</v>
      </c>
      <c r="E42" s="6" t="s">
        <v>19</v>
      </c>
      <c r="F42" s="6" t="s">
        <v>13</v>
      </c>
      <c r="G42" s="6" t="s">
        <v>14</v>
      </c>
      <c r="H42" s="5">
        <v>1</v>
      </c>
      <c r="I42" s="67" t="s">
        <v>160</v>
      </c>
      <c r="J42" s="67"/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5">
        <v>0</v>
      </c>
      <c r="Q42" s="45">
        <v>0</v>
      </c>
      <c r="R42" s="45">
        <v>0</v>
      </c>
      <c r="S42" s="45">
        <v>0</v>
      </c>
      <c r="T42" s="45">
        <v>0</v>
      </c>
      <c r="U42" s="45">
        <v>0</v>
      </c>
      <c r="V42" s="45">
        <v>0</v>
      </c>
      <c r="W42" s="45">
        <v>0</v>
      </c>
      <c r="X42" s="45">
        <v>0</v>
      </c>
      <c r="Y42" s="45">
        <v>0</v>
      </c>
      <c r="Z42" s="45">
        <v>0</v>
      </c>
      <c r="AA42" s="45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/>
      <c r="AP42" s="46">
        <f t="shared" si="0"/>
        <v>0</v>
      </c>
      <c r="AQ42" s="67">
        <f t="shared" si="1"/>
        <v>0</v>
      </c>
    </row>
    <row r="43" spans="1:43" x14ac:dyDescent="0.3">
      <c r="A43" s="5">
        <v>42</v>
      </c>
      <c r="B43" s="6" t="s">
        <v>9</v>
      </c>
      <c r="C43" s="6" t="s">
        <v>27</v>
      </c>
      <c r="D43" s="6" t="s">
        <v>28</v>
      </c>
      <c r="E43" s="6" t="s">
        <v>19</v>
      </c>
      <c r="F43" s="6" t="s">
        <v>13</v>
      </c>
      <c r="G43" s="6" t="s">
        <v>14</v>
      </c>
      <c r="H43" s="5">
        <v>4</v>
      </c>
      <c r="I43" s="67" t="s">
        <v>160</v>
      </c>
      <c r="J43" s="67"/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5">
        <v>0</v>
      </c>
      <c r="X43" s="45">
        <v>0</v>
      </c>
      <c r="Y43" s="45">
        <v>0</v>
      </c>
      <c r="Z43" s="45">
        <v>0</v>
      </c>
      <c r="AA43" s="45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/>
      <c r="AP43" s="46">
        <f t="shared" si="0"/>
        <v>0</v>
      </c>
      <c r="AQ43" s="67">
        <f t="shared" si="1"/>
        <v>0</v>
      </c>
    </row>
    <row r="44" spans="1:43" x14ac:dyDescent="0.3">
      <c r="A44" s="5">
        <v>43</v>
      </c>
      <c r="B44" s="6" t="s">
        <v>9</v>
      </c>
      <c r="C44" s="6" t="s">
        <v>94</v>
      </c>
      <c r="D44" s="6" t="s">
        <v>32</v>
      </c>
      <c r="E44" s="6" t="s">
        <v>19</v>
      </c>
      <c r="F44" s="6" t="s">
        <v>13</v>
      </c>
      <c r="G44" s="6" t="s">
        <v>14</v>
      </c>
      <c r="H44" s="5">
        <v>2</v>
      </c>
      <c r="I44" s="67" t="s">
        <v>160</v>
      </c>
      <c r="J44" s="67"/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  <c r="Y44" s="45">
        <v>0</v>
      </c>
      <c r="Z44" s="45">
        <v>0</v>
      </c>
      <c r="AA44" s="45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/>
      <c r="AP44" s="46">
        <f t="shared" si="0"/>
        <v>0</v>
      </c>
      <c r="AQ44" s="67">
        <f t="shared" si="1"/>
        <v>0</v>
      </c>
    </row>
    <row r="45" spans="1:43" ht="15.6" x14ac:dyDescent="0.3">
      <c r="A45" s="5">
        <v>44</v>
      </c>
      <c r="B45" s="6" t="s">
        <v>49</v>
      </c>
      <c r="C45" s="12" t="s">
        <v>209</v>
      </c>
      <c r="D45" s="6" t="s">
        <v>128</v>
      </c>
      <c r="E45" s="6" t="s">
        <v>12</v>
      </c>
      <c r="F45" s="6" t="s">
        <v>13</v>
      </c>
      <c r="G45" s="6" t="s">
        <v>35</v>
      </c>
      <c r="H45" s="5">
        <v>5</v>
      </c>
      <c r="I45" s="74" t="s">
        <v>273</v>
      </c>
      <c r="J45" s="74"/>
      <c r="K45" s="46">
        <v>11.478000000000002</v>
      </c>
      <c r="L45" s="46">
        <v>1.536</v>
      </c>
      <c r="M45" s="46">
        <v>12.25</v>
      </c>
      <c r="N45" s="46">
        <v>6.6429999999999998</v>
      </c>
      <c r="O45" s="46">
        <v>11.609</v>
      </c>
      <c r="P45" s="46">
        <v>13.994999999999999</v>
      </c>
      <c r="Q45" s="46">
        <v>6.4860000000000007</v>
      </c>
      <c r="R45" s="46">
        <v>17.887999999999998</v>
      </c>
      <c r="S45" s="46">
        <v>0</v>
      </c>
      <c r="T45" s="46">
        <v>12.443999999999999</v>
      </c>
      <c r="U45" s="46">
        <v>2.8879999999999999</v>
      </c>
      <c r="V45" s="46">
        <v>5.7569999999999997</v>
      </c>
      <c r="W45" s="46">
        <v>7.3719999999999999</v>
      </c>
      <c r="X45" s="46">
        <v>5.8840000000000003</v>
      </c>
      <c r="Y45" s="46">
        <v>9.6179999999999986</v>
      </c>
      <c r="Z45" s="46">
        <v>0</v>
      </c>
      <c r="AA45" s="46">
        <v>11.321</v>
      </c>
      <c r="AB45" s="46">
        <v>10.404</v>
      </c>
      <c r="AC45" s="46">
        <v>10.354000000000001</v>
      </c>
      <c r="AD45" s="60">
        <v>0</v>
      </c>
      <c r="AE45" s="46">
        <v>2.3290000000000002</v>
      </c>
      <c r="AF45" s="46">
        <v>21.656999999999996</v>
      </c>
      <c r="AG45" s="46">
        <v>0</v>
      </c>
      <c r="AH45" s="46">
        <v>8.6709999999999994</v>
      </c>
      <c r="AI45" s="46">
        <v>8.92</v>
      </c>
      <c r="AJ45" s="46">
        <v>9.6159999999999997</v>
      </c>
      <c r="AK45" s="46">
        <v>7.4489999999999998</v>
      </c>
      <c r="AL45" s="46">
        <v>8.472999999999999</v>
      </c>
      <c r="AM45" s="46">
        <v>14.129999999999999</v>
      </c>
      <c r="AN45" s="46">
        <v>0</v>
      </c>
      <c r="AO45" s="46"/>
      <c r="AP45" s="46">
        <f t="shared" si="0"/>
        <v>7.9724000000000013</v>
      </c>
      <c r="AQ45" s="67">
        <f t="shared" si="1"/>
        <v>1.5944800000000003</v>
      </c>
    </row>
    <row r="46" spans="1:43" ht="15.6" x14ac:dyDescent="0.3">
      <c r="A46" s="5">
        <v>45</v>
      </c>
      <c r="B46" s="6" t="s">
        <v>49</v>
      </c>
      <c r="C46" s="12" t="s">
        <v>210</v>
      </c>
      <c r="D46" s="6" t="s">
        <v>128</v>
      </c>
      <c r="E46" s="6" t="s">
        <v>12</v>
      </c>
      <c r="F46" s="6" t="s">
        <v>13</v>
      </c>
      <c r="G46" s="6" t="s">
        <v>35</v>
      </c>
      <c r="H46" s="5">
        <v>10</v>
      </c>
      <c r="I46" s="74" t="s">
        <v>273</v>
      </c>
      <c r="J46" s="74"/>
      <c r="K46" s="46">
        <v>80.812999999999988</v>
      </c>
      <c r="L46" s="46">
        <v>103.06</v>
      </c>
      <c r="M46" s="46">
        <v>89.498000000000005</v>
      </c>
      <c r="N46" s="46">
        <v>115.79300000000001</v>
      </c>
      <c r="O46" s="46">
        <v>109.72200000000002</v>
      </c>
      <c r="P46" s="46">
        <v>104.55699999999999</v>
      </c>
      <c r="Q46" s="46">
        <v>92.568999999999988</v>
      </c>
      <c r="R46" s="46">
        <v>66.985999999999976</v>
      </c>
      <c r="S46" s="46">
        <v>127.626</v>
      </c>
      <c r="T46" s="46">
        <v>86.23299999999999</v>
      </c>
      <c r="U46" s="46">
        <v>110.52499999999998</v>
      </c>
      <c r="V46" s="46">
        <v>45.262</v>
      </c>
      <c r="W46" s="46">
        <v>69.02600000000001</v>
      </c>
      <c r="X46" s="46">
        <v>98.14700000000002</v>
      </c>
      <c r="Y46" s="46">
        <v>99.780000000000015</v>
      </c>
      <c r="Z46" s="46">
        <v>85.663999999999987</v>
      </c>
      <c r="AA46" s="46">
        <v>110.40300000000001</v>
      </c>
      <c r="AB46" s="46">
        <v>98.426999999999978</v>
      </c>
      <c r="AC46" s="46">
        <v>98.652000000000001</v>
      </c>
      <c r="AD46" s="46">
        <v>116.15700000000002</v>
      </c>
      <c r="AE46" s="46">
        <v>103.52500000000002</v>
      </c>
      <c r="AF46" s="46">
        <v>111.37900000000002</v>
      </c>
      <c r="AG46" s="46">
        <v>79.697000000000031</v>
      </c>
      <c r="AH46" s="46">
        <v>96.515999999999991</v>
      </c>
      <c r="AI46" s="46">
        <v>110.66</v>
      </c>
      <c r="AJ46" s="46">
        <v>126.72700000000002</v>
      </c>
      <c r="AK46" s="46">
        <v>102.36099999999998</v>
      </c>
      <c r="AL46" s="46">
        <v>92.237000000000009</v>
      </c>
      <c r="AM46" s="46">
        <v>106.44499999999998</v>
      </c>
      <c r="AN46" s="46">
        <v>41.192999999999991</v>
      </c>
      <c r="AO46" s="46"/>
      <c r="AP46" s="46">
        <f t="shared" si="0"/>
        <v>95.988</v>
      </c>
      <c r="AQ46" s="67">
        <f t="shared" si="1"/>
        <v>9.5988000000000007</v>
      </c>
    </row>
    <row r="47" spans="1:43" ht="15.6" x14ac:dyDescent="0.3">
      <c r="A47" s="5">
        <v>46</v>
      </c>
      <c r="B47" s="6" t="s">
        <v>52</v>
      </c>
      <c r="C47" s="12" t="s">
        <v>211</v>
      </c>
      <c r="D47" s="6" t="s">
        <v>128</v>
      </c>
      <c r="E47" s="6" t="s">
        <v>12</v>
      </c>
      <c r="F47" s="6" t="s">
        <v>13</v>
      </c>
      <c r="G47" s="6" t="s">
        <v>35</v>
      </c>
      <c r="H47" s="5">
        <v>3</v>
      </c>
      <c r="I47" s="74" t="s">
        <v>273</v>
      </c>
      <c r="J47" s="74"/>
      <c r="K47" s="46">
        <v>16.309999999999999</v>
      </c>
      <c r="L47" s="46">
        <v>12.338000000000001</v>
      </c>
      <c r="M47" s="46">
        <v>14.169</v>
      </c>
      <c r="N47" s="46">
        <v>21.044</v>
      </c>
      <c r="O47" s="46">
        <v>19.241</v>
      </c>
      <c r="P47" s="46">
        <v>0.20799999999999999</v>
      </c>
      <c r="Q47" s="46">
        <v>7.9009999999999998</v>
      </c>
      <c r="R47" s="46">
        <v>14.355</v>
      </c>
      <c r="S47" s="46">
        <v>0</v>
      </c>
      <c r="T47" s="46">
        <v>7.0460000000000003</v>
      </c>
      <c r="U47" s="46">
        <v>5.2910000000000004</v>
      </c>
      <c r="V47" s="46">
        <v>5.0469999999999997</v>
      </c>
      <c r="W47" s="46">
        <v>5.149</v>
      </c>
      <c r="X47" s="46">
        <v>3.6120000000000001</v>
      </c>
      <c r="Y47" s="46">
        <v>6.41</v>
      </c>
      <c r="Z47" s="46">
        <v>0</v>
      </c>
      <c r="AA47" s="46">
        <v>6.9109999999999996</v>
      </c>
      <c r="AB47" s="46">
        <v>4.7389999999999999</v>
      </c>
      <c r="AC47" s="46">
        <v>5.5650000000000004</v>
      </c>
      <c r="AD47" s="46">
        <v>0.79600000000000004</v>
      </c>
      <c r="AE47" s="46">
        <v>8.7669999999999995</v>
      </c>
      <c r="AF47" s="46">
        <v>6.085</v>
      </c>
      <c r="AG47" s="46">
        <v>0</v>
      </c>
      <c r="AH47" s="46">
        <v>6.0650000000000004</v>
      </c>
      <c r="AI47" s="46">
        <v>4.7119999999999997</v>
      </c>
      <c r="AJ47" s="46">
        <v>5.2460000000000004</v>
      </c>
      <c r="AK47" s="46">
        <v>4.3529999999999998</v>
      </c>
      <c r="AL47" s="46">
        <v>8.2080000000000002</v>
      </c>
      <c r="AM47" s="46">
        <v>0</v>
      </c>
      <c r="AN47" s="46">
        <v>0</v>
      </c>
      <c r="AO47" s="46"/>
      <c r="AP47" s="46">
        <f t="shared" si="0"/>
        <v>6.6522666666666659</v>
      </c>
      <c r="AQ47" s="67">
        <f t="shared" si="1"/>
        <v>2.217422222222222</v>
      </c>
    </row>
    <row r="48" spans="1:43" ht="15.6" x14ac:dyDescent="0.3">
      <c r="A48" s="5">
        <v>47</v>
      </c>
      <c r="B48" s="6" t="s">
        <v>52</v>
      </c>
      <c r="C48" s="12" t="s">
        <v>212</v>
      </c>
      <c r="D48" s="6" t="s">
        <v>128</v>
      </c>
      <c r="E48" s="6" t="s">
        <v>12</v>
      </c>
      <c r="F48" s="6" t="s">
        <v>13</v>
      </c>
      <c r="G48" s="6" t="s">
        <v>35</v>
      </c>
      <c r="H48" s="5">
        <v>7</v>
      </c>
      <c r="I48" s="74" t="s">
        <v>273</v>
      </c>
      <c r="J48" s="74"/>
      <c r="K48" s="46">
        <v>47.419999999999987</v>
      </c>
      <c r="L48" s="46">
        <v>95.404000000000011</v>
      </c>
      <c r="M48" s="46">
        <v>112.057</v>
      </c>
      <c r="N48" s="46">
        <v>133.75700000000001</v>
      </c>
      <c r="O48" s="46">
        <v>122.554</v>
      </c>
      <c r="P48" s="46">
        <v>109.09299999999999</v>
      </c>
      <c r="Q48" s="46">
        <v>125.395</v>
      </c>
      <c r="R48" s="46">
        <v>109.68200000000002</v>
      </c>
      <c r="S48" s="46">
        <v>127.74</v>
      </c>
      <c r="T48" s="46">
        <v>141.24300000000002</v>
      </c>
      <c r="U48" s="46">
        <v>113.30300000000003</v>
      </c>
      <c r="V48" s="46">
        <v>121.16</v>
      </c>
      <c r="W48" s="46">
        <v>107.31399999999999</v>
      </c>
      <c r="X48" s="46">
        <v>151.55799999999999</v>
      </c>
      <c r="Y48" s="46">
        <v>103.56900000000002</v>
      </c>
      <c r="Z48" s="46">
        <v>113.64100000000001</v>
      </c>
      <c r="AA48" s="46">
        <v>129.637</v>
      </c>
      <c r="AB48" s="46">
        <v>135.28599999999997</v>
      </c>
      <c r="AC48" s="46">
        <v>80.781999999999996</v>
      </c>
      <c r="AD48" s="46">
        <v>113.19100000000002</v>
      </c>
      <c r="AE48" s="46">
        <v>147.005</v>
      </c>
      <c r="AF48" s="46">
        <v>81.704999999999998</v>
      </c>
      <c r="AG48" s="46">
        <v>112.60800000000003</v>
      </c>
      <c r="AH48" s="46">
        <v>165.851</v>
      </c>
      <c r="AI48" s="46">
        <v>88.988</v>
      </c>
      <c r="AJ48" s="46">
        <v>154.25400000000002</v>
      </c>
      <c r="AK48" s="46">
        <v>107.91599999999997</v>
      </c>
      <c r="AL48" s="46">
        <v>136.553</v>
      </c>
      <c r="AM48" s="46">
        <v>93.561000000000007</v>
      </c>
      <c r="AN48" s="46">
        <v>108.57599999999999</v>
      </c>
      <c r="AO48" s="46"/>
      <c r="AP48" s="46">
        <f t="shared" si="0"/>
        <v>116.36010000000002</v>
      </c>
      <c r="AQ48" s="67">
        <f t="shared" si="1"/>
        <v>16.622871428571433</v>
      </c>
    </row>
    <row r="49" spans="1:43" ht="15.6" x14ac:dyDescent="0.3">
      <c r="A49" s="5">
        <v>48</v>
      </c>
      <c r="B49" s="6" t="s">
        <v>134</v>
      </c>
      <c r="C49" s="6" t="s">
        <v>133</v>
      </c>
      <c r="D49" s="6" t="s">
        <v>128</v>
      </c>
      <c r="E49" s="6" t="s">
        <v>12</v>
      </c>
      <c r="F49" s="6" t="s">
        <v>13</v>
      </c>
      <c r="G49" s="6" t="s">
        <v>35</v>
      </c>
      <c r="H49" s="5">
        <v>7</v>
      </c>
      <c r="I49" s="74" t="s">
        <v>273</v>
      </c>
      <c r="J49" s="74"/>
      <c r="K49" s="46">
        <v>60.66899999999999</v>
      </c>
      <c r="L49" s="46">
        <v>55.521000000000001</v>
      </c>
      <c r="M49" s="46">
        <v>41.25500000000001</v>
      </c>
      <c r="N49" s="46">
        <v>54.172000000000004</v>
      </c>
      <c r="O49" s="46">
        <v>35.952999999999996</v>
      </c>
      <c r="P49" s="46">
        <v>31.808</v>
      </c>
      <c r="Q49" s="46">
        <v>42.978999999999999</v>
      </c>
      <c r="R49" s="46">
        <v>21.312000000000001</v>
      </c>
      <c r="S49" s="46">
        <v>38.313000000000002</v>
      </c>
      <c r="T49" s="46">
        <v>37.042000000000002</v>
      </c>
      <c r="U49" s="46">
        <v>54.891999999999996</v>
      </c>
      <c r="V49" s="46">
        <v>34.973999999999997</v>
      </c>
      <c r="W49" s="46">
        <v>33.332000000000001</v>
      </c>
      <c r="X49" s="46">
        <v>46.652000000000001</v>
      </c>
      <c r="Y49" s="46">
        <v>48.308</v>
      </c>
      <c r="Z49" s="46">
        <v>33.067999999999998</v>
      </c>
      <c r="AA49" s="46">
        <v>60.353999999999992</v>
      </c>
      <c r="AB49" s="46">
        <v>35.170999999999999</v>
      </c>
      <c r="AC49" s="46">
        <v>52.855999999999995</v>
      </c>
      <c r="AD49" s="46">
        <v>38.616999999999997</v>
      </c>
      <c r="AE49" s="46">
        <v>36.939</v>
      </c>
      <c r="AF49" s="46">
        <v>38.615000000000002</v>
      </c>
      <c r="AG49" s="46">
        <v>60.556999999999988</v>
      </c>
      <c r="AH49" s="46">
        <v>30.625</v>
      </c>
      <c r="AI49" s="46">
        <v>47.486000000000004</v>
      </c>
      <c r="AJ49" s="46">
        <v>28.314999999999998</v>
      </c>
      <c r="AK49" s="46">
        <v>60.355999999999995</v>
      </c>
      <c r="AL49" s="46">
        <v>56.737999999999992</v>
      </c>
      <c r="AM49" s="46">
        <v>39.556000000000004</v>
      </c>
      <c r="AN49" s="46">
        <v>45.502000000000002</v>
      </c>
      <c r="AO49" s="46"/>
      <c r="AP49" s="46">
        <f t="shared" si="0"/>
        <v>43.397900000000007</v>
      </c>
      <c r="AQ49" s="67">
        <f t="shared" si="1"/>
        <v>6.1997000000000009</v>
      </c>
    </row>
    <row r="50" spans="1:43" ht="15.6" x14ac:dyDescent="0.3">
      <c r="A50" s="5">
        <v>49</v>
      </c>
      <c r="B50" s="12" t="s">
        <v>246</v>
      </c>
      <c r="C50" s="12" t="s">
        <v>247</v>
      </c>
      <c r="D50" s="6" t="s">
        <v>128</v>
      </c>
      <c r="E50" s="6" t="s">
        <v>12</v>
      </c>
      <c r="F50" s="6" t="s">
        <v>13</v>
      </c>
      <c r="G50" s="6" t="s">
        <v>35</v>
      </c>
      <c r="H50" s="5">
        <v>5</v>
      </c>
      <c r="I50" s="74" t="s">
        <v>273</v>
      </c>
      <c r="J50" s="74"/>
      <c r="K50" s="46">
        <v>45.093000000000004</v>
      </c>
      <c r="L50" s="46">
        <v>25.456</v>
      </c>
      <c r="M50" s="46">
        <v>19.960999999999999</v>
      </c>
      <c r="N50" s="46">
        <v>65.483999999999995</v>
      </c>
      <c r="O50" s="46">
        <v>35.512</v>
      </c>
      <c r="P50" s="46">
        <v>35.408000000000001</v>
      </c>
      <c r="Q50" s="46">
        <v>17.722999999999999</v>
      </c>
      <c r="R50" s="46">
        <v>37.375999999999998</v>
      </c>
      <c r="S50" s="46">
        <v>31.4</v>
      </c>
      <c r="T50" s="46">
        <v>22.916</v>
      </c>
      <c r="U50" s="46">
        <v>18.177999999999997</v>
      </c>
      <c r="V50" s="46">
        <v>58.491999999999997</v>
      </c>
      <c r="W50" s="46">
        <v>20.175000000000001</v>
      </c>
      <c r="X50" s="46">
        <v>27.845000000000002</v>
      </c>
      <c r="Y50" s="46">
        <v>29.877000000000002</v>
      </c>
      <c r="Z50" s="46">
        <v>52.015999999999998</v>
      </c>
      <c r="AA50" s="46">
        <v>42.652000000000001</v>
      </c>
      <c r="AB50" s="46">
        <v>23.265999999999998</v>
      </c>
      <c r="AC50" s="46">
        <v>47.512999999999998</v>
      </c>
      <c r="AD50" s="46">
        <v>11.891999999999999</v>
      </c>
      <c r="AE50" s="46">
        <v>37.894000000000005</v>
      </c>
      <c r="AF50" s="46">
        <v>38.787000000000006</v>
      </c>
      <c r="AG50" s="46">
        <v>11.366000000000001</v>
      </c>
      <c r="AH50" s="46">
        <v>35.331000000000003</v>
      </c>
      <c r="AI50" s="46">
        <v>35.659999999999997</v>
      </c>
      <c r="AJ50" s="46">
        <v>27.433</v>
      </c>
      <c r="AK50" s="46">
        <v>29.887</v>
      </c>
      <c r="AL50" s="46">
        <v>36.596999999999994</v>
      </c>
      <c r="AM50" s="46">
        <v>30.191000000000003</v>
      </c>
      <c r="AN50" s="46">
        <v>37.707999999999998</v>
      </c>
      <c r="AO50" s="46"/>
      <c r="AP50" s="46">
        <f t="shared" si="0"/>
        <v>32.969633333333334</v>
      </c>
      <c r="AQ50" s="67">
        <f t="shared" si="1"/>
        <v>6.5939266666666665</v>
      </c>
    </row>
    <row r="51" spans="1:43" ht="15.6" x14ac:dyDescent="0.3">
      <c r="A51" s="5">
        <v>50</v>
      </c>
      <c r="B51" s="6" t="s">
        <v>58</v>
      </c>
      <c r="C51" s="12" t="s">
        <v>213</v>
      </c>
      <c r="D51" s="6" t="s">
        <v>61</v>
      </c>
      <c r="E51" s="6" t="s">
        <v>12</v>
      </c>
      <c r="F51" s="6" t="s">
        <v>13</v>
      </c>
      <c r="G51" s="6" t="s">
        <v>35</v>
      </c>
      <c r="H51" s="5">
        <v>3</v>
      </c>
      <c r="I51" s="74" t="s">
        <v>273</v>
      </c>
      <c r="J51" s="74"/>
      <c r="K51" s="46">
        <v>58.434000000000012</v>
      </c>
      <c r="L51" s="46">
        <v>64.965000000000003</v>
      </c>
      <c r="M51" s="46">
        <v>91.073999999999998</v>
      </c>
      <c r="N51" s="46">
        <v>89.86</v>
      </c>
      <c r="O51" s="46">
        <v>69.381999999999977</v>
      </c>
      <c r="P51" s="46">
        <v>88.791999999999987</v>
      </c>
      <c r="Q51" s="46">
        <v>79.320999999999984</v>
      </c>
      <c r="R51" s="46">
        <v>88.494</v>
      </c>
      <c r="S51" s="46">
        <v>93.685000000000002</v>
      </c>
      <c r="T51" s="46">
        <v>93.82099999999997</v>
      </c>
      <c r="U51" s="46">
        <v>90.206999999999994</v>
      </c>
      <c r="V51" s="46">
        <v>89.820999999999998</v>
      </c>
      <c r="W51" s="46">
        <v>82.423999999999992</v>
      </c>
      <c r="X51" s="46">
        <v>95.436999999999998</v>
      </c>
      <c r="Y51" s="46">
        <v>73.14100000000002</v>
      </c>
      <c r="Z51" s="46">
        <v>91.61999999999999</v>
      </c>
      <c r="AA51" s="46">
        <v>59.532000000000004</v>
      </c>
      <c r="AB51" s="46">
        <v>82.178000000000011</v>
      </c>
      <c r="AC51" s="46">
        <v>8.4939999999999998</v>
      </c>
      <c r="AD51" s="60">
        <v>0</v>
      </c>
      <c r="AE51" s="46">
        <v>1.5069999999999999</v>
      </c>
      <c r="AF51" s="46">
        <v>100.06000000000002</v>
      </c>
      <c r="AG51" s="46">
        <v>100.17800000000003</v>
      </c>
      <c r="AH51" s="46">
        <v>81.394000000000005</v>
      </c>
      <c r="AI51" s="46">
        <v>79.882999999999996</v>
      </c>
      <c r="AJ51" s="46">
        <v>92.503</v>
      </c>
      <c r="AK51" s="46">
        <v>71.511000000000024</v>
      </c>
      <c r="AL51" s="46">
        <v>94.790999999999997</v>
      </c>
      <c r="AM51" s="46">
        <v>87.632000000000019</v>
      </c>
      <c r="AN51" s="46">
        <v>75.798000000000002</v>
      </c>
      <c r="AO51" s="46"/>
      <c r="AP51" s="46">
        <f t="shared" si="0"/>
        <v>75.864633333333344</v>
      </c>
      <c r="AQ51" s="67">
        <f t="shared" si="1"/>
        <v>25.288211111111114</v>
      </c>
    </row>
    <row r="52" spans="1:43" ht="15.6" x14ac:dyDescent="0.3">
      <c r="A52" s="5">
        <v>51</v>
      </c>
      <c r="B52" s="6" t="s">
        <v>58</v>
      </c>
      <c r="C52" s="12" t="s">
        <v>214</v>
      </c>
      <c r="D52" s="6" t="s">
        <v>61</v>
      </c>
      <c r="E52" s="6" t="s">
        <v>12</v>
      </c>
      <c r="F52" s="6" t="s">
        <v>13</v>
      </c>
      <c r="G52" s="6" t="s">
        <v>35</v>
      </c>
      <c r="H52" s="5">
        <v>9</v>
      </c>
      <c r="I52" s="74" t="s">
        <v>273</v>
      </c>
      <c r="J52" s="74"/>
      <c r="K52" s="46">
        <v>206.10100000000003</v>
      </c>
      <c r="L52" s="46">
        <v>191.36100000000002</v>
      </c>
      <c r="M52" s="46">
        <v>164.60999999999999</v>
      </c>
      <c r="N52" s="46">
        <v>207.84500000000006</v>
      </c>
      <c r="O52" s="46">
        <v>128.27099999999999</v>
      </c>
      <c r="P52" s="46">
        <v>186.83</v>
      </c>
      <c r="Q52" s="46">
        <v>224.43500000000006</v>
      </c>
      <c r="R52" s="46">
        <v>229.96100000000004</v>
      </c>
      <c r="S52" s="46">
        <v>126.10799999999999</v>
      </c>
      <c r="T52" s="46">
        <v>197.67700000000008</v>
      </c>
      <c r="U52" s="46">
        <v>231.86500000000001</v>
      </c>
      <c r="V52" s="46">
        <v>168.38800000000001</v>
      </c>
      <c r="W52" s="46">
        <v>205.02900000000002</v>
      </c>
      <c r="X52" s="46">
        <v>148.67199999999994</v>
      </c>
      <c r="Y52" s="46">
        <v>203.81700000000012</v>
      </c>
      <c r="Z52" s="46">
        <v>202.31699999999998</v>
      </c>
      <c r="AA52" s="46">
        <v>161.14299999999997</v>
      </c>
      <c r="AB52" s="46">
        <v>138.52000000000004</v>
      </c>
      <c r="AC52" s="46">
        <v>129.53200000000001</v>
      </c>
      <c r="AD52" s="46">
        <v>153.40299999999996</v>
      </c>
      <c r="AE52" s="46">
        <v>165.92300000000003</v>
      </c>
      <c r="AF52" s="46">
        <v>187.10499999999996</v>
      </c>
      <c r="AG52" s="46">
        <v>171.27300000000002</v>
      </c>
      <c r="AH52" s="46">
        <v>163.67600000000004</v>
      </c>
      <c r="AI52" s="46">
        <v>146.69</v>
      </c>
      <c r="AJ52" s="46">
        <v>179.577</v>
      </c>
      <c r="AK52" s="46">
        <v>175.92600000000004</v>
      </c>
      <c r="AL52" s="46">
        <v>198.50900000000004</v>
      </c>
      <c r="AM52" s="46">
        <v>139.04899999999998</v>
      </c>
      <c r="AN52" s="46">
        <v>172.73199999999997</v>
      </c>
      <c r="AO52" s="46"/>
      <c r="AP52" s="46">
        <f t="shared" si="0"/>
        <v>176.87816666666671</v>
      </c>
      <c r="AQ52" s="67">
        <f t="shared" si="1"/>
        <v>19.653129629629635</v>
      </c>
    </row>
    <row r="53" spans="1:43" ht="15.6" x14ac:dyDescent="0.3">
      <c r="A53" s="5">
        <v>52</v>
      </c>
      <c r="B53" s="6" t="s">
        <v>58</v>
      </c>
      <c r="C53" s="12" t="s">
        <v>215</v>
      </c>
      <c r="D53" s="6" t="s">
        <v>63</v>
      </c>
      <c r="E53" s="6" t="s">
        <v>19</v>
      </c>
      <c r="F53" s="6" t="s">
        <v>13</v>
      </c>
      <c r="G53" s="12" t="s">
        <v>35</v>
      </c>
      <c r="H53" s="5">
        <v>8</v>
      </c>
      <c r="I53" s="74" t="s">
        <v>273</v>
      </c>
      <c r="J53" s="74"/>
      <c r="K53" s="46">
        <v>110.92100000000001</v>
      </c>
      <c r="L53" s="46">
        <v>75.141000000000005</v>
      </c>
      <c r="M53" s="46">
        <v>121.15100000000005</v>
      </c>
      <c r="N53" s="46">
        <v>60.493999999999993</v>
      </c>
      <c r="O53" s="46">
        <v>64.053999999999988</v>
      </c>
      <c r="P53" s="46">
        <v>77.746999999999986</v>
      </c>
      <c r="Q53" s="46">
        <v>94.909000000000034</v>
      </c>
      <c r="R53" s="46">
        <v>67.615000000000009</v>
      </c>
      <c r="S53" s="46">
        <v>55.069999999999979</v>
      </c>
      <c r="T53" s="46">
        <v>69.128</v>
      </c>
      <c r="U53" s="46">
        <v>92.507000000000005</v>
      </c>
      <c r="V53" s="46">
        <v>111.14599999999999</v>
      </c>
      <c r="W53" s="46">
        <v>68.707000000000008</v>
      </c>
      <c r="X53" s="46">
        <v>69.433000000000007</v>
      </c>
      <c r="Y53" s="46">
        <v>61.495999999999995</v>
      </c>
      <c r="Z53" s="46">
        <v>76.682999999999993</v>
      </c>
      <c r="AA53" s="46">
        <v>25.712</v>
      </c>
      <c r="AB53" s="46">
        <v>44.289000000000001</v>
      </c>
      <c r="AC53" s="46">
        <v>51.347000000000001</v>
      </c>
      <c r="AD53" s="46">
        <v>65.95</v>
      </c>
      <c r="AE53" s="46">
        <v>31.414999999999999</v>
      </c>
      <c r="AF53" s="46">
        <v>52.971999999999994</v>
      </c>
      <c r="AG53" s="46">
        <v>95.902000000000029</v>
      </c>
      <c r="AH53" s="46">
        <v>83.887999999999991</v>
      </c>
      <c r="AI53" s="46">
        <v>112.90600000000001</v>
      </c>
      <c r="AJ53" s="46">
        <v>64.38000000000001</v>
      </c>
      <c r="AK53" s="46">
        <v>88.450999999999979</v>
      </c>
      <c r="AL53" s="46">
        <v>55.752999999999986</v>
      </c>
      <c r="AM53" s="46">
        <v>30.207000000000001</v>
      </c>
      <c r="AN53" s="46">
        <v>62.162999999999997</v>
      </c>
      <c r="AO53" s="46"/>
      <c r="AP53" s="46">
        <f t="shared" si="0"/>
        <v>71.384566666666672</v>
      </c>
      <c r="AQ53" s="67">
        <f t="shared" si="1"/>
        <v>8.923070833333334</v>
      </c>
    </row>
    <row r="54" spans="1:43" ht="15.6" x14ac:dyDescent="0.3">
      <c r="A54" s="5">
        <v>53</v>
      </c>
      <c r="B54" s="6" t="s">
        <v>58</v>
      </c>
      <c r="C54" s="12" t="s">
        <v>215</v>
      </c>
      <c r="D54" s="6" t="s">
        <v>63</v>
      </c>
      <c r="E54" s="6" t="s">
        <v>19</v>
      </c>
      <c r="F54" s="6" t="s">
        <v>64</v>
      </c>
      <c r="G54" s="6" t="s">
        <v>80</v>
      </c>
      <c r="H54" s="5">
        <v>1</v>
      </c>
      <c r="I54" s="74" t="s">
        <v>273</v>
      </c>
      <c r="J54" s="74"/>
      <c r="K54" s="46">
        <v>0</v>
      </c>
      <c r="L54" s="45">
        <v>0</v>
      </c>
      <c r="M54" s="45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60">
        <v>0</v>
      </c>
      <c r="AG54" s="60">
        <v>0</v>
      </c>
      <c r="AH54" s="54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/>
      <c r="AP54" s="46">
        <f t="shared" si="0"/>
        <v>0</v>
      </c>
      <c r="AQ54" s="67">
        <f t="shared" si="1"/>
        <v>0</v>
      </c>
    </row>
    <row r="55" spans="1:43" ht="15.6" x14ac:dyDescent="0.3">
      <c r="A55" s="5">
        <v>54</v>
      </c>
      <c r="B55" s="6" t="s">
        <v>58</v>
      </c>
      <c r="C55" s="12" t="s">
        <v>216</v>
      </c>
      <c r="D55" s="6" t="s">
        <v>128</v>
      </c>
      <c r="E55" s="6" t="s">
        <v>12</v>
      </c>
      <c r="F55" s="6" t="s">
        <v>13</v>
      </c>
      <c r="G55" s="12" t="s">
        <v>35</v>
      </c>
      <c r="H55" s="5">
        <v>7</v>
      </c>
      <c r="I55" s="74" t="s">
        <v>273</v>
      </c>
      <c r="J55" s="74"/>
      <c r="K55" s="46">
        <v>169.25700000000001</v>
      </c>
      <c r="L55" s="46">
        <v>168.529</v>
      </c>
      <c r="M55" s="46">
        <v>224.73000000000002</v>
      </c>
      <c r="N55" s="46">
        <v>155.98799999999997</v>
      </c>
      <c r="O55" s="46">
        <v>179.35499999999999</v>
      </c>
      <c r="P55" s="46">
        <v>154.839</v>
      </c>
      <c r="Q55" s="46">
        <v>199.83699999999999</v>
      </c>
      <c r="R55" s="46">
        <v>170.78700000000001</v>
      </c>
      <c r="S55" s="46">
        <v>151.41600000000003</v>
      </c>
      <c r="T55" s="46">
        <v>187.49100000000001</v>
      </c>
      <c r="U55" s="46">
        <v>170.26199999999997</v>
      </c>
      <c r="V55" s="46">
        <v>182.91800000000003</v>
      </c>
      <c r="W55" s="46">
        <v>154.81699999999998</v>
      </c>
      <c r="X55" s="46">
        <v>169.952</v>
      </c>
      <c r="Y55" s="46">
        <v>203.65800000000002</v>
      </c>
      <c r="Z55" s="46">
        <v>177.785</v>
      </c>
      <c r="AA55" s="46">
        <v>165.208</v>
      </c>
      <c r="AB55" s="46">
        <v>174.51</v>
      </c>
      <c r="AC55" s="46">
        <v>172.27600000000001</v>
      </c>
      <c r="AD55" s="46">
        <v>159.54400000000001</v>
      </c>
      <c r="AE55" s="46">
        <v>173.67500000000004</v>
      </c>
      <c r="AF55" s="46">
        <v>140.48100000000002</v>
      </c>
      <c r="AG55" s="46">
        <v>167.673</v>
      </c>
      <c r="AH55" s="46">
        <v>168.8</v>
      </c>
      <c r="AI55" s="46">
        <v>152.78799999999998</v>
      </c>
      <c r="AJ55" s="46">
        <v>177.56899999999999</v>
      </c>
      <c r="AK55" s="46">
        <v>171.51999999999998</v>
      </c>
      <c r="AL55" s="46">
        <v>170.762</v>
      </c>
      <c r="AM55" s="46">
        <v>124.78499999999997</v>
      </c>
      <c r="AN55" s="46">
        <v>162.80799999999999</v>
      </c>
      <c r="AO55" s="46"/>
      <c r="AP55" s="46">
        <f t="shared" si="0"/>
        <v>170.13400000000001</v>
      </c>
      <c r="AQ55" s="67">
        <f t="shared" si="1"/>
        <v>24.304857142857145</v>
      </c>
    </row>
    <row r="56" spans="1:43" ht="15.6" x14ac:dyDescent="0.3">
      <c r="A56" s="5">
        <v>55</v>
      </c>
      <c r="B56" s="6" t="s">
        <v>58</v>
      </c>
      <c r="C56" s="12" t="s">
        <v>355</v>
      </c>
      <c r="D56" s="6" t="s">
        <v>128</v>
      </c>
      <c r="E56" s="6" t="s">
        <v>12</v>
      </c>
      <c r="F56" s="6" t="s">
        <v>13</v>
      </c>
      <c r="G56" s="12" t="s">
        <v>35</v>
      </c>
      <c r="H56" s="5">
        <v>10</v>
      </c>
      <c r="I56" s="74" t="s">
        <v>273</v>
      </c>
      <c r="J56" s="74"/>
      <c r="K56" s="46"/>
      <c r="L56" s="46"/>
      <c r="M56" s="46"/>
      <c r="N56" s="46"/>
      <c r="O56" s="46"/>
      <c r="P56" s="46"/>
      <c r="Q56" s="46"/>
      <c r="R56" s="46"/>
      <c r="S56" s="46"/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53">
        <v>0</v>
      </c>
      <c r="AD56" s="60">
        <v>0</v>
      </c>
      <c r="AE56" s="60">
        <v>0</v>
      </c>
      <c r="AF56" s="60">
        <v>0</v>
      </c>
      <c r="AG56" s="60">
        <v>0</v>
      </c>
      <c r="AH56" s="54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112.51299999999999</v>
      </c>
      <c r="AN56" s="46">
        <v>214.93600000000006</v>
      </c>
      <c r="AO56" s="46"/>
      <c r="AP56" s="46">
        <f t="shared" si="0"/>
        <v>15.592809523809526</v>
      </c>
      <c r="AQ56" s="67">
        <f t="shared" si="1"/>
        <v>1.5592809523809525</v>
      </c>
    </row>
    <row r="57" spans="1:43" ht="15.6" x14ac:dyDescent="0.3">
      <c r="A57" s="5">
        <v>56</v>
      </c>
      <c r="B57" s="6" t="s">
        <v>58</v>
      </c>
      <c r="C57" s="12" t="s">
        <v>249</v>
      </c>
      <c r="D57" s="6" t="s">
        <v>128</v>
      </c>
      <c r="E57" s="6" t="s">
        <v>12</v>
      </c>
      <c r="F57" s="6" t="s">
        <v>13</v>
      </c>
      <c r="G57" s="12" t="s">
        <v>35</v>
      </c>
      <c r="H57" s="5">
        <v>8</v>
      </c>
      <c r="I57" s="74" t="s">
        <v>273</v>
      </c>
      <c r="J57" s="74"/>
      <c r="K57" s="46">
        <v>134.126</v>
      </c>
      <c r="L57" s="46">
        <v>140.14000000000004</v>
      </c>
      <c r="M57" s="46">
        <v>143.00299999999999</v>
      </c>
      <c r="N57" s="46">
        <v>92.23</v>
      </c>
      <c r="O57" s="46">
        <v>118.54599999999999</v>
      </c>
      <c r="P57" s="46">
        <v>118.67600000000002</v>
      </c>
      <c r="Q57" s="46">
        <v>148.321</v>
      </c>
      <c r="R57" s="46">
        <v>146.10799999999998</v>
      </c>
      <c r="S57" s="46">
        <v>133.54600000000002</v>
      </c>
      <c r="T57" s="46">
        <v>115.18599999999999</v>
      </c>
      <c r="U57" s="46">
        <v>133.06100000000001</v>
      </c>
      <c r="V57" s="46">
        <v>118.75399999999996</v>
      </c>
      <c r="W57" s="46">
        <v>122.387</v>
      </c>
      <c r="X57" s="46">
        <v>137.21900000000005</v>
      </c>
      <c r="Y57" s="46">
        <v>118.72100000000002</v>
      </c>
      <c r="Z57" s="46">
        <v>114.53500000000005</v>
      </c>
      <c r="AA57" s="46">
        <v>132.18199999999999</v>
      </c>
      <c r="AB57" s="46">
        <v>143.60500000000002</v>
      </c>
      <c r="AC57" s="46">
        <v>137.21299999999999</v>
      </c>
      <c r="AD57" s="46">
        <v>137.90799999999996</v>
      </c>
      <c r="AE57" s="46">
        <v>143.46200000000002</v>
      </c>
      <c r="AF57" s="46">
        <v>102.23499999999999</v>
      </c>
      <c r="AG57" s="46">
        <v>158.36299999999994</v>
      </c>
      <c r="AH57" s="46">
        <v>124.371</v>
      </c>
      <c r="AI57" s="46">
        <v>130.77000000000001</v>
      </c>
      <c r="AJ57" s="46">
        <v>135.26299999999998</v>
      </c>
      <c r="AK57" s="46">
        <v>88.382999999999996</v>
      </c>
      <c r="AL57" s="46">
        <v>120.45499999999998</v>
      </c>
      <c r="AM57" s="46">
        <v>119.58599999999998</v>
      </c>
      <c r="AN57" s="46">
        <v>142.636</v>
      </c>
      <c r="AO57" s="46"/>
      <c r="AP57" s="46">
        <f t="shared" si="0"/>
        <v>128.36636666666666</v>
      </c>
      <c r="AQ57" s="67">
        <f t="shared" si="1"/>
        <v>16.045795833333333</v>
      </c>
    </row>
    <row r="58" spans="1:43" ht="15.6" x14ac:dyDescent="0.3">
      <c r="A58" s="5">
        <v>57</v>
      </c>
      <c r="B58" s="6" t="s">
        <v>58</v>
      </c>
      <c r="C58" s="12" t="s">
        <v>256</v>
      </c>
      <c r="D58" s="6" t="s">
        <v>128</v>
      </c>
      <c r="E58" s="6" t="s">
        <v>12</v>
      </c>
      <c r="F58" s="6" t="s">
        <v>13</v>
      </c>
      <c r="G58" s="12" t="s">
        <v>35</v>
      </c>
      <c r="H58" s="5">
        <v>6</v>
      </c>
      <c r="I58" s="74" t="s">
        <v>273</v>
      </c>
      <c r="J58" s="74"/>
      <c r="K58" s="46">
        <v>0</v>
      </c>
      <c r="L58" s="45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9.9759999999999991</v>
      </c>
      <c r="Y58" s="46">
        <v>3.4319999999999999</v>
      </c>
      <c r="Z58" s="46">
        <v>0</v>
      </c>
      <c r="AA58" s="46">
        <v>0</v>
      </c>
      <c r="AB58" s="46">
        <v>0</v>
      </c>
      <c r="AC58" s="53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46">
        <v>0</v>
      </c>
      <c r="AL58" s="46">
        <v>0</v>
      </c>
      <c r="AM58" s="46">
        <v>0</v>
      </c>
      <c r="AN58" s="46">
        <v>0</v>
      </c>
      <c r="AO58" s="46"/>
      <c r="AP58" s="46">
        <f t="shared" si="0"/>
        <v>0.44693333333333329</v>
      </c>
      <c r="AQ58" s="67">
        <f t="shared" si="1"/>
        <v>7.4488888888888882E-2</v>
      </c>
    </row>
    <row r="59" spans="1:43" ht="15.6" x14ac:dyDescent="0.3">
      <c r="A59" s="5">
        <v>58</v>
      </c>
      <c r="B59" s="6" t="s">
        <v>119</v>
      </c>
      <c r="C59" s="12" t="s">
        <v>217</v>
      </c>
      <c r="D59" s="6" t="s">
        <v>30</v>
      </c>
      <c r="E59" s="6" t="s">
        <v>12</v>
      </c>
      <c r="F59" s="6" t="s">
        <v>121</v>
      </c>
      <c r="G59" s="6" t="s">
        <v>35</v>
      </c>
      <c r="H59" s="5">
        <v>20</v>
      </c>
      <c r="I59" s="74" t="s">
        <v>273</v>
      </c>
      <c r="J59" s="74"/>
      <c r="K59" s="46">
        <v>81.986999999999981</v>
      </c>
      <c r="L59" s="46">
        <v>32.458000000000006</v>
      </c>
      <c r="M59" s="46">
        <v>56.978999999999999</v>
      </c>
      <c r="N59" s="46">
        <v>86.382000000000019</v>
      </c>
      <c r="O59" s="46">
        <v>63.963000000000008</v>
      </c>
      <c r="P59" s="46">
        <v>105.02900000000004</v>
      </c>
      <c r="Q59" s="46">
        <v>89.885999999999996</v>
      </c>
      <c r="R59" s="46">
        <v>85.858000000000018</v>
      </c>
      <c r="S59" s="46">
        <v>37.676999999999985</v>
      </c>
      <c r="T59" s="46">
        <v>0</v>
      </c>
      <c r="U59" s="46">
        <v>18.732000000000003</v>
      </c>
      <c r="V59" s="46">
        <v>82.834000000000017</v>
      </c>
      <c r="W59" s="46">
        <v>74.2</v>
      </c>
      <c r="X59" s="46">
        <v>53.854000000000006</v>
      </c>
      <c r="Y59" s="46">
        <v>46.592999999999989</v>
      </c>
      <c r="Z59" s="46">
        <v>38.385999999999996</v>
      </c>
      <c r="AA59" s="46">
        <v>30.018000000000004</v>
      </c>
      <c r="AB59" s="46">
        <v>61.083000000000013</v>
      </c>
      <c r="AC59" s="46">
        <v>54.827000000000012</v>
      </c>
      <c r="AD59" s="46">
        <v>53.35799999999999</v>
      </c>
      <c r="AE59" s="46">
        <v>49.615000000000009</v>
      </c>
      <c r="AF59" s="46">
        <v>68.853000000000009</v>
      </c>
      <c r="AG59" s="46">
        <v>18.622999999999998</v>
      </c>
      <c r="AH59" s="46">
        <v>58.523999999999994</v>
      </c>
      <c r="AI59" s="46">
        <v>83.000000000000028</v>
      </c>
      <c r="AJ59" s="46">
        <v>68.045000000000002</v>
      </c>
      <c r="AK59" s="46">
        <v>75.736000000000018</v>
      </c>
      <c r="AL59" s="46">
        <v>58.998999999999995</v>
      </c>
      <c r="AM59" s="46">
        <v>21.266999999999999</v>
      </c>
      <c r="AN59" s="46">
        <v>2.09</v>
      </c>
      <c r="AO59" s="46"/>
      <c r="AP59" s="46">
        <f t="shared" si="0"/>
        <v>55.295200000000015</v>
      </c>
      <c r="AQ59" s="67">
        <f t="shared" si="1"/>
        <v>2.7647600000000008</v>
      </c>
    </row>
    <row r="60" spans="1:43" ht="15.6" x14ac:dyDescent="0.3">
      <c r="A60" s="5">
        <v>59</v>
      </c>
      <c r="B60" s="6" t="s">
        <v>119</v>
      </c>
      <c r="C60" s="12" t="s">
        <v>218</v>
      </c>
      <c r="D60" s="6" t="s">
        <v>128</v>
      </c>
      <c r="E60" s="6" t="s">
        <v>12</v>
      </c>
      <c r="F60" s="6" t="s">
        <v>121</v>
      </c>
      <c r="G60" s="6" t="s">
        <v>35</v>
      </c>
      <c r="H60" s="5">
        <v>3</v>
      </c>
      <c r="I60" s="74" t="s">
        <v>273</v>
      </c>
      <c r="J60" s="74"/>
      <c r="K60" s="46">
        <v>0</v>
      </c>
      <c r="L60" s="45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6.83</v>
      </c>
      <c r="AD60" s="46">
        <v>3.9420000000000002</v>
      </c>
      <c r="AE60" s="46">
        <v>0</v>
      </c>
      <c r="AF60" s="60">
        <v>0</v>
      </c>
      <c r="AG60" s="60">
        <v>0</v>
      </c>
      <c r="AH60" s="54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/>
      <c r="AP60" s="46">
        <f t="shared" si="0"/>
        <v>0.3590666666666667</v>
      </c>
      <c r="AQ60" s="67">
        <f t="shared" si="1"/>
        <v>0.1196888888888889</v>
      </c>
    </row>
    <row r="61" spans="1:43" ht="15.6" x14ac:dyDescent="0.3">
      <c r="A61" s="5">
        <v>60</v>
      </c>
      <c r="B61" s="6" t="s">
        <v>55</v>
      </c>
      <c r="C61" s="12" t="s">
        <v>219</v>
      </c>
      <c r="D61" s="6" t="s">
        <v>57</v>
      </c>
      <c r="E61" s="6" t="s">
        <v>12</v>
      </c>
      <c r="F61" s="6" t="s">
        <v>13</v>
      </c>
      <c r="G61" s="6" t="s">
        <v>35</v>
      </c>
      <c r="H61" s="5">
        <v>40</v>
      </c>
      <c r="I61" s="74" t="s">
        <v>273</v>
      </c>
      <c r="J61" s="74"/>
      <c r="K61" s="46">
        <v>362.46300000000014</v>
      </c>
      <c r="L61" s="46">
        <v>452.41100000000012</v>
      </c>
      <c r="M61" s="46">
        <v>298.70900000000006</v>
      </c>
      <c r="N61" s="46">
        <v>225.67100000000005</v>
      </c>
      <c r="O61" s="46">
        <v>374.2609999999998</v>
      </c>
      <c r="P61" s="46">
        <v>368.7639999999999</v>
      </c>
      <c r="Q61" s="46">
        <v>340.53700000000009</v>
      </c>
      <c r="R61" s="46">
        <v>494.35799999999978</v>
      </c>
      <c r="S61" s="46">
        <v>441.25200000000007</v>
      </c>
      <c r="T61" s="46">
        <v>342.89299999999992</v>
      </c>
      <c r="U61" s="46">
        <v>331.24899999999997</v>
      </c>
      <c r="V61" s="46">
        <v>367.21699999999976</v>
      </c>
      <c r="W61" s="46">
        <v>325.6819999999999</v>
      </c>
      <c r="X61" s="46">
        <v>337.17999999999972</v>
      </c>
      <c r="Y61" s="46">
        <v>400.59800000000007</v>
      </c>
      <c r="Z61" s="46">
        <v>552.97999999999979</v>
      </c>
      <c r="AA61" s="46">
        <v>494.17200000000014</v>
      </c>
      <c r="AB61" s="46">
        <v>300.8180000000001</v>
      </c>
      <c r="AC61" s="46">
        <v>164.72900000000001</v>
      </c>
      <c r="AD61" s="46">
        <v>428.42599999999987</v>
      </c>
      <c r="AE61" s="46">
        <v>320.75099999999986</v>
      </c>
      <c r="AF61" s="46">
        <v>347.24999999999983</v>
      </c>
      <c r="AG61" s="46">
        <v>505.13100000000009</v>
      </c>
      <c r="AH61" s="46">
        <v>338.87099999999992</v>
      </c>
      <c r="AI61" s="46">
        <v>200.49999999999994</v>
      </c>
      <c r="AJ61" s="46">
        <v>342.94599999999997</v>
      </c>
      <c r="AK61" s="46">
        <v>360.89100000000008</v>
      </c>
      <c r="AL61" s="46">
        <v>359.50299999999993</v>
      </c>
      <c r="AM61" s="46">
        <v>445.67899999999992</v>
      </c>
      <c r="AN61" s="46">
        <v>437.28000000000003</v>
      </c>
      <c r="AO61" s="46"/>
      <c r="AP61" s="46">
        <f t="shared" si="0"/>
        <v>368.77239999999995</v>
      </c>
      <c r="AQ61" s="67">
        <f t="shared" si="1"/>
        <v>9.2193099999999983</v>
      </c>
    </row>
    <row r="62" spans="1:43" ht="15.6" x14ac:dyDescent="0.3">
      <c r="A62" s="5">
        <v>61</v>
      </c>
      <c r="B62" s="12" t="s">
        <v>221</v>
      </c>
      <c r="C62" s="12" t="s">
        <v>220</v>
      </c>
      <c r="D62" s="6" t="s">
        <v>30</v>
      </c>
      <c r="E62" s="6" t="s">
        <v>12</v>
      </c>
      <c r="F62" s="6" t="s">
        <v>13</v>
      </c>
      <c r="G62" s="6" t="s">
        <v>35</v>
      </c>
      <c r="H62" s="5">
        <v>19</v>
      </c>
      <c r="I62" s="74" t="s">
        <v>273</v>
      </c>
      <c r="J62" s="74"/>
      <c r="K62" s="46">
        <v>17.426000000000002</v>
      </c>
      <c r="L62" s="46">
        <v>14.012999999999998</v>
      </c>
      <c r="M62" s="46">
        <v>10.543999999999999</v>
      </c>
      <c r="N62" s="46">
        <v>10.267999999999999</v>
      </c>
      <c r="O62" s="46">
        <v>9.5830000000000002</v>
      </c>
      <c r="P62" s="46">
        <v>4.6909999999999998</v>
      </c>
      <c r="Q62" s="46">
        <v>7.6910000000000007</v>
      </c>
      <c r="R62" s="46">
        <v>10.602</v>
      </c>
      <c r="S62" s="46">
        <v>8.9789999999999992</v>
      </c>
      <c r="T62" s="46">
        <v>12.777999999999999</v>
      </c>
      <c r="U62" s="46">
        <v>12.969000000000001</v>
      </c>
      <c r="V62" s="46">
        <v>22.423000000000002</v>
      </c>
      <c r="W62" s="46">
        <v>30.951000000000004</v>
      </c>
      <c r="X62" s="46">
        <v>23.697000000000003</v>
      </c>
      <c r="Y62" s="46">
        <v>12.286000000000001</v>
      </c>
      <c r="Z62" s="46">
        <v>9.3330000000000002</v>
      </c>
      <c r="AA62" s="46">
        <v>6.7469999999999999</v>
      </c>
      <c r="AB62" s="46">
        <v>18.266000000000002</v>
      </c>
      <c r="AC62" s="46">
        <v>12.381</v>
      </c>
      <c r="AD62" s="46">
        <v>9.9280000000000008</v>
      </c>
      <c r="AE62" s="46">
        <v>12.982000000000001</v>
      </c>
      <c r="AF62" s="46">
        <v>10.141999999999999</v>
      </c>
      <c r="AG62" s="46">
        <v>13.483000000000001</v>
      </c>
      <c r="AH62" s="46">
        <v>12.562999999999999</v>
      </c>
      <c r="AI62" s="46">
        <v>12.133000000000001</v>
      </c>
      <c r="AJ62" s="46">
        <v>10.643000000000001</v>
      </c>
      <c r="AK62" s="46">
        <v>11.326000000000001</v>
      </c>
      <c r="AL62" s="46">
        <v>9.9439999999999991</v>
      </c>
      <c r="AM62" s="46">
        <v>4.8479999999999999</v>
      </c>
      <c r="AN62" s="46">
        <v>16.393000000000001</v>
      </c>
      <c r="AO62" s="46"/>
      <c r="AP62" s="46">
        <f t="shared" si="0"/>
        <v>12.667100000000001</v>
      </c>
      <c r="AQ62" s="67">
        <f t="shared" si="1"/>
        <v>0.66668947368421061</v>
      </c>
    </row>
    <row r="63" spans="1:43" x14ac:dyDescent="0.3">
      <c r="A63" s="5">
        <v>62</v>
      </c>
      <c r="B63" s="12" t="s">
        <v>222</v>
      </c>
      <c r="C63" s="12" t="s">
        <v>223</v>
      </c>
      <c r="D63" s="6" t="s">
        <v>69</v>
      </c>
      <c r="E63" s="6" t="s">
        <v>12</v>
      </c>
      <c r="F63" s="6" t="s">
        <v>40</v>
      </c>
      <c r="G63" s="6" t="s">
        <v>35</v>
      </c>
      <c r="H63" s="5">
        <v>2</v>
      </c>
      <c r="I63" s="67" t="s">
        <v>272</v>
      </c>
      <c r="J63" s="67"/>
      <c r="K63" s="46">
        <v>0</v>
      </c>
      <c r="L63" s="45">
        <v>0</v>
      </c>
      <c r="M63" s="45">
        <v>0</v>
      </c>
      <c r="N63" s="46">
        <v>0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60">
        <v>0</v>
      </c>
      <c r="AG63" s="60">
        <v>0</v>
      </c>
      <c r="AH63" s="54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>
        <v>0</v>
      </c>
      <c r="AO63" s="46"/>
      <c r="AP63" s="46">
        <f t="shared" si="0"/>
        <v>0</v>
      </c>
      <c r="AQ63" s="67">
        <f t="shared" si="1"/>
        <v>0</v>
      </c>
    </row>
    <row r="64" spans="1:43" ht="15.6" x14ac:dyDescent="0.3">
      <c r="A64" s="5">
        <v>63</v>
      </c>
      <c r="B64" s="12" t="s">
        <v>175</v>
      </c>
      <c r="C64" s="12" t="s">
        <v>174</v>
      </c>
      <c r="D64" s="6" t="s">
        <v>128</v>
      </c>
      <c r="E64" s="6" t="s">
        <v>12</v>
      </c>
      <c r="F64" s="6" t="s">
        <v>121</v>
      </c>
      <c r="G64" s="6" t="s">
        <v>35</v>
      </c>
      <c r="H64" s="5">
        <v>10</v>
      </c>
      <c r="I64" s="74" t="s">
        <v>273</v>
      </c>
      <c r="J64" s="74"/>
      <c r="K64" s="46">
        <v>60.704999999999977</v>
      </c>
      <c r="L64" s="46">
        <v>88.32</v>
      </c>
      <c r="M64" s="46">
        <v>60.126000000000005</v>
      </c>
      <c r="N64" s="46">
        <v>90.430999999999997</v>
      </c>
      <c r="O64" s="46">
        <v>46.073000000000008</v>
      </c>
      <c r="P64" s="46">
        <v>18.837</v>
      </c>
      <c r="Q64" s="46">
        <v>18.059999999999999</v>
      </c>
      <c r="R64" s="46">
        <v>43.782999999999994</v>
      </c>
      <c r="S64" s="46">
        <v>35.062000000000005</v>
      </c>
      <c r="T64" s="46">
        <v>48.127000000000002</v>
      </c>
      <c r="U64" s="46">
        <v>30.368999999999996</v>
      </c>
      <c r="V64" s="46">
        <v>19.170000000000002</v>
      </c>
      <c r="W64" s="46">
        <v>18.917000000000002</v>
      </c>
      <c r="X64" s="46">
        <v>18.794</v>
      </c>
      <c r="Y64" s="46">
        <v>56.327999999999996</v>
      </c>
      <c r="Z64" s="46">
        <v>22.396000000000001</v>
      </c>
      <c r="AA64" s="46">
        <f>36.855-7.86</f>
        <v>28.994999999999997</v>
      </c>
      <c r="AB64" s="46">
        <v>32.26</v>
      </c>
      <c r="AC64" s="46">
        <v>12.94</v>
      </c>
      <c r="AD64" s="60">
        <v>56.23</v>
      </c>
      <c r="AE64" s="46">
        <v>34.549999999999997</v>
      </c>
      <c r="AF64" s="46">
        <v>57.67</v>
      </c>
      <c r="AG64" s="46">
        <v>45.16</v>
      </c>
      <c r="AH64" s="46">
        <v>26.86</v>
      </c>
      <c r="AI64" s="46">
        <v>93.143000000000043</v>
      </c>
      <c r="AJ64" s="46">
        <v>47.01400000000001</v>
      </c>
      <c r="AK64" s="46">
        <v>55.326999999999998</v>
      </c>
      <c r="AL64" s="46">
        <v>45.110000000000007</v>
      </c>
      <c r="AM64" s="46">
        <v>26.015999999999998</v>
      </c>
      <c r="AN64" s="46">
        <v>40.719000000000001</v>
      </c>
      <c r="AO64" s="46"/>
      <c r="AP64" s="46">
        <f t="shared" si="0"/>
        <v>42.583066666666674</v>
      </c>
      <c r="AQ64" s="67">
        <f t="shared" si="1"/>
        <v>4.2583066666666678</v>
      </c>
    </row>
    <row r="65" spans="1:43" ht="15.6" x14ac:dyDescent="0.3">
      <c r="A65" s="5">
        <v>64</v>
      </c>
      <c r="B65" s="12" t="s">
        <v>175</v>
      </c>
      <c r="C65" s="12" t="s">
        <v>174</v>
      </c>
      <c r="D65" s="6" t="s">
        <v>128</v>
      </c>
      <c r="E65" s="6" t="s">
        <v>12</v>
      </c>
      <c r="F65" s="6" t="s">
        <v>40</v>
      </c>
      <c r="G65" s="6" t="s">
        <v>35</v>
      </c>
      <c r="H65" s="5">
        <v>1</v>
      </c>
      <c r="I65" s="74" t="s">
        <v>273</v>
      </c>
      <c r="J65" s="74"/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7.86</v>
      </c>
      <c r="AB65" s="46">
        <v>51.51</v>
      </c>
      <c r="AC65" s="46">
        <v>7.35</v>
      </c>
      <c r="AD65" s="60">
        <v>34.5</v>
      </c>
      <c r="AE65" s="60">
        <v>0.04</v>
      </c>
      <c r="AF65" s="60">
        <v>24.34</v>
      </c>
      <c r="AG65" s="60">
        <v>0.85</v>
      </c>
      <c r="AH65" s="54">
        <v>2.96</v>
      </c>
      <c r="AI65" s="54">
        <v>0</v>
      </c>
      <c r="AJ65" s="54">
        <v>0</v>
      </c>
      <c r="AK65" s="54">
        <v>0</v>
      </c>
      <c r="AL65" s="54">
        <v>0</v>
      </c>
      <c r="AM65" s="54">
        <v>0</v>
      </c>
      <c r="AN65" s="54">
        <v>0</v>
      </c>
      <c r="AO65" s="54"/>
      <c r="AP65" s="46">
        <f t="shared" si="0"/>
        <v>4.3136666666666663</v>
      </c>
      <c r="AQ65" s="67">
        <f t="shared" si="1"/>
        <v>4.3136666666666663</v>
      </c>
    </row>
    <row r="66" spans="1:43" x14ac:dyDescent="0.3">
      <c r="A66" s="5">
        <v>65</v>
      </c>
      <c r="B66" s="12" t="s">
        <v>175</v>
      </c>
      <c r="C66" s="12" t="s">
        <v>241</v>
      </c>
      <c r="D66" s="6" t="s">
        <v>128</v>
      </c>
      <c r="E66" s="6" t="s">
        <v>12</v>
      </c>
      <c r="F66" s="6" t="s">
        <v>124</v>
      </c>
      <c r="G66" s="6" t="s">
        <v>80</v>
      </c>
      <c r="H66" s="5">
        <v>1</v>
      </c>
      <c r="I66" s="67" t="s">
        <v>160</v>
      </c>
      <c r="J66" s="67"/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9.7299999999999986</v>
      </c>
      <c r="AD66" s="46">
        <v>0</v>
      </c>
      <c r="AE66" s="46">
        <v>0</v>
      </c>
      <c r="AF66" s="46">
        <v>0</v>
      </c>
      <c r="AG66" s="46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/>
      <c r="AP66" s="46">
        <f t="shared" si="0"/>
        <v>0.32433333333333331</v>
      </c>
      <c r="AQ66" s="67">
        <f t="shared" si="1"/>
        <v>0.32433333333333331</v>
      </c>
    </row>
    <row r="67" spans="1:43" x14ac:dyDescent="0.3">
      <c r="A67" s="5">
        <v>66</v>
      </c>
      <c r="B67" s="12" t="s">
        <v>175</v>
      </c>
      <c r="C67" s="12" t="s">
        <v>240</v>
      </c>
      <c r="D67" s="6" t="s">
        <v>128</v>
      </c>
      <c r="E67" s="6" t="s">
        <v>12</v>
      </c>
      <c r="F67" s="6" t="s">
        <v>124</v>
      </c>
      <c r="G67" s="6" t="s">
        <v>80</v>
      </c>
      <c r="H67" s="5">
        <v>1</v>
      </c>
      <c r="I67" s="67" t="s">
        <v>160</v>
      </c>
      <c r="J67" s="67"/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/>
      <c r="AP67" s="46">
        <f t="shared" ref="AP67:AP99" si="2">AVERAGE(K67:AN67)</f>
        <v>0</v>
      </c>
      <c r="AQ67" s="67">
        <f t="shared" si="1"/>
        <v>0</v>
      </c>
    </row>
    <row r="68" spans="1:43" x14ac:dyDescent="0.3">
      <c r="A68" s="5">
        <v>67</v>
      </c>
      <c r="B68" s="12" t="s">
        <v>175</v>
      </c>
      <c r="C68" s="12" t="s">
        <v>242</v>
      </c>
      <c r="D68" s="6" t="s">
        <v>128</v>
      </c>
      <c r="E68" s="6" t="s">
        <v>12</v>
      </c>
      <c r="F68" s="6" t="s">
        <v>124</v>
      </c>
      <c r="G68" s="6" t="s">
        <v>80</v>
      </c>
      <c r="H68" s="5">
        <v>1</v>
      </c>
      <c r="I68" s="67" t="s">
        <v>160</v>
      </c>
      <c r="J68" s="67"/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0.61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/>
      <c r="AP68" s="46">
        <f t="shared" si="2"/>
        <v>2.0333333333333332E-2</v>
      </c>
      <c r="AQ68" s="67">
        <f t="shared" ref="AQ68:AQ99" si="3">AP68/H68</f>
        <v>2.0333333333333332E-2</v>
      </c>
    </row>
    <row r="69" spans="1:43" ht="15.6" x14ac:dyDescent="0.3">
      <c r="A69" s="5">
        <v>68</v>
      </c>
      <c r="B69" s="6" t="s">
        <v>65</v>
      </c>
      <c r="C69" s="12" t="s">
        <v>224</v>
      </c>
      <c r="D69" s="6" t="s">
        <v>30</v>
      </c>
      <c r="E69" s="6" t="s">
        <v>12</v>
      </c>
      <c r="F69" s="6" t="s">
        <v>13</v>
      </c>
      <c r="G69" s="6" t="s">
        <v>35</v>
      </c>
      <c r="H69" s="5">
        <v>5</v>
      </c>
      <c r="I69" s="74" t="s">
        <v>273</v>
      </c>
      <c r="J69" s="74"/>
      <c r="K69" s="46">
        <v>54.02</v>
      </c>
      <c r="L69" s="46">
        <v>49.312000000000005</v>
      </c>
      <c r="M69" s="46">
        <v>46.436</v>
      </c>
      <c r="N69" s="46">
        <v>75.896000000000015</v>
      </c>
      <c r="O69" s="46">
        <v>49.452999999999996</v>
      </c>
      <c r="P69" s="46">
        <v>55.795000000000002</v>
      </c>
      <c r="Q69" s="46">
        <v>22.443999999999996</v>
      </c>
      <c r="R69" s="46">
        <v>36.475999999999999</v>
      </c>
      <c r="S69" s="46">
        <v>50.649000000000008</v>
      </c>
      <c r="T69" s="46">
        <v>38.648999999999994</v>
      </c>
      <c r="U69" s="46">
        <v>45.260000000000005</v>
      </c>
      <c r="V69" s="46">
        <v>49.683999999999997</v>
      </c>
      <c r="W69" s="46">
        <v>42.98</v>
      </c>
      <c r="X69" s="46">
        <v>47.082999999999991</v>
      </c>
      <c r="Y69" s="46">
        <v>50.559999999999995</v>
      </c>
      <c r="Z69" s="46">
        <v>51.246999999999993</v>
      </c>
      <c r="AA69" s="46">
        <v>51.753000000000007</v>
      </c>
      <c r="AB69" s="46">
        <v>69.652999999999992</v>
      </c>
      <c r="AC69" s="46">
        <v>53.808999999999997</v>
      </c>
      <c r="AD69" s="46">
        <v>66.293000000000006</v>
      </c>
      <c r="AE69" s="46">
        <v>22.17</v>
      </c>
      <c r="AF69" s="46">
        <v>34.059999999999995</v>
      </c>
      <c r="AG69" s="46">
        <v>41.742000000000004</v>
      </c>
      <c r="AH69" s="46">
        <v>36.180999999999997</v>
      </c>
      <c r="AI69" s="46">
        <v>19.619</v>
      </c>
      <c r="AJ69" s="46">
        <v>38.147999999999982</v>
      </c>
      <c r="AK69" s="46">
        <v>26.860000000000003</v>
      </c>
      <c r="AL69" s="46">
        <v>50.018000000000001</v>
      </c>
      <c r="AM69" s="46">
        <v>43.98</v>
      </c>
      <c r="AN69" s="46">
        <v>37.733000000000004</v>
      </c>
      <c r="AO69" s="46"/>
      <c r="AP69" s="46">
        <f t="shared" si="2"/>
        <v>45.265433333333327</v>
      </c>
      <c r="AQ69" s="67">
        <f t="shared" si="3"/>
        <v>9.0530866666666654</v>
      </c>
    </row>
    <row r="70" spans="1:43" ht="15.6" x14ac:dyDescent="0.3">
      <c r="A70" s="5">
        <v>69</v>
      </c>
      <c r="B70" s="6" t="s">
        <v>65</v>
      </c>
      <c r="C70" s="12" t="s">
        <v>225</v>
      </c>
      <c r="D70" s="6" t="s">
        <v>30</v>
      </c>
      <c r="E70" s="6" t="s">
        <v>12</v>
      </c>
      <c r="F70" s="6" t="s">
        <v>13</v>
      </c>
      <c r="G70" s="6" t="s">
        <v>35</v>
      </c>
      <c r="H70" s="5">
        <v>16</v>
      </c>
      <c r="I70" s="74" t="s">
        <v>273</v>
      </c>
      <c r="J70" s="74"/>
      <c r="K70" s="46">
        <v>36.833999999999996</v>
      </c>
      <c r="L70" s="46">
        <v>53.452999999999996</v>
      </c>
      <c r="M70" s="46">
        <v>31.695000000000004</v>
      </c>
      <c r="N70" s="46">
        <v>29.454999999999998</v>
      </c>
      <c r="O70" s="46">
        <v>52.997999999999998</v>
      </c>
      <c r="P70" s="46">
        <v>29.923999999999999</v>
      </c>
      <c r="Q70" s="46">
        <v>61.33</v>
      </c>
      <c r="R70" s="46">
        <v>34.482999999999997</v>
      </c>
      <c r="S70" s="46">
        <v>41.506</v>
      </c>
      <c r="T70" s="46">
        <v>36.855000000000004</v>
      </c>
      <c r="U70" s="46">
        <v>35.342999999999996</v>
      </c>
      <c r="V70" s="46">
        <v>32.945</v>
      </c>
      <c r="W70" s="46">
        <v>41.895000000000003</v>
      </c>
      <c r="X70" s="46">
        <v>34.113</v>
      </c>
      <c r="Y70" s="46">
        <v>53.163999999999994</v>
      </c>
      <c r="Z70" s="46">
        <v>33.305999999999997</v>
      </c>
      <c r="AA70" s="46">
        <v>47.616000000000007</v>
      </c>
      <c r="AB70" s="46">
        <v>30.699000000000002</v>
      </c>
      <c r="AC70" s="46">
        <v>34.4</v>
      </c>
      <c r="AD70" s="46">
        <v>43.5</v>
      </c>
      <c r="AE70" s="46">
        <v>11.654999999999999</v>
      </c>
      <c r="AF70" s="46">
        <v>10.911999999999999</v>
      </c>
      <c r="AG70" s="46">
        <v>15.215999999999999</v>
      </c>
      <c r="AH70" s="46">
        <v>11.897</v>
      </c>
      <c r="AI70" s="46">
        <v>36.156000000000006</v>
      </c>
      <c r="AJ70" s="46">
        <v>37.655000000000001</v>
      </c>
      <c r="AK70" s="46">
        <v>31.57</v>
      </c>
      <c r="AL70" s="46">
        <v>31.102</v>
      </c>
      <c r="AM70" s="46">
        <v>43.316000000000003</v>
      </c>
      <c r="AN70" s="46">
        <v>43.768000000000001</v>
      </c>
      <c r="AO70" s="46"/>
      <c r="AP70" s="46">
        <f t="shared" si="2"/>
        <v>35.625366666666665</v>
      </c>
      <c r="AQ70" s="67">
        <f t="shared" si="3"/>
        <v>2.2265854166666665</v>
      </c>
    </row>
    <row r="71" spans="1:43" ht="15.6" x14ac:dyDescent="0.3">
      <c r="A71" s="5">
        <v>70</v>
      </c>
      <c r="B71" s="6" t="s">
        <v>65</v>
      </c>
      <c r="C71" s="12" t="s">
        <v>226</v>
      </c>
      <c r="D71" s="6" t="s">
        <v>30</v>
      </c>
      <c r="E71" s="6" t="s">
        <v>12</v>
      </c>
      <c r="F71" s="6" t="s">
        <v>13</v>
      </c>
      <c r="G71" s="6" t="s">
        <v>35</v>
      </c>
      <c r="H71" s="5">
        <v>10</v>
      </c>
      <c r="I71" s="74" t="s">
        <v>273</v>
      </c>
      <c r="J71" s="74"/>
      <c r="K71" s="46">
        <v>51.35799999999999</v>
      </c>
      <c r="L71" s="46">
        <v>7.7110000000000003</v>
      </c>
      <c r="M71" s="46">
        <v>16.495000000000001</v>
      </c>
      <c r="N71" s="46">
        <v>29.082000000000001</v>
      </c>
      <c r="O71" s="46">
        <v>1.5109999999999999</v>
      </c>
      <c r="P71" s="46">
        <v>42.338999999999999</v>
      </c>
      <c r="Q71" s="46">
        <v>36.393000000000001</v>
      </c>
      <c r="R71" s="46">
        <v>24.850999999999999</v>
      </c>
      <c r="S71" s="46">
        <v>17.999000000000002</v>
      </c>
      <c r="T71" s="46">
        <v>22.471</v>
      </c>
      <c r="U71" s="46">
        <v>31.806999999999999</v>
      </c>
      <c r="V71" s="46">
        <v>20.076000000000001</v>
      </c>
      <c r="W71" s="46">
        <v>23.121000000000002</v>
      </c>
      <c r="X71" s="46">
        <v>33.580999999999996</v>
      </c>
      <c r="Y71" s="46">
        <v>34.948</v>
      </c>
      <c r="Z71" s="46">
        <v>7.5229999999999997</v>
      </c>
      <c r="AA71" s="46">
        <v>16.649000000000001</v>
      </c>
      <c r="AB71" s="46">
        <v>1.1840000000000002</v>
      </c>
      <c r="AC71" s="46">
        <v>21.785</v>
      </c>
      <c r="AD71" s="79">
        <v>12.846</v>
      </c>
      <c r="AE71" s="46">
        <v>13.038999999999998</v>
      </c>
      <c r="AF71" s="60">
        <v>0</v>
      </c>
      <c r="AG71" s="60">
        <v>0</v>
      </c>
      <c r="AH71" s="54">
        <v>0</v>
      </c>
      <c r="AI71" s="46">
        <v>0</v>
      </c>
      <c r="AJ71" s="46">
        <v>0</v>
      </c>
      <c r="AK71" s="46">
        <v>0</v>
      </c>
      <c r="AL71" s="46">
        <v>0</v>
      </c>
      <c r="AM71" s="46">
        <v>0</v>
      </c>
      <c r="AN71" s="46">
        <v>0</v>
      </c>
      <c r="AO71" s="46"/>
      <c r="AP71" s="46">
        <f t="shared" si="2"/>
        <v>15.558966666666668</v>
      </c>
      <c r="AQ71" s="67">
        <f t="shared" si="3"/>
        <v>1.5558966666666669</v>
      </c>
    </row>
    <row r="72" spans="1:43" ht="15.6" x14ac:dyDescent="0.3">
      <c r="A72" s="5">
        <v>71</v>
      </c>
      <c r="B72" s="6" t="s">
        <v>65</v>
      </c>
      <c r="C72" s="12" t="s">
        <v>227</v>
      </c>
      <c r="D72" s="6" t="s">
        <v>30</v>
      </c>
      <c r="E72" s="6" t="s">
        <v>12</v>
      </c>
      <c r="F72" s="6" t="s">
        <v>13</v>
      </c>
      <c r="G72" s="6" t="s">
        <v>35</v>
      </c>
      <c r="H72" s="5">
        <v>13</v>
      </c>
      <c r="I72" s="74" t="s">
        <v>273</v>
      </c>
      <c r="J72" s="74"/>
      <c r="K72" s="46">
        <v>29.152999999999999</v>
      </c>
      <c r="L72" s="46">
        <v>21.111000000000001</v>
      </c>
      <c r="M72" s="46">
        <v>15.254999999999999</v>
      </c>
      <c r="N72" s="46">
        <v>52.864000000000004</v>
      </c>
      <c r="O72" s="46">
        <v>32.182000000000002</v>
      </c>
      <c r="P72" s="46">
        <v>44.149000000000008</v>
      </c>
      <c r="Q72" s="46">
        <v>56.753999999999998</v>
      </c>
      <c r="R72" s="46">
        <v>45.23</v>
      </c>
      <c r="S72" s="46">
        <v>13.68</v>
      </c>
      <c r="T72" s="46">
        <v>36.673000000000002</v>
      </c>
      <c r="U72" s="46">
        <v>70.936999999999998</v>
      </c>
      <c r="V72" s="46">
        <v>28.782000000000004</v>
      </c>
      <c r="W72" s="46">
        <v>37.884999999999998</v>
      </c>
      <c r="X72" s="46">
        <v>35.511000000000003</v>
      </c>
      <c r="Y72" s="46">
        <v>28.686</v>
      </c>
      <c r="Z72" s="46">
        <v>42.161000000000001</v>
      </c>
      <c r="AA72" s="46">
        <v>13.548</v>
      </c>
      <c r="AB72" s="46">
        <v>61.008999999999993</v>
      </c>
      <c r="AC72" s="46">
        <v>32.177999999999997</v>
      </c>
      <c r="AD72" s="46">
        <v>56.699999999999996</v>
      </c>
      <c r="AE72" s="46">
        <v>48.585999999999999</v>
      </c>
      <c r="AF72" s="46">
        <v>24.288</v>
      </c>
      <c r="AG72" s="46">
        <v>4.1550000000000002</v>
      </c>
      <c r="AH72" s="46">
        <v>25.257999999999999</v>
      </c>
      <c r="AI72" s="46">
        <v>42.51</v>
      </c>
      <c r="AJ72" s="46">
        <v>37.529000000000003</v>
      </c>
      <c r="AK72" s="46">
        <v>26.082999999999998</v>
      </c>
      <c r="AL72" s="46">
        <v>14.141999999999999</v>
      </c>
      <c r="AM72" s="46">
        <v>21.864999999999995</v>
      </c>
      <c r="AN72" s="46">
        <v>21.536000000000001</v>
      </c>
      <c r="AO72" s="46"/>
      <c r="AP72" s="46">
        <f t="shared" si="2"/>
        <v>34.013333333333335</v>
      </c>
      <c r="AQ72" s="67">
        <f t="shared" si="3"/>
        <v>2.6164102564102567</v>
      </c>
    </row>
    <row r="73" spans="1:43" ht="15.6" x14ac:dyDescent="0.3">
      <c r="A73" s="5">
        <v>72</v>
      </c>
      <c r="B73" s="6" t="s">
        <v>65</v>
      </c>
      <c r="C73" s="12" t="s">
        <v>356</v>
      </c>
      <c r="D73" s="6" t="s">
        <v>30</v>
      </c>
      <c r="E73" s="6" t="s">
        <v>12</v>
      </c>
      <c r="F73" s="6" t="s">
        <v>13</v>
      </c>
      <c r="G73" s="6" t="s">
        <v>35</v>
      </c>
      <c r="H73" s="5">
        <v>20</v>
      </c>
      <c r="I73" s="74" t="s">
        <v>273</v>
      </c>
      <c r="J73" s="74"/>
      <c r="K73" s="46">
        <v>2.7429999999999999</v>
      </c>
      <c r="L73" s="46">
        <v>0</v>
      </c>
      <c r="M73" s="46">
        <v>0</v>
      </c>
      <c r="N73" s="46">
        <v>0</v>
      </c>
      <c r="O73" s="46">
        <v>0</v>
      </c>
      <c r="P73" s="45">
        <v>55.13</v>
      </c>
      <c r="Q73" s="46">
        <v>147.10299999999998</v>
      </c>
      <c r="R73" s="46">
        <v>172.29400000000001</v>
      </c>
      <c r="S73" s="46">
        <v>181.33</v>
      </c>
      <c r="T73" s="46">
        <v>198.70900000000003</v>
      </c>
      <c r="U73" s="46">
        <v>104.62700000000001</v>
      </c>
      <c r="V73" s="46">
        <v>155.64600000000002</v>
      </c>
      <c r="W73" s="46">
        <v>284.53599999999994</v>
      </c>
      <c r="X73" s="46">
        <v>172.42200000000003</v>
      </c>
      <c r="Y73" s="46">
        <v>201.98600000000002</v>
      </c>
      <c r="Z73" s="46">
        <v>223.99999999999997</v>
      </c>
      <c r="AA73" s="46">
        <v>118.42399999999996</v>
      </c>
      <c r="AB73" s="46">
        <v>115.648</v>
      </c>
      <c r="AC73" s="46">
        <v>174.001</v>
      </c>
      <c r="AD73" s="46">
        <v>221.95600000000005</v>
      </c>
      <c r="AE73" s="46">
        <v>230.66899999999998</v>
      </c>
      <c r="AF73" s="46">
        <v>215.62700000000001</v>
      </c>
      <c r="AG73" s="46">
        <v>263.56400000000014</v>
      </c>
      <c r="AH73" s="46">
        <v>219.74499999999992</v>
      </c>
      <c r="AI73" s="46">
        <v>139.79599999999999</v>
      </c>
      <c r="AJ73" s="46">
        <v>298.40200000000004</v>
      </c>
      <c r="AK73" s="46">
        <v>196.29400000000004</v>
      </c>
      <c r="AL73" s="46">
        <v>232.9</v>
      </c>
      <c r="AM73" s="46">
        <v>258.02699999999999</v>
      </c>
      <c r="AN73" s="46">
        <v>248.57900000000001</v>
      </c>
      <c r="AO73" s="46"/>
      <c r="AP73" s="46">
        <f t="shared" si="2"/>
        <v>161.13859999999997</v>
      </c>
      <c r="AQ73" s="67">
        <f t="shared" si="3"/>
        <v>8.0569299999999977</v>
      </c>
    </row>
    <row r="74" spans="1:43" x14ac:dyDescent="0.3">
      <c r="A74" s="5">
        <v>73</v>
      </c>
      <c r="B74" s="6" t="s">
        <v>65</v>
      </c>
      <c r="C74" s="12" t="s">
        <v>228</v>
      </c>
      <c r="D74" s="6" t="s">
        <v>30</v>
      </c>
      <c r="E74" s="6" t="s">
        <v>12</v>
      </c>
      <c r="F74" s="6" t="s">
        <v>13</v>
      </c>
      <c r="G74" s="6" t="s">
        <v>35</v>
      </c>
      <c r="H74" s="5">
        <v>1</v>
      </c>
      <c r="I74" s="67" t="s">
        <v>272</v>
      </c>
      <c r="J74" s="67"/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/>
      <c r="AP74" s="46">
        <f t="shared" si="2"/>
        <v>0</v>
      </c>
      <c r="AQ74" s="67">
        <f t="shared" si="3"/>
        <v>0</v>
      </c>
    </row>
    <row r="75" spans="1:43" x14ac:dyDescent="0.3">
      <c r="A75" s="5">
        <v>74</v>
      </c>
      <c r="B75" s="6" t="s">
        <v>65</v>
      </c>
      <c r="C75" s="12" t="s">
        <v>110</v>
      </c>
      <c r="D75" s="6" t="s">
        <v>30</v>
      </c>
      <c r="E75" s="6" t="s">
        <v>12</v>
      </c>
      <c r="F75" s="6" t="s">
        <v>13</v>
      </c>
      <c r="G75" s="6" t="s">
        <v>35</v>
      </c>
      <c r="H75" s="5">
        <v>1</v>
      </c>
      <c r="I75" s="67" t="s">
        <v>272</v>
      </c>
      <c r="J75" s="67"/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46">
        <v>0</v>
      </c>
      <c r="AF75" s="46">
        <v>0</v>
      </c>
      <c r="AG75" s="46">
        <v>0</v>
      </c>
      <c r="AH75" s="60">
        <v>0</v>
      </c>
      <c r="AI75" s="60">
        <v>0</v>
      </c>
      <c r="AJ75" s="60">
        <v>0</v>
      </c>
      <c r="AK75" s="46">
        <v>0</v>
      </c>
      <c r="AL75" s="46">
        <v>0</v>
      </c>
      <c r="AM75" s="46">
        <v>0</v>
      </c>
      <c r="AN75" s="46">
        <v>0</v>
      </c>
      <c r="AO75" s="46"/>
      <c r="AP75" s="46">
        <f t="shared" si="2"/>
        <v>0</v>
      </c>
      <c r="AQ75" s="67">
        <f t="shared" si="3"/>
        <v>0</v>
      </c>
    </row>
    <row r="76" spans="1:43" x14ac:dyDescent="0.3">
      <c r="A76" s="5">
        <v>75</v>
      </c>
      <c r="B76" s="6" t="s">
        <v>65</v>
      </c>
      <c r="C76" s="12" t="s">
        <v>229</v>
      </c>
      <c r="D76" s="6" t="s">
        <v>128</v>
      </c>
      <c r="E76" s="6" t="s">
        <v>12</v>
      </c>
      <c r="F76" s="6" t="s">
        <v>40</v>
      </c>
      <c r="G76" s="6" t="s">
        <v>35</v>
      </c>
      <c r="H76" s="5">
        <v>2</v>
      </c>
      <c r="I76" s="67" t="s">
        <v>160</v>
      </c>
      <c r="J76" s="67"/>
      <c r="K76" s="46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60">
        <v>0</v>
      </c>
      <c r="AG76" s="60">
        <v>0</v>
      </c>
      <c r="AH76" s="60">
        <v>0</v>
      </c>
      <c r="AI76" s="60">
        <v>0</v>
      </c>
      <c r="AJ76" s="60">
        <v>0</v>
      </c>
      <c r="AK76" s="46">
        <v>0</v>
      </c>
      <c r="AL76" s="46">
        <v>0</v>
      </c>
      <c r="AM76" s="46">
        <v>4.0599999999999996</v>
      </c>
      <c r="AN76" s="46">
        <v>0</v>
      </c>
      <c r="AO76" s="46"/>
      <c r="AP76" s="46">
        <f t="shared" si="2"/>
        <v>0.13533333333333333</v>
      </c>
      <c r="AQ76" s="67">
        <f t="shared" si="3"/>
        <v>6.7666666666666667E-2</v>
      </c>
    </row>
    <row r="77" spans="1:43" x14ac:dyDescent="0.3">
      <c r="A77" s="5">
        <v>76</v>
      </c>
      <c r="B77" s="6" t="s">
        <v>65</v>
      </c>
      <c r="C77" s="12" t="s">
        <v>230</v>
      </c>
      <c r="D77" s="6"/>
      <c r="E77" s="6" t="s">
        <v>130</v>
      </c>
      <c r="F77" s="6" t="s">
        <v>121</v>
      </c>
      <c r="G77" s="6" t="s">
        <v>35</v>
      </c>
      <c r="H77" s="5">
        <v>2</v>
      </c>
      <c r="I77" s="67" t="s">
        <v>160</v>
      </c>
      <c r="J77" s="67"/>
      <c r="K77" s="46">
        <v>9.886000000000001</v>
      </c>
      <c r="L77" s="51">
        <v>0</v>
      </c>
      <c r="M77" s="46">
        <v>0.37799999999999995</v>
      </c>
      <c r="N77" s="51">
        <v>0</v>
      </c>
      <c r="O77" s="46">
        <v>3.75</v>
      </c>
      <c r="P77" s="46">
        <v>5.4669999999999996</v>
      </c>
      <c r="Q77" s="46">
        <v>1.964</v>
      </c>
      <c r="R77" s="46">
        <v>0</v>
      </c>
      <c r="S77" s="46">
        <v>10.003</v>
      </c>
      <c r="T77" s="51">
        <v>0</v>
      </c>
      <c r="U77" s="51">
        <v>0</v>
      </c>
      <c r="V77" s="46">
        <v>5.226</v>
      </c>
      <c r="W77" s="46">
        <v>10.484</v>
      </c>
      <c r="X77" s="46">
        <v>0.72</v>
      </c>
      <c r="Y77" s="46">
        <v>20.253</v>
      </c>
      <c r="Z77" s="46">
        <v>0</v>
      </c>
      <c r="AA77" s="46">
        <v>0</v>
      </c>
      <c r="AB77" s="51">
        <v>0</v>
      </c>
      <c r="AC77" s="46">
        <v>0.42599999999999999</v>
      </c>
      <c r="AD77" s="46">
        <v>12.457000000000001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46">
        <v>0</v>
      </c>
      <c r="AN77" s="46">
        <v>0</v>
      </c>
      <c r="AO77" s="46"/>
      <c r="AP77" s="46">
        <f t="shared" si="2"/>
        <v>2.7004666666666668</v>
      </c>
      <c r="AQ77" s="67">
        <f t="shared" si="3"/>
        <v>1.3502333333333334</v>
      </c>
    </row>
    <row r="78" spans="1:43" x14ac:dyDescent="0.3">
      <c r="A78" s="5">
        <v>77</v>
      </c>
      <c r="B78" s="6" t="s">
        <v>65</v>
      </c>
      <c r="C78" s="12" t="s">
        <v>231</v>
      </c>
      <c r="D78" s="6" t="s">
        <v>128</v>
      </c>
      <c r="E78" s="6" t="s">
        <v>19</v>
      </c>
      <c r="F78" s="6" t="s">
        <v>13</v>
      </c>
      <c r="G78" s="6" t="s">
        <v>35</v>
      </c>
      <c r="H78" s="5">
        <v>6</v>
      </c>
      <c r="I78" s="67" t="s">
        <v>160</v>
      </c>
      <c r="J78" s="67"/>
      <c r="K78" s="46">
        <v>21.931999999999999</v>
      </c>
      <c r="L78" s="51">
        <v>0</v>
      </c>
      <c r="M78" s="46">
        <v>39.267000000000003</v>
      </c>
      <c r="N78" s="46">
        <v>42.683</v>
      </c>
      <c r="O78" s="46">
        <v>50.771999999999998</v>
      </c>
      <c r="P78" s="46">
        <v>41.890999999999998</v>
      </c>
      <c r="Q78" s="46">
        <v>39.061999999999998</v>
      </c>
      <c r="R78" s="46">
        <v>0</v>
      </c>
      <c r="S78" s="46">
        <v>23.431000000000001</v>
      </c>
      <c r="T78" s="46">
        <v>33.884999999999998</v>
      </c>
      <c r="U78" s="46">
        <v>46.025999999999996</v>
      </c>
      <c r="V78" s="46">
        <v>65.206000000000003</v>
      </c>
      <c r="W78" s="46">
        <v>59.536000000000001</v>
      </c>
      <c r="X78" s="46">
        <v>66.477999999999994</v>
      </c>
      <c r="Y78" s="46">
        <v>0</v>
      </c>
      <c r="Z78" s="46">
        <v>20.387</v>
      </c>
      <c r="AA78" s="46">
        <v>3.7629999999999999</v>
      </c>
      <c r="AB78" s="46">
        <v>81.242999999999995</v>
      </c>
      <c r="AC78" s="46">
        <v>82.63900000000001</v>
      </c>
      <c r="AD78" s="46">
        <v>73.975000000000009</v>
      </c>
      <c r="AE78" s="46">
        <v>33.277999999999999</v>
      </c>
      <c r="AF78" s="46">
        <v>6.8390000000000004</v>
      </c>
      <c r="AG78" s="46">
        <v>20.434000000000001</v>
      </c>
      <c r="AH78" s="46">
        <v>47.678000000000004</v>
      </c>
      <c r="AI78" s="46">
        <v>55.322999999999993</v>
      </c>
      <c r="AJ78" s="46">
        <v>71.590999999999994</v>
      </c>
      <c r="AK78" s="46">
        <v>59.191999999999993</v>
      </c>
      <c r="AL78" s="46">
        <v>36.656999999999996</v>
      </c>
      <c r="AM78" s="46">
        <v>21.652000000000001</v>
      </c>
      <c r="AN78" s="46">
        <v>9.1509999999999998</v>
      </c>
      <c r="AO78" s="46"/>
      <c r="AP78" s="46">
        <f t="shared" si="2"/>
        <v>38.465700000000005</v>
      </c>
      <c r="AQ78" s="67">
        <f t="shared" si="3"/>
        <v>6.4109500000000006</v>
      </c>
    </row>
    <row r="79" spans="1:43" x14ac:dyDescent="0.3">
      <c r="A79" s="5">
        <v>78</v>
      </c>
      <c r="B79" s="6" t="s">
        <v>65</v>
      </c>
      <c r="C79" s="12" t="s">
        <v>231</v>
      </c>
      <c r="D79" s="6" t="s">
        <v>128</v>
      </c>
      <c r="E79" s="6" t="s">
        <v>19</v>
      </c>
      <c r="F79" s="6" t="s">
        <v>40</v>
      </c>
      <c r="G79" s="6" t="s">
        <v>35</v>
      </c>
      <c r="H79" s="5">
        <v>1</v>
      </c>
      <c r="I79" s="67" t="s">
        <v>160</v>
      </c>
      <c r="J79" s="67"/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0</v>
      </c>
      <c r="Z79" s="51">
        <v>0</v>
      </c>
      <c r="AA79" s="51">
        <v>0</v>
      </c>
      <c r="AB79" s="51">
        <v>0</v>
      </c>
      <c r="AC79" s="51">
        <v>0</v>
      </c>
      <c r="AD79" s="51">
        <v>0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0</v>
      </c>
      <c r="AN79" s="51">
        <v>0</v>
      </c>
      <c r="AO79" s="51"/>
      <c r="AP79" s="46">
        <f t="shared" si="2"/>
        <v>0</v>
      </c>
      <c r="AQ79" s="67">
        <f t="shared" si="3"/>
        <v>0</v>
      </c>
    </row>
    <row r="80" spans="1:43" ht="15.6" x14ac:dyDescent="0.3">
      <c r="A80" s="5">
        <v>79</v>
      </c>
      <c r="B80" s="6" t="s">
        <v>65</v>
      </c>
      <c r="C80" s="12" t="s">
        <v>232</v>
      </c>
      <c r="D80" s="6" t="s">
        <v>128</v>
      </c>
      <c r="E80" s="6" t="s">
        <v>12</v>
      </c>
      <c r="F80" s="6" t="s">
        <v>121</v>
      </c>
      <c r="G80" s="6" t="s">
        <v>35</v>
      </c>
      <c r="H80" s="5">
        <v>20</v>
      </c>
      <c r="I80" s="74" t="s">
        <v>273</v>
      </c>
      <c r="J80" s="74"/>
      <c r="K80" s="46">
        <v>33.668999999999997</v>
      </c>
      <c r="L80" s="46">
        <v>30.119000000000003</v>
      </c>
      <c r="M80" s="46">
        <v>28.026</v>
      </c>
      <c r="N80" s="46">
        <v>35.923000000000002</v>
      </c>
      <c r="O80" s="46">
        <v>27.506</v>
      </c>
      <c r="P80" s="46">
        <v>31.949000000000005</v>
      </c>
      <c r="Q80" s="46">
        <v>30.124999999999996</v>
      </c>
      <c r="R80" s="46">
        <v>18.560000000000002</v>
      </c>
      <c r="S80" s="46">
        <v>20.105000000000004</v>
      </c>
      <c r="T80" s="46">
        <v>30.866000000000007</v>
      </c>
      <c r="U80" s="46">
        <v>35.346000000000004</v>
      </c>
      <c r="V80" s="46">
        <v>30.258000000000003</v>
      </c>
      <c r="W80" s="46">
        <v>25.417000000000002</v>
      </c>
      <c r="X80" s="46">
        <v>34.856000000000002</v>
      </c>
      <c r="Y80" s="46">
        <v>28.591999999999995</v>
      </c>
      <c r="Z80" s="46">
        <v>18.894000000000002</v>
      </c>
      <c r="AA80" s="46">
        <v>15.389999999999999</v>
      </c>
      <c r="AB80" s="46">
        <v>14.723999999999998</v>
      </c>
      <c r="AC80" s="46">
        <v>38.815999999999995</v>
      </c>
      <c r="AD80" s="46">
        <v>29.577999999999999</v>
      </c>
      <c r="AE80" s="46">
        <v>22.245000000000001</v>
      </c>
      <c r="AF80" s="46">
        <v>36.312000000000005</v>
      </c>
      <c r="AG80" s="46">
        <v>28.94</v>
      </c>
      <c r="AH80" s="46">
        <v>45.72699999999999</v>
      </c>
      <c r="AI80" s="46">
        <v>26.07</v>
      </c>
      <c r="AJ80" s="46">
        <v>46.464999999999996</v>
      </c>
      <c r="AK80" s="46">
        <v>53.404999999999994</v>
      </c>
      <c r="AL80" s="46">
        <v>55.094000000000015</v>
      </c>
      <c r="AM80" s="46">
        <v>103.74699999999999</v>
      </c>
      <c r="AN80" s="46">
        <v>115.011</v>
      </c>
      <c r="AO80" s="46"/>
      <c r="AP80" s="46">
        <f t="shared" si="2"/>
        <v>36.39116666666667</v>
      </c>
      <c r="AQ80" s="67">
        <f t="shared" si="3"/>
        <v>1.8195583333333336</v>
      </c>
    </row>
    <row r="81" spans="1:43" ht="15.6" x14ac:dyDescent="0.3">
      <c r="A81" s="5">
        <v>80</v>
      </c>
      <c r="B81" s="6" t="s">
        <v>65</v>
      </c>
      <c r="C81" s="12" t="s">
        <v>254</v>
      </c>
      <c r="D81" s="6" t="s">
        <v>128</v>
      </c>
      <c r="E81" s="6" t="s">
        <v>12</v>
      </c>
      <c r="F81" s="6" t="s">
        <v>121</v>
      </c>
      <c r="G81" s="6" t="s">
        <v>35</v>
      </c>
      <c r="H81" s="5">
        <v>10</v>
      </c>
      <c r="I81" s="74" t="s">
        <v>273</v>
      </c>
      <c r="J81" s="74"/>
      <c r="K81" s="46">
        <v>35.433</v>
      </c>
      <c r="L81" s="46">
        <v>28.241999999999997</v>
      </c>
      <c r="M81" s="46">
        <v>29.069999999999997</v>
      </c>
      <c r="N81" s="46">
        <v>31.216000000000001</v>
      </c>
      <c r="O81" s="46">
        <v>27.029000000000003</v>
      </c>
      <c r="P81" s="46">
        <v>41.984000000000002</v>
      </c>
      <c r="Q81" s="46">
        <v>23.408000000000001</v>
      </c>
      <c r="R81" s="46">
        <v>37.119</v>
      </c>
      <c r="S81" s="46">
        <v>18.933</v>
      </c>
      <c r="T81" s="46">
        <v>51.93099999999999</v>
      </c>
      <c r="U81" s="46">
        <v>49.159000000000006</v>
      </c>
      <c r="V81" s="46">
        <v>38.942000000000007</v>
      </c>
      <c r="W81" s="46">
        <v>49.283000000000001</v>
      </c>
      <c r="X81" s="46">
        <v>47.346999999999994</v>
      </c>
      <c r="Y81" s="46">
        <v>72.361000000000004</v>
      </c>
      <c r="Z81" s="46">
        <v>69.347000000000008</v>
      </c>
      <c r="AA81" s="46">
        <v>41.573999999999998</v>
      </c>
      <c r="AB81" s="46">
        <v>63.977999999999994</v>
      </c>
      <c r="AC81" s="46">
        <v>90.26700000000001</v>
      </c>
      <c r="AD81" s="46">
        <v>76.049000000000021</v>
      </c>
      <c r="AE81" s="46">
        <v>61.295000000000002</v>
      </c>
      <c r="AF81" s="46">
        <v>39.856000000000002</v>
      </c>
      <c r="AG81" s="46">
        <v>67.363</v>
      </c>
      <c r="AH81" s="46">
        <v>76.285000000000011</v>
      </c>
      <c r="AI81" s="46">
        <v>81.114999999999981</v>
      </c>
      <c r="AJ81" s="46">
        <v>31.753</v>
      </c>
      <c r="AK81" s="46">
        <v>68.7</v>
      </c>
      <c r="AL81" s="46">
        <v>82.572000000000003</v>
      </c>
      <c r="AM81" s="46">
        <v>53.409000000000006</v>
      </c>
      <c r="AN81" s="46">
        <v>52.080999999999989</v>
      </c>
      <c r="AO81" s="46"/>
      <c r="AP81" s="46">
        <f t="shared" si="2"/>
        <v>51.236699999999999</v>
      </c>
      <c r="AQ81" s="67">
        <f t="shared" si="3"/>
        <v>5.1236699999999997</v>
      </c>
    </row>
    <row r="82" spans="1:43" x14ac:dyDescent="0.3">
      <c r="A82" s="5">
        <v>81</v>
      </c>
      <c r="B82" s="6" t="s">
        <v>65</v>
      </c>
      <c r="C82" s="12" t="s">
        <v>233</v>
      </c>
      <c r="D82" s="6" t="s">
        <v>128</v>
      </c>
      <c r="E82" s="6" t="s">
        <v>12</v>
      </c>
      <c r="F82" s="6" t="s">
        <v>121</v>
      </c>
      <c r="G82" s="6" t="s">
        <v>35</v>
      </c>
      <c r="H82" s="5">
        <v>2</v>
      </c>
      <c r="I82" s="67" t="s">
        <v>272</v>
      </c>
      <c r="J82" s="67"/>
      <c r="K82" s="46">
        <v>0</v>
      </c>
      <c r="L82" s="46">
        <v>0</v>
      </c>
      <c r="M82" s="46">
        <v>0</v>
      </c>
      <c r="N82" s="45">
        <v>0</v>
      </c>
      <c r="O82" s="45">
        <v>0</v>
      </c>
      <c r="P82" s="45">
        <v>0</v>
      </c>
      <c r="Q82" s="45">
        <v>0</v>
      </c>
      <c r="R82" s="45">
        <v>0</v>
      </c>
      <c r="S82" s="45">
        <v>0</v>
      </c>
      <c r="T82" s="45">
        <v>0</v>
      </c>
      <c r="U82" s="45">
        <v>0</v>
      </c>
      <c r="V82" s="45">
        <v>0</v>
      </c>
      <c r="W82" s="45">
        <v>0</v>
      </c>
      <c r="X82" s="45">
        <v>0</v>
      </c>
      <c r="Y82" s="45">
        <v>0</v>
      </c>
      <c r="Z82" s="45">
        <v>0</v>
      </c>
      <c r="AA82" s="45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/>
      <c r="AP82" s="46">
        <f t="shared" si="2"/>
        <v>0</v>
      </c>
      <c r="AQ82" s="67">
        <f t="shared" si="3"/>
        <v>0</v>
      </c>
    </row>
    <row r="83" spans="1:43" x14ac:dyDescent="0.3">
      <c r="A83" s="5">
        <v>82</v>
      </c>
      <c r="B83" s="6" t="s">
        <v>65</v>
      </c>
      <c r="C83" s="12" t="s">
        <v>233</v>
      </c>
      <c r="D83" s="6" t="s">
        <v>128</v>
      </c>
      <c r="E83" s="6" t="s">
        <v>12</v>
      </c>
      <c r="F83" s="6" t="s">
        <v>40</v>
      </c>
      <c r="G83" s="6" t="s">
        <v>35</v>
      </c>
      <c r="H83" s="5">
        <v>2</v>
      </c>
      <c r="I83" s="67" t="s">
        <v>272</v>
      </c>
      <c r="J83" s="67"/>
      <c r="K83" s="46">
        <v>0</v>
      </c>
      <c r="L83" s="46">
        <v>0</v>
      </c>
      <c r="M83" s="46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/>
      <c r="AP83" s="46">
        <f t="shared" si="2"/>
        <v>0</v>
      </c>
      <c r="AQ83" s="67">
        <f t="shared" si="3"/>
        <v>0</v>
      </c>
    </row>
    <row r="84" spans="1:43" x14ac:dyDescent="0.3">
      <c r="A84" s="5">
        <v>83</v>
      </c>
      <c r="B84" s="6" t="s">
        <v>65</v>
      </c>
      <c r="C84" t="s">
        <v>252</v>
      </c>
      <c r="D84" s="6" t="s">
        <v>236</v>
      </c>
      <c r="E84" s="6" t="s">
        <v>12</v>
      </c>
      <c r="F84" s="6" t="s">
        <v>121</v>
      </c>
      <c r="G84" s="6" t="s">
        <v>35</v>
      </c>
      <c r="H84" s="5">
        <v>3</v>
      </c>
      <c r="I84" s="67" t="s">
        <v>160</v>
      </c>
      <c r="J84" s="67"/>
      <c r="K84" s="46">
        <v>5.7930000000000001</v>
      </c>
      <c r="L84" s="78">
        <v>0</v>
      </c>
      <c r="M84" s="46">
        <v>4.8129999999999997</v>
      </c>
      <c r="N84" s="46">
        <v>0.23799999999999999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6">
        <v>1.732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2.9739999999999998</v>
      </c>
      <c r="AE84" s="46">
        <v>1.8360000000000001</v>
      </c>
      <c r="AF84" s="46">
        <v>0.97100000000000009</v>
      </c>
      <c r="AG84" s="46">
        <v>0</v>
      </c>
      <c r="AH84" s="60">
        <v>0</v>
      </c>
      <c r="AI84" s="60">
        <v>0</v>
      </c>
      <c r="AJ84" s="60">
        <v>0</v>
      </c>
      <c r="AK84" s="46">
        <v>0</v>
      </c>
      <c r="AL84" s="46">
        <v>0</v>
      </c>
      <c r="AM84" s="46">
        <v>0</v>
      </c>
      <c r="AN84" s="46">
        <v>0</v>
      </c>
      <c r="AO84" s="46"/>
      <c r="AP84" s="46">
        <f t="shared" si="2"/>
        <v>0.6119</v>
      </c>
      <c r="AQ84" s="67">
        <f t="shared" si="3"/>
        <v>0.20396666666666666</v>
      </c>
    </row>
    <row r="85" spans="1:43" x14ac:dyDescent="0.3">
      <c r="A85" s="5">
        <v>84</v>
      </c>
      <c r="B85" s="6" t="s">
        <v>65</v>
      </c>
      <c r="C85" s="12" t="s">
        <v>238</v>
      </c>
      <c r="D85" s="6" t="s">
        <v>236</v>
      </c>
      <c r="E85" s="6" t="s">
        <v>12</v>
      </c>
      <c r="F85" s="6" t="s">
        <v>121</v>
      </c>
      <c r="G85" s="6" t="s">
        <v>35</v>
      </c>
      <c r="H85" s="5">
        <v>3</v>
      </c>
      <c r="I85" s="67" t="s">
        <v>160</v>
      </c>
      <c r="J85" s="67"/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5">
        <v>0</v>
      </c>
      <c r="Q85" s="45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60">
        <v>0</v>
      </c>
      <c r="AI85" s="60">
        <v>0</v>
      </c>
      <c r="AJ85" s="60">
        <v>0</v>
      </c>
      <c r="AK85" s="60">
        <v>0</v>
      </c>
      <c r="AL85" s="59">
        <v>0</v>
      </c>
      <c r="AM85" s="59">
        <v>0</v>
      </c>
      <c r="AN85" s="59">
        <v>0</v>
      </c>
      <c r="AO85" s="59"/>
      <c r="AP85" s="46">
        <f t="shared" si="2"/>
        <v>0</v>
      </c>
      <c r="AQ85" s="67">
        <f t="shared" si="3"/>
        <v>0</v>
      </c>
    </row>
    <row r="86" spans="1:43" x14ac:dyDescent="0.3">
      <c r="A86" s="5">
        <v>85</v>
      </c>
      <c r="B86" s="6" t="s">
        <v>65</v>
      </c>
      <c r="C86" s="12" t="s">
        <v>238</v>
      </c>
      <c r="D86" s="6" t="s">
        <v>236</v>
      </c>
      <c r="E86" s="6" t="s">
        <v>12</v>
      </c>
      <c r="F86" s="6" t="s">
        <v>95</v>
      </c>
      <c r="G86" s="6" t="s">
        <v>80</v>
      </c>
      <c r="H86" s="5">
        <v>1</v>
      </c>
      <c r="I86" s="67" t="s">
        <v>160</v>
      </c>
      <c r="J86" s="67"/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45">
        <v>0</v>
      </c>
      <c r="Q86" s="45">
        <v>0</v>
      </c>
      <c r="R86" s="45">
        <v>0</v>
      </c>
      <c r="S86" s="45">
        <v>0</v>
      </c>
      <c r="T86" s="45">
        <v>0</v>
      </c>
      <c r="U86" s="45">
        <v>0</v>
      </c>
      <c r="V86" s="45">
        <v>0</v>
      </c>
      <c r="W86" s="45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/>
      <c r="AP86" s="46">
        <f t="shared" si="2"/>
        <v>0</v>
      </c>
      <c r="AQ86" s="67">
        <f t="shared" si="3"/>
        <v>0</v>
      </c>
    </row>
    <row r="87" spans="1:43" x14ac:dyDescent="0.3">
      <c r="A87" s="5">
        <v>86</v>
      </c>
      <c r="B87" s="6" t="s">
        <v>65</v>
      </c>
      <c r="C87" s="12" t="s">
        <v>235</v>
      </c>
      <c r="D87" s="6" t="s">
        <v>236</v>
      </c>
      <c r="E87" s="6" t="s">
        <v>12</v>
      </c>
      <c r="F87" s="6" t="s">
        <v>121</v>
      </c>
      <c r="G87" s="6" t="s">
        <v>35</v>
      </c>
      <c r="H87" s="5">
        <v>3</v>
      </c>
      <c r="I87" s="67" t="s">
        <v>160</v>
      </c>
      <c r="J87" s="67"/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54">
        <v>0</v>
      </c>
      <c r="AI87" s="46">
        <v>0</v>
      </c>
      <c r="AJ87" s="46">
        <v>0</v>
      </c>
      <c r="AK87" s="46">
        <v>0</v>
      </c>
      <c r="AL87" s="46">
        <v>0</v>
      </c>
      <c r="AM87" s="46">
        <v>0</v>
      </c>
      <c r="AN87" s="46">
        <v>0</v>
      </c>
      <c r="AO87" s="46"/>
      <c r="AP87" s="46">
        <f t="shared" si="2"/>
        <v>0</v>
      </c>
      <c r="AQ87" s="67">
        <f t="shared" si="3"/>
        <v>0</v>
      </c>
    </row>
    <row r="88" spans="1:43" x14ac:dyDescent="0.3">
      <c r="A88" s="5">
        <v>87</v>
      </c>
      <c r="B88" s="6" t="s">
        <v>65</v>
      </c>
      <c r="C88" s="12" t="s">
        <v>237</v>
      </c>
      <c r="D88" s="6" t="s">
        <v>236</v>
      </c>
      <c r="E88" s="6" t="s">
        <v>12</v>
      </c>
      <c r="F88" s="6" t="s">
        <v>121</v>
      </c>
      <c r="G88" s="6" t="s">
        <v>35</v>
      </c>
      <c r="H88" s="5">
        <v>3</v>
      </c>
      <c r="I88" s="67" t="s">
        <v>160</v>
      </c>
      <c r="J88" s="67"/>
      <c r="K88" s="46">
        <v>8.7249999999999996</v>
      </c>
      <c r="L88" s="46">
        <v>7.7969999999999997</v>
      </c>
      <c r="M88" s="45">
        <v>0</v>
      </c>
      <c r="N88" s="46">
        <v>5.2690000000000001</v>
      </c>
      <c r="O88" s="46">
        <v>4.9359999999999999</v>
      </c>
      <c r="P88" s="46">
        <v>8.5020000000000007</v>
      </c>
      <c r="Q88" s="46">
        <v>11.641000000000002</v>
      </c>
      <c r="R88" s="46">
        <v>9.2720000000000002</v>
      </c>
      <c r="S88" s="46">
        <v>8.8460000000000001</v>
      </c>
      <c r="T88" s="46">
        <v>4.415</v>
      </c>
      <c r="U88" s="46">
        <v>9.6829999999999998</v>
      </c>
      <c r="V88" s="46">
        <v>14.877000000000001</v>
      </c>
      <c r="W88" s="46">
        <v>5.6549999999999994</v>
      </c>
      <c r="X88" s="46">
        <v>10.09</v>
      </c>
      <c r="Y88" s="46">
        <v>11.655999999999999</v>
      </c>
      <c r="Z88" s="46">
        <v>5.2010000000000005</v>
      </c>
      <c r="AA88" s="46">
        <v>2.4490000000000003</v>
      </c>
      <c r="AB88" s="46">
        <v>1.8440000000000001</v>
      </c>
      <c r="AC88" s="46">
        <v>14.36</v>
      </c>
      <c r="AD88" s="46">
        <v>4.9119999999999999</v>
      </c>
      <c r="AE88" s="46">
        <v>15.72</v>
      </c>
      <c r="AF88" s="46">
        <v>12.872</v>
      </c>
      <c r="AG88" s="46">
        <v>8.2910000000000004</v>
      </c>
      <c r="AH88" s="46">
        <v>2.9039999999999999</v>
      </c>
      <c r="AI88" s="46">
        <v>9.2000000000000011</v>
      </c>
      <c r="AJ88" s="46">
        <v>12.58</v>
      </c>
      <c r="AK88" s="46">
        <v>9.7799999999999994</v>
      </c>
      <c r="AL88" s="46">
        <v>12.351000000000001</v>
      </c>
      <c r="AM88" s="46">
        <v>11.843</v>
      </c>
      <c r="AN88" s="46">
        <v>11.831</v>
      </c>
      <c r="AO88" s="46"/>
      <c r="AP88" s="46">
        <f t="shared" si="2"/>
        <v>8.583400000000001</v>
      </c>
      <c r="AQ88" s="67">
        <f t="shared" si="3"/>
        <v>2.8611333333333335</v>
      </c>
    </row>
    <row r="89" spans="1:43" x14ac:dyDescent="0.3">
      <c r="A89" s="5">
        <v>88</v>
      </c>
      <c r="B89" s="6" t="s">
        <v>65</v>
      </c>
      <c r="C89" s="12" t="s">
        <v>245</v>
      </c>
      <c r="D89" s="6" t="s">
        <v>236</v>
      </c>
      <c r="E89" s="6" t="s">
        <v>12</v>
      </c>
      <c r="F89" s="6" t="s">
        <v>121</v>
      </c>
      <c r="G89" s="6" t="s">
        <v>35</v>
      </c>
      <c r="H89" s="5">
        <v>3</v>
      </c>
      <c r="I89" s="67" t="s">
        <v>160</v>
      </c>
      <c r="J89" s="67"/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60">
        <v>0</v>
      </c>
      <c r="AI89" s="60">
        <v>0</v>
      </c>
      <c r="AJ89" s="60">
        <v>0</v>
      </c>
      <c r="AK89" s="46">
        <v>0</v>
      </c>
      <c r="AL89" s="46">
        <v>0</v>
      </c>
      <c r="AM89" s="46">
        <v>0</v>
      </c>
      <c r="AN89" s="46">
        <v>0</v>
      </c>
      <c r="AO89" s="46"/>
      <c r="AP89" s="46">
        <f t="shared" si="2"/>
        <v>0</v>
      </c>
      <c r="AQ89" s="67">
        <f t="shared" si="3"/>
        <v>0</v>
      </c>
    </row>
    <row r="90" spans="1:43" x14ac:dyDescent="0.3">
      <c r="A90" s="5">
        <v>89</v>
      </c>
      <c r="B90" s="6" t="s">
        <v>65</v>
      </c>
      <c r="C90" s="12" t="s">
        <v>253</v>
      </c>
      <c r="D90" s="6" t="s">
        <v>236</v>
      </c>
      <c r="E90" s="6" t="s">
        <v>12</v>
      </c>
      <c r="F90" s="6" t="s">
        <v>121</v>
      </c>
      <c r="G90" s="6" t="s">
        <v>35</v>
      </c>
      <c r="H90" s="5">
        <v>3</v>
      </c>
      <c r="I90" s="67" t="s">
        <v>160</v>
      </c>
      <c r="J90" s="67"/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5">
        <v>0</v>
      </c>
      <c r="U90" s="45">
        <v>0</v>
      </c>
      <c r="V90" s="45">
        <v>0</v>
      </c>
      <c r="W90" s="45">
        <v>0</v>
      </c>
      <c r="X90" s="45">
        <v>0</v>
      </c>
      <c r="Y90" s="45">
        <v>0</v>
      </c>
      <c r="Z90" s="45">
        <v>0</v>
      </c>
      <c r="AA90" s="45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60">
        <v>0</v>
      </c>
      <c r="AI90" s="60">
        <v>0</v>
      </c>
      <c r="AJ90" s="60">
        <v>0</v>
      </c>
      <c r="AK90" s="46">
        <v>0</v>
      </c>
      <c r="AL90" s="46">
        <v>0</v>
      </c>
      <c r="AM90" s="46">
        <v>0</v>
      </c>
      <c r="AN90" s="46">
        <v>0</v>
      </c>
      <c r="AO90" s="46"/>
      <c r="AP90" s="46">
        <f t="shared" si="2"/>
        <v>0</v>
      </c>
      <c r="AQ90" s="67">
        <f t="shared" si="3"/>
        <v>0</v>
      </c>
    </row>
    <row r="91" spans="1:43" x14ac:dyDescent="0.3">
      <c r="A91" s="5">
        <v>90</v>
      </c>
      <c r="B91" s="6" t="s">
        <v>65</v>
      </c>
      <c r="C91" s="12" t="s">
        <v>261</v>
      </c>
      <c r="D91" s="6" t="s">
        <v>236</v>
      </c>
      <c r="E91" s="6" t="s">
        <v>12</v>
      </c>
      <c r="F91" s="6" t="s">
        <v>121</v>
      </c>
      <c r="G91" s="6" t="s">
        <v>35</v>
      </c>
      <c r="H91" s="5">
        <v>16</v>
      </c>
      <c r="I91" s="67" t="s">
        <v>160</v>
      </c>
      <c r="J91" s="67"/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5">
        <v>0</v>
      </c>
      <c r="U91" s="45">
        <v>0</v>
      </c>
      <c r="V91" s="45">
        <v>0</v>
      </c>
      <c r="W91" s="45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/>
      <c r="AP91" s="46">
        <f t="shared" si="2"/>
        <v>0</v>
      </c>
      <c r="AQ91" s="67">
        <f t="shared" si="3"/>
        <v>0</v>
      </c>
    </row>
    <row r="92" spans="1:43" ht="15.6" x14ac:dyDescent="0.3">
      <c r="A92" s="5">
        <v>91</v>
      </c>
      <c r="B92" s="6" t="s">
        <v>65</v>
      </c>
      <c r="C92" s="12" t="s">
        <v>298</v>
      </c>
      <c r="D92" s="6" t="s">
        <v>30</v>
      </c>
      <c r="E92" s="6" t="s">
        <v>12</v>
      </c>
      <c r="F92" s="6" t="s">
        <v>121</v>
      </c>
      <c r="G92" s="6" t="s">
        <v>35</v>
      </c>
      <c r="H92" s="5">
        <v>4</v>
      </c>
      <c r="I92" s="74" t="s">
        <v>273</v>
      </c>
      <c r="J92" s="74"/>
      <c r="K92" s="46">
        <v>0</v>
      </c>
      <c r="L92" s="46">
        <v>0</v>
      </c>
      <c r="M92" s="46">
        <v>0</v>
      </c>
      <c r="N92" s="46">
        <v>2.6669999999999998</v>
      </c>
      <c r="O92" s="46">
        <v>0</v>
      </c>
      <c r="P92" s="46">
        <v>0</v>
      </c>
      <c r="Q92" s="46">
        <v>0</v>
      </c>
      <c r="R92" s="46">
        <v>2.274</v>
      </c>
      <c r="S92" s="46">
        <v>0</v>
      </c>
      <c r="T92" s="45">
        <v>0</v>
      </c>
      <c r="U92" s="46">
        <v>1.1579999999999999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/>
      <c r="AP92" s="46">
        <f t="shared" si="2"/>
        <v>0.20330000000000001</v>
      </c>
      <c r="AQ92" s="67">
        <f t="shared" si="3"/>
        <v>5.0825000000000002E-2</v>
      </c>
    </row>
    <row r="93" spans="1:43" x14ac:dyDescent="0.3">
      <c r="A93" s="5">
        <v>92</v>
      </c>
      <c r="B93" s="6" t="s">
        <v>65</v>
      </c>
      <c r="C93" s="39" t="s">
        <v>115</v>
      </c>
      <c r="D93" s="6" t="s">
        <v>113</v>
      </c>
      <c r="E93" s="6" t="s">
        <v>19</v>
      </c>
      <c r="F93" s="6" t="s">
        <v>116</v>
      </c>
      <c r="G93" s="6" t="s">
        <v>80</v>
      </c>
      <c r="H93" s="5">
        <v>1</v>
      </c>
      <c r="I93" s="67" t="s">
        <v>160</v>
      </c>
      <c r="J93" s="67"/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45">
        <v>0</v>
      </c>
      <c r="Q93" s="45">
        <v>0</v>
      </c>
      <c r="R93" s="45">
        <v>0</v>
      </c>
      <c r="S93" s="45">
        <v>0</v>
      </c>
      <c r="T93" s="51">
        <v>0</v>
      </c>
      <c r="U93" s="51">
        <v>0</v>
      </c>
      <c r="V93" s="51">
        <v>0</v>
      </c>
      <c r="W93" s="51">
        <v>0</v>
      </c>
      <c r="X93" s="51">
        <v>0</v>
      </c>
      <c r="Y93" s="51">
        <v>0</v>
      </c>
      <c r="Z93" s="51">
        <v>0</v>
      </c>
      <c r="AA93" s="51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/>
      <c r="AP93" s="46">
        <f t="shared" si="2"/>
        <v>0</v>
      </c>
      <c r="AQ93" s="67">
        <f t="shared" si="3"/>
        <v>0</v>
      </c>
    </row>
    <row r="94" spans="1:43" x14ac:dyDescent="0.3">
      <c r="A94" s="5">
        <v>93</v>
      </c>
      <c r="B94" s="6" t="s">
        <v>65</v>
      </c>
      <c r="C94" s="39" t="s">
        <v>117</v>
      </c>
      <c r="D94" s="6" t="s">
        <v>113</v>
      </c>
      <c r="E94" s="6" t="s">
        <v>19</v>
      </c>
      <c r="F94" s="6" t="s">
        <v>116</v>
      </c>
      <c r="G94" s="6" t="s">
        <v>80</v>
      </c>
      <c r="H94" s="5">
        <v>1</v>
      </c>
      <c r="I94" s="67" t="s">
        <v>160</v>
      </c>
      <c r="J94" s="67"/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5">
        <v>0</v>
      </c>
      <c r="Q94" s="45">
        <v>0</v>
      </c>
      <c r="R94" s="45">
        <v>0</v>
      </c>
      <c r="S94" s="45">
        <v>0</v>
      </c>
      <c r="T94" s="51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0</v>
      </c>
      <c r="AA94" s="51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/>
      <c r="AP94" s="46">
        <f t="shared" si="2"/>
        <v>0</v>
      </c>
      <c r="AQ94" s="67">
        <f t="shared" si="3"/>
        <v>0</v>
      </c>
    </row>
    <row r="95" spans="1:43" x14ac:dyDescent="0.3">
      <c r="A95" s="5">
        <v>94</v>
      </c>
      <c r="B95" s="6" t="s">
        <v>65</v>
      </c>
      <c r="C95" s="6" t="s">
        <v>66</v>
      </c>
      <c r="D95" s="6" t="s">
        <v>67</v>
      </c>
      <c r="E95" s="6" t="s">
        <v>12</v>
      </c>
      <c r="F95" s="6" t="s">
        <v>13</v>
      </c>
      <c r="G95" s="6" t="s">
        <v>14</v>
      </c>
      <c r="H95" s="5">
        <v>87</v>
      </c>
      <c r="I95" s="67" t="s">
        <v>160</v>
      </c>
      <c r="J95" s="67"/>
      <c r="K95" s="46">
        <v>0</v>
      </c>
      <c r="L95" s="46">
        <v>0</v>
      </c>
      <c r="M95" s="45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53">
        <v>0</v>
      </c>
      <c r="AD95" s="61">
        <v>0</v>
      </c>
      <c r="AE95" s="61">
        <v>0</v>
      </c>
      <c r="AF95" s="61">
        <v>0</v>
      </c>
      <c r="AG95" s="61">
        <v>0</v>
      </c>
      <c r="AH95" s="61">
        <v>0</v>
      </c>
      <c r="AI95" s="61">
        <v>0</v>
      </c>
      <c r="AJ95" s="61">
        <v>0</v>
      </c>
      <c r="AK95" s="61">
        <v>0</v>
      </c>
      <c r="AL95" s="61">
        <v>0</v>
      </c>
      <c r="AM95" s="61">
        <v>0</v>
      </c>
      <c r="AN95" s="61">
        <v>0</v>
      </c>
      <c r="AO95" s="61"/>
      <c r="AP95" s="46">
        <f t="shared" si="2"/>
        <v>0</v>
      </c>
      <c r="AQ95" s="67">
        <f t="shared" si="3"/>
        <v>0</v>
      </c>
    </row>
    <row r="96" spans="1:43" x14ac:dyDescent="0.3">
      <c r="A96" s="5">
        <v>95</v>
      </c>
      <c r="B96" s="6" t="s">
        <v>65</v>
      </c>
      <c r="C96" s="6" t="s">
        <v>70</v>
      </c>
      <c r="D96" s="6"/>
      <c r="E96" s="6" t="s">
        <v>12</v>
      </c>
      <c r="F96" s="6" t="s">
        <v>13</v>
      </c>
      <c r="G96" s="6" t="s">
        <v>14</v>
      </c>
      <c r="H96" s="5">
        <v>82</v>
      </c>
      <c r="I96" s="67" t="s">
        <v>160</v>
      </c>
      <c r="J96" s="67"/>
      <c r="K96" s="46">
        <v>0</v>
      </c>
      <c r="L96" s="46">
        <v>0</v>
      </c>
      <c r="M96" s="45">
        <v>0</v>
      </c>
      <c r="N96" s="46">
        <v>0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53">
        <v>0</v>
      </c>
      <c r="AD96" s="61">
        <v>0</v>
      </c>
      <c r="AE96" s="61">
        <v>0</v>
      </c>
      <c r="AF96" s="61">
        <v>0</v>
      </c>
      <c r="AG96" s="61">
        <v>0</v>
      </c>
      <c r="AH96" s="61">
        <v>0</v>
      </c>
      <c r="AI96" s="61">
        <v>0</v>
      </c>
      <c r="AJ96" s="61">
        <v>0</v>
      </c>
      <c r="AK96" s="61">
        <v>0</v>
      </c>
      <c r="AL96" s="61">
        <v>0</v>
      </c>
      <c r="AM96" s="61">
        <v>0</v>
      </c>
      <c r="AN96" s="61">
        <v>0</v>
      </c>
      <c r="AO96" s="61"/>
      <c r="AP96" s="46">
        <f t="shared" si="2"/>
        <v>0</v>
      </c>
      <c r="AQ96" s="67">
        <f t="shared" si="3"/>
        <v>0</v>
      </c>
    </row>
    <row r="97" spans="1:43" x14ac:dyDescent="0.3">
      <c r="A97" s="5">
        <v>96</v>
      </c>
      <c r="B97" s="6" t="s">
        <v>65</v>
      </c>
      <c r="C97" s="6" t="s">
        <v>74</v>
      </c>
      <c r="D97" s="6" t="s">
        <v>30</v>
      </c>
      <c r="E97" s="6" t="s">
        <v>19</v>
      </c>
      <c r="F97" s="6" t="s">
        <v>13</v>
      </c>
      <c r="G97" s="6" t="s">
        <v>14</v>
      </c>
      <c r="H97" s="5">
        <v>2</v>
      </c>
      <c r="I97" s="67" t="s">
        <v>160</v>
      </c>
      <c r="J97" s="67"/>
      <c r="K97" s="46">
        <v>0</v>
      </c>
      <c r="L97" s="46">
        <v>0</v>
      </c>
      <c r="M97" s="45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61">
        <v>0</v>
      </c>
      <c r="AI97" s="61">
        <v>0</v>
      </c>
      <c r="AJ97" s="61">
        <v>0</v>
      </c>
      <c r="AK97" s="61">
        <v>0</v>
      </c>
      <c r="AL97" s="61">
        <v>0</v>
      </c>
      <c r="AM97" s="61">
        <v>0</v>
      </c>
      <c r="AN97" s="61">
        <v>0</v>
      </c>
      <c r="AO97" s="61"/>
      <c r="AP97" s="46">
        <f t="shared" si="2"/>
        <v>0</v>
      </c>
      <c r="AQ97" s="67">
        <f t="shared" si="3"/>
        <v>0</v>
      </c>
    </row>
    <row r="98" spans="1:43" x14ac:dyDescent="0.3">
      <c r="A98" s="5">
        <v>97</v>
      </c>
      <c r="B98" s="6" t="s">
        <v>65</v>
      </c>
      <c r="C98" s="39" t="s">
        <v>122</v>
      </c>
      <c r="D98" s="6" t="s">
        <v>30</v>
      </c>
      <c r="E98" s="6" t="s">
        <v>19</v>
      </c>
      <c r="F98" s="6" t="s">
        <v>13</v>
      </c>
      <c r="G98" s="6" t="s">
        <v>14</v>
      </c>
      <c r="H98" s="5">
        <v>3</v>
      </c>
      <c r="I98" s="67" t="s">
        <v>160</v>
      </c>
      <c r="J98" s="67"/>
      <c r="K98" s="46">
        <v>0</v>
      </c>
      <c r="L98" s="46">
        <v>0</v>
      </c>
      <c r="M98" s="45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61">
        <v>0</v>
      </c>
      <c r="AI98" s="61">
        <v>0</v>
      </c>
      <c r="AJ98" s="61">
        <v>0</v>
      </c>
      <c r="AK98" s="48">
        <v>0</v>
      </c>
      <c r="AL98" s="48">
        <v>0</v>
      </c>
      <c r="AM98" s="48">
        <v>0</v>
      </c>
      <c r="AN98" s="48">
        <v>0</v>
      </c>
      <c r="AO98" s="48"/>
      <c r="AP98" s="46">
        <f t="shared" si="2"/>
        <v>0</v>
      </c>
      <c r="AQ98" s="67">
        <f t="shared" si="3"/>
        <v>0</v>
      </c>
    </row>
    <row r="99" spans="1:43" x14ac:dyDescent="0.3">
      <c r="A99" s="5">
        <v>98</v>
      </c>
      <c r="B99" s="6" t="s">
        <v>65</v>
      </c>
      <c r="C99" s="39" t="s">
        <v>143</v>
      </c>
      <c r="D99" s="6" t="s">
        <v>128</v>
      </c>
      <c r="E99" s="6" t="s">
        <v>12</v>
      </c>
      <c r="F99" s="6" t="s">
        <v>121</v>
      </c>
      <c r="G99" s="6" t="s">
        <v>14</v>
      </c>
      <c r="H99" s="5">
        <v>2</v>
      </c>
      <c r="I99" s="67" t="s">
        <v>272</v>
      </c>
      <c r="J99" s="67"/>
      <c r="K99" s="46">
        <v>0</v>
      </c>
      <c r="L99" s="46">
        <v>0</v>
      </c>
      <c r="M99" s="45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6.25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61">
        <v>0</v>
      </c>
      <c r="AI99" s="61">
        <v>0</v>
      </c>
      <c r="AJ99" s="61">
        <v>0</v>
      </c>
      <c r="AK99" s="46">
        <v>0</v>
      </c>
      <c r="AL99" s="46">
        <v>0</v>
      </c>
      <c r="AM99" s="46">
        <v>0</v>
      </c>
      <c r="AN99" s="46">
        <v>0</v>
      </c>
      <c r="AO99" s="46"/>
      <c r="AP99" s="46">
        <f t="shared" si="2"/>
        <v>0.20833333333333334</v>
      </c>
      <c r="AQ99" s="67">
        <f t="shared" si="3"/>
        <v>0.10416666666666667</v>
      </c>
    </row>
    <row r="100" spans="1:43" x14ac:dyDescent="0.3">
      <c r="A100" s="5"/>
      <c r="B100" s="6"/>
      <c r="C100" s="39"/>
      <c r="D100" s="6"/>
      <c r="E100" s="6"/>
      <c r="F100" s="6"/>
      <c r="G100" s="6"/>
      <c r="H100" s="5"/>
      <c r="I100" s="67"/>
      <c r="J100" s="67"/>
      <c r="K100" s="45"/>
      <c r="L100" s="45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/>
      <c r="AG100" s="48"/>
      <c r="AH100" s="46"/>
      <c r="AI100" s="46"/>
      <c r="AJ100" s="46"/>
      <c r="AK100" s="46"/>
      <c r="AL100" s="46"/>
      <c r="AM100" s="46"/>
      <c r="AN100" s="46"/>
      <c r="AO100" s="46"/>
      <c r="AP100" s="46"/>
      <c r="AQ100" s="67"/>
    </row>
    <row r="101" spans="1:43" x14ac:dyDescent="0.3">
      <c r="A101" s="5"/>
      <c r="B101" s="6"/>
      <c r="C101" s="14"/>
      <c r="D101" s="14"/>
      <c r="E101" s="13"/>
      <c r="F101" s="13"/>
      <c r="G101" s="13" t="s">
        <v>79</v>
      </c>
      <c r="H101" s="52">
        <f>SUM(H2:H99)</f>
        <v>680</v>
      </c>
      <c r="I101" s="52"/>
      <c r="J101" s="52"/>
      <c r="K101" s="44">
        <f t="shared" ref="K101:AN101" si="4">SUM(K2:K99)</f>
        <v>3159.1129999999998</v>
      </c>
      <c r="L101" s="44">
        <f t="shared" si="4"/>
        <v>3094.942</v>
      </c>
      <c r="M101" s="44">
        <f t="shared" si="4"/>
        <v>2985.9770000000008</v>
      </c>
      <c r="N101" s="44">
        <f t="shared" si="4"/>
        <v>3228.0540000000001</v>
      </c>
      <c r="O101" s="44">
        <f t="shared" si="4"/>
        <v>2933.5729999999999</v>
      </c>
      <c r="P101" s="44">
        <f t="shared" si="4"/>
        <v>3371.81</v>
      </c>
      <c r="Q101" s="44">
        <f t="shared" si="4"/>
        <v>3406.5759999999996</v>
      </c>
      <c r="R101" s="44">
        <f t="shared" si="4"/>
        <v>3319.7759999999998</v>
      </c>
      <c r="S101" s="44">
        <f t="shared" si="4"/>
        <v>3125.3319999999994</v>
      </c>
      <c r="T101" s="44">
        <f t="shared" si="4"/>
        <v>3218.9369999999994</v>
      </c>
      <c r="U101" s="44">
        <f t="shared" si="4"/>
        <v>3298.3530000000001</v>
      </c>
      <c r="V101" s="44">
        <f t="shared" si="4"/>
        <v>3285.6959999999999</v>
      </c>
      <c r="W101" s="44">
        <f t="shared" si="4"/>
        <v>3351.8829999999998</v>
      </c>
      <c r="X101" s="44">
        <f t="shared" si="4"/>
        <v>3388.4539999999997</v>
      </c>
      <c r="Y101" s="44">
        <f t="shared" si="4"/>
        <v>3576.7460000000001</v>
      </c>
      <c r="Z101" s="44">
        <f t="shared" si="4"/>
        <v>3562.3419999999992</v>
      </c>
      <c r="AA101" s="44">
        <f t="shared" si="4"/>
        <v>2995.9289999999996</v>
      </c>
      <c r="AB101" s="44">
        <f t="shared" si="4"/>
        <v>3432.2430000000018</v>
      </c>
      <c r="AC101" s="44">
        <f t="shared" si="4"/>
        <v>3033.8619999999996</v>
      </c>
      <c r="AD101" s="44">
        <f t="shared" si="4"/>
        <v>3620.0879999999993</v>
      </c>
      <c r="AE101" s="44">
        <f t="shared" si="4"/>
        <v>3434.7599999999998</v>
      </c>
      <c r="AF101" s="44">
        <f t="shared" si="4"/>
        <v>3217.8360000000007</v>
      </c>
      <c r="AG101" s="44">
        <f t="shared" si="4"/>
        <v>3502.5730000000017</v>
      </c>
      <c r="AH101" s="44">
        <f t="shared" si="4"/>
        <v>3461.029</v>
      </c>
      <c r="AI101" s="44">
        <f t="shared" si="4"/>
        <v>3473.8329999999996</v>
      </c>
      <c r="AJ101" s="44">
        <f t="shared" si="4"/>
        <v>3686.9290000000005</v>
      </c>
      <c r="AK101" s="44">
        <f t="shared" si="4"/>
        <v>3466.9550000000004</v>
      </c>
      <c r="AL101" s="44">
        <f t="shared" si="4"/>
        <v>3388.3230000000003</v>
      </c>
      <c r="AM101" s="44">
        <f t="shared" si="4"/>
        <v>3513.427999999999</v>
      </c>
      <c r="AN101" s="44">
        <f t="shared" si="4"/>
        <v>3474.8440000000014</v>
      </c>
      <c r="AO101" s="44"/>
      <c r="AP101" s="46">
        <f t="shared" ref="AP101" si="5">AVERAGE(K101:AN101)</f>
        <v>3333.6731999999993</v>
      </c>
      <c r="AQ101" s="67">
        <f t="shared" ref="AQ101" si="6">AP101/H101</f>
        <v>4.902460588235293</v>
      </c>
    </row>
    <row r="102" spans="1:43" x14ac:dyDescent="0.3">
      <c r="I102" s="28"/>
      <c r="J102" s="28"/>
      <c r="K102" s="27"/>
      <c r="L102" s="28"/>
      <c r="M102"/>
      <c r="AM102" s="50"/>
      <c r="AN102" s="50"/>
      <c r="AO102" s="50"/>
      <c r="AP102" t="s">
        <v>239</v>
      </c>
    </row>
    <row r="103" spans="1:43" x14ac:dyDescent="0.3">
      <c r="AP103" s="50"/>
    </row>
  </sheetData>
  <autoFilter ref="A1:I99" xr:uid="{00000000-0009-0000-0000-000021000000}"/>
  <pageMargins left="0.7" right="0.7" top="0.75" bottom="0.75" header="0.3" footer="0.3"/>
  <pageSetup scale="1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N33"/>
  <sheetViews>
    <sheetView topLeftCell="A25" workbookViewId="0">
      <selection activeCell="F29" sqref="F29"/>
    </sheetView>
  </sheetViews>
  <sheetFormatPr defaultRowHeight="14.4" x14ac:dyDescent="0.3"/>
  <cols>
    <col min="1" max="1" width="17.33203125" customWidth="1"/>
    <col min="2" max="2" width="16.33203125" customWidth="1"/>
    <col min="3" max="3" width="9.88671875" customWidth="1"/>
    <col min="4" max="4" width="8" customWidth="1"/>
    <col min="5" max="5" width="10.33203125" customWidth="1"/>
    <col min="6" max="6" width="7.33203125" customWidth="1"/>
    <col min="7" max="7" width="10.5546875" customWidth="1"/>
    <col min="8" max="8" width="9" customWidth="1"/>
    <col min="9" max="9" width="8" customWidth="1"/>
    <col min="10" max="10" width="7" customWidth="1"/>
    <col min="11" max="11" width="12.6640625" customWidth="1"/>
    <col min="12" max="12" width="11.109375" customWidth="1"/>
    <col min="13" max="13" width="14.6640625" customWidth="1"/>
    <col min="14" max="14" width="11.33203125" customWidth="1"/>
    <col min="15" max="24" width="18.6640625" bestFit="1" customWidth="1"/>
    <col min="25" max="27" width="18.6640625" customWidth="1"/>
    <col min="28" max="36" width="18.6640625" bestFit="1" customWidth="1"/>
    <col min="37" max="39" width="18.6640625" customWidth="1"/>
    <col min="40" max="48" width="18.6640625" bestFit="1" customWidth="1"/>
    <col min="49" max="52" width="18.6640625" customWidth="1"/>
    <col min="53" max="60" width="18.6640625" bestFit="1" customWidth="1"/>
    <col min="61" max="65" width="23.6640625" bestFit="1" customWidth="1"/>
  </cols>
  <sheetData>
    <row r="2" spans="1:14" x14ac:dyDescent="0.3">
      <c r="B2" s="29" t="s">
        <v>144</v>
      </c>
    </row>
    <row r="3" spans="1:14" x14ac:dyDescent="0.3">
      <c r="A3" s="30" t="s">
        <v>131</v>
      </c>
      <c r="B3" s="12" t="s">
        <v>175</v>
      </c>
      <c r="C3" s="12" t="s">
        <v>58</v>
      </c>
      <c r="D3" s="12" t="s">
        <v>65</v>
      </c>
      <c r="E3" s="12" t="s">
        <v>222</v>
      </c>
      <c r="F3" s="12" t="s">
        <v>134</v>
      </c>
      <c r="G3" s="12" t="s">
        <v>9</v>
      </c>
      <c r="H3" s="12" t="s">
        <v>55</v>
      </c>
      <c r="I3" s="12" t="s">
        <v>119</v>
      </c>
      <c r="J3" s="12" t="s">
        <v>221</v>
      </c>
      <c r="K3" s="12" t="s">
        <v>246</v>
      </c>
      <c r="L3" s="12" t="s">
        <v>49</v>
      </c>
      <c r="M3" s="12" t="s">
        <v>52</v>
      </c>
      <c r="N3" s="12" t="s">
        <v>83</v>
      </c>
    </row>
    <row r="4" spans="1:14" x14ac:dyDescent="0.3">
      <c r="A4" s="39" t="s">
        <v>335</v>
      </c>
      <c r="B4" s="31">
        <v>60.704999999999977</v>
      </c>
      <c r="C4" s="31">
        <v>678.83899999999994</v>
      </c>
      <c r="D4" s="31">
        <v>289.54599999999999</v>
      </c>
      <c r="E4" s="31">
        <v>0</v>
      </c>
      <c r="F4" s="31">
        <v>60.66899999999999</v>
      </c>
      <c r="G4" s="31">
        <v>1406.3639999999996</v>
      </c>
      <c r="H4" s="31">
        <v>362.46300000000014</v>
      </c>
      <c r="I4" s="31">
        <v>81.986999999999981</v>
      </c>
      <c r="J4" s="31">
        <v>17.426000000000002</v>
      </c>
      <c r="K4" s="31">
        <v>45.093000000000004</v>
      </c>
      <c r="L4" s="31">
        <v>92.290999999999997</v>
      </c>
      <c r="M4" s="31">
        <v>63.72999999999999</v>
      </c>
      <c r="N4" s="31">
        <v>3159.1129999999998</v>
      </c>
    </row>
    <row r="5" spans="1:14" x14ac:dyDescent="0.3">
      <c r="A5" s="39" t="s">
        <v>336</v>
      </c>
      <c r="B5" s="31">
        <v>85.320000000000022</v>
      </c>
      <c r="C5" s="31">
        <v>640.13600000000008</v>
      </c>
      <c r="D5" s="31">
        <v>197.74499999999998</v>
      </c>
      <c r="E5" s="31">
        <v>0</v>
      </c>
      <c r="F5" s="31">
        <v>55.521000000000001</v>
      </c>
      <c r="G5" s="31">
        <v>1376.5440000000001</v>
      </c>
      <c r="H5" s="31">
        <v>452.41100000000012</v>
      </c>
      <c r="I5" s="31">
        <v>32.458000000000006</v>
      </c>
      <c r="J5" s="31">
        <v>14.012999999999998</v>
      </c>
      <c r="K5" s="31">
        <v>25.456</v>
      </c>
      <c r="L5" s="31">
        <v>104.59599999999999</v>
      </c>
      <c r="M5" s="31">
        <v>107.74200000000002</v>
      </c>
      <c r="N5" s="31">
        <v>3091.9420000000005</v>
      </c>
    </row>
    <row r="6" spans="1:14" x14ac:dyDescent="0.3">
      <c r="A6" s="39" t="s">
        <v>337</v>
      </c>
      <c r="B6" s="31">
        <v>60.126000000000005</v>
      </c>
      <c r="C6" s="31">
        <v>744.56799999999998</v>
      </c>
      <c r="D6" s="31">
        <v>211.435</v>
      </c>
      <c r="E6" s="31">
        <v>0</v>
      </c>
      <c r="F6" s="31">
        <v>41.25500000000001</v>
      </c>
      <c r="G6" s="31">
        <v>1314.4260000000002</v>
      </c>
      <c r="H6" s="31">
        <v>298.70900000000006</v>
      </c>
      <c r="I6" s="31">
        <v>56.978999999999999</v>
      </c>
      <c r="J6" s="31">
        <v>10.543999999999999</v>
      </c>
      <c r="K6" s="31">
        <v>19.960999999999999</v>
      </c>
      <c r="L6" s="31">
        <v>101.748</v>
      </c>
      <c r="M6" s="31">
        <v>126.226</v>
      </c>
      <c r="N6" s="31">
        <v>2985.9769999999999</v>
      </c>
    </row>
    <row r="7" spans="1:14" x14ac:dyDescent="0.3">
      <c r="A7" s="39" t="s">
        <v>338</v>
      </c>
      <c r="B7" s="31">
        <v>90.430999999999997</v>
      </c>
      <c r="C7" s="31">
        <v>606.42200000000003</v>
      </c>
      <c r="D7" s="31">
        <v>305.29300000000001</v>
      </c>
      <c r="E7" s="31">
        <v>0</v>
      </c>
      <c r="F7" s="31">
        <v>54.172000000000004</v>
      </c>
      <c r="G7" s="31">
        <v>1506.6990000000003</v>
      </c>
      <c r="H7" s="31">
        <v>225.67100000000005</v>
      </c>
      <c r="I7" s="31">
        <v>86.382000000000019</v>
      </c>
      <c r="J7" s="31">
        <v>10.267999999999999</v>
      </c>
      <c r="K7" s="31">
        <v>65.483999999999995</v>
      </c>
      <c r="L7" s="31">
        <v>122.43599999999998</v>
      </c>
      <c r="M7" s="31">
        <v>154.80100000000002</v>
      </c>
      <c r="N7" s="31">
        <v>3228.0590000000002</v>
      </c>
    </row>
    <row r="8" spans="1:14" x14ac:dyDescent="0.3">
      <c r="A8" s="39" t="s">
        <v>339</v>
      </c>
      <c r="B8" s="31">
        <v>46.073000000000008</v>
      </c>
      <c r="C8" s="31">
        <v>559.60799999999995</v>
      </c>
      <c r="D8" s="31">
        <v>250.137</v>
      </c>
      <c r="E8" s="31">
        <v>0</v>
      </c>
      <c r="F8" s="31">
        <v>35.952999999999996</v>
      </c>
      <c r="G8" s="31">
        <v>1295.3570000000002</v>
      </c>
      <c r="H8" s="31">
        <v>374.2609999999998</v>
      </c>
      <c r="I8" s="31">
        <v>63.963000000000008</v>
      </c>
      <c r="J8" s="31">
        <v>9.5830000000000002</v>
      </c>
      <c r="K8" s="31">
        <v>35.512</v>
      </c>
      <c r="L8" s="31">
        <v>121.33099999999999</v>
      </c>
      <c r="M8" s="31">
        <v>141.79500000000002</v>
      </c>
      <c r="N8" s="31">
        <v>2933.5730000000008</v>
      </c>
    </row>
    <row r="9" spans="1:14" x14ac:dyDescent="0.3">
      <c r="A9" s="39" t="s">
        <v>340</v>
      </c>
      <c r="B9" s="31">
        <v>18.837</v>
      </c>
      <c r="C9" s="31">
        <v>621.88400000000001</v>
      </c>
      <c r="D9" s="31">
        <v>302</v>
      </c>
      <c r="E9" s="31">
        <v>0</v>
      </c>
      <c r="F9" s="31">
        <v>31.808</v>
      </c>
      <c r="G9" s="31">
        <v>1595.4060000000006</v>
      </c>
      <c r="H9" s="31">
        <v>368.7639999999999</v>
      </c>
      <c r="I9" s="31">
        <v>105.02900000000004</v>
      </c>
      <c r="J9" s="31">
        <v>4.6909999999999998</v>
      </c>
      <c r="K9" s="31">
        <v>35.408000000000001</v>
      </c>
      <c r="L9" s="31">
        <v>118.55200000000002</v>
      </c>
      <c r="M9" s="31">
        <v>109.30099999999999</v>
      </c>
      <c r="N9" s="31">
        <v>3311.6800000000003</v>
      </c>
    </row>
    <row r="10" spans="1:14" x14ac:dyDescent="0.3">
      <c r="A10" s="39" t="s">
        <v>343</v>
      </c>
      <c r="B10" s="31">
        <v>18.059999999999999</v>
      </c>
      <c r="C10" s="31">
        <v>746.82300000000009</v>
      </c>
      <c r="D10" s="31">
        <v>430.22400000000005</v>
      </c>
      <c r="E10" s="31">
        <v>0</v>
      </c>
      <c r="F10" s="31">
        <v>42.978999999999999</v>
      </c>
      <c r="G10" s="31">
        <v>1480.3019999999999</v>
      </c>
      <c r="H10" s="31">
        <v>340.53700000000009</v>
      </c>
      <c r="I10" s="31">
        <v>89.885999999999996</v>
      </c>
      <c r="J10" s="31">
        <v>7.6910000000000007</v>
      </c>
      <c r="K10" s="31">
        <v>17.722999999999999</v>
      </c>
      <c r="L10" s="31">
        <v>99.055000000000007</v>
      </c>
      <c r="M10" s="31">
        <v>133.29599999999999</v>
      </c>
      <c r="N10" s="31">
        <v>3406.5759999999996</v>
      </c>
    </row>
    <row r="11" spans="1:14" x14ac:dyDescent="0.3">
      <c r="A11" s="39" t="s">
        <v>342</v>
      </c>
      <c r="B11" s="31">
        <v>43.782999999999994</v>
      </c>
      <c r="C11" s="31">
        <v>702.96500000000003</v>
      </c>
      <c r="D11" s="31">
        <v>380.55900000000003</v>
      </c>
      <c r="E11" s="31">
        <v>0</v>
      </c>
      <c r="F11" s="31">
        <v>21.312000000000001</v>
      </c>
      <c r="G11" s="31">
        <v>1334.0520000000001</v>
      </c>
      <c r="H11" s="31">
        <v>494.35799999999978</v>
      </c>
      <c r="I11" s="31">
        <v>85.858000000000018</v>
      </c>
      <c r="J11" s="31">
        <v>10.602</v>
      </c>
      <c r="K11" s="31">
        <v>37.375999999999998</v>
      </c>
      <c r="L11" s="31">
        <v>84.874000000000009</v>
      </c>
      <c r="M11" s="31">
        <v>124.03700000000002</v>
      </c>
      <c r="N11" s="31">
        <v>3319.7759999999998</v>
      </c>
    </row>
    <row r="12" spans="1:14" x14ac:dyDescent="0.3">
      <c r="A12" s="39" t="s">
        <v>341</v>
      </c>
      <c r="B12" s="31">
        <v>35.062000000000005</v>
      </c>
      <c r="C12" s="31">
        <v>559.82500000000005</v>
      </c>
      <c r="D12" s="31">
        <v>386.48199999999997</v>
      </c>
      <c r="E12" s="31">
        <v>0</v>
      </c>
      <c r="F12" s="31">
        <v>38.313000000000002</v>
      </c>
      <c r="G12" s="31">
        <v>1330.9760000000001</v>
      </c>
      <c r="H12" s="31">
        <v>441.25200000000007</v>
      </c>
      <c r="I12" s="31">
        <v>37.676999999999985</v>
      </c>
      <c r="J12" s="31">
        <v>8.9789999999999992</v>
      </c>
      <c r="K12" s="31">
        <v>31.4</v>
      </c>
      <c r="L12" s="31">
        <v>127.626</v>
      </c>
      <c r="M12" s="31">
        <v>127.74</v>
      </c>
      <c r="N12" s="31">
        <v>3125.3320000000003</v>
      </c>
    </row>
    <row r="13" spans="1:14" x14ac:dyDescent="0.3">
      <c r="A13" s="39" t="s">
        <v>344</v>
      </c>
      <c r="B13" s="31">
        <v>48.127000000000002</v>
      </c>
      <c r="C13" s="31">
        <v>663.30300000000011</v>
      </c>
      <c r="D13" s="31">
        <v>454.45400000000001</v>
      </c>
      <c r="E13" s="31">
        <v>0</v>
      </c>
      <c r="F13" s="31">
        <v>37.042000000000002</v>
      </c>
      <c r="G13" s="31">
        <v>1390.4579999999999</v>
      </c>
      <c r="H13" s="31">
        <v>342.89299999999992</v>
      </c>
      <c r="I13" s="31">
        <v>0</v>
      </c>
      <c r="J13" s="31">
        <v>12.777999999999999</v>
      </c>
      <c r="K13" s="31">
        <v>22.916</v>
      </c>
      <c r="L13" s="31">
        <v>98.676999999999992</v>
      </c>
      <c r="M13" s="31">
        <v>148.28900000000002</v>
      </c>
      <c r="N13" s="31">
        <v>3218.9370000000004</v>
      </c>
    </row>
    <row r="14" spans="1:14" x14ac:dyDescent="0.3">
      <c r="A14" s="39" t="s">
        <v>345</v>
      </c>
      <c r="B14" s="31">
        <v>30.368999999999996</v>
      </c>
      <c r="C14" s="31">
        <v>717.90200000000004</v>
      </c>
      <c r="D14" s="31">
        <v>429.34600000000006</v>
      </c>
      <c r="E14" s="31">
        <v>0</v>
      </c>
      <c r="F14" s="31">
        <v>54.891999999999996</v>
      </c>
      <c r="G14" s="31">
        <v>1452.7090000000003</v>
      </c>
      <c r="H14" s="31">
        <v>331.24899999999997</v>
      </c>
      <c r="I14" s="31">
        <v>18.732000000000003</v>
      </c>
      <c r="J14" s="31">
        <v>12.969000000000001</v>
      </c>
      <c r="K14" s="31">
        <v>18.177999999999997</v>
      </c>
      <c r="L14" s="31">
        <v>113.413</v>
      </c>
      <c r="M14" s="31">
        <v>118.59400000000002</v>
      </c>
      <c r="N14" s="31">
        <v>3298.3530000000005</v>
      </c>
    </row>
    <row r="15" spans="1:14" x14ac:dyDescent="0.3">
      <c r="A15" s="39" t="s">
        <v>346</v>
      </c>
      <c r="B15" s="31">
        <v>19.170000000000002</v>
      </c>
      <c r="C15" s="31">
        <v>671.02700000000004</v>
      </c>
      <c r="D15" s="31">
        <v>441.64200000000005</v>
      </c>
      <c r="E15" s="31">
        <v>0</v>
      </c>
      <c r="F15" s="31">
        <v>34.973999999999997</v>
      </c>
      <c r="G15" s="31">
        <v>1410.691</v>
      </c>
      <c r="H15" s="31">
        <v>367.21699999999976</v>
      </c>
      <c r="I15" s="31">
        <v>82.834000000000017</v>
      </c>
      <c r="J15" s="31">
        <v>22.423000000000002</v>
      </c>
      <c r="K15" s="31">
        <v>58.491999999999997</v>
      </c>
      <c r="L15" s="31">
        <v>51.018999999999998</v>
      </c>
      <c r="M15" s="31">
        <v>126.20699999999999</v>
      </c>
      <c r="N15" s="31">
        <v>3285.695999999999</v>
      </c>
    </row>
    <row r="16" spans="1:14" x14ac:dyDescent="0.3">
      <c r="A16" s="39" t="s">
        <v>347</v>
      </c>
      <c r="B16" s="31">
        <v>18.917000000000002</v>
      </c>
      <c r="C16" s="31">
        <v>633.36400000000003</v>
      </c>
      <c r="D16" s="31">
        <v>582.52399999999989</v>
      </c>
      <c r="E16" s="31">
        <v>0</v>
      </c>
      <c r="F16" s="31">
        <v>33.332000000000001</v>
      </c>
      <c r="G16" s="31">
        <v>1443.8769999999995</v>
      </c>
      <c r="H16" s="31">
        <v>325.6819999999999</v>
      </c>
      <c r="I16" s="31">
        <v>74.2</v>
      </c>
      <c r="J16" s="31">
        <v>30.951000000000004</v>
      </c>
      <c r="K16" s="31">
        <v>20.175000000000001</v>
      </c>
      <c r="L16" s="31">
        <v>76.39800000000001</v>
      </c>
      <c r="M16" s="31">
        <v>112.46299999999999</v>
      </c>
      <c r="N16" s="31">
        <v>3351.8829999999994</v>
      </c>
    </row>
    <row r="17" spans="1:14" x14ac:dyDescent="0.3">
      <c r="A17" s="39" t="s">
        <v>348</v>
      </c>
      <c r="B17" s="31">
        <v>18.794</v>
      </c>
      <c r="C17" s="31">
        <v>630.68899999999996</v>
      </c>
      <c r="D17" s="31">
        <v>482.20100000000002</v>
      </c>
      <c r="E17" s="31">
        <v>0</v>
      </c>
      <c r="F17" s="31">
        <v>46.652000000000001</v>
      </c>
      <c r="G17" s="31">
        <v>1508.3409999999999</v>
      </c>
      <c r="H17" s="31">
        <v>337.17999999999972</v>
      </c>
      <c r="I17" s="31">
        <v>53.854000000000006</v>
      </c>
      <c r="J17" s="31">
        <v>23.697000000000003</v>
      </c>
      <c r="K17" s="31">
        <v>27.845000000000002</v>
      </c>
      <c r="L17" s="31">
        <v>104.03099999999999</v>
      </c>
      <c r="M17" s="31">
        <v>155.16999999999999</v>
      </c>
      <c r="N17" s="31">
        <v>3388.4539999999993</v>
      </c>
    </row>
    <row r="18" spans="1:14" x14ac:dyDescent="0.3">
      <c r="A18" s="39" t="s">
        <v>349</v>
      </c>
      <c r="B18" s="31">
        <v>56.327999999999996</v>
      </c>
      <c r="C18" s="31">
        <v>664.2650000000001</v>
      </c>
      <c r="D18" s="31">
        <v>502.20600000000002</v>
      </c>
      <c r="E18" s="31">
        <v>0</v>
      </c>
      <c r="F18" s="31">
        <v>48.308</v>
      </c>
      <c r="G18" s="31">
        <v>1596.9080000000001</v>
      </c>
      <c r="H18" s="31">
        <v>400.59800000000007</v>
      </c>
      <c r="I18" s="31">
        <v>46.592999999999989</v>
      </c>
      <c r="J18" s="31">
        <v>12.286000000000001</v>
      </c>
      <c r="K18" s="31">
        <v>29.877000000000002</v>
      </c>
      <c r="L18" s="31">
        <v>109.398</v>
      </c>
      <c r="M18" s="31">
        <v>109.97900000000001</v>
      </c>
      <c r="N18" s="31">
        <v>3576.7460000000001</v>
      </c>
    </row>
    <row r="19" spans="1:14" x14ac:dyDescent="0.3">
      <c r="A19" s="39" t="s">
        <v>350</v>
      </c>
      <c r="B19" s="31">
        <v>22.396000000000001</v>
      </c>
      <c r="C19" s="31">
        <v>662.94</v>
      </c>
      <c r="D19" s="31">
        <v>472.06600000000003</v>
      </c>
      <c r="E19" s="31">
        <v>0</v>
      </c>
      <c r="F19" s="31">
        <v>33.067999999999998</v>
      </c>
      <c r="G19" s="31">
        <v>1519.8519999999994</v>
      </c>
      <c r="H19" s="31">
        <v>552.97999999999979</v>
      </c>
      <c r="I19" s="31">
        <v>38.385999999999996</v>
      </c>
      <c r="J19" s="31">
        <v>9.3330000000000002</v>
      </c>
      <c r="K19" s="31">
        <v>52.015999999999998</v>
      </c>
      <c r="L19" s="31">
        <v>85.664000000000016</v>
      </c>
      <c r="M19" s="31">
        <v>113.64100000000001</v>
      </c>
      <c r="N19" s="31">
        <v>3562.3419999999992</v>
      </c>
    </row>
    <row r="20" spans="1:14" x14ac:dyDescent="0.3">
      <c r="A20" s="39" t="s">
        <v>351</v>
      </c>
      <c r="B20" s="31">
        <v>36.854999999999997</v>
      </c>
      <c r="C20" s="31">
        <v>543.77699999999993</v>
      </c>
      <c r="D20" s="31">
        <v>311.166</v>
      </c>
      <c r="E20" s="31">
        <v>0</v>
      </c>
      <c r="F20" s="31">
        <v>60.353999999999992</v>
      </c>
      <c r="G20" s="31">
        <v>1211.9160000000002</v>
      </c>
      <c r="H20" s="31">
        <v>494.17200000000014</v>
      </c>
      <c r="I20" s="31">
        <v>30.018000000000004</v>
      </c>
      <c r="J20" s="31">
        <v>6.7469999999999999</v>
      </c>
      <c r="K20" s="31">
        <v>42.652000000000001</v>
      </c>
      <c r="L20" s="31">
        <v>121.72400000000003</v>
      </c>
      <c r="M20" s="31">
        <v>136.548</v>
      </c>
      <c r="N20" s="31">
        <v>2995.9290000000001</v>
      </c>
    </row>
    <row r="21" spans="1:14" x14ac:dyDescent="0.3">
      <c r="A21" s="39" t="s">
        <v>358</v>
      </c>
      <c r="B21" s="31">
        <v>84.38</v>
      </c>
      <c r="C21" s="31">
        <v>583.10200000000009</v>
      </c>
      <c r="D21" s="31">
        <v>446.23199999999997</v>
      </c>
      <c r="E21" s="31">
        <v>0</v>
      </c>
      <c r="F21" s="31">
        <v>35.170999999999999</v>
      </c>
      <c r="G21" s="31">
        <v>1631.0689999999997</v>
      </c>
      <c r="H21" s="31">
        <v>300.8180000000001</v>
      </c>
      <c r="I21" s="31">
        <v>61.083000000000013</v>
      </c>
      <c r="J21" s="31">
        <v>18.266000000000002</v>
      </c>
      <c r="K21" s="31">
        <v>23.265999999999998</v>
      </c>
      <c r="L21" s="31">
        <v>108.831</v>
      </c>
      <c r="M21" s="31">
        <v>140.02499999999998</v>
      </c>
      <c r="N21" s="31">
        <v>3432.2430000000004</v>
      </c>
    </row>
    <row r="22" spans="1:14" x14ac:dyDescent="0.3">
      <c r="A22" s="26" t="s">
        <v>359</v>
      </c>
      <c r="B22" s="31">
        <v>30.019999999999996</v>
      </c>
      <c r="C22" s="31">
        <v>498.86199999999997</v>
      </c>
      <c r="D22" s="31">
        <v>542.68100000000004</v>
      </c>
      <c r="E22" s="31">
        <v>0</v>
      </c>
      <c r="F22" s="31">
        <v>52.855999999999995</v>
      </c>
      <c r="G22" s="31">
        <v>1427.8099999999997</v>
      </c>
      <c r="H22" s="31">
        <v>164.72900000000001</v>
      </c>
      <c r="I22" s="31">
        <v>61.657000000000011</v>
      </c>
      <c r="J22" s="31">
        <v>12.381</v>
      </c>
      <c r="K22" s="31">
        <v>47.512999999999998</v>
      </c>
      <c r="L22" s="31">
        <v>109.00599999999997</v>
      </c>
      <c r="M22" s="31">
        <v>86.346999999999994</v>
      </c>
      <c r="N22" s="31">
        <v>3033.8619999999996</v>
      </c>
    </row>
    <row r="23" spans="1:14" x14ac:dyDescent="0.3">
      <c r="A23" s="26" t="s">
        <v>360</v>
      </c>
      <c r="B23" s="31">
        <v>90.72999999999999</v>
      </c>
      <c r="C23" s="31">
        <v>516.80499999999984</v>
      </c>
      <c r="D23" s="31">
        <v>601.24000000000012</v>
      </c>
      <c r="E23" s="31">
        <v>0</v>
      </c>
      <c r="F23" s="31">
        <v>38.616999999999997</v>
      </c>
      <c r="G23" s="31">
        <v>1635.0059999999999</v>
      </c>
      <c r="H23" s="31">
        <v>428.42599999999987</v>
      </c>
      <c r="I23" s="31">
        <v>57.29999999999999</v>
      </c>
      <c r="J23" s="31">
        <v>9.9280000000000008</v>
      </c>
      <c r="K23" s="31">
        <v>11.891999999999999</v>
      </c>
      <c r="L23" s="31">
        <v>116.15699999999998</v>
      </c>
      <c r="M23" s="31">
        <v>113.98700000000002</v>
      </c>
      <c r="N23" s="31">
        <v>3620.0880000000002</v>
      </c>
    </row>
    <row r="24" spans="1:14" x14ac:dyDescent="0.3">
      <c r="A24" s="26" t="s">
        <v>361</v>
      </c>
      <c r="B24" s="31">
        <v>34.589999999999996</v>
      </c>
      <c r="C24" s="31">
        <v>515.98200000000008</v>
      </c>
      <c r="D24" s="31">
        <v>460.49300000000005</v>
      </c>
      <c r="E24" s="31">
        <v>0</v>
      </c>
      <c r="F24" s="31">
        <v>36.939</v>
      </c>
      <c r="G24" s="31">
        <v>1703.8880000000001</v>
      </c>
      <c r="H24" s="31">
        <v>320.75099999999986</v>
      </c>
      <c r="I24" s="31">
        <v>49.615000000000009</v>
      </c>
      <c r="J24" s="31">
        <v>12.982000000000001</v>
      </c>
      <c r="K24" s="31">
        <v>37.894000000000005</v>
      </c>
      <c r="L24" s="31">
        <v>105.85399999999998</v>
      </c>
      <c r="M24" s="31">
        <v>155.77199999999999</v>
      </c>
      <c r="N24" s="31">
        <v>3434.7599999999998</v>
      </c>
    </row>
    <row r="25" spans="1:14" x14ac:dyDescent="0.3">
      <c r="A25" s="26" t="s">
        <v>362</v>
      </c>
      <c r="B25" s="31">
        <v>82.01</v>
      </c>
      <c r="C25" s="31">
        <v>582.85299999999995</v>
      </c>
      <c r="D25" s="31">
        <v>381.73700000000002</v>
      </c>
      <c r="E25" s="31">
        <v>0</v>
      </c>
      <c r="F25" s="31">
        <v>38.615000000000002</v>
      </c>
      <c r="G25" s="31">
        <v>1446.7630000000004</v>
      </c>
      <c r="H25" s="31">
        <v>347.24999999999983</v>
      </c>
      <c r="I25" s="31">
        <v>68.853000000000009</v>
      </c>
      <c r="J25" s="31">
        <v>10.141999999999999</v>
      </c>
      <c r="K25" s="31">
        <v>38.787000000000006</v>
      </c>
      <c r="L25" s="31">
        <v>133.036</v>
      </c>
      <c r="M25" s="31">
        <v>87.789999999999992</v>
      </c>
      <c r="N25" s="31">
        <v>3217.8359999999998</v>
      </c>
    </row>
    <row r="26" spans="1:14" x14ac:dyDescent="0.3">
      <c r="A26" s="26" t="s">
        <v>363</v>
      </c>
      <c r="B26" s="31">
        <v>46.01</v>
      </c>
      <c r="C26" s="31">
        <v>693.38900000000001</v>
      </c>
      <c r="D26" s="31">
        <v>449.70500000000015</v>
      </c>
      <c r="E26" s="31">
        <v>0</v>
      </c>
      <c r="F26" s="31">
        <v>60.556999999999988</v>
      </c>
      <c r="G26" s="31">
        <v>1512.0040000000004</v>
      </c>
      <c r="H26" s="31">
        <v>505.13100000000009</v>
      </c>
      <c r="I26" s="31">
        <v>18.622999999999998</v>
      </c>
      <c r="J26" s="31">
        <v>13.483000000000001</v>
      </c>
      <c r="K26" s="31">
        <v>11.366000000000001</v>
      </c>
      <c r="L26" s="31">
        <v>79.697000000000003</v>
      </c>
      <c r="M26" s="31">
        <v>112.60800000000003</v>
      </c>
      <c r="N26" s="31">
        <v>3502.5730000000017</v>
      </c>
    </row>
    <row r="27" spans="1:14" x14ac:dyDescent="0.3">
      <c r="A27" s="26" t="s">
        <v>364</v>
      </c>
      <c r="B27" s="31">
        <v>29.82</v>
      </c>
      <c r="C27" s="31">
        <v>615.70900000000006</v>
      </c>
      <c r="D27" s="31">
        <v>465.6749999999999</v>
      </c>
      <c r="E27" s="31">
        <v>0</v>
      </c>
      <c r="F27" s="31">
        <v>30.625</v>
      </c>
      <c r="G27" s="31">
        <v>1590.3880000000004</v>
      </c>
      <c r="H27" s="31">
        <v>338.87099999999992</v>
      </c>
      <c r="I27" s="31">
        <v>58.523999999999994</v>
      </c>
      <c r="J27" s="31">
        <v>12.562999999999999</v>
      </c>
      <c r="K27" s="31">
        <v>35.331000000000003</v>
      </c>
      <c r="L27" s="31">
        <v>137.226</v>
      </c>
      <c r="M27" s="31">
        <v>171.916</v>
      </c>
      <c r="N27" s="31">
        <v>3486.648000000001</v>
      </c>
    </row>
    <row r="28" spans="1:14" x14ac:dyDescent="0.3">
      <c r="A28" s="26" t="s">
        <v>365</v>
      </c>
      <c r="B28" s="31">
        <v>93.143000000000043</v>
      </c>
      <c r="C28" s="31">
        <v>616.12499999999989</v>
      </c>
      <c r="D28" s="31">
        <v>409.78899999999993</v>
      </c>
      <c r="E28" s="31">
        <v>0</v>
      </c>
      <c r="F28" s="31">
        <v>47.486000000000004</v>
      </c>
      <c r="G28" s="31">
        <v>1755.8050000000001</v>
      </c>
      <c r="H28" s="31">
        <v>200.49999999999994</v>
      </c>
      <c r="I28" s="31">
        <v>83.000000000000028</v>
      </c>
      <c r="J28" s="31">
        <v>12.133000000000001</v>
      </c>
      <c r="K28" s="31">
        <v>35.659999999999997</v>
      </c>
      <c r="L28" s="31">
        <v>119.58000000000001</v>
      </c>
      <c r="M28" s="31">
        <v>93.7</v>
      </c>
      <c r="N28" s="31">
        <v>3466.9209999999994</v>
      </c>
    </row>
    <row r="29" spans="1:14" x14ac:dyDescent="0.3">
      <c r="A29" s="26" t="s">
        <v>367</v>
      </c>
      <c r="B29" s="31">
        <v>47.01400000000001</v>
      </c>
      <c r="C29" s="31">
        <v>649.29199999999992</v>
      </c>
      <c r="D29" s="31">
        <v>574.12300000000016</v>
      </c>
      <c r="E29" s="31">
        <v>0</v>
      </c>
      <c r="F29" s="31">
        <v>28.314999999999998</v>
      </c>
      <c r="G29" s="31">
        <v>1643.2749999999996</v>
      </c>
      <c r="H29" s="31">
        <v>342.94599999999997</v>
      </c>
      <c r="I29" s="31">
        <v>68.045000000000002</v>
      </c>
      <c r="J29" s="31">
        <v>10.643000000000001</v>
      </c>
      <c r="K29" s="31">
        <v>27.433</v>
      </c>
      <c r="L29" s="31">
        <v>136.34300000000002</v>
      </c>
      <c r="M29" s="31">
        <v>159.50000000000003</v>
      </c>
      <c r="N29" s="31">
        <v>3686.9289999999996</v>
      </c>
    </row>
    <row r="30" spans="1:14" x14ac:dyDescent="0.3">
      <c r="A30" s="26" t="s">
        <v>368</v>
      </c>
      <c r="B30" s="31">
        <v>55.326999999999998</v>
      </c>
      <c r="C30" s="31">
        <v>595.79100000000005</v>
      </c>
      <c r="D30" s="31">
        <v>471.88399999999996</v>
      </c>
      <c r="E30" s="31">
        <v>0</v>
      </c>
      <c r="F30" s="31">
        <v>60.355999999999995</v>
      </c>
      <c r="G30" s="31">
        <v>1583.6780000000001</v>
      </c>
      <c r="H30" s="31">
        <v>360.89100000000008</v>
      </c>
      <c r="I30" s="31">
        <v>75.736000000000018</v>
      </c>
      <c r="J30" s="31">
        <v>11.326000000000001</v>
      </c>
      <c r="K30" s="31">
        <v>29.887</v>
      </c>
      <c r="L30" s="31">
        <v>109.80999999999999</v>
      </c>
      <c r="M30" s="31">
        <v>112.26899999999996</v>
      </c>
      <c r="N30" s="31">
        <v>3466.9549999999999</v>
      </c>
    </row>
    <row r="31" spans="1:14" x14ac:dyDescent="0.3">
      <c r="A31" s="26" t="s">
        <v>369</v>
      </c>
      <c r="B31" s="31">
        <v>45.110000000000007</v>
      </c>
      <c r="C31" s="31">
        <v>640.27</v>
      </c>
      <c r="D31" s="31">
        <v>511.23800000000006</v>
      </c>
      <c r="E31" s="31">
        <v>0</v>
      </c>
      <c r="F31" s="31">
        <v>56.737999999999992</v>
      </c>
      <c r="G31" s="31">
        <v>1420.855</v>
      </c>
      <c r="H31" s="31">
        <v>359.50299999999993</v>
      </c>
      <c r="I31" s="31">
        <v>58.998999999999995</v>
      </c>
      <c r="J31" s="31">
        <v>9.9439999999999991</v>
      </c>
      <c r="K31" s="31">
        <v>36.596999999999994</v>
      </c>
      <c r="L31" s="31">
        <v>100.71000000000002</v>
      </c>
      <c r="M31" s="31">
        <v>144.761</v>
      </c>
      <c r="N31" s="31">
        <v>3384.7249999999999</v>
      </c>
    </row>
    <row r="32" spans="1:14" x14ac:dyDescent="0.3">
      <c r="A32" s="26" t="s">
        <v>371</v>
      </c>
      <c r="B32" s="31">
        <v>26.015999999999998</v>
      </c>
      <c r="C32" s="31">
        <v>613.77199999999993</v>
      </c>
      <c r="D32" s="31">
        <v>561.89899999999989</v>
      </c>
      <c r="E32" s="31">
        <v>0</v>
      </c>
      <c r="F32" s="31">
        <v>39.556000000000004</v>
      </c>
      <c r="G32" s="31">
        <v>1547.4019999999998</v>
      </c>
      <c r="H32" s="31">
        <v>445.67899999999992</v>
      </c>
      <c r="I32" s="31">
        <v>21.266999999999999</v>
      </c>
      <c r="J32" s="31">
        <v>4.8479999999999999</v>
      </c>
      <c r="K32" s="31">
        <v>30.191000000000003</v>
      </c>
      <c r="L32" s="31">
        <v>120.57499999999999</v>
      </c>
      <c r="M32" s="31">
        <v>93.561000000000007</v>
      </c>
      <c r="N32" s="31">
        <v>3504.7659999999992</v>
      </c>
    </row>
    <row r="33" spans="1:14" x14ac:dyDescent="0.3">
      <c r="A33" s="26" t="s">
        <v>372</v>
      </c>
      <c r="B33" s="31">
        <v>40.719000000000001</v>
      </c>
      <c r="C33" s="31">
        <v>831.07299999999998</v>
      </c>
      <c r="D33" s="31">
        <v>539.69000000000005</v>
      </c>
      <c r="E33" s="31">
        <v>0</v>
      </c>
      <c r="F33" s="31">
        <v>45.502000000000002</v>
      </c>
      <c r="G33" s="31">
        <v>1374.6200000000001</v>
      </c>
      <c r="H33" s="31">
        <v>437.28000000000003</v>
      </c>
      <c r="I33" s="31">
        <v>2.09</v>
      </c>
      <c r="J33" s="31">
        <v>16.393000000000001</v>
      </c>
      <c r="K33" s="31">
        <v>37.707999999999998</v>
      </c>
      <c r="L33" s="31">
        <v>41.192999999999998</v>
      </c>
      <c r="M33" s="31">
        <v>108.57599999999999</v>
      </c>
      <c r="N33" s="31">
        <v>3474.844000000001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I110"/>
  <sheetViews>
    <sheetView topLeftCell="Y97" workbookViewId="0">
      <selection activeCell="F29" sqref="F29"/>
    </sheetView>
  </sheetViews>
  <sheetFormatPr defaultRowHeight="14.4" x14ac:dyDescent="0.3"/>
  <cols>
    <col min="1" max="1" width="19.109375" bestFit="1" customWidth="1"/>
    <col min="2" max="33" width="16.88671875" bestFit="1" customWidth="1"/>
    <col min="34" max="34" width="14.44140625" bestFit="1" customWidth="1"/>
    <col min="35" max="35" width="12.109375" bestFit="1" customWidth="1"/>
  </cols>
  <sheetData>
    <row r="1" spans="1:35" x14ac:dyDescent="0.3">
      <c r="A1" s="30" t="s">
        <v>1</v>
      </c>
      <c r="B1" s="12" t="s">
        <v>82</v>
      </c>
    </row>
    <row r="2" spans="1:35" x14ac:dyDescent="0.3">
      <c r="A2" s="30" t="s">
        <v>158</v>
      </c>
      <c r="B2" s="12" t="s">
        <v>82</v>
      </c>
    </row>
    <row r="4" spans="1:35" ht="43.2" x14ac:dyDescent="0.3">
      <c r="A4" s="30" t="s">
        <v>394</v>
      </c>
      <c r="B4" s="12" t="s">
        <v>84</v>
      </c>
      <c r="C4" s="12" t="s">
        <v>373</v>
      </c>
      <c r="D4" s="12" t="s">
        <v>374</v>
      </c>
      <c r="E4" s="12" t="s">
        <v>375</v>
      </c>
      <c r="F4" s="12" t="s">
        <v>376</v>
      </c>
      <c r="G4" s="12" t="s">
        <v>377</v>
      </c>
      <c r="H4" s="12" t="s">
        <v>378</v>
      </c>
      <c r="I4" s="12" t="s">
        <v>379</v>
      </c>
      <c r="J4" s="12" t="s">
        <v>380</v>
      </c>
      <c r="K4" s="12" t="s">
        <v>381</v>
      </c>
      <c r="L4" s="12" t="s">
        <v>382</v>
      </c>
      <c r="M4" s="12" t="s">
        <v>383</v>
      </c>
      <c r="N4" s="12" t="s">
        <v>384</v>
      </c>
      <c r="O4" s="12" t="s">
        <v>385</v>
      </c>
      <c r="P4" s="12" t="s">
        <v>386</v>
      </c>
      <c r="Q4" s="12" t="s">
        <v>387</v>
      </c>
      <c r="R4" s="12" t="s">
        <v>395</v>
      </c>
      <c r="S4" s="12" t="s">
        <v>396</v>
      </c>
      <c r="T4" s="12" t="s">
        <v>397</v>
      </c>
      <c r="U4" s="12" t="s">
        <v>398</v>
      </c>
      <c r="V4" s="12" t="s">
        <v>400</v>
      </c>
      <c r="W4" s="12" t="s">
        <v>399</v>
      </c>
      <c r="X4" s="12" t="s">
        <v>401</v>
      </c>
      <c r="Y4" s="12" t="s">
        <v>402</v>
      </c>
      <c r="Z4" s="12" t="s">
        <v>408</v>
      </c>
      <c r="AA4" s="12" t="s">
        <v>410</v>
      </c>
      <c r="AB4" s="12" t="s">
        <v>411</v>
      </c>
      <c r="AC4" s="12" t="s">
        <v>412</v>
      </c>
      <c r="AD4" s="12" t="s">
        <v>413</v>
      </c>
      <c r="AE4" s="12" t="s">
        <v>414</v>
      </c>
      <c r="AF4" s="12" t="s">
        <v>415</v>
      </c>
      <c r="AG4" s="12" t="s">
        <v>416</v>
      </c>
      <c r="AH4" s="12" t="s">
        <v>85</v>
      </c>
      <c r="AI4" s="66" t="s">
        <v>155</v>
      </c>
    </row>
    <row r="5" spans="1:35" x14ac:dyDescent="0.3">
      <c r="A5" s="12" t="s">
        <v>242</v>
      </c>
      <c r="B5" s="137">
        <v>1</v>
      </c>
      <c r="C5" s="31">
        <v>0</v>
      </c>
      <c r="D5" s="31">
        <v>0</v>
      </c>
      <c r="E5" s="31">
        <v>0</v>
      </c>
      <c r="F5" s="31">
        <v>0</v>
      </c>
      <c r="G5" s="31">
        <v>0.23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  <c r="AH5" s="31">
        <v>7.4193548387096776E-3</v>
      </c>
      <c r="AI5" s="31">
        <v>7.4193548387096776E-3</v>
      </c>
    </row>
    <row r="6" spans="1:35" x14ac:dyDescent="0.3">
      <c r="A6" s="12" t="s">
        <v>241</v>
      </c>
      <c r="B6" s="137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</row>
    <row r="7" spans="1:35" x14ac:dyDescent="0.3">
      <c r="A7" s="12" t="s">
        <v>240</v>
      </c>
      <c r="B7" s="137">
        <v>1</v>
      </c>
      <c r="C7" s="31">
        <v>0</v>
      </c>
      <c r="D7" s="31">
        <v>0</v>
      </c>
      <c r="E7" s="31">
        <v>0</v>
      </c>
      <c r="F7" s="31">
        <v>0</v>
      </c>
      <c r="G7" s="31">
        <v>0.05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  <c r="AH7" s="31">
        <v>1.6129032258064516E-3</v>
      </c>
      <c r="AI7" s="31">
        <v>1.6129032258064516E-3</v>
      </c>
    </row>
    <row r="8" spans="1:35" x14ac:dyDescent="0.3">
      <c r="A8" s="12" t="s">
        <v>70</v>
      </c>
      <c r="B8" s="137">
        <v>82</v>
      </c>
      <c r="C8" s="31">
        <v>6.2850000000000001</v>
      </c>
      <c r="D8" s="31">
        <v>0.61099999999999999</v>
      </c>
      <c r="E8" s="31">
        <v>8.4819999999999993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0.49606451612903224</v>
      </c>
      <c r="AI8" s="31">
        <v>6.049567269866247E-3</v>
      </c>
    </row>
    <row r="9" spans="1:35" x14ac:dyDescent="0.3">
      <c r="A9" s="12" t="s">
        <v>252</v>
      </c>
      <c r="B9" s="137">
        <v>3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</row>
    <row r="10" spans="1:35" x14ac:dyDescent="0.3">
      <c r="A10" s="12" t="s">
        <v>261</v>
      </c>
      <c r="B10" s="137">
        <v>16</v>
      </c>
      <c r="C10" s="31">
        <v>0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</row>
    <row r="11" spans="1:35" x14ac:dyDescent="0.3">
      <c r="A11" s="12" t="s">
        <v>245</v>
      </c>
      <c r="B11" s="137">
        <v>3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</row>
    <row r="12" spans="1:35" x14ac:dyDescent="0.3">
      <c r="A12" s="12" t="s">
        <v>237</v>
      </c>
      <c r="B12" s="137">
        <v>3</v>
      </c>
      <c r="C12" s="31">
        <v>6.8440000000000003</v>
      </c>
      <c r="D12" s="31">
        <v>13.101000000000001</v>
      </c>
      <c r="E12" s="31">
        <v>8.0350000000000001</v>
      </c>
      <c r="F12" s="31">
        <v>12.211</v>
      </c>
      <c r="G12" s="31">
        <v>18.118000000000002</v>
      </c>
      <c r="H12" s="31">
        <v>6.5119999999999996</v>
      </c>
      <c r="I12" s="31">
        <v>13.068999999999999</v>
      </c>
      <c r="J12" s="31">
        <v>0.27900000000000003</v>
      </c>
      <c r="K12" s="31">
        <v>9.2349999999999994</v>
      </c>
      <c r="L12" s="31">
        <v>8.4529999999999994</v>
      </c>
      <c r="M12" s="31">
        <v>8.3149999999999995</v>
      </c>
      <c r="N12" s="31">
        <v>13.248999999999999</v>
      </c>
      <c r="O12" s="31">
        <v>10.157</v>
      </c>
      <c r="P12" s="31">
        <v>8.0879999999999992</v>
      </c>
      <c r="Q12" s="31">
        <v>11.821999999999999</v>
      </c>
      <c r="R12" s="31">
        <v>7.367</v>
      </c>
      <c r="S12" s="31">
        <v>6.0069999999999997</v>
      </c>
      <c r="T12" s="31">
        <v>13.879</v>
      </c>
      <c r="U12" s="31">
        <v>8.0050000000000008</v>
      </c>
      <c r="V12" s="31">
        <v>8.7629999999999999</v>
      </c>
      <c r="W12" s="31">
        <v>11.727</v>
      </c>
      <c r="X12" s="31">
        <v>2.14</v>
      </c>
      <c r="Y12" s="31">
        <v>13.465</v>
      </c>
      <c r="Z12" s="31">
        <v>11.74</v>
      </c>
      <c r="AA12" s="31">
        <v>11.387</v>
      </c>
      <c r="AB12" s="31">
        <v>2.9210000000000003</v>
      </c>
      <c r="AC12" s="31">
        <v>12.833</v>
      </c>
      <c r="AD12" s="31">
        <v>11.786</v>
      </c>
      <c r="AE12" s="31">
        <v>7.4890000000000008</v>
      </c>
      <c r="AF12" s="31">
        <v>11.896000000000001</v>
      </c>
      <c r="AG12" s="31">
        <v>13.579000000000001</v>
      </c>
      <c r="AH12" s="31">
        <v>9.7571612903225802</v>
      </c>
      <c r="AI12" s="31">
        <v>3.2523870967741932</v>
      </c>
    </row>
    <row r="13" spans="1:35" x14ac:dyDescent="0.3">
      <c r="A13" s="12" t="s">
        <v>253</v>
      </c>
      <c r="B13" s="137">
        <v>3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</row>
    <row r="14" spans="1:35" x14ac:dyDescent="0.3">
      <c r="A14" s="12" t="s">
        <v>235</v>
      </c>
      <c r="B14" s="137">
        <v>3</v>
      </c>
      <c r="C14" s="31">
        <v>0</v>
      </c>
      <c r="D14" s="31">
        <v>0</v>
      </c>
      <c r="E14" s="31">
        <v>0</v>
      </c>
      <c r="F14" s="31">
        <v>0.55499999999999994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0.10199999999999999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2.1193548387096771E-2</v>
      </c>
      <c r="AI14" s="31">
        <v>7.064516129032257E-3</v>
      </c>
    </row>
    <row r="15" spans="1:35" x14ac:dyDescent="0.3">
      <c r="A15" s="12" t="s">
        <v>238</v>
      </c>
      <c r="B15" s="137">
        <v>4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</row>
    <row r="16" spans="1:35" x14ac:dyDescent="0.3">
      <c r="A16" s="12" t="s">
        <v>93</v>
      </c>
      <c r="B16" s="137">
        <v>1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</row>
    <row r="17" spans="1:35" x14ac:dyDescent="0.3">
      <c r="A17" s="12" t="s">
        <v>66</v>
      </c>
      <c r="B17" s="137">
        <v>87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</row>
    <row r="18" spans="1:35" x14ac:dyDescent="0.3">
      <c r="A18" s="12" t="s">
        <v>74</v>
      </c>
      <c r="B18" s="137">
        <v>2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  <c r="AI18" s="31">
        <v>0</v>
      </c>
    </row>
    <row r="19" spans="1:35" x14ac:dyDescent="0.3">
      <c r="A19" s="12" t="s">
        <v>27</v>
      </c>
      <c r="B19" s="137">
        <v>4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</row>
    <row r="20" spans="1:35" x14ac:dyDescent="0.3">
      <c r="A20" s="12" t="s">
        <v>226</v>
      </c>
      <c r="B20" s="137">
        <v>10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</row>
    <row r="21" spans="1:35" x14ac:dyDescent="0.3">
      <c r="A21" s="12" t="s">
        <v>217</v>
      </c>
      <c r="B21" s="137">
        <v>20</v>
      </c>
      <c r="C21" s="31">
        <v>31.96</v>
      </c>
      <c r="D21" s="31">
        <v>51.247</v>
      </c>
      <c r="E21" s="31">
        <v>71.463999999999999</v>
      </c>
      <c r="F21" s="31">
        <v>40.513999999999996</v>
      </c>
      <c r="G21" s="31">
        <v>70.257999999999981</v>
      </c>
      <c r="H21" s="31">
        <v>57.393999999999998</v>
      </c>
      <c r="I21" s="31">
        <v>21.036000000000001</v>
      </c>
      <c r="J21" s="31">
        <v>28.948999999999998</v>
      </c>
      <c r="K21" s="31">
        <v>48.158000000000008</v>
      </c>
      <c r="L21" s="31">
        <v>62.499999999999993</v>
      </c>
      <c r="M21" s="31">
        <v>59.642000000000031</v>
      </c>
      <c r="N21" s="31">
        <v>77.081000000000017</v>
      </c>
      <c r="O21" s="31">
        <v>59.504999999999981</v>
      </c>
      <c r="P21" s="31">
        <v>44.715999999999994</v>
      </c>
      <c r="Q21" s="31">
        <v>49.831000000000003</v>
      </c>
      <c r="R21" s="31">
        <v>35.036000000000001</v>
      </c>
      <c r="S21" s="31">
        <v>42.072000000000003</v>
      </c>
      <c r="T21" s="31">
        <v>44.003999999999991</v>
      </c>
      <c r="U21" s="31">
        <v>44.073</v>
      </c>
      <c r="V21" s="31">
        <v>17.753</v>
      </c>
      <c r="W21" s="31">
        <v>3.8330000000000002</v>
      </c>
      <c r="X21" s="31">
        <v>25.765000000000001</v>
      </c>
      <c r="Y21" s="31">
        <v>40.32</v>
      </c>
      <c r="Z21" s="31">
        <v>43.817</v>
      </c>
      <c r="AA21" s="31">
        <v>30.55599999999999</v>
      </c>
      <c r="AB21" s="31">
        <v>26.553000000000001</v>
      </c>
      <c r="AC21" s="31">
        <v>27.471</v>
      </c>
      <c r="AD21" s="31">
        <v>6.5620000000000003</v>
      </c>
      <c r="AE21" s="31">
        <v>39.253999999999998</v>
      </c>
      <c r="AF21" s="31">
        <v>49.692000000000007</v>
      </c>
      <c r="AG21" s="31">
        <v>26.573000000000004</v>
      </c>
      <c r="AH21" s="31">
        <v>41.212548387096781</v>
      </c>
      <c r="AI21" s="31">
        <v>2.0606274193548391</v>
      </c>
    </row>
    <row r="22" spans="1:35" x14ac:dyDescent="0.3">
      <c r="A22" s="12" t="s">
        <v>199</v>
      </c>
      <c r="B22" s="137">
        <v>6</v>
      </c>
      <c r="C22" s="31"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31">
        <v>0</v>
      </c>
      <c r="Y22" s="31">
        <v>0</v>
      </c>
      <c r="Z22" s="31">
        <v>0</v>
      </c>
      <c r="AA22" s="31">
        <v>0</v>
      </c>
      <c r="AB22" s="31">
        <v>0</v>
      </c>
      <c r="AC22" s="31">
        <v>0</v>
      </c>
      <c r="AD22" s="31">
        <v>0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</row>
    <row r="23" spans="1:35" x14ac:dyDescent="0.3">
      <c r="A23" s="12" t="s">
        <v>200</v>
      </c>
      <c r="B23" s="137">
        <v>9</v>
      </c>
      <c r="C23" s="31">
        <v>109.37400000000001</v>
      </c>
      <c r="D23" s="31">
        <v>121.337</v>
      </c>
      <c r="E23" s="31">
        <v>139.01300000000001</v>
      </c>
      <c r="F23" s="31">
        <v>125.53699999999999</v>
      </c>
      <c r="G23" s="31">
        <v>99.660000000000039</v>
      </c>
      <c r="H23" s="31">
        <v>97.987000000000009</v>
      </c>
      <c r="I23" s="31">
        <v>113.58400000000003</v>
      </c>
      <c r="J23" s="31">
        <v>83.573000000000008</v>
      </c>
      <c r="K23" s="31">
        <v>111.68100000000001</v>
      </c>
      <c r="L23" s="31">
        <v>105.45</v>
      </c>
      <c r="M23" s="31">
        <v>88.740999999999985</v>
      </c>
      <c r="N23" s="31">
        <v>123.447</v>
      </c>
      <c r="O23" s="31">
        <v>107.849</v>
      </c>
      <c r="P23" s="31">
        <v>75.106999999999999</v>
      </c>
      <c r="Q23" s="31">
        <v>116.58199999999999</v>
      </c>
      <c r="R23" s="31">
        <v>113.93900000000001</v>
      </c>
      <c r="S23" s="31">
        <v>96.472999999999999</v>
      </c>
      <c r="T23" s="31">
        <v>114.10899999999999</v>
      </c>
      <c r="U23" s="31">
        <v>106.26400000000001</v>
      </c>
      <c r="V23" s="31">
        <v>72.792999999999992</v>
      </c>
      <c r="W23" s="31">
        <v>93.670999999999992</v>
      </c>
      <c r="X23" s="31">
        <v>115.89000000000001</v>
      </c>
      <c r="Y23" s="31">
        <v>166.03399999999999</v>
      </c>
      <c r="Z23" s="31">
        <v>152.345</v>
      </c>
      <c r="AA23" s="31">
        <v>117.861</v>
      </c>
      <c r="AB23" s="31">
        <v>122.44600000000001</v>
      </c>
      <c r="AC23" s="31">
        <v>123.02799999999999</v>
      </c>
      <c r="AD23" s="31">
        <v>121.18300000000001</v>
      </c>
      <c r="AE23" s="31">
        <v>82.164000000000001</v>
      </c>
      <c r="AF23" s="31">
        <v>105.63799999999999</v>
      </c>
      <c r="AG23" s="31">
        <v>108.458</v>
      </c>
      <c r="AH23" s="31">
        <v>110.6844516129032</v>
      </c>
      <c r="AI23" s="31">
        <v>12.298272401433689</v>
      </c>
    </row>
    <row r="24" spans="1:35" x14ac:dyDescent="0.3">
      <c r="A24" s="12" t="s">
        <v>201</v>
      </c>
      <c r="B24" s="137">
        <v>3</v>
      </c>
      <c r="C24" s="31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</row>
    <row r="25" spans="1:35" x14ac:dyDescent="0.3">
      <c r="A25" s="12" t="s">
        <v>391</v>
      </c>
      <c r="B25" s="137">
        <v>7</v>
      </c>
      <c r="C25" s="31">
        <v>48.423999999999999</v>
      </c>
      <c r="D25" s="31">
        <v>29.193000000000001</v>
      </c>
      <c r="E25" s="31">
        <v>69.474999999999994</v>
      </c>
      <c r="F25" s="31">
        <v>62.667000000000002</v>
      </c>
      <c r="G25" s="31">
        <v>38.742999999999995</v>
      </c>
      <c r="H25" s="31">
        <v>47.111000000000011</v>
      </c>
      <c r="I25" s="31">
        <v>37.361000000000004</v>
      </c>
      <c r="J25" s="31">
        <v>60.020999999999994</v>
      </c>
      <c r="K25" s="31">
        <v>63.966000000000001</v>
      </c>
      <c r="L25" s="31">
        <v>40.341999999999999</v>
      </c>
      <c r="M25" s="31">
        <v>37.269999999999996</v>
      </c>
      <c r="N25" s="31">
        <v>46.348000000000006</v>
      </c>
      <c r="O25" s="31">
        <v>48.334000000000003</v>
      </c>
      <c r="P25" s="31">
        <v>49.426999999999992</v>
      </c>
      <c r="Q25" s="31">
        <v>32.792000000000002</v>
      </c>
      <c r="R25" s="31">
        <v>60.385000000000005</v>
      </c>
      <c r="S25" s="31">
        <v>45.111000000000004</v>
      </c>
      <c r="T25" s="31">
        <v>39.71</v>
      </c>
      <c r="U25" s="31">
        <v>48.118000000000009</v>
      </c>
      <c r="V25" s="31">
        <v>41.879999999999988</v>
      </c>
      <c r="W25" s="31">
        <v>45.734999999999999</v>
      </c>
      <c r="X25" s="31">
        <v>31.346000000000004</v>
      </c>
      <c r="Y25" s="31">
        <v>53.173999999999999</v>
      </c>
      <c r="Z25" s="31">
        <v>45.32</v>
      </c>
      <c r="AA25" s="31">
        <v>39.919000000000004</v>
      </c>
      <c r="AB25" s="31">
        <v>71.400000000000006</v>
      </c>
      <c r="AC25" s="31">
        <v>51.241999999999997</v>
      </c>
      <c r="AD25" s="31">
        <v>38.091000000000001</v>
      </c>
      <c r="AE25" s="31">
        <v>40.203999999999994</v>
      </c>
      <c r="AF25" s="31">
        <v>50.509</v>
      </c>
      <c r="AG25" s="31">
        <v>50.453999999999994</v>
      </c>
      <c r="AH25" s="31">
        <v>47.22812903225806</v>
      </c>
      <c r="AI25" s="31">
        <v>6.7468755760368655</v>
      </c>
    </row>
    <row r="26" spans="1:35" x14ac:dyDescent="0.3">
      <c r="A26" s="12" t="s">
        <v>388</v>
      </c>
      <c r="B26" s="137">
        <v>5</v>
      </c>
      <c r="C26" s="31">
        <v>5.3710000000000004</v>
      </c>
      <c r="D26" s="31">
        <v>10.431000000000001</v>
      </c>
      <c r="E26" s="31">
        <v>11.937999999999999</v>
      </c>
      <c r="F26" s="31">
        <v>9.495000000000001</v>
      </c>
      <c r="G26" s="31">
        <v>6.5919999999999996</v>
      </c>
      <c r="H26" s="31">
        <v>7.2390000000000008</v>
      </c>
      <c r="I26" s="31">
        <v>0</v>
      </c>
      <c r="J26" s="31">
        <v>5.5540000000000003</v>
      </c>
      <c r="K26" s="31">
        <v>2.1339999999999999</v>
      </c>
      <c r="L26" s="31">
        <v>13.366999999999999</v>
      </c>
      <c r="M26" s="31">
        <v>4.4120000000000017</v>
      </c>
      <c r="N26" s="31">
        <v>11.21</v>
      </c>
      <c r="O26" s="31">
        <v>3.8860000000000001</v>
      </c>
      <c r="P26" s="31">
        <v>0</v>
      </c>
      <c r="Q26" s="31">
        <v>4.1399999999999997</v>
      </c>
      <c r="R26" s="31">
        <v>6.8659999999999997</v>
      </c>
      <c r="S26" s="31">
        <v>4.8380000000000001</v>
      </c>
      <c r="T26" s="31">
        <v>6.359</v>
      </c>
      <c r="U26" s="31">
        <v>7.322000000000001</v>
      </c>
      <c r="V26" s="31">
        <v>12.238</v>
      </c>
      <c r="W26" s="31">
        <v>0</v>
      </c>
      <c r="X26" s="31">
        <v>8.8490000000000002</v>
      </c>
      <c r="Y26" s="31">
        <v>9.0500000000000007</v>
      </c>
      <c r="Z26" s="31">
        <v>2.84</v>
      </c>
      <c r="AA26" s="31">
        <v>21.47</v>
      </c>
      <c r="AB26" s="31">
        <v>10.824</v>
      </c>
      <c r="AC26" s="31">
        <v>15.179</v>
      </c>
      <c r="AD26" s="31">
        <v>0</v>
      </c>
      <c r="AE26" s="31">
        <v>10.045</v>
      </c>
      <c r="AF26" s="31">
        <v>13.248000000000001</v>
      </c>
      <c r="AG26" s="31">
        <v>13.083</v>
      </c>
      <c r="AH26" s="31">
        <v>7.6767741935483871</v>
      </c>
      <c r="AI26" s="31">
        <v>1.5353548387096774</v>
      </c>
    </row>
    <row r="27" spans="1:35" x14ac:dyDescent="0.3">
      <c r="A27" s="12" t="s">
        <v>212</v>
      </c>
      <c r="B27" s="137">
        <v>7</v>
      </c>
      <c r="C27" s="31">
        <v>101.965</v>
      </c>
      <c r="D27" s="31">
        <v>106.51499999999997</v>
      </c>
      <c r="E27" s="31">
        <v>117.95700000000002</v>
      </c>
      <c r="F27" s="31">
        <v>111.57599999999998</v>
      </c>
      <c r="G27" s="31">
        <v>113.806</v>
      </c>
      <c r="H27" s="31">
        <v>126.32600000000001</v>
      </c>
      <c r="I27" s="31">
        <v>92.13300000000001</v>
      </c>
      <c r="J27" s="31">
        <v>88.126000000000005</v>
      </c>
      <c r="K27" s="31">
        <v>133.529</v>
      </c>
      <c r="L27" s="31">
        <v>125.218</v>
      </c>
      <c r="M27" s="31">
        <v>116.956</v>
      </c>
      <c r="N27" s="31">
        <v>75.304999999999993</v>
      </c>
      <c r="O27" s="31">
        <v>88.61999999999999</v>
      </c>
      <c r="P27" s="31">
        <v>99.972000000000023</v>
      </c>
      <c r="Q27" s="31">
        <v>116.07400000000001</v>
      </c>
      <c r="R27" s="31">
        <v>102.16000000000001</v>
      </c>
      <c r="S27" s="31">
        <v>131.08300000000003</v>
      </c>
      <c r="T27" s="31">
        <v>91.930999999999997</v>
      </c>
      <c r="U27" s="31">
        <v>97.66</v>
      </c>
      <c r="V27" s="31">
        <v>130.76399999999998</v>
      </c>
      <c r="W27" s="31">
        <v>62.396000000000001</v>
      </c>
      <c r="X27" s="31">
        <v>130.577</v>
      </c>
      <c r="Y27" s="31">
        <v>110.69699999999999</v>
      </c>
      <c r="Z27" s="31">
        <v>115.91599999999997</v>
      </c>
      <c r="AA27" s="31">
        <v>127.18999999999998</v>
      </c>
      <c r="AB27" s="31">
        <v>114.34700000000002</v>
      </c>
      <c r="AC27" s="31">
        <v>121.16300000000001</v>
      </c>
      <c r="AD27" s="31">
        <v>112.20100000000002</v>
      </c>
      <c r="AE27" s="31">
        <v>80.536000000000001</v>
      </c>
      <c r="AF27" s="31">
        <v>157.761</v>
      </c>
      <c r="AG27" s="31">
        <v>115.041</v>
      </c>
      <c r="AH27" s="31">
        <v>110.17745161290325</v>
      </c>
      <c r="AI27" s="31">
        <v>15.739635944700465</v>
      </c>
    </row>
    <row r="28" spans="1:35" x14ac:dyDescent="0.3">
      <c r="A28" s="12" t="s">
        <v>227</v>
      </c>
      <c r="B28" s="137">
        <v>13</v>
      </c>
      <c r="C28" s="31">
        <v>30.068999999999996</v>
      </c>
      <c r="D28" s="31">
        <v>32.213000000000001</v>
      </c>
      <c r="E28" s="31">
        <v>34.103999999999999</v>
      </c>
      <c r="F28" s="31">
        <v>50.852000000000004</v>
      </c>
      <c r="G28" s="31">
        <v>33.785000000000004</v>
      </c>
      <c r="H28" s="31">
        <v>32.572000000000003</v>
      </c>
      <c r="I28" s="31">
        <v>30.109000000000002</v>
      </c>
      <c r="J28" s="31">
        <v>16.567</v>
      </c>
      <c r="K28" s="31">
        <v>41.171000000000006</v>
      </c>
      <c r="L28" s="31">
        <v>44.083999999999996</v>
      </c>
      <c r="M28" s="31">
        <v>26.003</v>
      </c>
      <c r="N28" s="31">
        <v>40.18399999999999</v>
      </c>
      <c r="O28" s="31">
        <v>59.123000000000005</v>
      </c>
      <c r="P28" s="31">
        <v>28.914000000000001</v>
      </c>
      <c r="Q28" s="31">
        <v>47.067999999999998</v>
      </c>
      <c r="R28" s="31">
        <v>40.512</v>
      </c>
      <c r="S28" s="31">
        <v>2.9749999999999996</v>
      </c>
      <c r="T28" s="31">
        <v>62.55599999999999</v>
      </c>
      <c r="U28" s="31">
        <v>36.330999999999996</v>
      </c>
      <c r="V28" s="31">
        <v>42.193999999999996</v>
      </c>
      <c r="W28" s="31">
        <v>0</v>
      </c>
      <c r="X28" s="31">
        <v>45.185000000000002</v>
      </c>
      <c r="Y28" s="31">
        <v>49.858000000000004</v>
      </c>
      <c r="Z28" s="31">
        <v>25.916</v>
      </c>
      <c r="AA28" s="31">
        <v>50.728000000000009</v>
      </c>
      <c r="AB28" s="31">
        <v>27.983999999999998</v>
      </c>
      <c r="AC28" s="31">
        <v>35.941999999999993</v>
      </c>
      <c r="AD28" s="31">
        <v>4.4079999999999995</v>
      </c>
      <c r="AE28" s="31">
        <v>69.353999999999999</v>
      </c>
      <c r="AF28" s="31">
        <v>28.384</v>
      </c>
      <c r="AG28" s="31">
        <v>66.012999999999991</v>
      </c>
      <c r="AH28" s="31">
        <v>36.617999999999995</v>
      </c>
      <c r="AI28" s="31">
        <v>2.8167692307692302</v>
      </c>
    </row>
    <row r="29" spans="1:35" x14ac:dyDescent="0.3">
      <c r="A29" s="12" t="s">
        <v>403</v>
      </c>
      <c r="B29" s="137">
        <v>1</v>
      </c>
      <c r="C29" s="31"/>
      <c r="D29" s="31"/>
      <c r="E29" s="31"/>
      <c r="F29" s="31"/>
      <c r="G29" s="31"/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5.2590000000000003</v>
      </c>
      <c r="Z29" s="31">
        <v>3.5129999999999999</v>
      </c>
      <c r="AA29" s="31">
        <v>2.3170000000000002</v>
      </c>
      <c r="AB29" s="31">
        <v>4.5960000000000001</v>
      </c>
      <c r="AC29" s="31">
        <v>3.7709999999999999</v>
      </c>
      <c r="AD29" s="31">
        <v>2.7639999999999998</v>
      </c>
      <c r="AE29" s="31">
        <v>8.6630000000000003</v>
      </c>
      <c r="AF29" s="31">
        <v>1.151</v>
      </c>
      <c r="AG29" s="31">
        <v>3.8679999999999999</v>
      </c>
      <c r="AH29" s="31">
        <v>1.3808461538461538</v>
      </c>
      <c r="AI29" s="31">
        <v>1.3808461538461538</v>
      </c>
    </row>
    <row r="30" spans="1:35" x14ac:dyDescent="0.3">
      <c r="A30" s="12" t="s">
        <v>218</v>
      </c>
      <c r="B30" s="137">
        <v>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</row>
    <row r="31" spans="1:35" x14ac:dyDescent="0.3">
      <c r="A31" s="12" t="s">
        <v>370</v>
      </c>
      <c r="B31" s="137">
        <v>1</v>
      </c>
      <c r="C31" s="31">
        <v>20.79</v>
      </c>
      <c r="D31" s="31">
        <v>8.7829999999999995</v>
      </c>
      <c r="E31" s="31">
        <v>21.626999999999999</v>
      </c>
      <c r="F31" s="31">
        <v>9.4</v>
      </c>
      <c r="G31" s="31">
        <v>15.798</v>
      </c>
      <c r="H31" s="31">
        <v>14.932</v>
      </c>
      <c r="I31" s="31">
        <v>17.96</v>
      </c>
      <c r="J31" s="31">
        <v>2.762</v>
      </c>
      <c r="K31" s="31">
        <v>17.135000000000002</v>
      </c>
      <c r="L31" s="31">
        <v>8.75</v>
      </c>
      <c r="M31" s="31">
        <v>15.913</v>
      </c>
      <c r="N31" s="31">
        <v>10.103999999999999</v>
      </c>
      <c r="O31" s="31">
        <v>9.7929999999999993</v>
      </c>
      <c r="P31" s="31">
        <v>8.26</v>
      </c>
      <c r="Q31" s="31">
        <v>13.593000000000002</v>
      </c>
      <c r="R31" s="31">
        <v>8.67</v>
      </c>
      <c r="S31" s="31">
        <v>14.82</v>
      </c>
      <c r="T31" s="31">
        <v>13.132000000000001</v>
      </c>
      <c r="U31" s="31">
        <v>18.387</v>
      </c>
      <c r="V31" s="31">
        <v>7.734</v>
      </c>
      <c r="W31" s="31">
        <v>18.768999999999998</v>
      </c>
      <c r="X31" s="31">
        <v>11.259</v>
      </c>
      <c r="Y31" s="31">
        <v>21.533999999999999</v>
      </c>
      <c r="Z31" s="31">
        <v>16.074999999999999</v>
      </c>
      <c r="AA31" s="31">
        <v>17.567</v>
      </c>
      <c r="AB31" s="31">
        <v>23.956000000000003</v>
      </c>
      <c r="AC31" s="31">
        <v>18.997999999999998</v>
      </c>
      <c r="AD31" s="31">
        <v>22.35</v>
      </c>
      <c r="AE31" s="31">
        <v>9.0869999999999997</v>
      </c>
      <c r="AF31" s="31">
        <v>15.701000000000001</v>
      </c>
      <c r="AG31" s="31">
        <v>15.988999999999999</v>
      </c>
      <c r="AH31" s="31">
        <v>14.504129032258064</v>
      </c>
      <c r="AI31" s="31">
        <v>14.504129032258064</v>
      </c>
    </row>
    <row r="32" spans="1:35" x14ac:dyDescent="0.3">
      <c r="A32" s="12" t="s">
        <v>406</v>
      </c>
      <c r="B32" s="137">
        <v>2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>
        <v>13.877000000000001</v>
      </c>
      <c r="S32" s="31">
        <v>0</v>
      </c>
      <c r="T32" s="31">
        <v>14.331999999999999</v>
      </c>
      <c r="U32" s="31">
        <v>0</v>
      </c>
      <c r="V32" s="31">
        <v>0</v>
      </c>
      <c r="W32" s="31">
        <v>8.5079999999999991</v>
      </c>
      <c r="X32" s="31">
        <v>11.845000000000001</v>
      </c>
      <c r="Y32" s="31">
        <v>8.9659999999999993</v>
      </c>
      <c r="Z32" s="31">
        <v>0</v>
      </c>
      <c r="AA32" s="31">
        <v>6.8440000000000003</v>
      </c>
      <c r="AB32" s="31">
        <v>0</v>
      </c>
      <c r="AC32" s="31">
        <v>16.847000000000001</v>
      </c>
      <c r="AD32" s="31">
        <v>0</v>
      </c>
      <c r="AE32" s="31">
        <v>8.1289999999999996</v>
      </c>
      <c r="AF32" s="31">
        <v>7.3310000000000004</v>
      </c>
      <c r="AG32" s="31">
        <v>3.0910000000000002</v>
      </c>
      <c r="AH32" s="31">
        <v>6.2356249999999998</v>
      </c>
      <c r="AI32" s="31">
        <v>3.1178124999999999</v>
      </c>
    </row>
    <row r="33" spans="1:35" x14ac:dyDescent="0.3">
      <c r="A33" s="12" t="s">
        <v>225</v>
      </c>
      <c r="B33" s="137">
        <v>16</v>
      </c>
      <c r="C33" s="31">
        <v>38.412000000000013</v>
      </c>
      <c r="D33" s="31">
        <v>31.683999999999997</v>
      </c>
      <c r="E33" s="31">
        <v>35.167999999999999</v>
      </c>
      <c r="F33" s="31">
        <v>30.856999999999999</v>
      </c>
      <c r="G33" s="31">
        <v>13.144</v>
      </c>
      <c r="H33" s="31">
        <v>24.748999999999999</v>
      </c>
      <c r="I33" s="31">
        <v>27.710999999999999</v>
      </c>
      <c r="J33" s="31">
        <v>39.697000000000003</v>
      </c>
      <c r="K33" s="31">
        <v>26.613999999999997</v>
      </c>
      <c r="L33" s="31">
        <v>39.972000000000001</v>
      </c>
      <c r="M33" s="31">
        <v>50.271000000000001</v>
      </c>
      <c r="N33" s="31">
        <v>31.817999999999998</v>
      </c>
      <c r="O33" s="31">
        <v>24.844999999999999</v>
      </c>
      <c r="P33" s="31">
        <v>17.251999999999999</v>
      </c>
      <c r="Q33" s="31">
        <v>0</v>
      </c>
      <c r="R33" s="31">
        <v>24.585999999999999</v>
      </c>
      <c r="S33" s="31">
        <v>13.378</v>
      </c>
      <c r="T33" s="31">
        <v>5.2999999999999999E-2</v>
      </c>
      <c r="U33" s="31">
        <v>0</v>
      </c>
      <c r="V33" s="31">
        <v>7.1870000000000012</v>
      </c>
      <c r="W33" s="31">
        <v>6.6550000000000002</v>
      </c>
      <c r="X33" s="31">
        <v>8.1669999999999998</v>
      </c>
      <c r="Y33" s="31">
        <v>7.125</v>
      </c>
      <c r="Z33" s="31">
        <v>3.6519999999999997</v>
      </c>
      <c r="AA33" s="31">
        <v>9.92</v>
      </c>
      <c r="AB33" s="31">
        <v>1.881</v>
      </c>
      <c r="AC33" s="31">
        <v>0.88600000000000001</v>
      </c>
      <c r="AD33" s="31">
        <v>12.353999999999999</v>
      </c>
      <c r="AE33" s="31">
        <v>1.4019999999999999</v>
      </c>
      <c r="AF33" s="31">
        <v>8.7540000000000013</v>
      </c>
      <c r="AG33" s="31">
        <v>0</v>
      </c>
      <c r="AH33" s="31">
        <v>17.361096774193548</v>
      </c>
      <c r="AI33" s="31">
        <v>1.0850685483870968</v>
      </c>
    </row>
    <row r="34" spans="1:35" x14ac:dyDescent="0.3">
      <c r="A34" s="12" t="s">
        <v>248</v>
      </c>
      <c r="B34" s="137">
        <v>1</v>
      </c>
      <c r="C34" s="31">
        <v>0</v>
      </c>
      <c r="D34" s="31">
        <v>0</v>
      </c>
      <c r="E34" s="31">
        <v>1.6870000000000001</v>
      </c>
      <c r="F34" s="31">
        <v>0</v>
      </c>
      <c r="G34" s="31">
        <v>0</v>
      </c>
      <c r="H34" s="31">
        <v>0</v>
      </c>
      <c r="I34" s="31">
        <v>1.698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2.8439999999999999</v>
      </c>
      <c r="R34" s="31">
        <v>0</v>
      </c>
      <c r="S34" s="31">
        <v>0</v>
      </c>
      <c r="T34" s="31">
        <v>3.3959999999999999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2.5489999999999999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  <c r="AH34" s="31">
        <v>0.39270967741935481</v>
      </c>
      <c r="AI34" s="31">
        <v>0.39270967741935481</v>
      </c>
    </row>
    <row r="35" spans="1:35" x14ac:dyDescent="0.3">
      <c r="A35" s="12" t="s">
        <v>220</v>
      </c>
      <c r="B35" s="137">
        <v>19</v>
      </c>
      <c r="C35" s="31">
        <v>24.536999999999999</v>
      </c>
      <c r="D35" s="31">
        <v>22.754000000000001</v>
      </c>
      <c r="E35" s="31">
        <v>31.728999999999999</v>
      </c>
      <c r="F35" s="31">
        <v>32.372000000000007</v>
      </c>
      <c r="G35" s="31">
        <v>19.720000000000002</v>
      </c>
      <c r="H35" s="31">
        <v>16.484999999999999</v>
      </c>
      <c r="I35" s="31">
        <v>12.335999999999997</v>
      </c>
      <c r="J35" s="31">
        <v>10.003</v>
      </c>
      <c r="K35" s="31">
        <v>5.5720000000000001</v>
      </c>
      <c r="L35" s="31">
        <v>4.5469999999999997</v>
      </c>
      <c r="M35" s="31">
        <v>5.1020000000000003</v>
      </c>
      <c r="N35" s="31">
        <v>7.173</v>
      </c>
      <c r="O35" s="31">
        <v>6.5380000000000003</v>
      </c>
      <c r="P35" s="31">
        <v>5.67</v>
      </c>
      <c r="Q35" s="31">
        <v>5.1239999999999997</v>
      </c>
      <c r="R35" s="31">
        <v>5.16</v>
      </c>
      <c r="S35" s="31">
        <v>9.8889999999999993</v>
      </c>
      <c r="T35" s="31">
        <v>4.3860000000000001</v>
      </c>
      <c r="U35" s="31">
        <v>5.6669999999999998</v>
      </c>
      <c r="V35" s="31">
        <v>5.1639999999999997</v>
      </c>
      <c r="W35" s="31">
        <v>6.1</v>
      </c>
      <c r="X35" s="31">
        <v>5.3379999999999992</v>
      </c>
      <c r="Y35" s="31">
        <v>5.1130000000000004</v>
      </c>
      <c r="Z35" s="31">
        <v>5.3569999999999993</v>
      </c>
      <c r="AA35" s="31">
        <v>4.5919999999999996</v>
      </c>
      <c r="AB35" s="31">
        <v>5.4660000000000002</v>
      </c>
      <c r="AC35" s="31">
        <v>5.9639999999999995</v>
      </c>
      <c r="AD35" s="31">
        <v>6.6850000000000005</v>
      </c>
      <c r="AE35" s="31">
        <v>5.4819999999999993</v>
      </c>
      <c r="AF35" s="31">
        <v>3.2549999999999999</v>
      </c>
      <c r="AG35" s="31">
        <v>6.2389999999999999</v>
      </c>
      <c r="AH35" s="31">
        <v>9.6619032258064497</v>
      </c>
      <c r="AI35" s="31">
        <v>0.50852122241086573</v>
      </c>
    </row>
    <row r="36" spans="1:35" x14ac:dyDescent="0.3">
      <c r="A36" s="12" t="s">
        <v>389</v>
      </c>
      <c r="B36" s="137">
        <v>10</v>
      </c>
      <c r="C36" s="31">
        <v>157.17199999999997</v>
      </c>
      <c r="D36" s="31">
        <v>88.397999999999996</v>
      </c>
      <c r="E36" s="31">
        <v>79.176999999999992</v>
      </c>
      <c r="F36" s="31">
        <v>99.358000000000018</v>
      </c>
      <c r="G36" s="31">
        <v>129.02299999999997</v>
      </c>
      <c r="H36" s="31">
        <v>94.228000000000023</v>
      </c>
      <c r="I36" s="31">
        <v>90.6</v>
      </c>
      <c r="J36" s="31">
        <v>107.58700000000002</v>
      </c>
      <c r="K36" s="31">
        <v>109.471</v>
      </c>
      <c r="L36" s="31">
        <v>78.673999999999992</v>
      </c>
      <c r="M36" s="31">
        <v>88.65900000000002</v>
      </c>
      <c r="N36" s="31">
        <v>86.795999999999992</v>
      </c>
      <c r="O36" s="31">
        <v>105.94</v>
      </c>
      <c r="P36" s="31">
        <v>79.747999999999962</v>
      </c>
      <c r="Q36" s="31">
        <v>50.316000000000003</v>
      </c>
      <c r="R36" s="31">
        <v>134.42699999999999</v>
      </c>
      <c r="S36" s="31">
        <v>79.257000000000005</v>
      </c>
      <c r="T36" s="31">
        <v>90.815999999999988</v>
      </c>
      <c r="U36" s="31">
        <v>79.771000000000001</v>
      </c>
      <c r="V36" s="31">
        <v>67.149000000000001</v>
      </c>
      <c r="W36" s="31">
        <v>104.94500000000001</v>
      </c>
      <c r="X36" s="31">
        <v>87.675999999999988</v>
      </c>
      <c r="Y36" s="31">
        <v>86.195999999999998</v>
      </c>
      <c r="Z36" s="31">
        <v>106.30900000000001</v>
      </c>
      <c r="AA36" s="31">
        <v>101.87799999999997</v>
      </c>
      <c r="AB36" s="31">
        <v>84.600999999999999</v>
      </c>
      <c r="AC36" s="31">
        <v>86.820999999999998</v>
      </c>
      <c r="AD36" s="31">
        <v>116.87899999999999</v>
      </c>
      <c r="AE36" s="31">
        <v>89.638999999999996</v>
      </c>
      <c r="AF36" s="31">
        <v>91.84999999999998</v>
      </c>
      <c r="AG36" s="31">
        <v>81.772999999999939</v>
      </c>
      <c r="AH36" s="31">
        <v>94.681741935483899</v>
      </c>
      <c r="AI36" s="31">
        <v>9.4681741935483892</v>
      </c>
    </row>
    <row r="37" spans="1:35" x14ac:dyDescent="0.3">
      <c r="A37" s="12" t="s">
        <v>390</v>
      </c>
      <c r="B37" s="137">
        <v>3</v>
      </c>
      <c r="C37" s="31">
        <v>10.285</v>
      </c>
      <c r="D37" s="31">
        <v>5.9119999999999999</v>
      </c>
      <c r="E37" s="31">
        <v>4.8689999999999998</v>
      </c>
      <c r="F37" s="31">
        <v>8.0820000000000007</v>
      </c>
      <c r="G37" s="31">
        <v>8.4660000000000011</v>
      </c>
      <c r="H37" s="31">
        <v>1.254</v>
      </c>
      <c r="I37" s="31">
        <v>0</v>
      </c>
      <c r="J37" s="31">
        <v>6.0979999999999999</v>
      </c>
      <c r="K37" s="31">
        <v>7.2620000000000005</v>
      </c>
      <c r="L37" s="31">
        <v>6.4610000000000003</v>
      </c>
      <c r="M37" s="31">
        <v>0</v>
      </c>
      <c r="N37" s="31">
        <v>0</v>
      </c>
      <c r="O37" s="31">
        <v>0</v>
      </c>
      <c r="P37" s="31">
        <v>0</v>
      </c>
      <c r="Q37" s="31">
        <v>7.6420000000000003</v>
      </c>
      <c r="R37" s="31">
        <v>4.3550000000000004</v>
      </c>
      <c r="S37" s="31">
        <v>10.484</v>
      </c>
      <c r="T37" s="31">
        <v>3.0000000000000001E-3</v>
      </c>
      <c r="U37" s="31">
        <v>4.4080000000000004</v>
      </c>
      <c r="V37" s="31">
        <v>8.9439999999999991</v>
      </c>
      <c r="W37" s="31">
        <v>0</v>
      </c>
      <c r="X37" s="31">
        <v>0</v>
      </c>
      <c r="Y37" s="31">
        <v>0.97599999999999998</v>
      </c>
      <c r="Z37" s="31">
        <v>6.7629999999999999</v>
      </c>
      <c r="AA37" s="31">
        <v>11.801</v>
      </c>
      <c r="AB37" s="31">
        <v>0.77800000000000002</v>
      </c>
      <c r="AC37" s="31">
        <v>3.1890000000000001</v>
      </c>
      <c r="AD37" s="31">
        <v>0</v>
      </c>
      <c r="AE37" s="31">
        <v>7.468</v>
      </c>
      <c r="AF37" s="31">
        <v>4.9889999999999999</v>
      </c>
      <c r="AG37" s="31">
        <v>0</v>
      </c>
      <c r="AH37" s="31">
        <v>4.2093225806451615</v>
      </c>
      <c r="AI37" s="31">
        <v>1.4031075268817206</v>
      </c>
    </row>
    <row r="38" spans="1:35" x14ac:dyDescent="0.3">
      <c r="A38" s="12" t="s">
        <v>205</v>
      </c>
      <c r="B38" s="137">
        <v>3</v>
      </c>
      <c r="C38" s="31">
        <v>84.221000000000018</v>
      </c>
      <c r="D38" s="31">
        <v>56.597999999999999</v>
      </c>
      <c r="E38" s="31">
        <v>67.970999999999989</v>
      </c>
      <c r="F38" s="31">
        <v>45.283000000000001</v>
      </c>
      <c r="G38" s="31">
        <v>81.602999999999994</v>
      </c>
      <c r="H38" s="31">
        <v>26.752999999999997</v>
      </c>
      <c r="I38" s="31">
        <v>68.061000000000007</v>
      </c>
      <c r="J38" s="31">
        <v>41.164000000000001</v>
      </c>
      <c r="K38" s="31">
        <v>40.61699999999999</v>
      </c>
      <c r="L38" s="31">
        <v>39.746000000000002</v>
      </c>
      <c r="M38" s="31">
        <v>80.478999999999985</v>
      </c>
      <c r="N38" s="31">
        <v>55.878</v>
      </c>
      <c r="O38" s="31">
        <v>69.85499999999999</v>
      </c>
      <c r="P38" s="31">
        <v>39.413999999999994</v>
      </c>
      <c r="Q38" s="31">
        <v>67.617999999999995</v>
      </c>
      <c r="R38" s="31">
        <v>57.878999999999991</v>
      </c>
      <c r="S38" s="31">
        <v>50.512</v>
      </c>
      <c r="T38" s="31">
        <v>53.97</v>
      </c>
      <c r="U38" s="31">
        <v>68.957000000000008</v>
      </c>
      <c r="V38" s="31">
        <v>79.14800000000001</v>
      </c>
      <c r="W38" s="31">
        <v>70.787999999999997</v>
      </c>
      <c r="X38" s="31">
        <v>101.07300000000001</v>
      </c>
      <c r="Y38" s="31">
        <v>71.381</v>
      </c>
      <c r="Z38" s="31">
        <v>75.218999999999994</v>
      </c>
      <c r="AA38" s="31">
        <v>100.93400000000001</v>
      </c>
      <c r="AB38" s="31">
        <v>95.666999999999987</v>
      </c>
      <c r="AC38" s="31">
        <v>75.676000000000002</v>
      </c>
      <c r="AD38" s="31">
        <v>70.44</v>
      </c>
      <c r="AE38" s="31">
        <v>64.744</v>
      </c>
      <c r="AF38" s="31">
        <v>60.383000000000003</v>
      </c>
      <c r="AG38" s="31">
        <v>84.060999999999993</v>
      </c>
      <c r="AH38" s="31">
        <v>66.003</v>
      </c>
      <c r="AI38" s="31">
        <v>22.001000000000001</v>
      </c>
    </row>
    <row r="39" spans="1:35" x14ac:dyDescent="0.3">
      <c r="A39" s="12" t="s">
        <v>213</v>
      </c>
      <c r="B39" s="137">
        <v>3</v>
      </c>
      <c r="C39" s="31">
        <v>88.913000000000011</v>
      </c>
      <c r="D39" s="31">
        <v>69.277999999999992</v>
      </c>
      <c r="E39" s="31">
        <v>78.944000000000003</v>
      </c>
      <c r="F39" s="31">
        <v>86.660999999999987</v>
      </c>
      <c r="G39" s="31">
        <v>88.278000000000006</v>
      </c>
      <c r="H39" s="31">
        <v>80.400999999999996</v>
      </c>
      <c r="I39" s="31">
        <v>103.87500000000001</v>
      </c>
      <c r="J39" s="31">
        <v>77.878000000000043</v>
      </c>
      <c r="K39" s="31">
        <v>89.545999999999992</v>
      </c>
      <c r="L39" s="31">
        <v>70.826000000000008</v>
      </c>
      <c r="M39" s="31">
        <v>80.407000000000011</v>
      </c>
      <c r="N39" s="31">
        <v>84.020999999999987</v>
      </c>
      <c r="O39" s="31">
        <v>96.076000000000008</v>
      </c>
      <c r="P39" s="31">
        <v>74.28</v>
      </c>
      <c r="Q39" s="31">
        <v>87.78</v>
      </c>
      <c r="R39" s="31">
        <v>95.248000000000005</v>
      </c>
      <c r="S39" s="31">
        <v>92.356999999999999</v>
      </c>
      <c r="T39" s="31">
        <v>77.929999999999993</v>
      </c>
      <c r="U39" s="31">
        <v>85.667000000000016</v>
      </c>
      <c r="V39" s="31">
        <v>66.766999999999982</v>
      </c>
      <c r="W39" s="31">
        <v>99.202000000000012</v>
      </c>
      <c r="X39" s="31">
        <v>84.703000000000003</v>
      </c>
      <c r="Y39" s="31">
        <v>94.63600000000001</v>
      </c>
      <c r="Z39" s="31">
        <v>81.436999999999998</v>
      </c>
      <c r="AA39" s="31">
        <v>94.311000000000021</v>
      </c>
      <c r="AB39" s="31">
        <v>81.448000000000008</v>
      </c>
      <c r="AC39" s="31">
        <v>99.091999999999999</v>
      </c>
      <c r="AD39" s="31">
        <v>114.76200000000001</v>
      </c>
      <c r="AE39" s="31">
        <v>94.033000000000015</v>
      </c>
      <c r="AF39" s="31">
        <v>85.082999999999998</v>
      </c>
      <c r="AG39" s="31">
        <v>76.254999999999995</v>
      </c>
      <c r="AH39" s="31">
        <v>86.454677419354852</v>
      </c>
      <c r="AI39" s="31">
        <v>28.818225806451618</v>
      </c>
    </row>
    <row r="40" spans="1:35" x14ac:dyDescent="0.3">
      <c r="A40" s="12" t="s">
        <v>298</v>
      </c>
      <c r="B40" s="137">
        <v>4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1.458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31">
        <v>0</v>
      </c>
      <c r="AH40" s="31">
        <v>4.7032258064516129E-2</v>
      </c>
      <c r="AI40" s="31">
        <v>1.1758064516129032E-2</v>
      </c>
    </row>
    <row r="41" spans="1:35" x14ac:dyDescent="0.3">
      <c r="A41" s="12" t="s">
        <v>202</v>
      </c>
      <c r="B41" s="137">
        <v>8</v>
      </c>
      <c r="C41" s="31">
        <v>55.861999999999995</v>
      </c>
      <c r="D41" s="31">
        <v>37.548999999999999</v>
      </c>
      <c r="E41" s="31">
        <v>72.024000000000001</v>
      </c>
      <c r="F41" s="31">
        <v>39.216000000000001</v>
      </c>
      <c r="G41" s="31">
        <v>66.263000000000005</v>
      </c>
      <c r="H41" s="31">
        <v>86.582999999999998</v>
      </c>
      <c r="I41" s="31">
        <v>33.32</v>
      </c>
      <c r="J41" s="31">
        <v>57.969000000000001</v>
      </c>
      <c r="K41" s="31">
        <v>41.657999999999994</v>
      </c>
      <c r="L41" s="31">
        <v>74.213999999999984</v>
      </c>
      <c r="M41" s="31">
        <v>62.205000000000005</v>
      </c>
      <c r="N41" s="31">
        <v>65.903999999999996</v>
      </c>
      <c r="O41" s="31">
        <v>68.994</v>
      </c>
      <c r="P41" s="31">
        <v>81.391999999999996</v>
      </c>
      <c r="Q41" s="31">
        <v>70.378</v>
      </c>
      <c r="R41" s="31">
        <v>74.381</v>
      </c>
      <c r="S41" s="31">
        <v>89.331999999999994</v>
      </c>
      <c r="T41" s="31">
        <v>129.18</v>
      </c>
      <c r="U41" s="31">
        <v>87.944999999999993</v>
      </c>
      <c r="V41" s="31">
        <v>81.597000000000023</v>
      </c>
      <c r="W41" s="31">
        <v>97.576000000000022</v>
      </c>
      <c r="X41" s="31">
        <v>117.37700000000002</v>
      </c>
      <c r="Y41" s="31">
        <v>104.19199999999999</v>
      </c>
      <c r="Z41" s="31">
        <v>98.24</v>
      </c>
      <c r="AA41" s="31">
        <v>72.071999999999989</v>
      </c>
      <c r="AB41" s="31">
        <v>77.191999999999993</v>
      </c>
      <c r="AC41" s="31">
        <v>114.01999999999998</v>
      </c>
      <c r="AD41" s="31">
        <v>85.806000000000012</v>
      </c>
      <c r="AE41" s="31">
        <v>68.916999999999987</v>
      </c>
      <c r="AF41" s="31">
        <v>122.52</v>
      </c>
      <c r="AG41" s="31">
        <v>110.964</v>
      </c>
      <c r="AH41" s="31">
        <v>78.865870967741941</v>
      </c>
      <c r="AI41" s="31">
        <v>9.8582338709677426</v>
      </c>
    </row>
    <row r="42" spans="1:35" x14ac:dyDescent="0.3">
      <c r="A42" s="12" t="s">
        <v>356</v>
      </c>
      <c r="B42" s="137">
        <v>20</v>
      </c>
      <c r="C42" s="31">
        <v>259.73700000000014</v>
      </c>
      <c r="D42" s="31">
        <v>240.33600000000001</v>
      </c>
      <c r="E42" s="31">
        <v>260.70400000000006</v>
      </c>
      <c r="F42" s="31">
        <v>253.98399999999998</v>
      </c>
      <c r="G42" s="31">
        <v>273.99999999999994</v>
      </c>
      <c r="H42" s="31">
        <v>246.864</v>
      </c>
      <c r="I42" s="31">
        <v>321.40500000000026</v>
      </c>
      <c r="J42" s="31">
        <v>185.26200000000003</v>
      </c>
      <c r="K42" s="31">
        <v>229.12099999999998</v>
      </c>
      <c r="L42" s="31">
        <v>272.20900000000012</v>
      </c>
      <c r="M42" s="31">
        <v>262.68199999999996</v>
      </c>
      <c r="N42" s="31">
        <v>264.55700000000007</v>
      </c>
      <c r="O42" s="31">
        <v>307.87999999999994</v>
      </c>
      <c r="P42" s="31">
        <v>317.57900000000006</v>
      </c>
      <c r="Q42" s="31">
        <v>240.7059999999999</v>
      </c>
      <c r="R42" s="31">
        <v>248.446</v>
      </c>
      <c r="S42" s="31">
        <v>373.09499999999974</v>
      </c>
      <c r="T42" s="31">
        <v>305.89800000000002</v>
      </c>
      <c r="U42" s="31">
        <v>343.56099999999998</v>
      </c>
      <c r="V42" s="31">
        <v>286.21200000000005</v>
      </c>
      <c r="W42" s="31">
        <v>311.41599999999994</v>
      </c>
      <c r="X42" s="31">
        <v>320.03700000000003</v>
      </c>
      <c r="Y42" s="31">
        <v>205.91600000000003</v>
      </c>
      <c r="Z42" s="31">
        <v>308.81</v>
      </c>
      <c r="AA42" s="31">
        <v>303.34400000000011</v>
      </c>
      <c r="AB42" s="31">
        <v>330.94099999999997</v>
      </c>
      <c r="AC42" s="31">
        <v>322.73100000000011</v>
      </c>
      <c r="AD42" s="31">
        <v>318.06999999999994</v>
      </c>
      <c r="AE42" s="31">
        <v>294.30799999999999</v>
      </c>
      <c r="AF42" s="31">
        <v>249.73200000000003</v>
      </c>
      <c r="AG42" s="31">
        <v>250.29099999999994</v>
      </c>
      <c r="AH42" s="31">
        <v>280.96238709677419</v>
      </c>
      <c r="AI42" s="31">
        <v>14.048119354838709</v>
      </c>
    </row>
    <row r="43" spans="1:35" x14ac:dyDescent="0.3">
      <c r="A43" s="12" t="s">
        <v>229</v>
      </c>
      <c r="B43" s="137">
        <v>2</v>
      </c>
      <c r="C43" s="31">
        <v>0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31">
        <v>0</v>
      </c>
      <c r="AD43" s="31">
        <v>0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</row>
    <row r="44" spans="1:35" x14ac:dyDescent="0.3">
      <c r="A44" s="12" t="s">
        <v>233</v>
      </c>
      <c r="B44" s="137">
        <v>4</v>
      </c>
      <c r="C44" s="31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</row>
    <row r="45" spans="1:35" x14ac:dyDescent="0.3">
      <c r="A45" s="12" t="s">
        <v>224</v>
      </c>
      <c r="B45" s="137">
        <v>5</v>
      </c>
      <c r="C45" s="31">
        <v>33.405999999999999</v>
      </c>
      <c r="D45" s="31">
        <v>62.603999999999999</v>
      </c>
      <c r="E45" s="31">
        <v>37.22699999999999</v>
      </c>
      <c r="F45" s="31">
        <v>47.848999999999997</v>
      </c>
      <c r="G45" s="31">
        <v>33.548000000000002</v>
      </c>
      <c r="H45" s="31">
        <v>31.532000000000004</v>
      </c>
      <c r="I45" s="31">
        <v>37.079000000000001</v>
      </c>
      <c r="J45" s="31">
        <v>45.744</v>
      </c>
      <c r="K45" s="31">
        <v>34.602000000000004</v>
      </c>
      <c r="L45" s="31">
        <v>40.530999999999999</v>
      </c>
      <c r="M45" s="31">
        <v>33.492999999999995</v>
      </c>
      <c r="N45" s="31">
        <v>23.416</v>
      </c>
      <c r="O45" s="31">
        <v>6.4420000000000002</v>
      </c>
      <c r="P45" s="31">
        <v>29.934000000000001</v>
      </c>
      <c r="Q45" s="31">
        <v>52.140999999999998</v>
      </c>
      <c r="R45" s="31">
        <v>23.053999999999998</v>
      </c>
      <c r="S45" s="31">
        <v>35.339999999999996</v>
      </c>
      <c r="T45" s="31">
        <v>52.657000000000004</v>
      </c>
      <c r="U45" s="31">
        <v>30.023000000000003</v>
      </c>
      <c r="V45" s="31">
        <v>33.951000000000001</v>
      </c>
      <c r="W45" s="31">
        <v>41.737000000000002</v>
      </c>
      <c r="X45" s="31">
        <v>34.760999999999996</v>
      </c>
      <c r="Y45" s="31">
        <v>40.204999999999998</v>
      </c>
      <c r="Z45" s="31">
        <v>32.132999999999996</v>
      </c>
      <c r="AA45" s="31">
        <v>40.111999999999995</v>
      </c>
      <c r="AB45" s="31">
        <v>21.957999999999998</v>
      </c>
      <c r="AC45" s="31">
        <v>31.795999999999999</v>
      </c>
      <c r="AD45" s="31">
        <v>36.814</v>
      </c>
      <c r="AE45" s="31">
        <v>53.302</v>
      </c>
      <c r="AF45" s="31">
        <v>29.909000000000002</v>
      </c>
      <c r="AG45" s="31">
        <v>28.914000000000001</v>
      </c>
      <c r="AH45" s="31">
        <v>36.006903225806447</v>
      </c>
      <c r="AI45" s="31">
        <v>7.2013806451612892</v>
      </c>
    </row>
    <row r="46" spans="1:35" x14ac:dyDescent="0.3">
      <c r="A46" s="12" t="s">
        <v>230</v>
      </c>
      <c r="B46" s="137">
        <v>2</v>
      </c>
      <c r="C46" s="31">
        <v>0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</row>
    <row r="47" spans="1:35" x14ac:dyDescent="0.3">
      <c r="A47" s="12" t="s">
        <v>231</v>
      </c>
      <c r="B47" s="137">
        <v>7</v>
      </c>
      <c r="C47" s="31">
        <v>68.662000000000006</v>
      </c>
      <c r="D47" s="31">
        <v>68.171999999999997</v>
      </c>
      <c r="E47" s="31">
        <v>60.577999999999996</v>
      </c>
      <c r="F47" s="31">
        <v>59.792000000000002</v>
      </c>
      <c r="G47" s="31">
        <v>92.88300000000001</v>
      </c>
      <c r="H47" s="31">
        <v>5.3949999999999996</v>
      </c>
      <c r="I47" s="31">
        <v>0</v>
      </c>
      <c r="J47" s="31">
        <v>64.271000000000001</v>
      </c>
      <c r="K47" s="31">
        <v>58.675000000000004</v>
      </c>
      <c r="L47" s="31">
        <v>53.44400000000001</v>
      </c>
      <c r="M47" s="31">
        <v>41.358999999999995</v>
      </c>
      <c r="N47" s="31">
        <v>65.570000000000007</v>
      </c>
      <c r="O47" s="31">
        <v>16.673000000000002</v>
      </c>
      <c r="P47" s="31">
        <v>16.010000000000002</v>
      </c>
      <c r="Q47" s="31">
        <v>47.594000000000008</v>
      </c>
      <c r="R47" s="31">
        <v>55.652000000000001</v>
      </c>
      <c r="S47" s="31">
        <v>0</v>
      </c>
      <c r="T47" s="31">
        <v>75.454000000000008</v>
      </c>
      <c r="U47" s="31">
        <v>58.661000000000008</v>
      </c>
      <c r="V47" s="31">
        <v>19.641999999999999</v>
      </c>
      <c r="W47" s="31">
        <v>0</v>
      </c>
      <c r="X47" s="31">
        <v>74.347000000000008</v>
      </c>
      <c r="Y47" s="31">
        <v>65.033999999999992</v>
      </c>
      <c r="Z47" s="31">
        <v>57.103000000000002</v>
      </c>
      <c r="AA47" s="31">
        <v>54.419000000000004</v>
      </c>
      <c r="AB47" s="31">
        <v>35.971000000000011</v>
      </c>
      <c r="AC47" s="31">
        <v>0</v>
      </c>
      <c r="AD47" s="31">
        <v>2.7370000000000001</v>
      </c>
      <c r="AE47" s="31">
        <v>98.970999999999975</v>
      </c>
      <c r="AF47" s="31">
        <v>69.495000000000005</v>
      </c>
      <c r="AG47" s="31">
        <v>92.873999999999995</v>
      </c>
      <c r="AH47" s="31">
        <v>47.72380645161293</v>
      </c>
      <c r="AI47" s="31">
        <v>7.9539677419354886</v>
      </c>
    </row>
    <row r="48" spans="1:35" x14ac:dyDescent="0.3">
      <c r="A48" s="12" t="s">
        <v>207</v>
      </c>
      <c r="B48" s="137">
        <v>4</v>
      </c>
      <c r="C48" s="31">
        <v>0</v>
      </c>
      <c r="D48" s="31">
        <v>0</v>
      </c>
      <c r="E48" s="31">
        <v>25.42</v>
      </c>
      <c r="F48" s="31">
        <v>0</v>
      </c>
      <c r="G48" s="31">
        <v>6.02</v>
      </c>
      <c r="H48" s="31">
        <v>12.440000000000001</v>
      </c>
      <c r="I48" s="31">
        <v>0</v>
      </c>
      <c r="J48" s="31">
        <v>11.739999999999998</v>
      </c>
      <c r="K48" s="31">
        <v>20.790999999999997</v>
      </c>
      <c r="L48" s="31">
        <v>19.919</v>
      </c>
      <c r="M48" s="31">
        <v>38.82</v>
      </c>
      <c r="N48" s="31">
        <v>7.46</v>
      </c>
      <c r="O48" s="31">
        <v>31.060000000000002</v>
      </c>
      <c r="P48" s="31">
        <v>23.27</v>
      </c>
      <c r="Q48" s="31">
        <v>10.61</v>
      </c>
      <c r="R48" s="31">
        <v>12.48</v>
      </c>
      <c r="S48" s="31">
        <v>17.45</v>
      </c>
      <c r="T48" s="31">
        <v>0</v>
      </c>
      <c r="U48" s="31">
        <v>9.11</v>
      </c>
      <c r="V48" s="31">
        <v>9.99</v>
      </c>
      <c r="W48" s="31">
        <v>4.62</v>
      </c>
      <c r="X48" s="31">
        <v>18.79</v>
      </c>
      <c r="Y48" s="31">
        <v>22.869999999999997</v>
      </c>
      <c r="Z48" s="31">
        <v>16.14</v>
      </c>
      <c r="AA48" s="31">
        <v>6.31</v>
      </c>
      <c r="AB48" s="31">
        <v>0</v>
      </c>
      <c r="AC48" s="31">
        <v>0</v>
      </c>
      <c r="AD48" s="31">
        <v>0.57599999999999996</v>
      </c>
      <c r="AE48" s="31">
        <v>0</v>
      </c>
      <c r="AF48" s="31">
        <v>0</v>
      </c>
      <c r="AG48" s="31">
        <v>17.815999999999999</v>
      </c>
      <c r="AH48" s="31">
        <v>11.087161290322582</v>
      </c>
      <c r="AI48" s="31">
        <v>5.543580645161291</v>
      </c>
    </row>
    <row r="49" spans="1:35" x14ac:dyDescent="0.3">
      <c r="A49" s="12" t="s">
        <v>214</v>
      </c>
      <c r="B49" s="137">
        <v>9</v>
      </c>
      <c r="C49" s="31">
        <v>181.44599999999991</v>
      </c>
      <c r="D49" s="31">
        <v>193.25200000000004</v>
      </c>
      <c r="E49" s="31">
        <v>174.51000000000002</v>
      </c>
      <c r="F49" s="31">
        <v>218.93800000000002</v>
      </c>
      <c r="G49" s="31">
        <v>189.98300000000012</v>
      </c>
      <c r="H49" s="31">
        <v>184.33600000000001</v>
      </c>
      <c r="I49" s="31">
        <v>213.23699999999991</v>
      </c>
      <c r="J49" s="31">
        <v>211.94500000000002</v>
      </c>
      <c r="K49" s="31">
        <v>173.61099999999999</v>
      </c>
      <c r="L49" s="31">
        <v>170.47599999999997</v>
      </c>
      <c r="M49" s="31">
        <v>204.42100000000005</v>
      </c>
      <c r="N49" s="31">
        <v>185.17799999999994</v>
      </c>
      <c r="O49" s="31">
        <v>132.81400000000005</v>
      </c>
      <c r="P49" s="31">
        <v>182.38300000000001</v>
      </c>
      <c r="Q49" s="31">
        <v>198.04899999999998</v>
      </c>
      <c r="R49" s="31">
        <v>182.74000000000007</v>
      </c>
      <c r="S49" s="31">
        <v>166.51900000000001</v>
      </c>
      <c r="T49" s="31">
        <v>185.93000000000009</v>
      </c>
      <c r="U49" s="31">
        <v>160.06300000000002</v>
      </c>
      <c r="V49" s="31">
        <v>187.26600000000008</v>
      </c>
      <c r="W49" s="31">
        <v>215.39599999999999</v>
      </c>
      <c r="X49" s="31">
        <v>210.44500000000005</v>
      </c>
      <c r="Y49" s="31">
        <v>195.78099999999995</v>
      </c>
      <c r="Z49" s="31">
        <v>196.22000000000003</v>
      </c>
      <c r="AA49" s="31">
        <v>187.46499999999997</v>
      </c>
      <c r="AB49" s="31">
        <v>191.91499999999999</v>
      </c>
      <c r="AC49" s="31">
        <v>150.40500000000003</v>
      </c>
      <c r="AD49" s="31">
        <v>144.39099999999999</v>
      </c>
      <c r="AE49" s="31">
        <v>132.81599999999997</v>
      </c>
      <c r="AF49" s="31">
        <v>156.38200000000001</v>
      </c>
      <c r="AG49" s="31">
        <v>125.89000000000003</v>
      </c>
      <c r="AH49" s="31">
        <v>180.78074193548386</v>
      </c>
      <c r="AI49" s="31">
        <v>20.086749103942651</v>
      </c>
    </row>
    <row r="50" spans="1:35" x14ac:dyDescent="0.3">
      <c r="A50" s="12" t="s">
        <v>393</v>
      </c>
      <c r="B50" s="137">
        <v>40</v>
      </c>
      <c r="C50" s="31">
        <v>335.51700000000005</v>
      </c>
      <c r="D50" s="31">
        <v>160.92900000000003</v>
      </c>
      <c r="E50" s="31">
        <v>390.16400000000004</v>
      </c>
      <c r="F50" s="31">
        <v>375.71499999999975</v>
      </c>
      <c r="G50" s="31">
        <v>359.7580000000001</v>
      </c>
      <c r="H50" s="31">
        <v>418.06799999999981</v>
      </c>
      <c r="I50" s="31">
        <v>455.99400000000026</v>
      </c>
      <c r="J50" s="31">
        <v>416.45100000000002</v>
      </c>
      <c r="K50" s="31">
        <v>177.40400000000002</v>
      </c>
      <c r="L50" s="31">
        <v>296.24599999999998</v>
      </c>
      <c r="M50" s="31">
        <v>317.61099999999999</v>
      </c>
      <c r="N50" s="31">
        <v>192.51600000000005</v>
      </c>
      <c r="O50" s="31">
        <v>95.795999999999992</v>
      </c>
      <c r="P50" s="31">
        <v>670.1129999999996</v>
      </c>
      <c r="Q50" s="31">
        <v>438.68799999999987</v>
      </c>
      <c r="R50" s="31">
        <v>156.559</v>
      </c>
      <c r="S50" s="31">
        <v>303.68600000000009</v>
      </c>
      <c r="T50" s="31">
        <v>356.21699999999976</v>
      </c>
      <c r="U50" s="31">
        <v>330.97700000000003</v>
      </c>
      <c r="V50" s="31">
        <v>329.36399999999998</v>
      </c>
      <c r="W50" s="31">
        <v>514.50700000000006</v>
      </c>
      <c r="X50" s="31">
        <v>460.38799999999986</v>
      </c>
      <c r="Y50" s="31">
        <v>155.69399999999999</v>
      </c>
      <c r="Z50" s="31">
        <v>401.37999999999988</v>
      </c>
      <c r="AA50" s="31">
        <v>247.095</v>
      </c>
      <c r="AB50" s="31">
        <v>261.88999999999993</v>
      </c>
      <c r="AC50" s="31">
        <v>361.21599999999995</v>
      </c>
      <c r="AD50" s="31">
        <v>488.30500000000006</v>
      </c>
      <c r="AE50" s="31">
        <v>359.04300000000001</v>
      </c>
      <c r="AF50" s="31">
        <v>144.33299999999997</v>
      </c>
      <c r="AG50" s="31">
        <v>239.09999999999997</v>
      </c>
      <c r="AH50" s="31">
        <v>329.37819354838712</v>
      </c>
      <c r="AI50" s="31">
        <v>8.2344548387096772</v>
      </c>
    </row>
    <row r="51" spans="1:35" x14ac:dyDescent="0.3">
      <c r="A51" s="12" t="s">
        <v>228</v>
      </c>
      <c r="B51" s="137">
        <v>1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</row>
    <row r="52" spans="1:35" x14ac:dyDescent="0.3">
      <c r="A52" s="12" t="s">
        <v>94</v>
      </c>
      <c r="B52" s="137">
        <v>2</v>
      </c>
      <c r="C52" s="31">
        <v>0</v>
      </c>
      <c r="D52" s="31">
        <v>0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  <c r="AC52" s="31">
        <v>0</v>
      </c>
      <c r="AD52" s="31">
        <v>0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</row>
    <row r="53" spans="1:35" x14ac:dyDescent="0.3">
      <c r="A53" s="12" t="s">
        <v>117</v>
      </c>
      <c r="B53" s="137">
        <v>1</v>
      </c>
      <c r="C53" s="31">
        <v>0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</row>
    <row r="54" spans="1:35" x14ac:dyDescent="0.3">
      <c r="A54" s="12" t="s">
        <v>115</v>
      </c>
      <c r="B54" s="137">
        <v>1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0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</row>
    <row r="55" spans="1:35" x14ac:dyDescent="0.3">
      <c r="A55" s="12" t="s">
        <v>223</v>
      </c>
      <c r="B55" s="137">
        <v>2</v>
      </c>
      <c r="C55" s="31">
        <v>0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</v>
      </c>
      <c r="AH55" s="31">
        <v>0</v>
      </c>
      <c r="AI55" s="31">
        <v>0</v>
      </c>
    </row>
    <row r="56" spans="1:35" x14ac:dyDescent="0.3">
      <c r="A56" s="12" t="s">
        <v>122</v>
      </c>
      <c r="B56" s="137">
        <v>3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1">
        <v>0</v>
      </c>
    </row>
    <row r="57" spans="1:35" x14ac:dyDescent="0.3">
      <c r="A57" s="12" t="s">
        <v>143</v>
      </c>
      <c r="B57" s="137">
        <v>2</v>
      </c>
      <c r="C57" s="31">
        <v>0</v>
      </c>
      <c r="D57" s="31">
        <v>11.925000000000001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0.44600000000000001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0</v>
      </c>
      <c r="AH57" s="31">
        <v>0.39906451612903227</v>
      </c>
      <c r="AI57" s="31">
        <v>0.19953225806451613</v>
      </c>
    </row>
    <row r="58" spans="1:35" x14ac:dyDescent="0.3">
      <c r="A58" s="12" t="s">
        <v>208</v>
      </c>
      <c r="B58" s="137">
        <v>10</v>
      </c>
      <c r="C58" s="31">
        <v>131.81200000000001</v>
      </c>
      <c r="D58" s="31">
        <v>89.382999999999996</v>
      </c>
      <c r="E58" s="31">
        <v>91.47199999999998</v>
      </c>
      <c r="F58" s="31">
        <v>71.649000000000001</v>
      </c>
      <c r="G58" s="31">
        <v>101.39399999999999</v>
      </c>
      <c r="H58" s="31">
        <v>77.449999999999989</v>
      </c>
      <c r="I58" s="31">
        <v>89.832000000000008</v>
      </c>
      <c r="J58" s="31">
        <v>62.525999999999996</v>
      </c>
      <c r="K58" s="31">
        <v>78.712999999999994</v>
      </c>
      <c r="L58" s="31">
        <v>84.474000000000018</v>
      </c>
      <c r="M58" s="31">
        <v>85.921000000000006</v>
      </c>
      <c r="N58" s="31">
        <v>104.52699999999999</v>
      </c>
      <c r="O58" s="31">
        <v>86.904999999999987</v>
      </c>
      <c r="P58" s="31">
        <v>102.19199999999999</v>
      </c>
      <c r="Q58" s="31">
        <v>53.527000000000001</v>
      </c>
      <c r="R58" s="31">
        <v>107.09300000000002</v>
      </c>
      <c r="S58" s="31">
        <v>104.60900000000001</v>
      </c>
      <c r="T58" s="31">
        <v>114.68499999999999</v>
      </c>
      <c r="U58" s="31">
        <v>110.95799999999997</v>
      </c>
      <c r="V58" s="31">
        <v>125.89300000000003</v>
      </c>
      <c r="W58" s="31">
        <v>65.515000000000001</v>
      </c>
      <c r="X58" s="31">
        <v>115.97699999999999</v>
      </c>
      <c r="Y58" s="31">
        <v>144.11299999999997</v>
      </c>
      <c r="Z58" s="31">
        <v>109.07600000000001</v>
      </c>
      <c r="AA58" s="31">
        <v>130.876</v>
      </c>
      <c r="AB58" s="31">
        <v>139.96299999999999</v>
      </c>
      <c r="AC58" s="31">
        <v>150.86599999999996</v>
      </c>
      <c r="AD58" s="31">
        <v>97.039999999999992</v>
      </c>
      <c r="AE58" s="31">
        <v>91.539999999999992</v>
      </c>
      <c r="AF58" s="31">
        <v>119.39700000000001</v>
      </c>
      <c r="AG58" s="31">
        <v>123.739</v>
      </c>
      <c r="AH58" s="31">
        <v>102.03603225806452</v>
      </c>
      <c r="AI58" s="31">
        <v>10.203603225806452</v>
      </c>
    </row>
    <row r="59" spans="1:35" x14ac:dyDescent="0.3">
      <c r="A59" s="12" t="s">
        <v>244</v>
      </c>
      <c r="B59" s="137">
        <v>5</v>
      </c>
      <c r="C59" s="31">
        <v>31.667000000000002</v>
      </c>
      <c r="D59" s="31">
        <v>12.967000000000001</v>
      </c>
      <c r="E59" s="31">
        <v>28.489000000000001</v>
      </c>
      <c r="F59" s="31">
        <v>0</v>
      </c>
      <c r="G59" s="31">
        <v>30.28</v>
      </c>
      <c r="H59" s="31">
        <v>16.620999999999999</v>
      </c>
      <c r="I59" s="31">
        <v>14.292</v>
      </c>
      <c r="J59" s="31">
        <v>18.993000000000002</v>
      </c>
      <c r="K59" s="31">
        <v>21.759999999999998</v>
      </c>
      <c r="L59" s="31">
        <v>13.412000000000001</v>
      </c>
      <c r="M59" s="31">
        <v>15.222000000000001</v>
      </c>
      <c r="N59" s="31">
        <v>23.402999999999999</v>
      </c>
      <c r="O59" s="31">
        <v>20.672999999999998</v>
      </c>
      <c r="P59" s="31">
        <v>16.43</v>
      </c>
      <c r="Q59" s="31">
        <v>18.617999999999999</v>
      </c>
      <c r="R59" s="31">
        <v>15.679000000000002</v>
      </c>
      <c r="S59" s="31">
        <v>15.871000000000002</v>
      </c>
      <c r="T59" s="31">
        <v>9.7360000000000007</v>
      </c>
      <c r="U59" s="31">
        <v>15.132999999999999</v>
      </c>
      <c r="V59" s="31">
        <v>25.170999999999999</v>
      </c>
      <c r="W59" s="31">
        <v>9.5689999999999991</v>
      </c>
      <c r="X59" s="31">
        <v>26.837999999999997</v>
      </c>
      <c r="Y59" s="31">
        <v>7.6539999999999999</v>
      </c>
      <c r="Z59" s="31">
        <v>12.532</v>
      </c>
      <c r="AA59" s="31">
        <v>26.817999999999998</v>
      </c>
      <c r="AB59" s="31">
        <v>18.998999999999999</v>
      </c>
      <c r="AC59" s="31">
        <v>5.0579999999999998</v>
      </c>
      <c r="AD59" s="31">
        <v>15.096</v>
      </c>
      <c r="AE59" s="31">
        <v>16.591000000000001</v>
      </c>
      <c r="AF59" s="31">
        <v>19.918000000000003</v>
      </c>
      <c r="AG59" s="31">
        <v>6.1489999999999991</v>
      </c>
      <c r="AH59" s="31">
        <v>17.08512903225806</v>
      </c>
      <c r="AI59" s="31">
        <v>4.2712822580645149</v>
      </c>
    </row>
    <row r="60" spans="1:35" x14ac:dyDescent="0.3">
      <c r="A60" s="12" t="s">
        <v>256</v>
      </c>
      <c r="B60" s="137">
        <v>6</v>
      </c>
      <c r="C60" s="31">
        <v>0</v>
      </c>
      <c r="D60" s="31">
        <v>0</v>
      </c>
      <c r="E60" s="31">
        <v>0</v>
      </c>
      <c r="F60" s="31">
        <v>1.526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31">
        <v>0</v>
      </c>
      <c r="AD60" s="31">
        <v>0</v>
      </c>
      <c r="AE60" s="31">
        <v>0</v>
      </c>
      <c r="AF60" s="31">
        <v>4.173</v>
      </c>
      <c r="AG60" s="31">
        <v>4.3410000000000002</v>
      </c>
      <c r="AH60" s="31">
        <v>0.32387096774193547</v>
      </c>
      <c r="AI60" s="31">
        <v>5.3978494623655913E-2</v>
      </c>
    </row>
    <row r="61" spans="1:35" x14ac:dyDescent="0.3">
      <c r="A61" s="12" t="s">
        <v>196</v>
      </c>
      <c r="B61" s="137">
        <v>19</v>
      </c>
      <c r="C61" s="31">
        <v>83.876999999999995</v>
      </c>
      <c r="D61" s="31">
        <v>96.597000000000008</v>
      </c>
      <c r="E61" s="31">
        <v>102.71600000000001</v>
      </c>
      <c r="F61" s="31">
        <v>112.28200000000001</v>
      </c>
      <c r="G61" s="31">
        <v>91.942000000000007</v>
      </c>
      <c r="H61" s="31">
        <v>116.60600000000002</v>
      </c>
      <c r="I61" s="31">
        <v>144.791</v>
      </c>
      <c r="J61" s="31">
        <v>133.143</v>
      </c>
      <c r="K61" s="31">
        <v>111.61799999999999</v>
      </c>
      <c r="L61" s="31">
        <v>98.333999999999989</v>
      </c>
      <c r="M61" s="31">
        <v>79.361000000000004</v>
      </c>
      <c r="N61" s="31">
        <v>123.872</v>
      </c>
      <c r="O61" s="31">
        <v>126.22099999999999</v>
      </c>
      <c r="P61" s="31">
        <v>81.438000000000002</v>
      </c>
      <c r="Q61" s="31">
        <v>158.02100000000002</v>
      </c>
      <c r="R61" s="31">
        <v>98.878999999999991</v>
      </c>
      <c r="S61" s="31">
        <v>127.46299999999999</v>
      </c>
      <c r="T61" s="31">
        <v>135.73499999999999</v>
      </c>
      <c r="U61" s="31">
        <v>122.727</v>
      </c>
      <c r="V61" s="31">
        <v>147.18100000000001</v>
      </c>
      <c r="W61" s="31">
        <v>143.17300000000003</v>
      </c>
      <c r="X61" s="31">
        <v>109.98399999999999</v>
      </c>
      <c r="Y61" s="31">
        <v>123.86899999999997</v>
      </c>
      <c r="Z61" s="31">
        <v>128.59899999999999</v>
      </c>
      <c r="AA61" s="31">
        <v>114.58899999999997</v>
      </c>
      <c r="AB61" s="31">
        <v>149.13099999999997</v>
      </c>
      <c r="AC61" s="31">
        <v>129.48600000000002</v>
      </c>
      <c r="AD61" s="31">
        <v>139.95899999999997</v>
      </c>
      <c r="AE61" s="31">
        <v>136.82899999999998</v>
      </c>
      <c r="AF61" s="31">
        <v>152.23699999999999</v>
      </c>
      <c r="AG61" s="31">
        <v>204.72499999999997</v>
      </c>
      <c r="AH61" s="31">
        <v>123.39951612903226</v>
      </c>
      <c r="AI61" s="31">
        <v>6.4947113752122245</v>
      </c>
    </row>
    <row r="62" spans="1:35" x14ac:dyDescent="0.3">
      <c r="A62" s="12" t="s">
        <v>352</v>
      </c>
      <c r="B62" s="137">
        <v>10</v>
      </c>
      <c r="C62" s="31">
        <v>167.92</v>
      </c>
      <c r="D62" s="31">
        <v>130.89000000000001</v>
      </c>
      <c r="E62" s="31">
        <v>169.32999999999998</v>
      </c>
      <c r="F62" s="31">
        <v>188.51999999999998</v>
      </c>
      <c r="G62" s="31">
        <v>143.76</v>
      </c>
      <c r="H62" s="31">
        <v>199.52999999999997</v>
      </c>
      <c r="I62" s="31">
        <v>157.24</v>
      </c>
      <c r="J62" s="31">
        <v>144.13</v>
      </c>
      <c r="K62" s="31">
        <v>138.22</v>
      </c>
      <c r="L62" s="31">
        <v>169.12</v>
      </c>
      <c r="M62" s="31">
        <v>139.84</v>
      </c>
      <c r="N62" s="31">
        <v>155.37</v>
      </c>
      <c r="O62" s="31">
        <v>88.289999999999992</v>
      </c>
      <c r="P62" s="31">
        <v>124.62</v>
      </c>
      <c r="Q62" s="31">
        <v>131.94999999999999</v>
      </c>
      <c r="R62" s="31">
        <v>170.41</v>
      </c>
      <c r="S62" s="31">
        <v>141.22999999999999</v>
      </c>
      <c r="T62" s="31">
        <v>98.929999999999993</v>
      </c>
      <c r="U62" s="31">
        <v>175.24</v>
      </c>
      <c r="V62" s="31">
        <v>144.80000000000001</v>
      </c>
      <c r="W62" s="31">
        <v>172.74</v>
      </c>
      <c r="X62" s="31">
        <v>164.65199999999999</v>
      </c>
      <c r="Y62" s="31">
        <v>118.60300000000001</v>
      </c>
      <c r="Z62" s="31">
        <v>227.33499999999998</v>
      </c>
      <c r="AA62" s="31">
        <v>126.90400000000002</v>
      </c>
      <c r="AB62" s="31">
        <v>133.90899999999999</v>
      </c>
      <c r="AC62" s="31">
        <v>183.24599999999998</v>
      </c>
      <c r="AD62" s="31">
        <v>138.54599999999999</v>
      </c>
      <c r="AE62" s="31">
        <v>96.991</v>
      </c>
      <c r="AF62" s="31">
        <v>175.22500000000002</v>
      </c>
      <c r="AG62" s="31">
        <v>103.14700000000001</v>
      </c>
      <c r="AH62" s="31">
        <v>149.05283870967739</v>
      </c>
      <c r="AI62" s="31">
        <v>36.675588709677413</v>
      </c>
    </row>
    <row r="63" spans="1:35" x14ac:dyDescent="0.3">
      <c r="A63" s="12" t="s">
        <v>174</v>
      </c>
      <c r="B63" s="137">
        <v>11</v>
      </c>
      <c r="C63" s="31">
        <v>44.506999999999998</v>
      </c>
      <c r="D63" s="31">
        <v>47.745000000000005</v>
      </c>
      <c r="E63" s="31">
        <v>24.2</v>
      </c>
      <c r="F63" s="31">
        <v>31.025000000000002</v>
      </c>
      <c r="G63" s="31">
        <v>65.867999999999995</v>
      </c>
      <c r="H63" s="31">
        <v>68.472999999999985</v>
      </c>
      <c r="I63" s="31">
        <v>52.144000000000005</v>
      </c>
      <c r="J63" s="31">
        <v>25.207999999999998</v>
      </c>
      <c r="K63" s="31">
        <v>36.438000000000002</v>
      </c>
      <c r="L63" s="31">
        <v>47.656999999999989</v>
      </c>
      <c r="M63" s="31">
        <v>43.002999999999993</v>
      </c>
      <c r="N63" s="31">
        <v>76.819999999999993</v>
      </c>
      <c r="O63" s="31">
        <v>83.289999999999992</v>
      </c>
      <c r="P63" s="31">
        <v>49</v>
      </c>
      <c r="Q63" s="31">
        <v>107.22</v>
      </c>
      <c r="R63" s="31">
        <v>109.48</v>
      </c>
      <c r="S63" s="31">
        <v>40.540000000000006</v>
      </c>
      <c r="T63" s="31">
        <v>142.74</v>
      </c>
      <c r="U63" s="31">
        <v>93.94</v>
      </c>
      <c r="V63" s="31">
        <v>67.790000000000006</v>
      </c>
      <c r="W63" s="31">
        <v>88.460000000000008</v>
      </c>
      <c r="X63" s="31">
        <v>141.809</v>
      </c>
      <c r="Y63" s="31">
        <v>128.31700000000006</v>
      </c>
      <c r="Z63" s="31">
        <v>119.12600000000002</v>
      </c>
      <c r="AA63" s="31">
        <v>149.99799999999999</v>
      </c>
      <c r="AB63" s="31">
        <v>139.928</v>
      </c>
      <c r="AC63" s="31">
        <v>180.37500000000003</v>
      </c>
      <c r="AD63" s="31">
        <v>169.6690000000001</v>
      </c>
      <c r="AE63" s="31">
        <v>115.64900000000002</v>
      </c>
      <c r="AF63" s="31">
        <v>60.107999999999997</v>
      </c>
      <c r="AG63" s="31">
        <v>51.664999999999999</v>
      </c>
      <c r="AH63" s="31">
        <v>83.94167741935486</v>
      </c>
      <c r="AI63" s="31">
        <v>23.111229032258066</v>
      </c>
    </row>
    <row r="64" spans="1:35" x14ac:dyDescent="0.3">
      <c r="A64" s="12" t="s">
        <v>204</v>
      </c>
      <c r="B64" s="137">
        <v>6</v>
      </c>
      <c r="C64" s="31">
        <v>24.235999999999997</v>
      </c>
      <c r="D64" s="31">
        <v>64.23</v>
      </c>
      <c r="E64" s="31">
        <v>37.945999999999998</v>
      </c>
      <c r="F64" s="31">
        <v>34.045999999999999</v>
      </c>
      <c r="G64" s="31">
        <v>38.130000000000003</v>
      </c>
      <c r="H64" s="31">
        <v>47.457000000000001</v>
      </c>
      <c r="I64" s="31">
        <v>27.064999999999998</v>
      </c>
      <c r="J64" s="31">
        <v>31.856999999999999</v>
      </c>
      <c r="K64" s="31">
        <v>26.755000000000003</v>
      </c>
      <c r="L64" s="31">
        <v>39.14</v>
      </c>
      <c r="M64" s="31">
        <v>33.617999999999995</v>
      </c>
      <c r="N64" s="31">
        <v>33.138000000000005</v>
      </c>
      <c r="O64" s="31">
        <v>42.021000000000001</v>
      </c>
      <c r="P64" s="31">
        <v>40.14</v>
      </c>
      <c r="Q64" s="31">
        <v>33.582000000000001</v>
      </c>
      <c r="R64" s="31">
        <v>37.14</v>
      </c>
      <c r="S64" s="31">
        <v>36.886000000000003</v>
      </c>
      <c r="T64" s="31">
        <v>42.351999999999997</v>
      </c>
      <c r="U64" s="31">
        <v>27.131</v>
      </c>
      <c r="V64" s="31">
        <v>43.99</v>
      </c>
      <c r="W64" s="31">
        <v>42.808</v>
      </c>
      <c r="X64" s="31">
        <v>34.793999999999997</v>
      </c>
      <c r="Y64" s="31">
        <v>37.686999999999991</v>
      </c>
      <c r="Z64" s="31">
        <v>49.814999999999998</v>
      </c>
      <c r="AA64" s="31">
        <v>35.536999999999999</v>
      </c>
      <c r="AB64" s="31">
        <v>40.597000000000001</v>
      </c>
      <c r="AC64" s="31">
        <v>23.747</v>
      </c>
      <c r="AD64" s="31">
        <v>4.6290000000000004</v>
      </c>
      <c r="AE64" s="31">
        <v>3.23</v>
      </c>
      <c r="AF64" s="31">
        <v>32.405000000000001</v>
      </c>
      <c r="AG64" s="31">
        <v>31.761000000000003</v>
      </c>
      <c r="AH64" s="31">
        <v>34.769999999999996</v>
      </c>
      <c r="AI64" s="31">
        <v>5.794999999999999</v>
      </c>
    </row>
    <row r="65" spans="1:35" x14ac:dyDescent="0.3">
      <c r="A65" s="12" t="s">
        <v>232</v>
      </c>
      <c r="B65" s="137">
        <v>20</v>
      </c>
      <c r="C65" s="31">
        <v>142.68999999999997</v>
      </c>
      <c r="D65" s="31">
        <v>126.55100000000002</v>
      </c>
      <c r="E65" s="31">
        <v>116.393</v>
      </c>
      <c r="F65" s="31">
        <v>120.485</v>
      </c>
      <c r="G65" s="31">
        <v>107.41200000000005</v>
      </c>
      <c r="H65" s="31">
        <v>153.38800000000001</v>
      </c>
      <c r="I65" s="31">
        <v>150.56200000000001</v>
      </c>
      <c r="J65" s="31">
        <v>134.31400000000002</v>
      </c>
      <c r="K65" s="31">
        <v>162.499</v>
      </c>
      <c r="L65" s="31">
        <v>137.42099999999999</v>
      </c>
      <c r="M65" s="31">
        <v>155.63799999999998</v>
      </c>
      <c r="N65" s="31">
        <v>137.20800000000003</v>
      </c>
      <c r="O65" s="31">
        <v>155.32900000000004</v>
      </c>
      <c r="P65" s="31">
        <v>97.292000000000002</v>
      </c>
      <c r="Q65" s="31">
        <v>140.56700000000006</v>
      </c>
      <c r="R65" s="31">
        <v>176.15099999999998</v>
      </c>
      <c r="S65" s="31">
        <v>125.18299999999999</v>
      </c>
      <c r="T65" s="31">
        <v>195.72400000000002</v>
      </c>
      <c r="U65" s="31">
        <v>164.63300000000004</v>
      </c>
      <c r="V65" s="31">
        <v>192.86100000000002</v>
      </c>
      <c r="W65" s="31">
        <v>146.03400000000002</v>
      </c>
      <c r="X65" s="31">
        <v>182.369</v>
      </c>
      <c r="Y65" s="31">
        <v>184.31200000000001</v>
      </c>
      <c r="Z65" s="31">
        <v>186.49600000000001</v>
      </c>
      <c r="AA65" s="31">
        <v>207.99699999999999</v>
      </c>
      <c r="AB65" s="31">
        <v>217.31100000000006</v>
      </c>
      <c r="AC65" s="31">
        <v>232.72499999999997</v>
      </c>
      <c r="AD65" s="31">
        <v>258.10599999999999</v>
      </c>
      <c r="AE65" s="31">
        <v>257.428</v>
      </c>
      <c r="AF65" s="31">
        <v>182.74700000000004</v>
      </c>
      <c r="AG65" s="31">
        <v>167.92799999999997</v>
      </c>
      <c r="AH65" s="31">
        <v>165.02432258064519</v>
      </c>
      <c r="AI65" s="31">
        <v>8.2512161290322599</v>
      </c>
    </row>
    <row r="66" spans="1:35" x14ac:dyDescent="0.3">
      <c r="A66" s="12" t="s">
        <v>366</v>
      </c>
      <c r="B66" s="137">
        <v>5</v>
      </c>
      <c r="C66" s="31">
        <v>31.636000000000003</v>
      </c>
      <c r="D66" s="31">
        <v>33.477999999999994</v>
      </c>
      <c r="E66" s="31">
        <v>21.029</v>
      </c>
      <c r="F66" s="31">
        <v>35.018000000000001</v>
      </c>
      <c r="G66" s="31">
        <v>12.753</v>
      </c>
      <c r="H66" s="31">
        <v>25.159999999999997</v>
      </c>
      <c r="I66" s="31">
        <v>27.932999999999996</v>
      </c>
      <c r="J66" s="31">
        <v>24.909000000000002</v>
      </c>
      <c r="K66" s="31">
        <v>25.393000000000001</v>
      </c>
      <c r="L66" s="31">
        <v>26.215000000000003</v>
      </c>
      <c r="M66" s="31">
        <v>41.147999999999996</v>
      </c>
      <c r="N66" s="31">
        <v>25.965000000000003</v>
      </c>
      <c r="O66" s="31">
        <v>56.260000000000005</v>
      </c>
      <c r="P66" s="31">
        <v>12.693</v>
      </c>
      <c r="Q66" s="31">
        <v>32.812000000000005</v>
      </c>
      <c r="R66" s="31">
        <v>30.360999999999997</v>
      </c>
      <c r="S66" s="31">
        <v>24.917999999999999</v>
      </c>
      <c r="T66" s="31">
        <v>17.493000000000002</v>
      </c>
      <c r="U66" s="31">
        <v>39.003999999999998</v>
      </c>
      <c r="V66" s="31">
        <v>28.915000000000003</v>
      </c>
      <c r="W66" s="31">
        <v>21.704999999999998</v>
      </c>
      <c r="X66" s="31">
        <v>41.085999999999999</v>
      </c>
      <c r="Y66" s="31">
        <v>10.677</v>
      </c>
      <c r="Z66" s="31">
        <v>22.051000000000002</v>
      </c>
      <c r="AA66" s="31">
        <v>22.664000000000001</v>
      </c>
      <c r="AB66" s="31">
        <v>24.21</v>
      </c>
      <c r="AC66" s="31">
        <v>9.6690000000000005</v>
      </c>
      <c r="AD66" s="31">
        <v>18.423999999999999</v>
      </c>
      <c r="AE66" s="31">
        <v>35.879999999999995</v>
      </c>
      <c r="AF66" s="31">
        <v>8.6560000000000006</v>
      </c>
      <c r="AG66" s="31">
        <v>15.645</v>
      </c>
      <c r="AH66" s="31">
        <v>25.927741935483869</v>
      </c>
      <c r="AI66" s="31">
        <v>5.185548387096774</v>
      </c>
    </row>
    <row r="67" spans="1:35" x14ac:dyDescent="0.3">
      <c r="A67" s="12" t="s">
        <v>357</v>
      </c>
      <c r="B67" s="137">
        <v>1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9.0410000000000004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</v>
      </c>
      <c r="AD67" s="31">
        <v>0</v>
      </c>
      <c r="AE67" s="31">
        <v>0</v>
      </c>
      <c r="AF67" s="31">
        <v>0</v>
      </c>
      <c r="AG67" s="31">
        <v>0</v>
      </c>
      <c r="AH67" s="31">
        <v>0.29164516129032259</v>
      </c>
      <c r="AI67" s="31">
        <v>0.29164516129032259</v>
      </c>
    </row>
    <row r="68" spans="1:35" x14ac:dyDescent="0.3">
      <c r="A68" s="12" t="s">
        <v>271</v>
      </c>
      <c r="B68" s="137">
        <v>10</v>
      </c>
      <c r="C68" s="31">
        <v>97.64</v>
      </c>
      <c r="D68" s="31">
        <v>53.82</v>
      </c>
      <c r="E68" s="31">
        <v>162.94</v>
      </c>
      <c r="F68" s="31">
        <v>174.09</v>
      </c>
      <c r="G68" s="31">
        <v>78.53</v>
      </c>
      <c r="H68" s="31">
        <v>132.42999999999998</v>
      </c>
      <c r="I68" s="31">
        <v>210.18</v>
      </c>
      <c r="J68" s="31">
        <v>252.32999999999998</v>
      </c>
      <c r="K68" s="31">
        <v>215.72</v>
      </c>
      <c r="L68" s="31">
        <v>223.51</v>
      </c>
      <c r="M68" s="31">
        <v>120.68</v>
      </c>
      <c r="N68" s="31">
        <v>137.86000000000001</v>
      </c>
      <c r="O68" s="31">
        <v>290.62</v>
      </c>
      <c r="P68" s="31">
        <v>164.69</v>
      </c>
      <c r="Q68" s="31">
        <v>226.23000000000002</v>
      </c>
      <c r="R68" s="31">
        <v>171.78</v>
      </c>
      <c r="S68" s="31">
        <v>30.189999999999998</v>
      </c>
      <c r="T68" s="31">
        <v>176.56</v>
      </c>
      <c r="U68" s="31">
        <v>83.53</v>
      </c>
      <c r="V68" s="31">
        <v>97.660000000000011</v>
      </c>
      <c r="W68" s="31">
        <v>136.9</v>
      </c>
      <c r="X68" s="31">
        <v>37.231999999999999</v>
      </c>
      <c r="Y68" s="31">
        <v>144.30500000000001</v>
      </c>
      <c r="Z68" s="31">
        <v>137.12700000000001</v>
      </c>
      <c r="AA68" s="31">
        <v>173.99399999999997</v>
      </c>
      <c r="AB68" s="31">
        <v>294.76</v>
      </c>
      <c r="AC68" s="31">
        <v>318.71699999999998</v>
      </c>
      <c r="AD68" s="31">
        <v>137.274</v>
      </c>
      <c r="AE68" s="31">
        <v>330.971</v>
      </c>
      <c r="AF68" s="31">
        <v>472.58</v>
      </c>
      <c r="AG68" s="31">
        <v>544.32099999999991</v>
      </c>
      <c r="AH68" s="31">
        <v>303.3815529953917</v>
      </c>
      <c r="AI68" s="31">
        <v>273.67674654377879</v>
      </c>
    </row>
    <row r="69" spans="1:35" x14ac:dyDescent="0.3">
      <c r="A69" s="12" t="s">
        <v>249</v>
      </c>
      <c r="B69" s="137">
        <v>8</v>
      </c>
      <c r="C69" s="31">
        <v>124.08100000000005</v>
      </c>
      <c r="D69" s="31">
        <v>127.35699999999999</v>
      </c>
      <c r="E69" s="31">
        <v>114.89800000000001</v>
      </c>
      <c r="F69" s="31">
        <v>124.69400000000002</v>
      </c>
      <c r="G69" s="31">
        <v>113.38500000000001</v>
      </c>
      <c r="H69" s="31">
        <v>120.85600000000002</v>
      </c>
      <c r="I69" s="31">
        <v>109.09999999999998</v>
      </c>
      <c r="J69" s="31">
        <v>96.320000000000007</v>
      </c>
      <c r="K69" s="31">
        <v>112.08299999999998</v>
      </c>
      <c r="L69" s="31">
        <v>107.571</v>
      </c>
      <c r="M69" s="31">
        <v>60.902000000000001</v>
      </c>
      <c r="N69" s="31">
        <v>97.272000000000006</v>
      </c>
      <c r="O69" s="31">
        <v>98.457000000000008</v>
      </c>
      <c r="P69" s="31">
        <v>90.666000000000011</v>
      </c>
      <c r="Q69" s="31">
        <v>107.58700000000002</v>
      </c>
      <c r="R69" s="31">
        <v>103.72899999999998</v>
      </c>
      <c r="S69" s="31">
        <v>99.407000000000025</v>
      </c>
      <c r="T69" s="31">
        <v>75.272000000000006</v>
      </c>
      <c r="U69" s="31">
        <v>136.19900000000001</v>
      </c>
      <c r="V69" s="31">
        <v>93.01</v>
      </c>
      <c r="W69" s="31">
        <v>95.162999999999982</v>
      </c>
      <c r="X69" s="31">
        <v>130.08999999999997</v>
      </c>
      <c r="Y69" s="31">
        <v>108.15500000000002</v>
      </c>
      <c r="Z69" s="31">
        <v>117.752</v>
      </c>
      <c r="AA69" s="31">
        <v>104.95399999999998</v>
      </c>
      <c r="AB69" s="31">
        <v>104.277</v>
      </c>
      <c r="AC69" s="31">
        <v>98.267000000000024</v>
      </c>
      <c r="AD69" s="31">
        <v>113.91000000000003</v>
      </c>
      <c r="AE69" s="31">
        <v>101.583</v>
      </c>
      <c r="AF69" s="31">
        <v>91.4</v>
      </c>
      <c r="AG69" s="31">
        <v>105.032</v>
      </c>
      <c r="AH69" s="31">
        <v>105.91706451612905</v>
      </c>
      <c r="AI69" s="31">
        <v>13.239633064516131</v>
      </c>
    </row>
    <row r="70" spans="1:35" x14ac:dyDescent="0.3">
      <c r="A70" s="12" t="s">
        <v>254</v>
      </c>
      <c r="B70" s="137">
        <v>10</v>
      </c>
      <c r="C70" s="31">
        <v>62.513000000000005</v>
      </c>
      <c r="D70" s="31">
        <v>78.049000000000007</v>
      </c>
      <c r="E70" s="31">
        <v>77.872</v>
      </c>
      <c r="F70" s="31">
        <v>50.850999999999999</v>
      </c>
      <c r="G70" s="31">
        <v>74.815999999999988</v>
      </c>
      <c r="H70" s="31">
        <v>111.49299999999999</v>
      </c>
      <c r="I70" s="31">
        <v>101.42399999999999</v>
      </c>
      <c r="J70" s="31">
        <v>70.53</v>
      </c>
      <c r="K70" s="31">
        <v>86.130999999999986</v>
      </c>
      <c r="L70" s="31">
        <v>94.596000000000004</v>
      </c>
      <c r="M70" s="31">
        <v>90.546000000000006</v>
      </c>
      <c r="N70" s="31">
        <v>131.44500000000002</v>
      </c>
      <c r="O70" s="31">
        <v>134.97</v>
      </c>
      <c r="P70" s="31">
        <v>121.73499999999999</v>
      </c>
      <c r="Q70" s="31">
        <v>114.58399999999999</v>
      </c>
      <c r="R70" s="31">
        <v>130.11700000000005</v>
      </c>
      <c r="S70" s="31">
        <v>91.91</v>
      </c>
      <c r="T70" s="31">
        <v>120.50999999999999</v>
      </c>
      <c r="U70" s="31">
        <v>151.22800000000001</v>
      </c>
      <c r="V70" s="31">
        <v>145.24</v>
      </c>
      <c r="W70" s="31">
        <v>131.84</v>
      </c>
      <c r="X70" s="31">
        <v>144.02800000000002</v>
      </c>
      <c r="Y70" s="31">
        <v>160.11700000000002</v>
      </c>
      <c r="Z70" s="31">
        <v>135.46299999999999</v>
      </c>
      <c r="AA70" s="31">
        <v>139.40900000000002</v>
      </c>
      <c r="AB70" s="31">
        <v>155.37899999999999</v>
      </c>
      <c r="AC70" s="31">
        <v>135.52400000000003</v>
      </c>
      <c r="AD70" s="31">
        <v>155.31699999999998</v>
      </c>
      <c r="AE70" s="31">
        <v>166.90500000000006</v>
      </c>
      <c r="AF70" s="31">
        <v>153.00099999999998</v>
      </c>
      <c r="AG70" s="31">
        <v>134.13400000000001</v>
      </c>
      <c r="AH70" s="31">
        <v>117.79603225806453</v>
      </c>
      <c r="AI70" s="31">
        <v>11.779603225806452</v>
      </c>
    </row>
    <row r="71" spans="1:35" x14ac:dyDescent="0.3">
      <c r="A71" s="12" t="s">
        <v>355</v>
      </c>
      <c r="B71" s="137">
        <v>10</v>
      </c>
      <c r="C71" s="31">
        <v>221.09300000000002</v>
      </c>
      <c r="D71" s="31">
        <v>187.20499999999998</v>
      </c>
      <c r="E71" s="31">
        <v>172.59899999999999</v>
      </c>
      <c r="F71" s="31">
        <v>213.15900000000008</v>
      </c>
      <c r="G71" s="31">
        <v>234.09499999999994</v>
      </c>
      <c r="H71" s="31">
        <v>250.77699999999996</v>
      </c>
      <c r="I71" s="31">
        <v>220.197</v>
      </c>
      <c r="J71" s="31">
        <v>218.69299999999998</v>
      </c>
      <c r="K71" s="31">
        <v>184.21799999999999</v>
      </c>
      <c r="L71" s="31">
        <v>143.94999999999999</v>
      </c>
      <c r="M71" s="31">
        <v>272.577</v>
      </c>
      <c r="N71" s="31">
        <v>214.38200000000003</v>
      </c>
      <c r="O71" s="31">
        <v>237.95499999999996</v>
      </c>
      <c r="P71" s="31">
        <v>170.18100000000001</v>
      </c>
      <c r="Q71" s="31">
        <v>211.46299999999999</v>
      </c>
      <c r="R71" s="31">
        <v>199.14100000000002</v>
      </c>
      <c r="S71" s="31">
        <v>222.06200000000004</v>
      </c>
      <c r="T71" s="31">
        <v>267.33999999999986</v>
      </c>
      <c r="U71" s="31">
        <v>228.98700000000002</v>
      </c>
      <c r="V71" s="31">
        <v>242.2939999999999</v>
      </c>
      <c r="W71" s="31">
        <v>224.68700000000004</v>
      </c>
      <c r="X71" s="31">
        <v>239.04400000000001</v>
      </c>
      <c r="Y71" s="31">
        <v>232.33600000000004</v>
      </c>
      <c r="Z71" s="31">
        <v>219.48199999999991</v>
      </c>
      <c r="AA71" s="31">
        <v>217.80799999999999</v>
      </c>
      <c r="AB71" s="31">
        <v>209.82599999999999</v>
      </c>
      <c r="AC71" s="31">
        <v>253.56500000000003</v>
      </c>
      <c r="AD71" s="31">
        <v>215.89500000000001</v>
      </c>
      <c r="AE71" s="31">
        <v>226.77600000000001</v>
      </c>
      <c r="AF71" s="31">
        <v>199.44300000000001</v>
      </c>
      <c r="AG71" s="31">
        <v>195.98000000000002</v>
      </c>
      <c r="AH71" s="31">
        <v>217.651935483871</v>
      </c>
      <c r="AI71" s="31">
        <v>21.765193548387099</v>
      </c>
    </row>
    <row r="72" spans="1:35" x14ac:dyDescent="0.3">
      <c r="A72" s="12" t="s">
        <v>270</v>
      </c>
      <c r="B72" s="137">
        <v>5</v>
      </c>
      <c r="C72" s="31">
        <v>65.44</v>
      </c>
      <c r="D72" s="31">
        <v>29.15</v>
      </c>
      <c r="E72" s="31">
        <v>36.43</v>
      </c>
      <c r="F72" s="31">
        <v>40.339999999999996</v>
      </c>
      <c r="G72" s="31">
        <v>30.25</v>
      </c>
      <c r="H72" s="31">
        <v>37.07</v>
      </c>
      <c r="I72" s="31">
        <v>22.240000000000002</v>
      </c>
      <c r="J72" s="31">
        <v>11.43</v>
      </c>
      <c r="K72" s="31">
        <v>50.86</v>
      </c>
      <c r="L72" s="31">
        <v>4.91</v>
      </c>
      <c r="M72" s="31">
        <v>5.51</v>
      </c>
      <c r="N72" s="31">
        <v>36.369999999999997</v>
      </c>
      <c r="O72" s="31">
        <v>27.86</v>
      </c>
      <c r="P72" s="31">
        <v>14.04</v>
      </c>
      <c r="Q72" s="31">
        <v>44.480000000000004</v>
      </c>
      <c r="R72" s="31">
        <v>31.15</v>
      </c>
      <c r="S72" s="31">
        <v>7.1390000000000002</v>
      </c>
      <c r="T72" s="31">
        <v>17.97</v>
      </c>
      <c r="U72" s="31">
        <v>8.09</v>
      </c>
      <c r="V72" s="31">
        <v>61.290000000000006</v>
      </c>
      <c r="W72" s="31">
        <v>0</v>
      </c>
      <c r="X72" s="31">
        <v>19.006</v>
      </c>
      <c r="Y72" s="31">
        <v>25.129000000000001</v>
      </c>
      <c r="Z72" s="31">
        <v>14.104999999999999</v>
      </c>
      <c r="AA72" s="31">
        <v>38.825999999999993</v>
      </c>
      <c r="AB72" s="31">
        <v>53.933</v>
      </c>
      <c r="AC72" s="31">
        <v>51.131</v>
      </c>
      <c r="AD72" s="31">
        <v>32.191000000000003</v>
      </c>
      <c r="AE72" s="31">
        <v>76.866000000000014</v>
      </c>
      <c r="AF72" s="31">
        <v>43.958000000000006</v>
      </c>
      <c r="AG72" s="31">
        <v>61.79</v>
      </c>
      <c r="AH72" s="31">
        <v>32.224322580645158</v>
      </c>
      <c r="AI72" s="31">
        <v>21.350193548387093</v>
      </c>
    </row>
    <row r="73" spans="1:35" x14ac:dyDescent="0.3">
      <c r="A73" s="12" t="s">
        <v>269</v>
      </c>
      <c r="B73" s="137">
        <v>7</v>
      </c>
      <c r="C73" s="31">
        <v>49.579000000000001</v>
      </c>
      <c r="D73" s="31">
        <v>67.149999999999991</v>
      </c>
      <c r="E73" s="31">
        <v>60.48</v>
      </c>
      <c r="F73" s="31">
        <v>81.98599999999999</v>
      </c>
      <c r="G73" s="31">
        <v>50.716999999999999</v>
      </c>
      <c r="H73" s="31">
        <v>92.478999999999999</v>
      </c>
      <c r="I73" s="31">
        <v>51.274000000000001</v>
      </c>
      <c r="J73" s="31">
        <v>42.067</v>
      </c>
      <c r="K73" s="31">
        <v>59.16</v>
      </c>
      <c r="L73" s="31">
        <v>63.414999999999992</v>
      </c>
      <c r="M73" s="31">
        <v>75.105000000000018</v>
      </c>
      <c r="N73" s="31">
        <v>79.137</v>
      </c>
      <c r="O73" s="31">
        <v>32.163000000000004</v>
      </c>
      <c r="P73" s="31">
        <v>24.374000000000002</v>
      </c>
      <c r="Q73" s="31">
        <v>26.366999999999997</v>
      </c>
      <c r="R73" s="31">
        <v>30.374000000000002</v>
      </c>
      <c r="S73" s="31">
        <v>57.399000000000001</v>
      </c>
      <c r="T73" s="31">
        <v>56.789000000000001</v>
      </c>
      <c r="U73" s="31">
        <v>46.658999999999992</v>
      </c>
      <c r="V73" s="31">
        <v>62.462999999999994</v>
      </c>
      <c r="W73" s="31">
        <v>51.369</v>
      </c>
      <c r="X73" s="31">
        <v>87.433000000000021</v>
      </c>
      <c r="Y73" s="31">
        <v>100.00699999999999</v>
      </c>
      <c r="Z73" s="31">
        <v>94.86</v>
      </c>
      <c r="AA73" s="31">
        <v>50.027000000000001</v>
      </c>
      <c r="AB73" s="31">
        <v>95.042999999999992</v>
      </c>
      <c r="AC73" s="31">
        <v>66.925999999999988</v>
      </c>
      <c r="AD73" s="31">
        <v>86.347999999999999</v>
      </c>
      <c r="AE73" s="31">
        <v>69.713000000000008</v>
      </c>
      <c r="AF73" s="31">
        <v>29.146999999999998</v>
      </c>
      <c r="AG73" s="31">
        <v>61.887999999999998</v>
      </c>
      <c r="AH73" s="31">
        <v>61.351548387096756</v>
      </c>
      <c r="AI73" s="31">
        <v>8.7645069124423944</v>
      </c>
    </row>
    <row r="74" spans="1:35" x14ac:dyDescent="0.3">
      <c r="A74" s="12" t="s">
        <v>203</v>
      </c>
      <c r="B74" s="137">
        <v>29</v>
      </c>
      <c r="C74" s="31">
        <v>487.11</v>
      </c>
      <c r="D74" s="31">
        <v>480.5</v>
      </c>
      <c r="E74" s="31">
        <v>497.69</v>
      </c>
      <c r="F74" s="31">
        <v>474.95</v>
      </c>
      <c r="G74" s="31">
        <v>431.71999999999997</v>
      </c>
      <c r="H74" s="31">
        <v>526.78000000000009</v>
      </c>
      <c r="I74" s="31">
        <v>506.3</v>
      </c>
      <c r="J74" s="31">
        <v>511.71</v>
      </c>
      <c r="K74" s="31">
        <v>412.56</v>
      </c>
      <c r="L74" s="31">
        <v>489.32</v>
      </c>
      <c r="M74" s="31">
        <v>455.21000000000004</v>
      </c>
      <c r="N74" s="31">
        <v>507.52</v>
      </c>
      <c r="O74" s="31">
        <v>469.91999999999996</v>
      </c>
      <c r="P74" s="31">
        <v>500.46</v>
      </c>
      <c r="Q74" s="31">
        <v>531.04999999999995</v>
      </c>
      <c r="R74" s="31">
        <v>552.32000000000005</v>
      </c>
      <c r="S74" s="31">
        <v>609.6</v>
      </c>
      <c r="T74" s="31">
        <v>511.24</v>
      </c>
      <c r="U74" s="31">
        <v>627.4</v>
      </c>
      <c r="V74" s="31">
        <v>615.2700000000001</v>
      </c>
      <c r="W74" s="31">
        <v>741.96</v>
      </c>
      <c r="X74" s="31">
        <v>665.85299999999995</v>
      </c>
      <c r="Y74" s="31">
        <v>581.59</v>
      </c>
      <c r="Z74" s="31">
        <v>699.99099999999964</v>
      </c>
      <c r="AA74" s="31">
        <v>801.37</v>
      </c>
      <c r="AB74" s="31">
        <v>823.17099999999948</v>
      </c>
      <c r="AC74" s="31">
        <v>768.73999999999978</v>
      </c>
      <c r="AD74" s="31">
        <v>808.70399999999984</v>
      </c>
      <c r="AE74" s="31">
        <v>649.84199999999953</v>
      </c>
      <c r="AF74" s="31">
        <v>656.11900000000026</v>
      </c>
      <c r="AG74" s="31">
        <v>747.84299999999985</v>
      </c>
      <c r="AH74" s="31">
        <v>585.28429032258066</v>
      </c>
      <c r="AI74" s="31">
        <v>30.396033498759301</v>
      </c>
    </row>
    <row r="75" spans="1:35" x14ac:dyDescent="0.3">
      <c r="A75" s="12" t="s">
        <v>283</v>
      </c>
      <c r="B75" s="137">
        <v>5</v>
      </c>
      <c r="C75" s="31">
        <v>27.83</v>
      </c>
      <c r="D75" s="31">
        <v>40.771000000000001</v>
      </c>
      <c r="E75" s="31">
        <v>44.606000000000002</v>
      </c>
      <c r="F75" s="31">
        <v>62.747999999999998</v>
      </c>
      <c r="G75" s="31">
        <v>49.214000000000006</v>
      </c>
      <c r="H75" s="31">
        <v>76.168999999999997</v>
      </c>
      <c r="I75" s="31">
        <v>48.440999999999995</v>
      </c>
      <c r="J75" s="31">
        <v>61.526999999999994</v>
      </c>
      <c r="K75" s="31">
        <v>52.18399999999999</v>
      </c>
      <c r="L75" s="31">
        <v>60.184000000000005</v>
      </c>
      <c r="M75" s="31">
        <v>38.064999999999998</v>
      </c>
      <c r="N75" s="31">
        <v>47.386000000000003</v>
      </c>
      <c r="O75" s="31">
        <v>43.220999999999997</v>
      </c>
      <c r="P75" s="31">
        <v>29.657000000000004</v>
      </c>
      <c r="Q75" s="31">
        <v>46.469000000000008</v>
      </c>
      <c r="R75" s="31">
        <v>13.834999999999999</v>
      </c>
      <c r="S75" s="31">
        <v>44.577999999999996</v>
      </c>
      <c r="T75" s="31">
        <v>47.664000000000001</v>
      </c>
      <c r="U75" s="31">
        <v>37.495000000000005</v>
      </c>
      <c r="V75" s="31">
        <v>51.18</v>
      </c>
      <c r="W75" s="31">
        <v>42.347000000000001</v>
      </c>
      <c r="X75" s="31">
        <v>41.507000000000005</v>
      </c>
      <c r="Y75" s="31">
        <v>45.886999999999993</v>
      </c>
      <c r="Z75" s="31">
        <v>67.040000000000006</v>
      </c>
      <c r="AA75" s="31">
        <v>43.444999999999986</v>
      </c>
      <c r="AB75" s="31">
        <v>32.022999999999996</v>
      </c>
      <c r="AC75" s="31">
        <v>39.77600000000001</v>
      </c>
      <c r="AD75" s="31">
        <v>22.63</v>
      </c>
      <c r="AE75" s="31">
        <v>18.771999999999998</v>
      </c>
      <c r="AF75" s="31">
        <v>31.041</v>
      </c>
      <c r="AG75" s="31">
        <v>50.146000000000001</v>
      </c>
      <c r="AH75" s="31">
        <v>43.801225806451598</v>
      </c>
      <c r="AI75" s="31">
        <v>8.7602451612903192</v>
      </c>
    </row>
    <row r="76" spans="1:35" x14ac:dyDescent="0.3">
      <c r="A76" s="12" t="s">
        <v>318</v>
      </c>
      <c r="B76" s="137">
        <v>1</v>
      </c>
      <c r="C76" s="31">
        <v>0</v>
      </c>
      <c r="D76" s="31">
        <v>0</v>
      </c>
      <c r="E76" s="31">
        <v>0</v>
      </c>
      <c r="F76" s="31">
        <v>0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0.89700000000000002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0</v>
      </c>
      <c r="AC76" s="31">
        <v>0</v>
      </c>
      <c r="AD76" s="31">
        <v>0</v>
      </c>
      <c r="AE76" s="31">
        <v>0</v>
      </c>
      <c r="AF76" s="31">
        <v>0</v>
      </c>
      <c r="AG76" s="31">
        <v>0</v>
      </c>
      <c r="AH76" s="31">
        <v>2.8935483870967744E-2</v>
      </c>
      <c r="AI76" s="31">
        <v>2.8935483870967744E-2</v>
      </c>
    </row>
    <row r="77" spans="1:35" x14ac:dyDescent="0.3">
      <c r="A77" s="12" t="s">
        <v>392</v>
      </c>
      <c r="B77" s="137">
        <v>9</v>
      </c>
      <c r="C77" s="31">
        <v>48.478999999999999</v>
      </c>
      <c r="D77" s="31">
        <v>70.777000000000001</v>
      </c>
      <c r="E77" s="31">
        <v>64.66</v>
      </c>
      <c r="F77" s="31">
        <v>59.352999999999994</v>
      </c>
      <c r="G77" s="31">
        <v>70.816999999999993</v>
      </c>
      <c r="H77" s="31">
        <v>73.165000000000006</v>
      </c>
      <c r="I77" s="31">
        <v>59.638000000000005</v>
      </c>
      <c r="J77" s="31">
        <v>23.987000000000002</v>
      </c>
      <c r="K77" s="31">
        <v>61.479000000000006</v>
      </c>
      <c r="L77" s="31">
        <v>60.126999999999995</v>
      </c>
      <c r="M77" s="31">
        <v>41.786000000000001</v>
      </c>
      <c r="N77" s="31">
        <v>42.579000000000001</v>
      </c>
      <c r="O77" s="31">
        <v>53.201999999999998</v>
      </c>
      <c r="P77" s="31">
        <v>44.338000000000008</v>
      </c>
      <c r="Q77" s="31">
        <v>33.106999999999999</v>
      </c>
      <c r="R77" s="31">
        <v>49.934000000000005</v>
      </c>
      <c r="S77" s="31">
        <v>16.182000000000006</v>
      </c>
      <c r="T77" s="31">
        <v>12.242999999999999</v>
      </c>
      <c r="U77" s="31">
        <v>37.147000000000006</v>
      </c>
      <c r="V77" s="31">
        <v>33.305999999999997</v>
      </c>
      <c r="W77" s="31">
        <v>54.951999999999998</v>
      </c>
      <c r="X77" s="31">
        <v>60.396000000000001</v>
      </c>
      <c r="Y77" s="31">
        <v>41.784999999999997</v>
      </c>
      <c r="Z77" s="31">
        <v>55.078000000000003</v>
      </c>
      <c r="AA77" s="31">
        <v>55.234999999999999</v>
      </c>
      <c r="AB77" s="31">
        <v>44.998000000000005</v>
      </c>
      <c r="AC77" s="31">
        <v>80.768000000000015</v>
      </c>
      <c r="AD77" s="31">
        <v>65.202999999999989</v>
      </c>
      <c r="AE77" s="31">
        <v>48.581000000000003</v>
      </c>
      <c r="AF77" s="31">
        <v>15.446999999999999</v>
      </c>
      <c r="AG77" s="31">
        <v>43.232999999999997</v>
      </c>
      <c r="AH77" s="31">
        <v>49.096193548387085</v>
      </c>
      <c r="AI77" s="31">
        <v>6.1514193548387084</v>
      </c>
    </row>
    <row r="78" spans="1:35" x14ac:dyDescent="0.3">
      <c r="A78" s="12" t="s">
        <v>247</v>
      </c>
      <c r="B78" s="137">
        <v>5</v>
      </c>
      <c r="C78" s="31">
        <v>29.664000000000001</v>
      </c>
      <c r="D78" s="31">
        <v>18.734999999999999</v>
      </c>
      <c r="E78" s="31">
        <v>30.983000000000001</v>
      </c>
      <c r="F78" s="31">
        <v>25.225999999999999</v>
      </c>
      <c r="G78" s="31">
        <v>31.329000000000001</v>
      </c>
      <c r="H78" s="31">
        <v>20.687999999999999</v>
      </c>
      <c r="I78" s="31">
        <v>32.443000000000005</v>
      </c>
      <c r="J78" s="31">
        <v>29.405000000000001</v>
      </c>
      <c r="K78" s="31">
        <v>10.555999999999999</v>
      </c>
      <c r="L78" s="31">
        <v>35.048000000000002</v>
      </c>
      <c r="M78" s="31">
        <v>22.084999999999997</v>
      </c>
      <c r="N78" s="31">
        <v>39.472000000000001</v>
      </c>
      <c r="O78" s="31">
        <v>28.365000000000002</v>
      </c>
      <c r="P78" s="31">
        <v>2.8029999999999999</v>
      </c>
      <c r="Q78" s="31">
        <v>33.518999999999998</v>
      </c>
      <c r="R78" s="31">
        <v>15.016000000000002</v>
      </c>
      <c r="S78" s="31">
        <v>19.844000000000001</v>
      </c>
      <c r="T78" s="31">
        <v>9.722999999999999</v>
      </c>
      <c r="U78" s="31">
        <v>35.493000000000002</v>
      </c>
      <c r="V78" s="31">
        <v>21.315000000000001</v>
      </c>
      <c r="W78" s="31">
        <v>31.713999999999999</v>
      </c>
      <c r="X78" s="31">
        <v>35.149000000000001</v>
      </c>
      <c r="Y78" s="31">
        <v>23.233000000000001</v>
      </c>
      <c r="Z78" s="31">
        <v>37.960999999999999</v>
      </c>
      <c r="AA78" s="31">
        <v>30.901000000000007</v>
      </c>
      <c r="AB78" s="31">
        <v>23.336000000000002</v>
      </c>
      <c r="AC78" s="31">
        <v>36.009</v>
      </c>
      <c r="AD78" s="31">
        <v>26.538000000000004</v>
      </c>
      <c r="AE78" s="31">
        <v>23.116999999999997</v>
      </c>
      <c r="AF78" s="31">
        <v>29.276000000000003</v>
      </c>
      <c r="AG78" s="31">
        <v>33.174999999999997</v>
      </c>
      <c r="AH78" s="31">
        <v>26.520032258064507</v>
      </c>
      <c r="AI78" s="31">
        <v>5.3040064516129011</v>
      </c>
    </row>
    <row r="79" spans="1:35" x14ac:dyDescent="0.3">
      <c r="A79" s="12" t="s">
        <v>354</v>
      </c>
      <c r="B79" s="137">
        <v>6</v>
      </c>
      <c r="C79" s="31">
        <v>13.191999999999998</v>
      </c>
      <c r="D79" s="31">
        <v>57.324000000000005</v>
      </c>
      <c r="E79" s="31">
        <v>50.567</v>
      </c>
      <c r="F79" s="31">
        <v>40.003</v>
      </c>
      <c r="G79" s="31">
        <v>36.953000000000003</v>
      </c>
      <c r="H79" s="31">
        <v>29.091999999999999</v>
      </c>
      <c r="I79" s="31">
        <v>34.450000000000003</v>
      </c>
      <c r="J79" s="31">
        <v>53.087999999999994</v>
      </c>
      <c r="K79" s="31">
        <v>77.288000000000011</v>
      </c>
      <c r="L79" s="31">
        <v>49.865000000000009</v>
      </c>
      <c r="M79" s="31">
        <v>40.516999999999996</v>
      </c>
      <c r="N79" s="31">
        <v>60.58</v>
      </c>
      <c r="O79" s="31">
        <v>25.207999999999998</v>
      </c>
      <c r="P79" s="31">
        <v>73.427999999999997</v>
      </c>
      <c r="Q79" s="31">
        <v>24.82</v>
      </c>
      <c r="R79" s="31">
        <v>92.527000000000015</v>
      </c>
      <c r="S79" s="31">
        <v>54.016999999999996</v>
      </c>
      <c r="T79" s="31">
        <v>30.337999999999997</v>
      </c>
      <c r="U79" s="31">
        <v>36.513999999999996</v>
      </c>
      <c r="V79" s="31">
        <v>34.019000000000005</v>
      </c>
      <c r="W79" s="31">
        <v>74.721999999999994</v>
      </c>
      <c r="X79" s="31">
        <v>32.671999999999976</v>
      </c>
      <c r="Y79" s="31">
        <v>42.811000000000007</v>
      </c>
      <c r="Z79" s="31">
        <v>63.738999999999997</v>
      </c>
      <c r="AA79" s="31">
        <v>58.573999999999998</v>
      </c>
      <c r="AB79" s="31">
        <v>46.607999999999997</v>
      </c>
      <c r="AC79" s="31">
        <v>49.807999999999993</v>
      </c>
      <c r="AD79" s="31">
        <v>72.977000000000004</v>
      </c>
      <c r="AE79" s="31">
        <v>49.754000000000005</v>
      </c>
      <c r="AF79" s="31">
        <v>64.346000000000004</v>
      </c>
      <c r="AG79" s="31">
        <v>73.394999999999996</v>
      </c>
      <c r="AH79" s="31">
        <v>49.780516129032264</v>
      </c>
      <c r="AI79" s="31">
        <v>8.2967526881720435</v>
      </c>
    </row>
    <row r="80" spans="1:35" x14ac:dyDescent="0.3">
      <c r="A80" s="12" t="s">
        <v>216</v>
      </c>
      <c r="B80" s="137">
        <v>7</v>
      </c>
      <c r="C80" s="31">
        <v>165.38999999999996</v>
      </c>
      <c r="D80" s="31">
        <v>174.22300000000001</v>
      </c>
      <c r="E80" s="31">
        <v>201.50400000000002</v>
      </c>
      <c r="F80" s="31">
        <v>195.64600000000007</v>
      </c>
      <c r="G80" s="31">
        <v>145.18</v>
      </c>
      <c r="H80" s="31">
        <v>208.62199999999996</v>
      </c>
      <c r="I80" s="31">
        <v>161.55699999999999</v>
      </c>
      <c r="J80" s="31">
        <v>132.11199999999999</v>
      </c>
      <c r="K80" s="31">
        <v>189.82</v>
      </c>
      <c r="L80" s="31">
        <v>114.65299999999998</v>
      </c>
      <c r="M80" s="31">
        <v>132.43299999999996</v>
      </c>
      <c r="N80" s="31">
        <v>131.97900000000001</v>
      </c>
      <c r="O80" s="31">
        <v>152.46099999999996</v>
      </c>
      <c r="P80" s="31">
        <v>113.73200000000001</v>
      </c>
      <c r="Q80" s="31">
        <v>135.578</v>
      </c>
      <c r="R80" s="31">
        <v>169.077</v>
      </c>
      <c r="S80" s="31">
        <v>126.59199999999997</v>
      </c>
      <c r="T80" s="31">
        <v>128.02500000000001</v>
      </c>
      <c r="U80" s="31">
        <v>95.671999999999997</v>
      </c>
      <c r="V80" s="31">
        <v>154.59400000000005</v>
      </c>
      <c r="W80" s="31">
        <v>149.971</v>
      </c>
      <c r="X80" s="31">
        <v>157.72399999999999</v>
      </c>
      <c r="Y80" s="31">
        <v>199.84000000000006</v>
      </c>
      <c r="Z80" s="31">
        <v>146.44099999999995</v>
      </c>
      <c r="AA80" s="31">
        <v>146.78899999999999</v>
      </c>
      <c r="AB80" s="31">
        <v>151.18099999999998</v>
      </c>
      <c r="AC80" s="31">
        <v>162.70499999999996</v>
      </c>
      <c r="AD80" s="31">
        <v>152.75600000000006</v>
      </c>
      <c r="AE80" s="31">
        <v>136.05600000000004</v>
      </c>
      <c r="AF80" s="31">
        <v>114.13500000000002</v>
      </c>
      <c r="AG80" s="31">
        <v>182.29600000000002</v>
      </c>
      <c r="AH80" s="31">
        <v>152.54012903225808</v>
      </c>
      <c r="AI80" s="31">
        <v>21.791447004608298</v>
      </c>
    </row>
    <row r="81" spans="1:35" x14ac:dyDescent="0.3">
      <c r="A81" s="12" t="s">
        <v>243</v>
      </c>
      <c r="B81" s="137">
        <v>1</v>
      </c>
      <c r="C81" s="31">
        <v>0</v>
      </c>
      <c r="D81" s="31">
        <v>0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0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</row>
    <row r="82" spans="1:35" x14ac:dyDescent="0.3">
      <c r="A82" s="12" t="s">
        <v>404</v>
      </c>
      <c r="B82" s="137">
        <v>1</v>
      </c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</row>
    <row r="83" spans="1:35" x14ac:dyDescent="0.3">
      <c r="A83" s="12" t="s">
        <v>323</v>
      </c>
      <c r="B83" s="137">
        <v>3</v>
      </c>
      <c r="C83" s="31">
        <v>16.72</v>
      </c>
      <c r="D83" s="31">
        <v>22.682999999999996</v>
      </c>
      <c r="E83" s="31">
        <v>4.4570000000000007</v>
      </c>
      <c r="F83" s="31">
        <v>30.548999999999999</v>
      </c>
      <c r="G83" s="31">
        <v>28.855000000000004</v>
      </c>
      <c r="H83" s="31">
        <v>17.018000000000001</v>
      </c>
      <c r="I83" s="31">
        <v>21.497</v>
      </c>
      <c r="J83" s="31">
        <v>37.753999999999991</v>
      </c>
      <c r="K83" s="31">
        <v>16.839999999999996</v>
      </c>
      <c r="L83" s="31">
        <v>18.806999999999999</v>
      </c>
      <c r="M83" s="31">
        <v>11.766</v>
      </c>
      <c r="N83" s="31">
        <v>14.08</v>
      </c>
      <c r="O83" s="31">
        <v>23.027999999999999</v>
      </c>
      <c r="P83" s="31">
        <v>7.5419999999999998</v>
      </c>
      <c r="Q83" s="31">
        <v>11.097999999999999</v>
      </c>
      <c r="R83" s="31">
        <v>28.036999999999999</v>
      </c>
      <c r="S83" s="31">
        <v>18.436</v>
      </c>
      <c r="T83" s="31">
        <v>13.937999999999999</v>
      </c>
      <c r="U83" s="31">
        <v>28.575999999999997</v>
      </c>
      <c r="V83" s="31">
        <v>19.950999999999997</v>
      </c>
      <c r="W83" s="31">
        <v>22.312000000000001</v>
      </c>
      <c r="X83" s="31">
        <v>7.609</v>
      </c>
      <c r="Y83" s="31">
        <v>21.367999999999999</v>
      </c>
      <c r="Z83" s="31">
        <v>14.699</v>
      </c>
      <c r="AA83" s="31">
        <v>7.9930000000000003</v>
      </c>
      <c r="AB83" s="31">
        <v>19.933999999999997</v>
      </c>
      <c r="AC83" s="31">
        <v>19.773</v>
      </c>
      <c r="AD83" s="31">
        <v>20.995000000000001</v>
      </c>
      <c r="AE83" s="31">
        <v>13.357999999999999</v>
      </c>
      <c r="AF83" s="31">
        <v>17.128000000000004</v>
      </c>
      <c r="AG83" s="31">
        <v>15.026999999999997</v>
      </c>
      <c r="AH83" s="31">
        <v>18.446064516129031</v>
      </c>
      <c r="AI83" s="31">
        <v>6.14868817204301</v>
      </c>
    </row>
    <row r="84" spans="1:35" x14ac:dyDescent="0.3">
      <c r="A84" s="12" t="s">
        <v>405</v>
      </c>
      <c r="B84" s="137">
        <v>4</v>
      </c>
      <c r="C84" s="31"/>
      <c r="D84" s="31"/>
      <c r="E84" s="31"/>
      <c r="F84" s="31"/>
      <c r="G84" s="31"/>
      <c r="H84" s="31"/>
      <c r="I84" s="31"/>
      <c r="J84" s="31"/>
      <c r="K84" s="31"/>
      <c r="L84" s="31">
        <v>0</v>
      </c>
      <c r="M84" s="31">
        <v>0</v>
      </c>
      <c r="N84" s="31">
        <v>0</v>
      </c>
      <c r="O84" s="31">
        <v>0.38100000000000001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26.295999999999999</v>
      </c>
      <c r="Z84" s="31">
        <v>5.4789999999999992</v>
      </c>
      <c r="AA84" s="31">
        <v>6.7649999999999988</v>
      </c>
      <c r="AB84" s="31">
        <v>8.9269999999999996</v>
      </c>
      <c r="AC84" s="31">
        <v>18.346</v>
      </c>
      <c r="AD84" s="31">
        <v>4.3120000000000003</v>
      </c>
      <c r="AE84" s="31">
        <v>6.6760000000000002</v>
      </c>
      <c r="AF84" s="31">
        <v>6.7779999999999987</v>
      </c>
      <c r="AG84" s="31">
        <v>11.087</v>
      </c>
      <c r="AH84" s="31">
        <v>4.3203181818181822</v>
      </c>
      <c r="AI84" s="31">
        <v>1.0800795454545455</v>
      </c>
    </row>
    <row r="85" spans="1:35" x14ac:dyDescent="0.3">
      <c r="A85" s="12" t="s">
        <v>260</v>
      </c>
      <c r="B85" s="137">
        <v>10</v>
      </c>
      <c r="C85" s="31">
        <v>186.01</v>
      </c>
      <c r="D85" s="31">
        <v>179.98999999999998</v>
      </c>
      <c r="E85" s="31">
        <v>189.53</v>
      </c>
      <c r="F85" s="31">
        <v>171.86</v>
      </c>
      <c r="G85" s="31">
        <v>198.01</v>
      </c>
      <c r="H85" s="31">
        <v>217.35</v>
      </c>
      <c r="I85" s="31">
        <v>204.6</v>
      </c>
      <c r="J85" s="31">
        <v>166.81</v>
      </c>
      <c r="K85" s="31">
        <v>216.07</v>
      </c>
      <c r="L85" s="31">
        <v>147.4</v>
      </c>
      <c r="M85" s="31">
        <v>194.07</v>
      </c>
      <c r="N85" s="31">
        <v>140.16</v>
      </c>
      <c r="O85" s="31">
        <v>167.14</v>
      </c>
      <c r="P85" s="31">
        <v>142.44</v>
      </c>
      <c r="Q85" s="31">
        <v>159.77000000000001</v>
      </c>
      <c r="R85" s="31">
        <v>174.73000000000002</v>
      </c>
      <c r="S85" s="31">
        <v>155.15</v>
      </c>
      <c r="T85" s="31">
        <v>160.37</v>
      </c>
      <c r="U85" s="31">
        <v>158.86000000000001</v>
      </c>
      <c r="V85" s="31">
        <v>158.31</v>
      </c>
      <c r="W85" s="31">
        <v>157.38</v>
      </c>
      <c r="X85" s="31">
        <v>194.751</v>
      </c>
      <c r="Y85" s="31">
        <v>184.57300000000004</v>
      </c>
      <c r="Z85" s="31">
        <v>193.86700000000002</v>
      </c>
      <c r="AA85" s="31">
        <v>190.54999999999998</v>
      </c>
      <c r="AB85" s="31">
        <v>183.61700000000002</v>
      </c>
      <c r="AC85" s="31">
        <v>161.08700000000005</v>
      </c>
      <c r="AD85" s="31">
        <v>154.83100000000005</v>
      </c>
      <c r="AE85" s="31">
        <v>129.59199999999998</v>
      </c>
      <c r="AF85" s="31">
        <v>129.97199999999998</v>
      </c>
      <c r="AG85" s="31">
        <v>174.81799999999998</v>
      </c>
      <c r="AH85" s="31">
        <v>172.37638709677418</v>
      </c>
      <c r="AI85" s="31">
        <v>56.187770609318996</v>
      </c>
    </row>
    <row r="86" spans="1:35" x14ac:dyDescent="0.3">
      <c r="A86" s="12" t="s">
        <v>110</v>
      </c>
      <c r="B86" s="137">
        <v>1</v>
      </c>
      <c r="C86" s="31">
        <v>0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0</v>
      </c>
      <c r="Z86" s="31">
        <v>0</v>
      </c>
      <c r="AA86" s="31">
        <v>0</v>
      </c>
      <c r="AB86" s="31">
        <v>0</v>
      </c>
      <c r="AC86" s="31">
        <v>0</v>
      </c>
      <c r="AD86" s="31">
        <v>0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</row>
    <row r="87" spans="1:35" x14ac:dyDescent="0.3">
      <c r="A87" s="12" t="s">
        <v>83</v>
      </c>
      <c r="B87" s="137">
        <v>698</v>
      </c>
      <c r="C87" s="31">
        <v>3952.3379999999997</v>
      </c>
      <c r="D87" s="31">
        <v>3612.3970000000008</v>
      </c>
      <c r="E87" s="31">
        <v>4103.058</v>
      </c>
      <c r="F87" s="31">
        <v>4060.9200000000005</v>
      </c>
      <c r="G87" s="31">
        <v>3925.139000000001</v>
      </c>
      <c r="H87" s="31">
        <v>4239.2929999999997</v>
      </c>
      <c r="I87" s="31">
        <v>4137.7679999999991</v>
      </c>
      <c r="J87" s="31">
        <v>3844.929000000001</v>
      </c>
      <c r="K87" s="31">
        <v>3788.3180000000002</v>
      </c>
      <c r="L87" s="31">
        <v>3804.558</v>
      </c>
      <c r="M87" s="31">
        <v>3777.866</v>
      </c>
      <c r="N87" s="31">
        <v>3827.7400000000002</v>
      </c>
      <c r="O87" s="31">
        <v>3794.1199999999985</v>
      </c>
      <c r="P87" s="31">
        <v>3875.4199999999996</v>
      </c>
      <c r="Q87" s="31">
        <v>4053.8109999999997</v>
      </c>
      <c r="R87" s="31">
        <v>3970.7390000000005</v>
      </c>
      <c r="S87" s="31">
        <v>3753.884</v>
      </c>
      <c r="T87" s="31">
        <v>4121.2789999999995</v>
      </c>
      <c r="U87" s="31">
        <v>4101.5240000000003</v>
      </c>
      <c r="V87" s="31">
        <v>4083.0030000000002</v>
      </c>
      <c r="W87" s="31">
        <v>4322.902000000001</v>
      </c>
      <c r="X87" s="31">
        <v>4575.9610000000002</v>
      </c>
      <c r="Y87" s="31">
        <v>4226.1400000000003</v>
      </c>
      <c r="Z87" s="31">
        <v>4666.9080000000004</v>
      </c>
      <c r="AA87" s="31">
        <v>4542.1150000000007</v>
      </c>
      <c r="AB87" s="31">
        <v>4705.7960000000003</v>
      </c>
      <c r="AC87" s="31">
        <v>4854.5839999999989</v>
      </c>
      <c r="AD87" s="31">
        <v>4628.5139999999992</v>
      </c>
      <c r="AE87" s="31">
        <v>4427.75</v>
      </c>
      <c r="AF87" s="31">
        <v>4276.6329999999998</v>
      </c>
      <c r="AG87" s="31">
        <v>4673.5910000000013</v>
      </c>
      <c r="AH87" s="31">
        <v>4272.3863423310559</v>
      </c>
      <c r="AI87" s="31">
        <v>795.34449762009183</v>
      </c>
    </row>
    <row r="106" spans="1:32" x14ac:dyDescent="0.3">
      <c r="A106" s="30" t="s">
        <v>158</v>
      </c>
      <c r="B106" s="12" t="s">
        <v>373</v>
      </c>
      <c r="C106" s="12" t="s">
        <v>374</v>
      </c>
      <c r="D106" s="12" t="s">
        <v>375</v>
      </c>
      <c r="E106" s="12" t="s">
        <v>376</v>
      </c>
      <c r="F106" s="12" t="s">
        <v>377</v>
      </c>
      <c r="G106" s="12" t="s">
        <v>378</v>
      </c>
      <c r="H106" s="12" t="s">
        <v>379</v>
      </c>
      <c r="I106" s="12" t="s">
        <v>380</v>
      </c>
      <c r="J106" s="12" t="s">
        <v>381</v>
      </c>
      <c r="K106" s="12" t="s">
        <v>382</v>
      </c>
      <c r="L106" s="12" t="s">
        <v>383</v>
      </c>
      <c r="M106" s="12" t="s">
        <v>384</v>
      </c>
      <c r="N106" s="12" t="s">
        <v>385</v>
      </c>
      <c r="O106" s="12" t="s">
        <v>386</v>
      </c>
      <c r="P106" s="12" t="s">
        <v>387</v>
      </c>
      <c r="Q106" s="12" t="s">
        <v>395</v>
      </c>
      <c r="R106" s="12" t="s">
        <v>396</v>
      </c>
      <c r="S106" s="12" t="s">
        <v>397</v>
      </c>
      <c r="T106" s="12" t="s">
        <v>398</v>
      </c>
      <c r="U106" s="12" t="s">
        <v>400</v>
      </c>
      <c r="V106" s="12" t="s">
        <v>399</v>
      </c>
      <c r="W106" s="12" t="s">
        <v>401</v>
      </c>
      <c r="X106" s="12" t="s">
        <v>402</v>
      </c>
      <c r="Y106" s="12" t="s">
        <v>408</v>
      </c>
      <c r="Z106" s="12" t="s">
        <v>410</v>
      </c>
      <c r="AA106" s="12" t="s">
        <v>411</v>
      </c>
      <c r="AB106" s="12" t="s">
        <v>412</v>
      </c>
      <c r="AC106" s="12" t="s">
        <v>413</v>
      </c>
      <c r="AD106" s="12" t="s">
        <v>414</v>
      </c>
      <c r="AE106" s="12" t="s">
        <v>415</v>
      </c>
      <c r="AF106" s="12" t="s">
        <v>416</v>
      </c>
    </row>
    <row r="107" spans="1:32" x14ac:dyDescent="0.3">
      <c r="A107" s="69" t="s">
        <v>273</v>
      </c>
      <c r="B107" s="69">
        <v>3566.425999999999</v>
      </c>
      <c r="C107" s="69">
        <v>3301.3139999999999</v>
      </c>
      <c r="D107" s="69">
        <v>3631.9839999999999</v>
      </c>
      <c r="E107" s="69">
        <v>3648.3950000000004</v>
      </c>
      <c r="F107" s="69">
        <v>3569.117999999999</v>
      </c>
      <c r="G107" s="69">
        <v>3930.8380000000006</v>
      </c>
      <c r="H107" s="69">
        <v>3762.7049999999999</v>
      </c>
      <c r="I107" s="69">
        <v>3401.8670000000002</v>
      </c>
      <c r="J107" s="69">
        <v>3299.5959999999991</v>
      </c>
      <c r="K107" s="69">
        <v>3375.4599999999996</v>
      </c>
      <c r="L107" s="69">
        <v>3459.1169999999997</v>
      </c>
      <c r="M107" s="69">
        <v>3420.3810000000008</v>
      </c>
      <c r="N107" s="69">
        <v>3289.2279999999996</v>
      </c>
      <c r="O107" s="69">
        <v>3557.7849999999994</v>
      </c>
      <c r="P107" s="69">
        <v>3575.0309999999999</v>
      </c>
      <c r="Q107" s="69">
        <v>3548.815000000001</v>
      </c>
      <c r="R107" s="69">
        <v>3580.7540000000004</v>
      </c>
      <c r="S107" s="69">
        <v>3695.8429999999989</v>
      </c>
      <c r="T107" s="69">
        <v>3802.7929999999997</v>
      </c>
      <c r="U107" s="69">
        <v>3787.6940000000004</v>
      </c>
      <c r="V107" s="69">
        <v>4057.9070000000006</v>
      </c>
      <c r="W107" s="69">
        <v>4269.8730000000005</v>
      </c>
      <c r="X107" s="69">
        <v>3772.683</v>
      </c>
      <c r="Y107" s="69">
        <v>4263.2669999999989</v>
      </c>
      <c r="Z107" s="69">
        <v>4105.6559999999999</v>
      </c>
      <c r="AA107" s="69">
        <v>4176.7659999999987</v>
      </c>
      <c r="AB107" s="69">
        <v>4326.97</v>
      </c>
      <c r="AC107" s="69">
        <v>4307.6709999999994</v>
      </c>
      <c r="AD107" s="69">
        <v>3806.5689999999991</v>
      </c>
      <c r="AE107" s="69">
        <v>3545.8170000000005</v>
      </c>
      <c r="AF107" s="69">
        <v>3825.5129999999995</v>
      </c>
    </row>
    <row r="108" spans="1:32" x14ac:dyDescent="0.3">
      <c r="A108" s="69" t="s">
        <v>160</v>
      </c>
      <c r="B108" s="69">
        <v>385.91200000000003</v>
      </c>
      <c r="C108" s="69">
        <v>299.15800000000002</v>
      </c>
      <c r="D108" s="69">
        <v>471.07399999999996</v>
      </c>
      <c r="E108" s="69">
        <v>412.52500000000003</v>
      </c>
      <c r="F108" s="69">
        <v>356.02100000000002</v>
      </c>
      <c r="G108" s="69">
        <v>308.45499999999998</v>
      </c>
      <c r="H108" s="69">
        <v>375.06300000000005</v>
      </c>
      <c r="I108" s="69">
        <v>442.61599999999999</v>
      </c>
      <c r="J108" s="69">
        <v>488.72200000000004</v>
      </c>
      <c r="K108" s="69">
        <v>429.09799999999996</v>
      </c>
      <c r="L108" s="69">
        <v>318.74899999999991</v>
      </c>
      <c r="M108" s="69">
        <v>407.35900000000004</v>
      </c>
      <c r="N108" s="69">
        <v>504.89199999999994</v>
      </c>
      <c r="O108" s="69">
        <v>317.63499999999993</v>
      </c>
      <c r="P108" s="69">
        <v>478.78000000000003</v>
      </c>
      <c r="Q108" s="69">
        <v>421.92400000000004</v>
      </c>
      <c r="R108" s="69">
        <v>173.13000000000005</v>
      </c>
      <c r="S108" s="69">
        <v>425.43600000000004</v>
      </c>
      <c r="T108" s="69">
        <v>288.79300000000001</v>
      </c>
      <c r="U108" s="69">
        <v>295.30899999999991</v>
      </c>
      <c r="V108" s="69">
        <v>264.99499999999995</v>
      </c>
      <c r="W108" s="69">
        <v>306.08800000000002</v>
      </c>
      <c r="X108" s="69">
        <v>453.45699999999994</v>
      </c>
      <c r="Y108" s="69">
        <v>403.64100000000002</v>
      </c>
      <c r="Z108" s="69">
        <v>436.45899999999995</v>
      </c>
      <c r="AA108" s="69">
        <v>529.03000000000009</v>
      </c>
      <c r="AB108" s="69">
        <v>527.61400000000003</v>
      </c>
      <c r="AC108" s="69">
        <v>320.84300000000002</v>
      </c>
      <c r="AD108" s="69">
        <v>621.18100000000004</v>
      </c>
      <c r="AE108" s="69">
        <v>730.81599999999992</v>
      </c>
      <c r="AF108" s="69">
        <v>848.07799999999986</v>
      </c>
    </row>
    <row r="109" spans="1:32" x14ac:dyDescent="0.3">
      <c r="A109" s="69" t="s">
        <v>272</v>
      </c>
      <c r="B109" s="69">
        <v>0</v>
      </c>
      <c r="C109" s="69">
        <v>11.925000000000001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0.44600000000000001</v>
      </c>
      <c r="J109" s="69">
        <v>0</v>
      </c>
      <c r="K109" s="69">
        <v>0</v>
      </c>
      <c r="L109" s="69">
        <v>0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9.9380000000000006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</row>
    <row r="110" spans="1:32" x14ac:dyDescent="0.3">
      <c r="A110" s="69" t="s">
        <v>83</v>
      </c>
      <c r="B110" s="69">
        <v>3952.3379999999988</v>
      </c>
      <c r="C110" s="69">
        <v>3612.3969999999999</v>
      </c>
      <c r="D110" s="69">
        <v>4103.058</v>
      </c>
      <c r="E110" s="69">
        <v>4060.9200000000005</v>
      </c>
      <c r="F110" s="69">
        <v>3925.1389999999992</v>
      </c>
      <c r="G110" s="69">
        <v>4239.2930000000006</v>
      </c>
      <c r="H110" s="69">
        <v>4137.768</v>
      </c>
      <c r="I110" s="69">
        <v>3844.9290000000001</v>
      </c>
      <c r="J110" s="69">
        <v>3788.3179999999993</v>
      </c>
      <c r="K110" s="69">
        <v>3804.5579999999995</v>
      </c>
      <c r="L110" s="69">
        <v>3777.8659999999995</v>
      </c>
      <c r="M110" s="69">
        <v>3827.7400000000007</v>
      </c>
      <c r="N110" s="69">
        <v>3794.1199999999994</v>
      </c>
      <c r="O110" s="69">
        <v>3875.4199999999992</v>
      </c>
      <c r="P110" s="69">
        <v>4053.8110000000001</v>
      </c>
      <c r="Q110" s="69">
        <v>3970.7390000000009</v>
      </c>
      <c r="R110" s="69">
        <v>3753.8840000000005</v>
      </c>
      <c r="S110" s="69">
        <v>4121.2789999999986</v>
      </c>
      <c r="T110" s="69">
        <v>4101.5239999999994</v>
      </c>
      <c r="U110" s="69">
        <v>4083.0030000000002</v>
      </c>
      <c r="V110" s="69">
        <v>4322.902000000001</v>
      </c>
      <c r="W110" s="69">
        <v>4575.9610000000002</v>
      </c>
      <c r="X110" s="69">
        <v>4226.1400000000003</v>
      </c>
      <c r="Y110" s="69">
        <v>4666.9079999999985</v>
      </c>
      <c r="Z110" s="69">
        <v>4542.1149999999998</v>
      </c>
      <c r="AA110" s="69">
        <v>4705.7959999999985</v>
      </c>
      <c r="AB110" s="69">
        <v>4854.5840000000007</v>
      </c>
      <c r="AC110" s="69">
        <v>4628.5139999999992</v>
      </c>
      <c r="AD110" s="69">
        <v>4427.7499999999991</v>
      </c>
      <c r="AE110" s="69">
        <v>4276.6330000000007</v>
      </c>
      <c r="AF110" s="69">
        <v>4673.5909999999994</v>
      </c>
    </row>
  </sheetData>
  <pageMargins left="0.7" right="0.7" top="0.75" bottom="0.75" header="0.3" footer="0.3"/>
  <pageSetup orientation="portrait" r:id="rId3"/>
  <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P107"/>
  <sheetViews>
    <sheetView topLeftCell="A70" zoomScaleNormal="100" workbookViewId="0">
      <pane xSplit="8" topLeftCell="I1" activePane="topRight" state="frozen"/>
      <selection activeCell="F29" sqref="F29"/>
      <selection pane="topRight" activeCell="F29" sqref="F29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40" width="10.44140625" customWidth="1"/>
    <col min="42" max="42" width="10.33203125" customWidth="1"/>
  </cols>
  <sheetData>
    <row r="1" spans="1:42" ht="30.75" customHeight="1" x14ac:dyDescent="0.3">
      <c r="A1" s="1" t="s">
        <v>0</v>
      </c>
      <c r="B1" s="2" t="s">
        <v>1</v>
      </c>
      <c r="C1" s="2" t="s">
        <v>394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45474</v>
      </c>
      <c r="K1" s="16">
        <v>45475</v>
      </c>
      <c r="L1" s="16">
        <v>45476</v>
      </c>
      <c r="M1" s="16">
        <v>45477</v>
      </c>
      <c r="N1" s="16">
        <v>45478</v>
      </c>
      <c r="O1" s="16">
        <v>45479</v>
      </c>
      <c r="P1" s="16">
        <v>45480</v>
      </c>
      <c r="Q1" s="16">
        <v>45481</v>
      </c>
      <c r="R1" s="16">
        <v>45482</v>
      </c>
      <c r="S1" s="16">
        <v>45483</v>
      </c>
      <c r="T1" s="16">
        <v>45484</v>
      </c>
      <c r="U1" s="16">
        <v>45485</v>
      </c>
      <c r="V1" s="16">
        <v>45486</v>
      </c>
      <c r="W1" s="16">
        <v>45487</v>
      </c>
      <c r="X1" s="16">
        <v>45488</v>
      </c>
      <c r="Y1" s="16">
        <v>45489</v>
      </c>
      <c r="Z1" s="16">
        <v>45490</v>
      </c>
      <c r="AA1" s="16">
        <v>45491</v>
      </c>
      <c r="AB1" s="16">
        <v>45492</v>
      </c>
      <c r="AC1" s="16">
        <v>45493</v>
      </c>
      <c r="AD1" s="16">
        <v>45494</v>
      </c>
      <c r="AE1" s="16">
        <v>45495</v>
      </c>
      <c r="AF1" s="16">
        <v>45496</v>
      </c>
      <c r="AG1" s="16">
        <v>45497</v>
      </c>
      <c r="AH1" s="16">
        <v>45498</v>
      </c>
      <c r="AI1" s="16">
        <v>45499</v>
      </c>
      <c r="AJ1" s="16">
        <v>45500</v>
      </c>
      <c r="AK1" s="16">
        <v>45501</v>
      </c>
      <c r="AL1" s="16">
        <v>45502</v>
      </c>
      <c r="AM1" s="16">
        <v>45503</v>
      </c>
      <c r="AN1" s="16">
        <v>45504</v>
      </c>
      <c r="AO1" s="13" t="s">
        <v>8</v>
      </c>
      <c r="AP1" s="66" t="s">
        <v>154</v>
      </c>
    </row>
    <row r="2" spans="1:42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46">
        <v>0</v>
      </c>
      <c r="K2" s="45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60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60">
        <v>0</v>
      </c>
      <c r="AK2" s="60">
        <v>0</v>
      </c>
      <c r="AL2" s="46">
        <v>0</v>
      </c>
      <c r="AM2" s="46">
        <v>0</v>
      </c>
      <c r="AN2" s="46">
        <v>0</v>
      </c>
      <c r="AO2" s="46">
        <f>AVERAGE(J2:AN2)</f>
        <v>0</v>
      </c>
      <c r="AP2" s="67">
        <f>AO2/H2</f>
        <v>0</v>
      </c>
    </row>
    <row r="3" spans="1:42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46">
        <v>109.37400000000001</v>
      </c>
      <c r="K3" s="46">
        <v>121.337</v>
      </c>
      <c r="L3" s="46">
        <v>139.01300000000001</v>
      </c>
      <c r="M3" s="46">
        <v>125.53699999999999</v>
      </c>
      <c r="N3" s="46">
        <v>99.660000000000039</v>
      </c>
      <c r="O3" s="46">
        <v>97.987000000000009</v>
      </c>
      <c r="P3" s="46">
        <v>113.58400000000003</v>
      </c>
      <c r="Q3" s="46">
        <v>83.573000000000008</v>
      </c>
      <c r="R3" s="46">
        <v>111.68100000000001</v>
      </c>
      <c r="S3" s="46">
        <v>105.45</v>
      </c>
      <c r="T3" s="46">
        <v>88.740999999999985</v>
      </c>
      <c r="U3" s="46">
        <v>123.447</v>
      </c>
      <c r="V3" s="46">
        <v>107.849</v>
      </c>
      <c r="W3" s="46">
        <v>75.106999999999999</v>
      </c>
      <c r="X3" s="46">
        <v>116.58199999999999</v>
      </c>
      <c r="Y3" s="46">
        <v>113.93900000000001</v>
      </c>
      <c r="Z3" s="46">
        <v>96.472999999999999</v>
      </c>
      <c r="AA3" s="46">
        <v>114.10899999999999</v>
      </c>
      <c r="AB3" s="46">
        <v>106.26400000000001</v>
      </c>
      <c r="AC3" s="46">
        <v>72.792999999999992</v>
      </c>
      <c r="AD3" s="46">
        <v>93.670999999999992</v>
      </c>
      <c r="AE3" s="46">
        <v>115.89000000000001</v>
      </c>
      <c r="AF3" s="46">
        <v>166.03399999999999</v>
      </c>
      <c r="AG3" s="46">
        <v>152.345</v>
      </c>
      <c r="AH3" s="46">
        <v>117.861</v>
      </c>
      <c r="AI3" s="46">
        <v>122.44600000000001</v>
      </c>
      <c r="AJ3" s="46">
        <v>123.02799999999999</v>
      </c>
      <c r="AK3" s="46">
        <v>121.18300000000001</v>
      </c>
      <c r="AL3" s="46">
        <v>82.164000000000001</v>
      </c>
      <c r="AM3" s="46">
        <v>105.63799999999999</v>
      </c>
      <c r="AN3" s="46">
        <v>108.458</v>
      </c>
      <c r="AO3" s="46">
        <f t="shared" ref="AO3:AO66" si="0">AVERAGE(J3:AN3)</f>
        <v>110.6844516129032</v>
      </c>
      <c r="AP3" s="67">
        <f t="shared" ref="AP3:AP66" si="1">AO3/H3</f>
        <v>12.298272401433689</v>
      </c>
    </row>
    <row r="4" spans="1:42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46">
        <v>0</v>
      </c>
      <c r="K4" s="45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60">
        <v>0</v>
      </c>
      <c r="AD4" s="60">
        <v>0</v>
      </c>
      <c r="AE4" s="60">
        <v>0</v>
      </c>
      <c r="AF4" s="60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f t="shared" si="0"/>
        <v>0</v>
      </c>
      <c r="AP4" s="67">
        <f t="shared" si="1"/>
        <v>0</v>
      </c>
    </row>
    <row r="5" spans="1:42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46">
        <v>55.861999999999995</v>
      </c>
      <c r="K5" s="46">
        <v>37.548999999999999</v>
      </c>
      <c r="L5" s="46">
        <v>72.024000000000001</v>
      </c>
      <c r="M5" s="46">
        <v>39.216000000000001</v>
      </c>
      <c r="N5" s="46">
        <v>66.263000000000005</v>
      </c>
      <c r="O5" s="46">
        <v>86.582999999999998</v>
      </c>
      <c r="P5" s="46">
        <v>33.32</v>
      </c>
      <c r="Q5" s="46">
        <v>57.969000000000001</v>
      </c>
      <c r="R5" s="46">
        <v>41.657999999999994</v>
      </c>
      <c r="S5" s="46">
        <v>74.213999999999984</v>
      </c>
      <c r="T5" s="46">
        <v>62.205000000000005</v>
      </c>
      <c r="U5" s="46">
        <v>65.903999999999996</v>
      </c>
      <c r="V5" s="46">
        <v>68.994</v>
      </c>
      <c r="W5" s="46">
        <v>81.391999999999996</v>
      </c>
      <c r="X5" s="46">
        <v>70.378</v>
      </c>
      <c r="Y5" s="46">
        <v>74.381</v>
      </c>
      <c r="Z5" s="46">
        <v>89.331999999999994</v>
      </c>
      <c r="AA5" s="46">
        <v>129.18</v>
      </c>
      <c r="AB5" s="46">
        <v>87.944999999999993</v>
      </c>
      <c r="AC5" s="46">
        <v>81.597000000000023</v>
      </c>
      <c r="AD5" s="46">
        <v>97.576000000000022</v>
      </c>
      <c r="AE5" s="46">
        <v>117.37700000000002</v>
      </c>
      <c r="AF5" s="46">
        <v>104.19199999999999</v>
      </c>
      <c r="AG5" s="46">
        <v>98.24</v>
      </c>
      <c r="AH5" s="46">
        <v>72.071999999999989</v>
      </c>
      <c r="AI5" s="46">
        <v>77.191999999999993</v>
      </c>
      <c r="AJ5" s="46">
        <v>114.01999999999998</v>
      </c>
      <c r="AK5" s="46">
        <v>85.806000000000012</v>
      </c>
      <c r="AL5" s="46">
        <v>68.916999999999987</v>
      </c>
      <c r="AM5" s="59">
        <v>122.52</v>
      </c>
      <c r="AN5" s="46">
        <v>110.964</v>
      </c>
      <c r="AO5" s="46">
        <f t="shared" si="0"/>
        <v>78.865870967741941</v>
      </c>
      <c r="AP5" s="67">
        <f t="shared" si="1"/>
        <v>9.8582338709677426</v>
      </c>
    </row>
    <row r="6" spans="1:42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26</v>
      </c>
      <c r="I6" s="74" t="s">
        <v>273</v>
      </c>
      <c r="J6" s="46">
        <v>472.43</v>
      </c>
      <c r="K6" s="45">
        <v>466.94</v>
      </c>
      <c r="L6" s="45">
        <v>483.64</v>
      </c>
      <c r="M6" s="45">
        <v>456.83</v>
      </c>
      <c r="N6" s="45">
        <v>425.7</v>
      </c>
      <c r="O6" s="45">
        <v>515.33000000000004</v>
      </c>
      <c r="P6" s="45">
        <v>497.64</v>
      </c>
      <c r="Q6" s="45">
        <v>496.31</v>
      </c>
      <c r="R6" s="45">
        <v>382.17</v>
      </c>
      <c r="S6" s="45">
        <v>466.46</v>
      </c>
      <c r="T6" s="46">
        <v>446.86</v>
      </c>
      <c r="U6" s="46">
        <v>506.78</v>
      </c>
      <c r="V6" s="46">
        <v>460.27</v>
      </c>
      <c r="W6" s="46">
        <v>483.37</v>
      </c>
      <c r="X6" s="46">
        <v>515.41</v>
      </c>
      <c r="Y6" s="46">
        <v>528.26</v>
      </c>
      <c r="Z6" s="46">
        <v>595.4</v>
      </c>
      <c r="AA6" s="46">
        <v>487.42</v>
      </c>
      <c r="AB6" s="46">
        <v>586.03</v>
      </c>
      <c r="AC6" s="46">
        <v>597.83000000000004</v>
      </c>
      <c r="AD6" s="46">
        <v>737.58</v>
      </c>
      <c r="AE6" s="46">
        <v>659.96299999999997</v>
      </c>
      <c r="AF6" s="46">
        <v>573.59</v>
      </c>
      <c r="AG6" s="46">
        <v>699.99099999999964</v>
      </c>
      <c r="AH6" s="46">
        <v>801.37</v>
      </c>
      <c r="AI6" s="46">
        <v>823.17099999999948</v>
      </c>
      <c r="AJ6" s="46">
        <v>768.44999999999982</v>
      </c>
      <c r="AK6" s="46">
        <v>808.70399999999984</v>
      </c>
      <c r="AL6" s="46">
        <v>649.84199999999953</v>
      </c>
      <c r="AM6" s="46">
        <v>656.11900000000026</v>
      </c>
      <c r="AN6" s="46">
        <v>747.84299999999985</v>
      </c>
      <c r="AO6" s="46">
        <f t="shared" si="0"/>
        <v>574.11945161290316</v>
      </c>
      <c r="AP6" s="67">
        <f t="shared" si="1"/>
        <v>22.081517369727045</v>
      </c>
    </row>
    <row r="7" spans="1:42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46">
        <v>14.68</v>
      </c>
      <c r="K7" s="45">
        <v>13.56</v>
      </c>
      <c r="L7" s="46">
        <v>5.23</v>
      </c>
      <c r="M7" s="46">
        <v>18.12</v>
      </c>
      <c r="N7" s="46">
        <v>6.02</v>
      </c>
      <c r="O7" s="46">
        <v>11.45</v>
      </c>
      <c r="P7" s="46">
        <v>8.66</v>
      </c>
      <c r="Q7" s="46">
        <v>15.4</v>
      </c>
      <c r="R7" s="46">
        <v>15.36</v>
      </c>
      <c r="S7" s="46">
        <v>12.75</v>
      </c>
      <c r="T7" s="46">
        <v>0</v>
      </c>
      <c r="U7" s="46">
        <v>0.74</v>
      </c>
      <c r="V7" s="46">
        <v>0</v>
      </c>
      <c r="W7" s="46">
        <v>6.84</v>
      </c>
      <c r="X7" s="46">
        <v>0</v>
      </c>
      <c r="Y7" s="46">
        <v>6.2</v>
      </c>
      <c r="Z7" s="46">
        <v>0</v>
      </c>
      <c r="AA7" s="46">
        <v>0</v>
      </c>
      <c r="AB7" s="46">
        <v>14.16</v>
      </c>
      <c r="AC7" s="46">
        <v>5.12</v>
      </c>
      <c r="AD7" s="46">
        <v>4.38</v>
      </c>
      <c r="AE7" s="46">
        <v>2.7199999999999998</v>
      </c>
      <c r="AF7" s="60">
        <v>8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f t="shared" si="0"/>
        <v>5.4641935483870965</v>
      </c>
      <c r="AP7" s="67">
        <f t="shared" si="1"/>
        <v>5.4641935483870965</v>
      </c>
    </row>
    <row r="8" spans="1:42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124</v>
      </c>
      <c r="G8" s="6" t="s">
        <v>80</v>
      </c>
      <c r="H8" s="5">
        <v>2</v>
      </c>
      <c r="I8" s="74" t="s">
        <v>273</v>
      </c>
      <c r="J8" s="46">
        <v>0</v>
      </c>
      <c r="K8" s="45">
        <v>0</v>
      </c>
      <c r="L8" s="45">
        <v>8.82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45">
        <v>15.03</v>
      </c>
      <c r="S8" s="45">
        <v>10.11</v>
      </c>
      <c r="T8" s="46">
        <v>8.35</v>
      </c>
      <c r="U8" s="46">
        <v>0</v>
      </c>
      <c r="V8" s="46">
        <v>9.65</v>
      </c>
      <c r="W8" s="46">
        <v>10.25</v>
      </c>
      <c r="X8" s="46">
        <v>15.64</v>
      </c>
      <c r="Y8" s="46">
        <v>17.86</v>
      </c>
      <c r="Z8" s="46">
        <v>14.2</v>
      </c>
      <c r="AA8" s="46">
        <v>23.82</v>
      </c>
      <c r="AB8" s="46">
        <v>27.21</v>
      </c>
      <c r="AC8" s="46">
        <v>12.32</v>
      </c>
      <c r="AD8" s="46">
        <v>0</v>
      </c>
      <c r="AE8" s="46">
        <v>3.17</v>
      </c>
      <c r="AF8" s="46">
        <v>0</v>
      </c>
      <c r="AG8" s="46">
        <v>0</v>
      </c>
      <c r="AH8" s="46">
        <v>0</v>
      </c>
      <c r="AI8" s="46">
        <v>0</v>
      </c>
      <c r="AJ8" s="46">
        <v>0.28999999999999998</v>
      </c>
      <c r="AK8" s="46">
        <v>0</v>
      </c>
      <c r="AL8" s="46">
        <v>0</v>
      </c>
      <c r="AM8" s="46">
        <v>0</v>
      </c>
      <c r="AN8" s="46">
        <v>0</v>
      </c>
      <c r="AO8" s="46">
        <f t="shared" si="0"/>
        <v>5.7006451612903213</v>
      </c>
      <c r="AP8" s="67">
        <f t="shared" si="1"/>
        <v>2.8503225806451606</v>
      </c>
    </row>
    <row r="9" spans="1:42" ht="15.6" x14ac:dyDescent="0.3">
      <c r="A9" s="5">
        <v>8</v>
      </c>
      <c r="B9" s="6" t="s">
        <v>9</v>
      </c>
      <c r="C9" s="12" t="s">
        <v>204</v>
      </c>
      <c r="D9" s="6" t="s">
        <v>128</v>
      </c>
      <c r="E9" s="6" t="s">
        <v>12</v>
      </c>
      <c r="F9" s="6" t="s">
        <v>13</v>
      </c>
      <c r="G9" s="6" t="s">
        <v>35</v>
      </c>
      <c r="H9" s="5">
        <v>6</v>
      </c>
      <c r="I9" s="74" t="s">
        <v>273</v>
      </c>
      <c r="J9" s="46">
        <v>24.235999999999997</v>
      </c>
      <c r="K9" s="46">
        <v>64.23</v>
      </c>
      <c r="L9" s="46">
        <v>37.945999999999998</v>
      </c>
      <c r="M9" s="46">
        <v>34.045999999999999</v>
      </c>
      <c r="N9" s="46">
        <v>38.130000000000003</v>
      </c>
      <c r="O9" s="46">
        <v>47.457000000000001</v>
      </c>
      <c r="P9" s="46">
        <v>27.064999999999998</v>
      </c>
      <c r="Q9" s="46">
        <v>31.856999999999999</v>
      </c>
      <c r="R9" s="46">
        <v>26.755000000000003</v>
      </c>
      <c r="S9" s="46">
        <v>39.14</v>
      </c>
      <c r="T9" s="46">
        <v>33.617999999999995</v>
      </c>
      <c r="U9" s="46">
        <v>33.138000000000005</v>
      </c>
      <c r="V9" s="46">
        <v>42.021000000000001</v>
      </c>
      <c r="W9" s="46">
        <v>40.14</v>
      </c>
      <c r="X9" s="46">
        <v>33.582000000000001</v>
      </c>
      <c r="Y9" s="46">
        <v>37.14</v>
      </c>
      <c r="Z9" s="46">
        <v>36.886000000000003</v>
      </c>
      <c r="AA9" s="46">
        <v>42.351999999999997</v>
      </c>
      <c r="AB9" s="46">
        <v>27.131</v>
      </c>
      <c r="AC9" s="46">
        <v>43.99</v>
      </c>
      <c r="AD9" s="46">
        <v>42.808</v>
      </c>
      <c r="AE9" s="46">
        <v>34.793999999999997</v>
      </c>
      <c r="AF9" s="46">
        <v>37.686999999999991</v>
      </c>
      <c r="AG9" s="46">
        <v>49.814999999999998</v>
      </c>
      <c r="AH9" s="46">
        <v>35.536999999999999</v>
      </c>
      <c r="AI9" s="46">
        <v>40.597000000000001</v>
      </c>
      <c r="AJ9" s="46">
        <v>23.747</v>
      </c>
      <c r="AK9" s="46">
        <v>4.6290000000000004</v>
      </c>
      <c r="AL9" s="46">
        <v>3.23</v>
      </c>
      <c r="AM9" s="46">
        <v>32.405000000000001</v>
      </c>
      <c r="AN9" s="46">
        <v>31.761000000000003</v>
      </c>
      <c r="AO9" s="46">
        <f t="shared" si="0"/>
        <v>34.769999999999996</v>
      </c>
      <c r="AP9" s="67">
        <f t="shared" si="1"/>
        <v>5.794999999999999</v>
      </c>
    </row>
    <row r="10" spans="1:42" ht="15.6" x14ac:dyDescent="0.3">
      <c r="A10" s="5">
        <v>9</v>
      </c>
      <c r="B10" s="6" t="s">
        <v>9</v>
      </c>
      <c r="C10" s="12" t="s">
        <v>205</v>
      </c>
      <c r="D10" s="6" t="s">
        <v>30</v>
      </c>
      <c r="E10" s="6" t="s">
        <v>12</v>
      </c>
      <c r="F10" s="6" t="s">
        <v>13</v>
      </c>
      <c r="G10" s="6" t="s">
        <v>35</v>
      </c>
      <c r="H10" s="5">
        <v>3</v>
      </c>
      <c r="I10" s="74" t="s">
        <v>273</v>
      </c>
      <c r="J10" s="46">
        <v>84.221000000000018</v>
      </c>
      <c r="K10" s="46">
        <v>56.597999999999999</v>
      </c>
      <c r="L10" s="46">
        <v>67.970999999999989</v>
      </c>
      <c r="M10" s="46">
        <v>45.283000000000001</v>
      </c>
      <c r="N10" s="46">
        <v>81.602999999999994</v>
      </c>
      <c r="O10" s="46">
        <v>26.752999999999997</v>
      </c>
      <c r="P10" s="46">
        <v>68.061000000000007</v>
      </c>
      <c r="Q10" s="46">
        <v>41.164000000000001</v>
      </c>
      <c r="R10" s="46">
        <v>40.61699999999999</v>
      </c>
      <c r="S10" s="46">
        <v>39.746000000000002</v>
      </c>
      <c r="T10" s="46">
        <v>80.478999999999985</v>
      </c>
      <c r="U10" s="46">
        <v>55.878</v>
      </c>
      <c r="V10" s="46">
        <v>69.85499999999999</v>
      </c>
      <c r="W10" s="46">
        <v>39.413999999999994</v>
      </c>
      <c r="X10" s="46">
        <v>67.617999999999995</v>
      </c>
      <c r="Y10" s="46">
        <v>57.878999999999991</v>
      </c>
      <c r="Z10" s="46">
        <v>50.512</v>
      </c>
      <c r="AA10" s="46">
        <v>53.97</v>
      </c>
      <c r="AB10" s="46">
        <v>68.957000000000008</v>
      </c>
      <c r="AC10" s="46">
        <v>79.14800000000001</v>
      </c>
      <c r="AD10" s="46">
        <v>70.787999999999997</v>
      </c>
      <c r="AE10" s="46">
        <v>101.07300000000001</v>
      </c>
      <c r="AF10" s="46">
        <v>71.381</v>
      </c>
      <c r="AG10" s="46">
        <v>75.218999999999994</v>
      </c>
      <c r="AH10" s="46">
        <v>100.93400000000001</v>
      </c>
      <c r="AI10" s="46">
        <v>95.666999999999987</v>
      </c>
      <c r="AJ10" s="46">
        <v>75.676000000000002</v>
      </c>
      <c r="AK10" s="46">
        <v>70.44</v>
      </c>
      <c r="AL10" s="46">
        <v>64.744</v>
      </c>
      <c r="AM10" s="46">
        <v>60.383000000000003</v>
      </c>
      <c r="AN10" s="46">
        <v>84.060999999999993</v>
      </c>
      <c r="AO10" s="46">
        <f t="shared" si="0"/>
        <v>66.003</v>
      </c>
      <c r="AP10" s="67">
        <f t="shared" si="1"/>
        <v>22.001000000000001</v>
      </c>
    </row>
    <row r="11" spans="1:42" x14ac:dyDescent="0.3">
      <c r="A11" s="5">
        <v>10</v>
      </c>
      <c r="B11" s="6" t="s">
        <v>9</v>
      </c>
      <c r="C11" s="12" t="s">
        <v>248</v>
      </c>
      <c r="D11" s="6" t="s">
        <v>128</v>
      </c>
      <c r="E11" s="6" t="s">
        <v>19</v>
      </c>
      <c r="F11" s="6" t="s">
        <v>13</v>
      </c>
      <c r="G11" s="6" t="s">
        <v>35</v>
      </c>
      <c r="H11" s="5">
        <v>1</v>
      </c>
      <c r="I11" s="67" t="s">
        <v>160</v>
      </c>
      <c r="J11" s="46">
        <v>0</v>
      </c>
      <c r="K11" s="46">
        <v>0</v>
      </c>
      <c r="L11" s="46">
        <v>1.6870000000000001</v>
      </c>
      <c r="M11" s="46">
        <v>0</v>
      </c>
      <c r="N11" s="46">
        <v>0</v>
      </c>
      <c r="O11" s="46">
        <v>0</v>
      </c>
      <c r="P11" s="46">
        <v>1.698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2.8439999999999999</v>
      </c>
      <c r="Y11" s="46">
        <v>0</v>
      </c>
      <c r="Z11" s="46">
        <v>0</v>
      </c>
      <c r="AA11" s="46">
        <v>3.3959999999999999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2.5489999999999999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0</v>
      </c>
      <c r="AN11" s="46">
        <v>0</v>
      </c>
      <c r="AO11" s="46">
        <f t="shared" si="0"/>
        <v>0.39270967741935481</v>
      </c>
      <c r="AP11" s="67">
        <f t="shared" si="1"/>
        <v>0.39270967741935481</v>
      </c>
    </row>
    <row r="12" spans="1:42" x14ac:dyDescent="0.3">
      <c r="A12" s="5">
        <v>11</v>
      </c>
      <c r="B12" s="6" t="s">
        <v>9</v>
      </c>
      <c r="C12" s="12" t="s">
        <v>207</v>
      </c>
      <c r="D12" s="6" t="s">
        <v>128</v>
      </c>
      <c r="E12" s="6" t="s">
        <v>12</v>
      </c>
      <c r="F12" s="6" t="s">
        <v>40</v>
      </c>
      <c r="G12" s="6" t="s">
        <v>35</v>
      </c>
      <c r="H12" s="5">
        <v>2</v>
      </c>
      <c r="I12" s="67" t="s">
        <v>160</v>
      </c>
      <c r="J12" s="46">
        <v>0</v>
      </c>
      <c r="K12" s="46">
        <v>0</v>
      </c>
      <c r="L12" s="46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  <c r="T12" s="45">
        <v>0</v>
      </c>
      <c r="U12" s="45">
        <v>0</v>
      </c>
      <c r="V12" s="45">
        <v>0</v>
      </c>
      <c r="W12" s="45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46">
        <v>0.57599999999999996</v>
      </c>
      <c r="AL12" s="60">
        <v>0</v>
      </c>
      <c r="AM12" s="60">
        <v>0</v>
      </c>
      <c r="AN12" s="46">
        <v>6.2159999999999993</v>
      </c>
      <c r="AO12" s="46">
        <f t="shared" si="0"/>
        <v>0.21909677419354837</v>
      </c>
      <c r="AP12" s="67">
        <f t="shared" si="1"/>
        <v>0.10954838709677418</v>
      </c>
    </row>
    <row r="13" spans="1:42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255</v>
      </c>
      <c r="G13" s="6" t="s">
        <v>80</v>
      </c>
      <c r="H13" s="5">
        <v>2</v>
      </c>
      <c r="I13" s="67" t="s">
        <v>160</v>
      </c>
      <c r="J13" s="46">
        <v>0</v>
      </c>
      <c r="K13" s="46">
        <v>0</v>
      </c>
      <c r="L13" s="45">
        <v>25.42</v>
      </c>
      <c r="M13" s="46">
        <v>0</v>
      </c>
      <c r="N13" s="46">
        <v>6.02</v>
      </c>
      <c r="O13" s="46">
        <v>12.440000000000001</v>
      </c>
      <c r="P13" s="46">
        <v>0</v>
      </c>
      <c r="Q13" s="46">
        <v>11.739999999999998</v>
      </c>
      <c r="R13" s="46">
        <v>20.790999999999997</v>
      </c>
      <c r="S13" s="46">
        <v>19.919</v>
      </c>
      <c r="T13" s="46">
        <v>38.82</v>
      </c>
      <c r="U13" s="46">
        <v>7.46</v>
      </c>
      <c r="V13" s="46">
        <v>31.060000000000002</v>
      </c>
      <c r="W13" s="46">
        <v>23.27</v>
      </c>
      <c r="X13" s="46">
        <v>10.61</v>
      </c>
      <c r="Y13" s="46">
        <v>12.48</v>
      </c>
      <c r="Z13" s="46">
        <v>17.45</v>
      </c>
      <c r="AA13" s="46">
        <v>0</v>
      </c>
      <c r="AB13" s="46">
        <v>9.11</v>
      </c>
      <c r="AC13" s="46">
        <v>9.99</v>
      </c>
      <c r="AD13" s="46">
        <v>4.62</v>
      </c>
      <c r="AE13" s="46">
        <v>18.79</v>
      </c>
      <c r="AF13" s="46">
        <v>22.869999999999997</v>
      </c>
      <c r="AG13" s="46">
        <v>16.14</v>
      </c>
      <c r="AH13" s="46">
        <v>6.31</v>
      </c>
      <c r="AI13" s="60">
        <v>0</v>
      </c>
      <c r="AJ13" s="46">
        <v>0</v>
      </c>
      <c r="AK13" s="46">
        <v>0</v>
      </c>
      <c r="AL13" s="46">
        <v>0</v>
      </c>
      <c r="AM13" s="46">
        <v>0</v>
      </c>
      <c r="AN13" s="46">
        <v>11.6</v>
      </c>
      <c r="AO13" s="46">
        <f t="shared" si="0"/>
        <v>10.868064516129033</v>
      </c>
      <c r="AP13" s="67">
        <f t="shared" si="1"/>
        <v>5.4340322580645166</v>
      </c>
    </row>
    <row r="14" spans="1:42" ht="15.6" x14ac:dyDescent="0.3">
      <c r="A14" s="5">
        <v>13</v>
      </c>
      <c r="B14" s="6" t="s">
        <v>9</v>
      </c>
      <c r="C14" s="12" t="s">
        <v>208</v>
      </c>
      <c r="D14" s="6" t="s">
        <v>128</v>
      </c>
      <c r="E14" s="6" t="s">
        <v>12</v>
      </c>
      <c r="F14" s="6" t="s">
        <v>13</v>
      </c>
      <c r="G14" s="6" t="s">
        <v>35</v>
      </c>
      <c r="H14" s="5">
        <v>10</v>
      </c>
      <c r="I14" s="74" t="s">
        <v>273</v>
      </c>
      <c r="J14" s="46">
        <v>131.81200000000001</v>
      </c>
      <c r="K14" s="46">
        <v>89.382999999999996</v>
      </c>
      <c r="L14" s="46">
        <v>91.47199999999998</v>
      </c>
      <c r="M14" s="46">
        <v>71.649000000000001</v>
      </c>
      <c r="N14" s="46">
        <v>101.39399999999999</v>
      </c>
      <c r="O14" s="46">
        <v>77.449999999999989</v>
      </c>
      <c r="P14" s="46">
        <v>89.832000000000008</v>
      </c>
      <c r="Q14" s="46">
        <v>62.525999999999996</v>
      </c>
      <c r="R14" s="46">
        <v>78.712999999999994</v>
      </c>
      <c r="S14" s="46">
        <v>84.474000000000018</v>
      </c>
      <c r="T14" s="46">
        <v>85.921000000000006</v>
      </c>
      <c r="U14" s="46">
        <v>104.52699999999999</v>
      </c>
      <c r="V14" s="46">
        <v>86.904999999999987</v>
      </c>
      <c r="W14" s="46">
        <v>102.19199999999999</v>
      </c>
      <c r="X14" s="46">
        <v>53.527000000000001</v>
      </c>
      <c r="Y14" s="46">
        <v>107.09300000000002</v>
      </c>
      <c r="Z14" s="46">
        <v>104.60900000000001</v>
      </c>
      <c r="AA14" s="46">
        <v>114.68499999999999</v>
      </c>
      <c r="AB14" s="46">
        <v>110.95799999999997</v>
      </c>
      <c r="AC14" s="46">
        <v>125.89300000000003</v>
      </c>
      <c r="AD14" s="46">
        <v>65.515000000000001</v>
      </c>
      <c r="AE14" s="46">
        <v>115.97699999999999</v>
      </c>
      <c r="AF14" s="46">
        <v>144.11299999999997</v>
      </c>
      <c r="AG14" s="46">
        <v>109.07600000000001</v>
      </c>
      <c r="AH14" s="46">
        <v>130.876</v>
      </c>
      <c r="AI14" s="46">
        <v>139.96299999999999</v>
      </c>
      <c r="AJ14" s="46">
        <v>150.86599999999996</v>
      </c>
      <c r="AK14" s="46">
        <v>97.039999999999992</v>
      </c>
      <c r="AL14" s="46">
        <v>91.539999999999992</v>
      </c>
      <c r="AM14" s="46">
        <v>119.39700000000001</v>
      </c>
      <c r="AN14" s="46">
        <v>123.739</v>
      </c>
      <c r="AO14" s="46">
        <f t="shared" si="0"/>
        <v>102.03603225806452</v>
      </c>
      <c r="AP14" s="67">
        <f t="shared" si="1"/>
        <v>10.203603225806452</v>
      </c>
    </row>
    <row r="15" spans="1:42" x14ac:dyDescent="0.3">
      <c r="A15" s="5">
        <v>14</v>
      </c>
      <c r="B15" s="6" t="s">
        <v>9</v>
      </c>
      <c r="C15" s="12" t="s">
        <v>244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4</v>
      </c>
      <c r="I15" s="67" t="s">
        <v>160</v>
      </c>
      <c r="J15" s="46">
        <v>31.667000000000002</v>
      </c>
      <c r="K15" s="46">
        <v>12.967000000000001</v>
      </c>
      <c r="L15" s="46">
        <v>28.489000000000001</v>
      </c>
      <c r="M15" s="46">
        <v>0</v>
      </c>
      <c r="N15" s="46">
        <v>30.28</v>
      </c>
      <c r="O15" s="46">
        <v>16.620999999999999</v>
      </c>
      <c r="P15" s="46">
        <v>14.292</v>
      </c>
      <c r="Q15" s="46">
        <v>18.993000000000002</v>
      </c>
      <c r="R15" s="46">
        <v>21.759999999999998</v>
      </c>
      <c r="S15" s="46">
        <v>13.412000000000001</v>
      </c>
      <c r="T15" s="46">
        <v>15.222000000000001</v>
      </c>
      <c r="U15" s="46">
        <v>23.402999999999999</v>
      </c>
      <c r="V15" s="46">
        <v>20.672999999999998</v>
      </c>
      <c r="W15" s="46">
        <v>16.43</v>
      </c>
      <c r="X15" s="46">
        <v>18.617999999999999</v>
      </c>
      <c r="Y15" s="46">
        <v>15.679000000000002</v>
      </c>
      <c r="Z15" s="46">
        <v>15.871000000000002</v>
      </c>
      <c r="AA15" s="46">
        <v>9.7360000000000007</v>
      </c>
      <c r="AB15" s="46">
        <v>15.132999999999999</v>
      </c>
      <c r="AC15" s="46">
        <v>25.170999999999999</v>
      </c>
      <c r="AD15" s="46">
        <v>9.5689999999999991</v>
      </c>
      <c r="AE15" s="46">
        <v>26.837999999999997</v>
      </c>
      <c r="AF15" s="46">
        <v>7.6539999999999999</v>
      </c>
      <c r="AG15" s="46">
        <v>12.532</v>
      </c>
      <c r="AH15" s="46">
        <v>26.817999999999998</v>
      </c>
      <c r="AI15" s="46">
        <v>18.998999999999999</v>
      </c>
      <c r="AJ15" s="46">
        <v>5.0579999999999998</v>
      </c>
      <c r="AK15" s="46">
        <v>15.096</v>
      </c>
      <c r="AL15" s="46">
        <v>16.591000000000001</v>
      </c>
      <c r="AM15" s="46">
        <v>19.918000000000003</v>
      </c>
      <c r="AN15" s="46">
        <v>6.1489999999999991</v>
      </c>
      <c r="AO15" s="46">
        <f t="shared" si="0"/>
        <v>17.08512903225806</v>
      </c>
      <c r="AP15" s="67">
        <f t="shared" si="1"/>
        <v>4.2712822580645149</v>
      </c>
    </row>
    <row r="16" spans="1:42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40</v>
      </c>
      <c r="G16" s="6" t="s">
        <v>35</v>
      </c>
      <c r="H16" s="5">
        <v>1</v>
      </c>
      <c r="I16" s="67" t="s">
        <v>160</v>
      </c>
      <c r="J16" s="46">
        <v>0</v>
      </c>
      <c r="K16" s="46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46">
        <v>0</v>
      </c>
      <c r="AM16" s="46">
        <v>0</v>
      </c>
      <c r="AN16" s="46">
        <v>0</v>
      </c>
      <c r="AO16" s="46">
        <f t="shared" si="0"/>
        <v>0</v>
      </c>
      <c r="AP16" s="67">
        <f t="shared" si="1"/>
        <v>0</v>
      </c>
    </row>
    <row r="17" spans="1:42" ht="15.6" x14ac:dyDescent="0.3">
      <c r="A17" s="5">
        <v>16</v>
      </c>
      <c r="B17" s="6" t="s">
        <v>9</v>
      </c>
      <c r="C17" s="12" t="s">
        <v>196</v>
      </c>
      <c r="D17" s="6" t="s">
        <v>128</v>
      </c>
      <c r="E17" s="6" t="s">
        <v>12</v>
      </c>
      <c r="F17" s="6" t="s">
        <v>13</v>
      </c>
      <c r="G17" s="6" t="s">
        <v>35</v>
      </c>
      <c r="H17" s="5">
        <v>19</v>
      </c>
      <c r="I17" s="74" t="s">
        <v>273</v>
      </c>
      <c r="J17" s="46">
        <v>83.876999999999995</v>
      </c>
      <c r="K17" s="46">
        <v>96.597000000000008</v>
      </c>
      <c r="L17" s="46">
        <v>102.71600000000001</v>
      </c>
      <c r="M17" s="46">
        <v>112.28200000000001</v>
      </c>
      <c r="N17" s="46">
        <v>91.942000000000007</v>
      </c>
      <c r="O17" s="46">
        <v>116.60600000000002</v>
      </c>
      <c r="P17" s="46">
        <v>144.791</v>
      </c>
      <c r="Q17" s="46">
        <v>133.143</v>
      </c>
      <c r="R17" s="46">
        <v>111.61799999999999</v>
      </c>
      <c r="S17" s="46">
        <v>98.333999999999989</v>
      </c>
      <c r="T17" s="46">
        <v>79.361000000000004</v>
      </c>
      <c r="U17" s="46">
        <v>123.872</v>
      </c>
      <c r="V17" s="46">
        <v>126.22099999999999</v>
      </c>
      <c r="W17" s="46">
        <v>81.438000000000002</v>
      </c>
      <c r="X17" s="46">
        <v>158.02100000000002</v>
      </c>
      <c r="Y17" s="46">
        <v>98.878999999999991</v>
      </c>
      <c r="Z17" s="46">
        <v>127.46299999999999</v>
      </c>
      <c r="AA17" s="46">
        <v>135.73499999999999</v>
      </c>
      <c r="AB17" s="46">
        <v>122.727</v>
      </c>
      <c r="AC17" s="46">
        <v>147.18100000000001</v>
      </c>
      <c r="AD17" s="46">
        <v>143.17300000000003</v>
      </c>
      <c r="AE17" s="46">
        <v>109.98399999999999</v>
      </c>
      <c r="AF17" s="46">
        <v>123.86899999999997</v>
      </c>
      <c r="AG17" s="46">
        <v>128.59899999999999</v>
      </c>
      <c r="AH17" s="46">
        <v>114.58899999999997</v>
      </c>
      <c r="AI17" s="46">
        <v>149.13099999999997</v>
      </c>
      <c r="AJ17" s="46">
        <v>129.48600000000002</v>
      </c>
      <c r="AK17" s="46">
        <v>139.95899999999997</v>
      </c>
      <c r="AL17" s="46">
        <v>136.82899999999998</v>
      </c>
      <c r="AM17" s="46">
        <v>152.23699999999999</v>
      </c>
      <c r="AN17" s="46">
        <v>204.72499999999997</v>
      </c>
      <c r="AO17" s="46">
        <f t="shared" si="0"/>
        <v>123.39951612903226</v>
      </c>
      <c r="AP17" s="67">
        <f t="shared" si="1"/>
        <v>6.4947113752122245</v>
      </c>
    </row>
    <row r="18" spans="1:42" x14ac:dyDescent="0.3">
      <c r="A18" s="5">
        <v>17</v>
      </c>
      <c r="B18" s="6" t="s">
        <v>9</v>
      </c>
      <c r="C18" s="12" t="s">
        <v>271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3</v>
      </c>
      <c r="I18" s="67" t="s">
        <v>160</v>
      </c>
      <c r="J18" s="46">
        <v>24.14</v>
      </c>
      <c r="K18" s="46">
        <v>27.9</v>
      </c>
      <c r="L18" s="46">
        <v>14.56</v>
      </c>
      <c r="M18" s="45">
        <v>24.64</v>
      </c>
      <c r="N18" s="45">
        <v>29.1</v>
      </c>
      <c r="O18" s="45">
        <v>21.22</v>
      </c>
      <c r="P18" s="45">
        <v>22.26</v>
      </c>
      <c r="Q18" s="45">
        <v>28.34</v>
      </c>
      <c r="R18" s="45">
        <v>24.13</v>
      </c>
      <c r="S18" s="45">
        <v>18.39</v>
      </c>
      <c r="T18" s="46">
        <v>20.61</v>
      </c>
      <c r="U18" s="46">
        <v>23.31</v>
      </c>
      <c r="V18" s="46">
        <v>15.83</v>
      </c>
      <c r="W18" s="46">
        <v>17.170000000000002</v>
      </c>
      <c r="X18" s="46">
        <v>12.9</v>
      </c>
      <c r="Y18" s="46">
        <v>26.47</v>
      </c>
      <c r="Z18" s="46">
        <v>16.53</v>
      </c>
      <c r="AA18" s="46">
        <v>16.37</v>
      </c>
      <c r="AB18" s="46">
        <v>28.61</v>
      </c>
      <c r="AC18" s="46">
        <v>31.2</v>
      </c>
      <c r="AD18" s="46">
        <v>26.33</v>
      </c>
      <c r="AE18" s="46">
        <v>19.111999999999998</v>
      </c>
      <c r="AF18" s="46">
        <v>12.387</v>
      </c>
      <c r="AG18" s="46">
        <v>22.562999999999999</v>
      </c>
      <c r="AH18" s="46">
        <v>32.917000000000002</v>
      </c>
      <c r="AI18" s="46">
        <v>6.4529999999999994</v>
      </c>
      <c r="AJ18" s="46">
        <v>25.864000000000004</v>
      </c>
      <c r="AK18" s="46">
        <v>28.867000000000001</v>
      </c>
      <c r="AL18" s="46">
        <v>24.131999999999998</v>
      </c>
      <c r="AM18" s="46">
        <v>28.824999999999999</v>
      </c>
      <c r="AN18" s="46">
        <v>32.19</v>
      </c>
      <c r="AO18" s="46">
        <f t="shared" si="0"/>
        <v>22.687741935483867</v>
      </c>
      <c r="AP18" s="67">
        <f t="shared" si="1"/>
        <v>7.5625806451612894</v>
      </c>
    </row>
    <row r="19" spans="1:42" x14ac:dyDescent="0.3">
      <c r="A19" s="5">
        <v>18</v>
      </c>
      <c r="B19" s="6" t="s">
        <v>9</v>
      </c>
      <c r="C19" s="12" t="s">
        <v>271</v>
      </c>
      <c r="D19" s="6" t="s">
        <v>128</v>
      </c>
      <c r="E19" s="6" t="s">
        <v>12</v>
      </c>
      <c r="F19" s="6" t="s">
        <v>40</v>
      </c>
      <c r="G19" s="6" t="s">
        <v>35</v>
      </c>
      <c r="H19" s="5">
        <v>2</v>
      </c>
      <c r="I19" s="67" t="s">
        <v>160</v>
      </c>
      <c r="J19" s="46">
        <v>49.49</v>
      </c>
      <c r="K19" s="46">
        <v>21.63</v>
      </c>
      <c r="L19" s="46">
        <v>67.58</v>
      </c>
      <c r="M19" s="45">
        <v>27.21</v>
      </c>
      <c r="N19" s="45">
        <v>0</v>
      </c>
      <c r="O19" s="45">
        <v>15.41</v>
      </c>
      <c r="P19" s="45">
        <v>29.54</v>
      </c>
      <c r="Q19" s="45">
        <v>32.020000000000003</v>
      </c>
      <c r="R19" s="45">
        <v>26.98</v>
      </c>
      <c r="S19" s="45">
        <v>23.73</v>
      </c>
      <c r="T19" s="46">
        <v>25.25</v>
      </c>
      <c r="U19" s="46">
        <v>0</v>
      </c>
      <c r="V19" s="46">
        <v>56.77</v>
      </c>
      <c r="W19" s="46">
        <v>0</v>
      </c>
      <c r="X19" s="46">
        <v>7.15</v>
      </c>
      <c r="Y19" s="46">
        <v>0.21</v>
      </c>
      <c r="Z19" s="46">
        <v>0</v>
      </c>
      <c r="AA19" s="46">
        <v>29.08</v>
      </c>
      <c r="AB19" s="46">
        <v>26.9</v>
      </c>
      <c r="AC19" s="46">
        <v>28.38</v>
      </c>
      <c r="AD19" s="46">
        <v>31.95</v>
      </c>
      <c r="AE19" s="10">
        <v>11.46</v>
      </c>
      <c r="AF19" s="46">
        <v>62.265000000000001</v>
      </c>
      <c r="AG19" s="46">
        <v>41.7</v>
      </c>
      <c r="AH19" s="46">
        <v>19.995000000000001</v>
      </c>
      <c r="AI19" s="46">
        <v>58.816999999999993</v>
      </c>
      <c r="AJ19" s="46">
        <v>52.337000000000003</v>
      </c>
      <c r="AK19" s="46">
        <v>43.424999999999997</v>
      </c>
      <c r="AL19" s="46">
        <v>15.455</v>
      </c>
      <c r="AM19" s="46">
        <v>45.902000000000001</v>
      </c>
      <c r="AN19" s="46">
        <v>53.302</v>
      </c>
      <c r="AO19" s="46">
        <f t="shared" si="0"/>
        <v>29.159290322580645</v>
      </c>
      <c r="AP19" s="67">
        <f t="shared" si="1"/>
        <v>14.579645161290323</v>
      </c>
    </row>
    <row r="20" spans="1:42" x14ac:dyDescent="0.3">
      <c r="A20" s="5">
        <v>19</v>
      </c>
      <c r="B20" s="6" t="s">
        <v>9</v>
      </c>
      <c r="C20" s="12" t="s">
        <v>271</v>
      </c>
      <c r="D20" s="6" t="s">
        <v>128</v>
      </c>
      <c r="E20" s="6" t="s">
        <v>12</v>
      </c>
      <c r="F20" s="6" t="s">
        <v>95</v>
      </c>
      <c r="G20" s="6" t="s">
        <v>80</v>
      </c>
      <c r="H20" s="5">
        <v>1</v>
      </c>
      <c r="I20" s="67" t="s">
        <v>160</v>
      </c>
      <c r="J20" s="46">
        <v>0</v>
      </c>
      <c r="K20" s="46">
        <v>0</v>
      </c>
      <c r="L20" s="46">
        <v>0</v>
      </c>
      <c r="M20" s="46">
        <v>0</v>
      </c>
      <c r="N20" s="46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f t="shared" si="0"/>
        <v>0</v>
      </c>
      <c r="AP20" s="67">
        <f t="shared" si="1"/>
        <v>0</v>
      </c>
    </row>
    <row r="21" spans="1:42" x14ac:dyDescent="0.3">
      <c r="A21" s="5">
        <v>20</v>
      </c>
      <c r="B21" s="6" t="s">
        <v>9</v>
      </c>
      <c r="C21" s="12" t="s">
        <v>271</v>
      </c>
      <c r="D21" s="6" t="s">
        <v>128</v>
      </c>
      <c r="E21" s="6" t="s">
        <v>12</v>
      </c>
      <c r="F21" s="6" t="s">
        <v>309</v>
      </c>
      <c r="G21" s="6" t="s">
        <v>80</v>
      </c>
      <c r="H21" s="5">
        <v>1</v>
      </c>
      <c r="I21" s="67" t="s">
        <v>160</v>
      </c>
      <c r="J21" s="46">
        <v>14.21</v>
      </c>
      <c r="K21" s="46">
        <v>4.29</v>
      </c>
      <c r="L21" s="46">
        <v>27.65</v>
      </c>
      <c r="M21" s="46">
        <v>9.7200000000000006</v>
      </c>
      <c r="N21" s="46">
        <v>4.49</v>
      </c>
      <c r="O21" s="45">
        <v>2.33</v>
      </c>
      <c r="P21" s="45">
        <v>1.78</v>
      </c>
      <c r="Q21" s="45">
        <v>0.98</v>
      </c>
      <c r="R21" s="45">
        <v>0</v>
      </c>
      <c r="S21" s="45">
        <v>0</v>
      </c>
      <c r="T21" s="46">
        <v>4.68</v>
      </c>
      <c r="U21" s="46">
        <v>0</v>
      </c>
      <c r="V21" s="46">
        <v>6.6</v>
      </c>
      <c r="W21" s="46">
        <v>5.33</v>
      </c>
      <c r="X21" s="46">
        <v>12.97</v>
      </c>
      <c r="Y21" s="46">
        <v>6.92</v>
      </c>
      <c r="Z21" s="46">
        <v>12.33</v>
      </c>
      <c r="AA21" s="46">
        <v>11.01</v>
      </c>
      <c r="AB21" s="46">
        <v>9.41</v>
      </c>
      <c r="AC21" s="46">
        <v>6.92</v>
      </c>
      <c r="AD21" s="46">
        <v>1.87</v>
      </c>
      <c r="AE21" s="10">
        <v>6.66</v>
      </c>
      <c r="AF21" s="46">
        <v>15.428000000000001</v>
      </c>
      <c r="AG21" s="46">
        <v>33.214000000000006</v>
      </c>
      <c r="AH21" s="46">
        <v>14.231999999999999</v>
      </c>
      <c r="AI21" s="46">
        <v>27.440000000000005</v>
      </c>
      <c r="AJ21" s="46">
        <v>17.315999999999999</v>
      </c>
      <c r="AK21" s="46">
        <v>17.256999999999998</v>
      </c>
      <c r="AL21" s="46">
        <v>15.404</v>
      </c>
      <c r="AM21" s="46">
        <v>21.997999999999998</v>
      </c>
      <c r="AN21" s="46">
        <v>15.214000000000002</v>
      </c>
      <c r="AO21" s="46">
        <f t="shared" si="0"/>
        <v>10.569451612903224</v>
      </c>
      <c r="AP21" s="67">
        <f t="shared" si="1"/>
        <v>10.569451612903224</v>
      </c>
    </row>
    <row r="22" spans="1:42" x14ac:dyDescent="0.3">
      <c r="A22" s="5">
        <v>21</v>
      </c>
      <c r="B22" s="6" t="s">
        <v>9</v>
      </c>
      <c r="C22" s="12" t="s">
        <v>271</v>
      </c>
      <c r="D22" s="6" t="s">
        <v>128</v>
      </c>
      <c r="E22" s="6" t="s">
        <v>12</v>
      </c>
      <c r="F22" s="6" t="s">
        <v>251</v>
      </c>
      <c r="G22" s="6" t="s">
        <v>80</v>
      </c>
      <c r="H22" s="5">
        <v>1</v>
      </c>
      <c r="I22" s="67" t="s">
        <v>160</v>
      </c>
      <c r="J22" s="46">
        <v>0</v>
      </c>
      <c r="K22" s="46">
        <v>0</v>
      </c>
      <c r="L22" s="46">
        <v>43.27</v>
      </c>
      <c r="M22" s="46">
        <v>27.07</v>
      </c>
      <c r="N22" s="46">
        <v>44.94</v>
      </c>
      <c r="O22" s="45">
        <v>81.239999999999995</v>
      </c>
      <c r="P22" s="45">
        <v>72.87</v>
      </c>
      <c r="Q22" s="45">
        <v>62.79</v>
      </c>
      <c r="R22" s="45">
        <v>30.46</v>
      </c>
      <c r="S22" s="45">
        <v>82.86</v>
      </c>
      <c r="T22" s="46">
        <v>25.64</v>
      </c>
      <c r="U22" s="46">
        <v>111.72</v>
      </c>
      <c r="V22" s="46">
        <v>134.32</v>
      </c>
      <c r="W22" s="46">
        <v>100.91</v>
      </c>
      <c r="X22" s="46">
        <v>118.03</v>
      </c>
      <c r="Y22" s="46">
        <v>58.73</v>
      </c>
      <c r="Z22" s="46">
        <v>0</v>
      </c>
      <c r="AA22" s="46">
        <v>47.4</v>
      </c>
      <c r="AB22" s="46">
        <v>18.48</v>
      </c>
      <c r="AC22" s="46">
        <v>28.96</v>
      </c>
      <c r="AD22" s="46">
        <v>76.75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v>0</v>
      </c>
      <c r="AO22" s="46">
        <f t="shared" si="0"/>
        <v>37.627096774193554</v>
      </c>
      <c r="AP22" s="67">
        <f t="shared" si="1"/>
        <v>37.627096774193554</v>
      </c>
    </row>
    <row r="23" spans="1:42" x14ac:dyDescent="0.3">
      <c r="A23" s="5">
        <v>22</v>
      </c>
      <c r="B23" s="6" t="s">
        <v>9</v>
      </c>
      <c r="C23" s="12" t="s">
        <v>271</v>
      </c>
      <c r="D23" s="6" t="s">
        <v>128</v>
      </c>
      <c r="E23" s="6" t="s">
        <v>12</v>
      </c>
      <c r="F23" s="6" t="s">
        <v>290</v>
      </c>
      <c r="G23" s="6" t="s">
        <v>80</v>
      </c>
      <c r="H23" s="5">
        <v>1</v>
      </c>
      <c r="I23" s="67" t="s">
        <v>160</v>
      </c>
      <c r="J23" s="46">
        <v>9.8000000000000007</v>
      </c>
      <c r="K23" s="46">
        <v>0</v>
      </c>
      <c r="L23" s="46">
        <v>9.8800000000000008</v>
      </c>
      <c r="M23" s="46">
        <v>85.45</v>
      </c>
      <c r="N23" s="46">
        <v>0</v>
      </c>
      <c r="O23" s="45">
        <v>12.23</v>
      </c>
      <c r="P23" s="45">
        <v>83.73</v>
      </c>
      <c r="Q23" s="45">
        <v>128.19999999999999</v>
      </c>
      <c r="R23" s="45">
        <v>134.15</v>
      </c>
      <c r="S23" s="45">
        <v>98.53</v>
      </c>
      <c r="T23" s="46">
        <v>44.5</v>
      </c>
      <c r="U23" s="46">
        <v>2.83</v>
      </c>
      <c r="V23" s="46">
        <v>77.099999999999994</v>
      </c>
      <c r="W23" s="46">
        <v>41.28</v>
      </c>
      <c r="X23" s="46">
        <v>75.180000000000007</v>
      </c>
      <c r="Y23" s="46">
        <v>79.45</v>
      </c>
      <c r="Z23" s="46">
        <v>1.33</v>
      </c>
      <c r="AA23" s="46">
        <v>72.7</v>
      </c>
      <c r="AB23" s="46">
        <v>0.13</v>
      </c>
      <c r="AC23" s="46">
        <v>2.2000000000000002</v>
      </c>
      <c r="AD23" s="46">
        <v>0</v>
      </c>
      <c r="AE23" s="46">
        <v>0</v>
      </c>
      <c r="AF23" s="46">
        <v>54.224999999999994</v>
      </c>
      <c r="AG23" s="46">
        <v>39.65</v>
      </c>
      <c r="AH23" s="46">
        <v>103.14999999999999</v>
      </c>
      <c r="AI23" s="46">
        <v>44.85</v>
      </c>
      <c r="AJ23" s="46">
        <v>84.95</v>
      </c>
      <c r="AK23" s="46">
        <v>6.125</v>
      </c>
      <c r="AL23" s="46">
        <v>103.34999999999998</v>
      </c>
      <c r="AM23" s="46">
        <v>132.77499999999998</v>
      </c>
      <c r="AN23" s="46">
        <v>157.17500000000001</v>
      </c>
      <c r="AO23" s="46">
        <f t="shared" si="0"/>
        <v>54.352258064516121</v>
      </c>
      <c r="AP23" s="67">
        <f t="shared" si="1"/>
        <v>54.352258064516121</v>
      </c>
    </row>
    <row r="24" spans="1:42" x14ac:dyDescent="0.3">
      <c r="A24" s="5">
        <v>23</v>
      </c>
      <c r="B24" s="6" t="s">
        <v>9</v>
      </c>
      <c r="C24" s="12" t="s">
        <v>271</v>
      </c>
      <c r="D24" s="6" t="s">
        <v>128</v>
      </c>
      <c r="E24" s="6" t="s">
        <v>12</v>
      </c>
      <c r="F24" s="6" t="s">
        <v>409</v>
      </c>
      <c r="G24" s="6" t="s">
        <v>80</v>
      </c>
      <c r="H24" s="5">
        <v>1</v>
      </c>
      <c r="I24" s="67" t="s">
        <v>160</v>
      </c>
      <c r="J24" s="46"/>
      <c r="K24" s="46"/>
      <c r="L24" s="46"/>
      <c r="M24" s="46"/>
      <c r="N24" s="46"/>
      <c r="O24" s="45"/>
      <c r="P24" s="45"/>
      <c r="Q24" s="45"/>
      <c r="R24" s="45"/>
      <c r="S24" s="45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>
        <v>3.7</v>
      </c>
      <c r="AI24" s="46">
        <v>157.19999999999999</v>
      </c>
      <c r="AJ24" s="46">
        <v>138.25</v>
      </c>
      <c r="AK24" s="46">
        <v>41.6</v>
      </c>
      <c r="AL24" s="46">
        <v>172.63000000000002</v>
      </c>
      <c r="AM24" s="46">
        <v>243.08</v>
      </c>
      <c r="AN24" s="46">
        <v>286.44</v>
      </c>
      <c r="AO24" s="46">
        <f t="shared" si="0"/>
        <v>148.98571428571429</v>
      </c>
      <c r="AP24" s="67">
        <f t="shared" si="1"/>
        <v>148.98571428571429</v>
      </c>
    </row>
    <row r="25" spans="1:42" ht="15.6" x14ac:dyDescent="0.3">
      <c r="A25" s="5">
        <v>24</v>
      </c>
      <c r="B25" s="6" t="s">
        <v>9</v>
      </c>
      <c r="C25" s="12" t="s">
        <v>269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7</v>
      </c>
      <c r="I25" s="74" t="s">
        <v>273</v>
      </c>
      <c r="J25" s="46">
        <v>49.579000000000001</v>
      </c>
      <c r="K25" s="46">
        <v>67.149999999999991</v>
      </c>
      <c r="L25" s="46">
        <v>60.48</v>
      </c>
      <c r="M25" s="46">
        <v>81.98599999999999</v>
      </c>
      <c r="N25" s="46">
        <v>50.716999999999999</v>
      </c>
      <c r="O25" s="46">
        <v>92.478999999999999</v>
      </c>
      <c r="P25" s="46">
        <v>51.274000000000001</v>
      </c>
      <c r="Q25" s="46">
        <v>42.067</v>
      </c>
      <c r="R25" s="46">
        <v>59.16</v>
      </c>
      <c r="S25" s="46">
        <v>63.414999999999992</v>
      </c>
      <c r="T25" s="46">
        <v>75.105000000000018</v>
      </c>
      <c r="U25" s="46">
        <v>79.137</v>
      </c>
      <c r="V25" s="46">
        <v>32.163000000000004</v>
      </c>
      <c r="W25" s="46">
        <v>24.374000000000002</v>
      </c>
      <c r="X25" s="46">
        <v>26.366999999999997</v>
      </c>
      <c r="Y25" s="46">
        <v>30.374000000000002</v>
      </c>
      <c r="Z25" s="46">
        <v>57.399000000000001</v>
      </c>
      <c r="AA25" s="46">
        <v>56.789000000000001</v>
      </c>
      <c r="AB25" s="46">
        <v>46.658999999999992</v>
      </c>
      <c r="AC25" s="46">
        <v>62.462999999999994</v>
      </c>
      <c r="AD25" s="46">
        <v>51.369</v>
      </c>
      <c r="AE25" s="46">
        <v>87.433000000000021</v>
      </c>
      <c r="AF25" s="46">
        <v>100.00699999999999</v>
      </c>
      <c r="AG25" s="46">
        <v>94.86</v>
      </c>
      <c r="AH25" s="46">
        <v>50.027000000000001</v>
      </c>
      <c r="AI25" s="46">
        <v>95.042999999999992</v>
      </c>
      <c r="AJ25" s="46">
        <v>66.925999999999988</v>
      </c>
      <c r="AK25" s="46">
        <v>86.347999999999999</v>
      </c>
      <c r="AL25" s="46">
        <v>69.713000000000008</v>
      </c>
      <c r="AM25" s="46">
        <v>29.146999999999998</v>
      </c>
      <c r="AN25" s="46">
        <v>61.887999999999998</v>
      </c>
      <c r="AO25" s="46">
        <f t="shared" si="0"/>
        <v>61.351548387096756</v>
      </c>
      <c r="AP25" s="67">
        <f t="shared" si="1"/>
        <v>8.7645069124423944</v>
      </c>
    </row>
    <row r="26" spans="1:42" x14ac:dyDescent="0.3">
      <c r="A26" s="5">
        <v>25</v>
      </c>
      <c r="B26" s="6" t="s">
        <v>9</v>
      </c>
      <c r="C26" s="12" t="s">
        <v>270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1</v>
      </c>
      <c r="I26" s="67" t="s">
        <v>160</v>
      </c>
      <c r="J26" s="46">
        <v>14.03</v>
      </c>
      <c r="K26" s="46">
        <v>13.76</v>
      </c>
      <c r="L26" s="45">
        <v>12.71</v>
      </c>
      <c r="M26" s="45">
        <v>4.58</v>
      </c>
      <c r="N26" s="45">
        <v>7.56</v>
      </c>
      <c r="O26" s="45">
        <v>6.96</v>
      </c>
      <c r="P26" s="45">
        <v>8.48</v>
      </c>
      <c r="Q26" s="45">
        <v>0.32</v>
      </c>
      <c r="R26" s="45">
        <v>7.32</v>
      </c>
      <c r="S26" s="45">
        <v>4.91</v>
      </c>
      <c r="T26" s="46">
        <v>5.51</v>
      </c>
      <c r="U26" s="46">
        <v>9.44</v>
      </c>
      <c r="V26" s="46">
        <v>2.76</v>
      </c>
      <c r="W26" s="46">
        <v>6.08</v>
      </c>
      <c r="X26" s="46">
        <v>23.19</v>
      </c>
      <c r="Y26" s="46">
        <v>0.36</v>
      </c>
      <c r="Z26" s="46">
        <v>7.1390000000000002</v>
      </c>
      <c r="AA26" s="46">
        <v>6.5</v>
      </c>
      <c r="AB26" s="46">
        <v>8.09</v>
      </c>
      <c r="AC26" s="46">
        <v>0</v>
      </c>
      <c r="AD26" s="46">
        <v>0</v>
      </c>
      <c r="AE26" s="46">
        <v>9.088000000000001</v>
      </c>
      <c r="AF26" s="46">
        <v>6.7480000000000002</v>
      </c>
      <c r="AG26" s="46">
        <v>5.4079999999999995</v>
      </c>
      <c r="AH26" s="46">
        <v>10.327999999999999</v>
      </c>
      <c r="AI26" s="46">
        <v>7.9740000000000002</v>
      </c>
      <c r="AJ26" s="46">
        <v>7.7589999999999995</v>
      </c>
      <c r="AK26" s="46">
        <v>9.1669999999999998</v>
      </c>
      <c r="AL26" s="46">
        <v>4.4319999999999995</v>
      </c>
      <c r="AM26" s="46">
        <v>7.9269999999999996</v>
      </c>
      <c r="AN26" s="46">
        <v>10.971</v>
      </c>
      <c r="AO26" s="46">
        <f t="shared" si="0"/>
        <v>7.4032580645161277</v>
      </c>
      <c r="AP26" s="67">
        <f t="shared" si="1"/>
        <v>7.4032580645161277</v>
      </c>
    </row>
    <row r="27" spans="1:42" x14ac:dyDescent="0.3">
      <c r="A27" s="5">
        <v>26</v>
      </c>
      <c r="B27" s="6" t="s">
        <v>9</v>
      </c>
      <c r="C27" s="12" t="s">
        <v>270</v>
      </c>
      <c r="D27" s="6" t="s">
        <v>128</v>
      </c>
      <c r="E27" s="6" t="s">
        <v>12</v>
      </c>
      <c r="F27" s="6" t="s">
        <v>40</v>
      </c>
      <c r="G27" s="6" t="s">
        <v>35</v>
      </c>
      <c r="H27" s="5">
        <v>1</v>
      </c>
      <c r="I27" s="67" t="s">
        <v>160</v>
      </c>
      <c r="J27" s="46">
        <v>0</v>
      </c>
      <c r="K27" s="45">
        <v>15.39</v>
      </c>
      <c r="L27" s="45">
        <v>0</v>
      </c>
      <c r="M27" s="45">
        <v>0</v>
      </c>
      <c r="N27" s="45">
        <v>0</v>
      </c>
      <c r="O27" s="45">
        <v>10.36</v>
      </c>
      <c r="P27" s="45">
        <v>0</v>
      </c>
      <c r="Q27" s="45">
        <v>0</v>
      </c>
      <c r="R27" s="45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  <c r="X27" s="45">
        <v>0</v>
      </c>
      <c r="Y27" s="46">
        <v>0</v>
      </c>
      <c r="Z27" s="46">
        <v>0</v>
      </c>
      <c r="AA27" s="46">
        <v>11.47</v>
      </c>
      <c r="AB27" s="46">
        <v>0</v>
      </c>
      <c r="AC27" s="46">
        <v>15.73</v>
      </c>
      <c r="AD27" s="46">
        <v>0</v>
      </c>
      <c r="AE27" s="46">
        <v>0</v>
      </c>
      <c r="AF27" s="46">
        <v>0</v>
      </c>
      <c r="AG27" s="46">
        <v>0</v>
      </c>
      <c r="AH27" s="46">
        <v>1.6619999999999999</v>
      </c>
      <c r="AI27" s="46">
        <v>19.170000000000002</v>
      </c>
      <c r="AJ27" s="46">
        <v>0</v>
      </c>
      <c r="AK27" s="46">
        <v>5.13</v>
      </c>
      <c r="AL27" s="46">
        <v>4.3070000000000004</v>
      </c>
      <c r="AM27" s="46">
        <v>2.746</v>
      </c>
      <c r="AN27" s="46">
        <v>9.1020000000000003</v>
      </c>
      <c r="AO27" s="46">
        <f t="shared" si="0"/>
        <v>3.0666774193548387</v>
      </c>
      <c r="AP27" s="67">
        <f t="shared" si="1"/>
        <v>3.0666774193548387</v>
      </c>
    </row>
    <row r="28" spans="1:42" x14ac:dyDescent="0.3">
      <c r="A28" s="5">
        <v>27</v>
      </c>
      <c r="B28" s="6" t="s">
        <v>9</v>
      </c>
      <c r="C28" s="12" t="s">
        <v>270</v>
      </c>
      <c r="D28" s="6" t="s">
        <v>128</v>
      </c>
      <c r="E28" s="6" t="s">
        <v>12</v>
      </c>
      <c r="F28" s="6" t="s">
        <v>124</v>
      </c>
      <c r="G28" s="6" t="s">
        <v>80</v>
      </c>
      <c r="H28" s="5">
        <v>1</v>
      </c>
      <c r="I28" s="67" t="s">
        <v>160</v>
      </c>
      <c r="J28" s="46">
        <v>0</v>
      </c>
      <c r="K28" s="45">
        <v>0</v>
      </c>
      <c r="L28" s="45">
        <v>0</v>
      </c>
      <c r="M28" s="45">
        <v>0.04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</v>
      </c>
      <c r="T28" s="45">
        <v>0</v>
      </c>
      <c r="U28" s="45">
        <v>0</v>
      </c>
      <c r="V28" s="45">
        <v>0.15</v>
      </c>
      <c r="W28" s="45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v>0</v>
      </c>
      <c r="AO28" s="46">
        <f t="shared" si="0"/>
        <v>6.1290322580645163E-3</v>
      </c>
      <c r="AP28" s="67">
        <f t="shared" si="1"/>
        <v>6.1290322580645163E-3</v>
      </c>
    </row>
    <row r="29" spans="1:42" x14ac:dyDescent="0.3">
      <c r="A29" s="5">
        <v>28</v>
      </c>
      <c r="B29" s="6" t="s">
        <v>9</v>
      </c>
      <c r="C29" s="12" t="s">
        <v>270</v>
      </c>
      <c r="D29" s="6" t="s">
        <v>128</v>
      </c>
      <c r="E29" s="6" t="s">
        <v>12</v>
      </c>
      <c r="F29" s="6" t="s">
        <v>251</v>
      </c>
      <c r="G29" s="6" t="s">
        <v>80</v>
      </c>
      <c r="H29" s="5">
        <v>2</v>
      </c>
      <c r="I29" s="67" t="s">
        <v>160</v>
      </c>
      <c r="J29" s="46">
        <v>51.41</v>
      </c>
      <c r="K29" s="45">
        <v>0</v>
      </c>
      <c r="L29" s="45">
        <v>23.72</v>
      </c>
      <c r="M29" s="45">
        <v>35.72</v>
      </c>
      <c r="N29" s="45">
        <v>22.69</v>
      </c>
      <c r="O29" s="45">
        <v>19.75</v>
      </c>
      <c r="P29" s="45">
        <v>13.76</v>
      </c>
      <c r="Q29" s="45">
        <v>11.11</v>
      </c>
      <c r="R29" s="45">
        <v>43.54</v>
      </c>
      <c r="S29" s="45">
        <v>0</v>
      </c>
      <c r="T29" s="46">
        <v>0</v>
      </c>
      <c r="U29" s="46">
        <v>26.93</v>
      </c>
      <c r="V29" s="46">
        <v>24.95</v>
      </c>
      <c r="W29" s="46">
        <v>7.96</v>
      </c>
      <c r="X29" s="46">
        <v>21.29</v>
      </c>
      <c r="Y29" s="46">
        <v>30.79</v>
      </c>
      <c r="Z29" s="46">
        <v>0</v>
      </c>
      <c r="AA29" s="46">
        <v>0</v>
      </c>
      <c r="AB29" s="46">
        <v>0</v>
      </c>
      <c r="AC29" s="46">
        <v>45.56</v>
      </c>
      <c r="AD29" s="46">
        <v>0</v>
      </c>
      <c r="AE29" s="46">
        <v>9.9179999999999993</v>
      </c>
      <c r="AF29" s="46">
        <v>18.381</v>
      </c>
      <c r="AG29" s="46">
        <v>8.6969999999999992</v>
      </c>
      <c r="AH29" s="46">
        <v>26.835999999999999</v>
      </c>
      <c r="AI29" s="46">
        <v>26.788999999999998</v>
      </c>
      <c r="AJ29" s="46">
        <v>43.372</v>
      </c>
      <c r="AK29" s="46">
        <v>17.893999999999998</v>
      </c>
      <c r="AL29" s="46">
        <v>68.12700000000001</v>
      </c>
      <c r="AM29" s="46">
        <v>33.285000000000004</v>
      </c>
      <c r="AN29" s="46">
        <v>41.716999999999999</v>
      </c>
      <c r="AO29" s="46">
        <f t="shared" si="0"/>
        <v>21.748258064516126</v>
      </c>
      <c r="AP29" s="67">
        <f t="shared" si="1"/>
        <v>10.874129032258063</v>
      </c>
    </row>
    <row r="30" spans="1:42" x14ac:dyDescent="0.3">
      <c r="A30" s="5">
        <v>29</v>
      </c>
      <c r="B30" s="6" t="s">
        <v>9</v>
      </c>
      <c r="C30" s="12" t="s">
        <v>243</v>
      </c>
      <c r="D30" s="6" t="s">
        <v>128</v>
      </c>
      <c r="E30" s="6" t="s">
        <v>12</v>
      </c>
      <c r="F30" s="6" t="s">
        <v>124</v>
      </c>
      <c r="G30" s="6" t="s">
        <v>80</v>
      </c>
      <c r="H30" s="5">
        <v>1</v>
      </c>
      <c r="I30" s="67" t="s">
        <v>160</v>
      </c>
      <c r="J30" s="46">
        <v>0</v>
      </c>
      <c r="K30" s="46">
        <v>0</v>
      </c>
      <c r="L30" s="46">
        <v>0</v>
      </c>
      <c r="M30" s="46">
        <v>0</v>
      </c>
      <c r="N30" s="46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f t="shared" si="0"/>
        <v>0</v>
      </c>
      <c r="AP30" s="67">
        <f t="shared" si="1"/>
        <v>0</v>
      </c>
    </row>
    <row r="31" spans="1:42" ht="15.6" x14ac:dyDescent="0.3">
      <c r="A31" s="5">
        <v>30</v>
      </c>
      <c r="B31" s="6" t="s">
        <v>9</v>
      </c>
      <c r="C31" s="12" t="s">
        <v>260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9</v>
      </c>
      <c r="I31" s="74" t="s">
        <v>273</v>
      </c>
      <c r="J31" s="46">
        <v>134.88</v>
      </c>
      <c r="K31" s="46">
        <v>133.41999999999999</v>
      </c>
      <c r="L31" s="46">
        <v>135.62</v>
      </c>
      <c r="M31" s="46">
        <v>127.73</v>
      </c>
      <c r="N31" s="46">
        <v>151.65</v>
      </c>
      <c r="O31" s="46">
        <v>166.19</v>
      </c>
      <c r="P31" s="46">
        <v>160.44</v>
      </c>
      <c r="Q31" s="46">
        <v>132.01</v>
      </c>
      <c r="R31" s="46">
        <v>157.6</v>
      </c>
      <c r="S31" s="46">
        <v>102.43</v>
      </c>
      <c r="T31" s="46">
        <v>151.26</v>
      </c>
      <c r="U31" s="46">
        <v>102.61</v>
      </c>
      <c r="V31" s="46">
        <v>122.08</v>
      </c>
      <c r="W31" s="46">
        <v>111.19</v>
      </c>
      <c r="X31" s="46">
        <v>126.93</v>
      </c>
      <c r="Y31" s="46">
        <v>133.05000000000001</v>
      </c>
      <c r="Z31" s="46">
        <v>115.69</v>
      </c>
      <c r="AA31" s="46">
        <v>126.04</v>
      </c>
      <c r="AB31" s="46">
        <v>126.79</v>
      </c>
      <c r="AC31" s="46">
        <v>123.99</v>
      </c>
      <c r="AD31" s="46">
        <v>123.08</v>
      </c>
      <c r="AE31" s="46">
        <v>150.441</v>
      </c>
      <c r="AF31" s="46">
        <v>156.47300000000004</v>
      </c>
      <c r="AG31" s="46">
        <v>143.97700000000003</v>
      </c>
      <c r="AH31" s="46">
        <v>149.20999999999998</v>
      </c>
      <c r="AI31" s="46">
        <v>138.25700000000001</v>
      </c>
      <c r="AJ31" s="46">
        <v>127.66700000000003</v>
      </c>
      <c r="AK31" s="46">
        <v>110.66100000000004</v>
      </c>
      <c r="AL31" s="46">
        <v>88.041999999999987</v>
      </c>
      <c r="AM31" s="46">
        <v>90.441999999999993</v>
      </c>
      <c r="AN31" s="46">
        <v>132.22799999999998</v>
      </c>
      <c r="AO31" s="46">
        <f t="shared" si="0"/>
        <v>130.71219354838709</v>
      </c>
      <c r="AP31" s="67">
        <f t="shared" si="1"/>
        <v>14.523577060931899</v>
      </c>
    </row>
    <row r="32" spans="1:42" ht="15.6" x14ac:dyDescent="0.3">
      <c r="A32" s="5">
        <v>31</v>
      </c>
      <c r="B32" s="6" t="s">
        <v>9</v>
      </c>
      <c r="C32" s="12" t="s">
        <v>260</v>
      </c>
      <c r="D32" s="6" t="s">
        <v>128</v>
      </c>
      <c r="E32" s="6" t="s">
        <v>12</v>
      </c>
      <c r="F32" s="6" t="s">
        <v>309</v>
      </c>
      <c r="G32" s="6" t="s">
        <v>80</v>
      </c>
      <c r="H32" s="5">
        <v>1</v>
      </c>
      <c r="I32" s="74" t="s">
        <v>273</v>
      </c>
      <c r="J32" s="46">
        <v>51.13</v>
      </c>
      <c r="K32" s="46">
        <v>46.57</v>
      </c>
      <c r="L32" s="46">
        <v>53.91</v>
      </c>
      <c r="M32" s="46">
        <v>44.13</v>
      </c>
      <c r="N32" s="46">
        <v>46.36</v>
      </c>
      <c r="O32" s="46">
        <v>51.16</v>
      </c>
      <c r="P32" s="46">
        <v>44.16</v>
      </c>
      <c r="Q32" s="46">
        <v>34.799999999999997</v>
      </c>
      <c r="R32" s="46">
        <v>58.47</v>
      </c>
      <c r="S32" s="46">
        <v>44.97</v>
      </c>
      <c r="T32" s="46">
        <v>42.81</v>
      </c>
      <c r="U32" s="46">
        <v>37.549999999999997</v>
      </c>
      <c r="V32" s="46">
        <v>45.06</v>
      </c>
      <c r="W32" s="46">
        <v>31.25</v>
      </c>
      <c r="X32" s="46">
        <v>32.840000000000003</v>
      </c>
      <c r="Y32" s="46">
        <v>41.68</v>
      </c>
      <c r="Z32" s="46">
        <v>39.46</v>
      </c>
      <c r="AA32" s="46">
        <v>34.33</v>
      </c>
      <c r="AB32" s="46">
        <v>32.07</v>
      </c>
      <c r="AC32" s="46">
        <v>34.32</v>
      </c>
      <c r="AD32" s="46">
        <v>34.299999999999997</v>
      </c>
      <c r="AE32" s="10">
        <v>44.309999999999995</v>
      </c>
      <c r="AF32" s="46">
        <v>28.1</v>
      </c>
      <c r="AG32" s="46">
        <v>49.889999999999993</v>
      </c>
      <c r="AH32" s="46">
        <v>41.34</v>
      </c>
      <c r="AI32" s="46">
        <v>45.36</v>
      </c>
      <c r="AJ32" s="46">
        <v>33.42</v>
      </c>
      <c r="AK32" s="46">
        <v>44.169999999999995</v>
      </c>
      <c r="AL32" s="46">
        <v>41.550000000000004</v>
      </c>
      <c r="AM32" s="46">
        <v>39.53</v>
      </c>
      <c r="AN32" s="46">
        <v>42.589999999999996</v>
      </c>
      <c r="AO32" s="46">
        <f t="shared" si="0"/>
        <v>41.664193548387097</v>
      </c>
      <c r="AP32" s="67">
        <f t="shared" si="1"/>
        <v>41.664193548387097</v>
      </c>
    </row>
    <row r="33" spans="1:42" ht="15.6" x14ac:dyDescent="0.3">
      <c r="A33" s="5">
        <v>32</v>
      </c>
      <c r="B33" s="6" t="s">
        <v>9</v>
      </c>
      <c r="C33" s="12" t="s">
        <v>352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8</v>
      </c>
      <c r="I33" s="74" t="s">
        <v>273</v>
      </c>
      <c r="J33" s="46">
        <v>107.13</v>
      </c>
      <c r="K33" s="45">
        <v>105.45</v>
      </c>
      <c r="L33" s="45">
        <v>100.49</v>
      </c>
      <c r="M33" s="45">
        <v>115.6</v>
      </c>
      <c r="N33" s="45">
        <v>107.89</v>
      </c>
      <c r="O33" s="45">
        <v>126.21</v>
      </c>
      <c r="P33" s="45">
        <v>91.43</v>
      </c>
      <c r="Q33" s="45">
        <v>104.55</v>
      </c>
      <c r="R33" s="45">
        <v>93.88</v>
      </c>
      <c r="S33" s="45">
        <v>109.84</v>
      </c>
      <c r="T33" s="46">
        <v>89.46</v>
      </c>
      <c r="U33" s="46">
        <v>114.82</v>
      </c>
      <c r="V33" s="46">
        <v>74.599999999999994</v>
      </c>
      <c r="W33" s="46">
        <v>94.28</v>
      </c>
      <c r="X33" s="46">
        <v>96.86</v>
      </c>
      <c r="Y33" s="46">
        <v>86.13</v>
      </c>
      <c r="Z33" s="46">
        <v>99.66</v>
      </c>
      <c r="AA33" s="46">
        <v>77.19</v>
      </c>
      <c r="AB33" s="46">
        <v>128.81</v>
      </c>
      <c r="AC33" s="46">
        <v>99.85</v>
      </c>
      <c r="AD33" s="46">
        <v>126.16</v>
      </c>
      <c r="AE33" s="46">
        <v>106.25800000000001</v>
      </c>
      <c r="AF33" s="46">
        <v>69.298000000000002</v>
      </c>
      <c r="AG33" s="46">
        <v>152.04499999999999</v>
      </c>
      <c r="AH33" s="46">
        <v>87.813000000000017</v>
      </c>
      <c r="AI33" s="46">
        <v>93.286999999999992</v>
      </c>
      <c r="AJ33" s="46">
        <v>116.78700000000001</v>
      </c>
      <c r="AK33" s="46">
        <v>101.506</v>
      </c>
      <c r="AL33" s="46">
        <v>67.381</v>
      </c>
      <c r="AM33" s="46">
        <v>91.159000000000006</v>
      </c>
      <c r="AN33" s="46">
        <v>93.178000000000011</v>
      </c>
      <c r="AO33" s="46">
        <f t="shared" si="0"/>
        <v>100.93554838709674</v>
      </c>
      <c r="AP33" s="67">
        <f t="shared" si="1"/>
        <v>12.616943548387093</v>
      </c>
    </row>
    <row r="34" spans="1:42" ht="15.6" x14ac:dyDescent="0.3">
      <c r="A34" s="5">
        <v>33</v>
      </c>
      <c r="B34" s="6" t="s">
        <v>9</v>
      </c>
      <c r="C34" s="12" t="s">
        <v>352</v>
      </c>
      <c r="D34" s="6" t="s">
        <v>128</v>
      </c>
      <c r="E34" s="6" t="s">
        <v>12</v>
      </c>
      <c r="F34" s="6" t="s">
        <v>40</v>
      </c>
      <c r="G34" s="6" t="s">
        <v>35</v>
      </c>
      <c r="H34" s="5">
        <v>2</v>
      </c>
      <c r="I34" s="74" t="s">
        <v>273</v>
      </c>
      <c r="J34" s="46">
        <v>60.79</v>
      </c>
      <c r="K34" s="45">
        <v>25.44</v>
      </c>
      <c r="L34" s="45">
        <v>68.84</v>
      </c>
      <c r="M34" s="45">
        <v>72.92</v>
      </c>
      <c r="N34" s="45">
        <v>35.869999999999997</v>
      </c>
      <c r="O34" s="45">
        <v>73.319999999999993</v>
      </c>
      <c r="P34" s="45">
        <v>65.81</v>
      </c>
      <c r="Q34" s="45">
        <v>39.58</v>
      </c>
      <c r="R34" s="45">
        <v>44.34</v>
      </c>
      <c r="S34" s="45">
        <v>59.28</v>
      </c>
      <c r="T34" s="46">
        <v>50.38</v>
      </c>
      <c r="U34" s="46">
        <v>40.549999999999997</v>
      </c>
      <c r="V34" s="46">
        <v>13.69</v>
      </c>
      <c r="W34" s="46">
        <v>30.34</v>
      </c>
      <c r="X34" s="46">
        <v>35.090000000000003</v>
      </c>
      <c r="Y34" s="46">
        <v>84.28</v>
      </c>
      <c r="Z34" s="46">
        <v>41.57</v>
      </c>
      <c r="AA34" s="46">
        <v>21.74</v>
      </c>
      <c r="AB34" s="46">
        <v>46.43</v>
      </c>
      <c r="AC34" s="46">
        <v>44.95</v>
      </c>
      <c r="AD34" s="46">
        <v>46.58</v>
      </c>
      <c r="AE34" s="46">
        <v>58.393999999999991</v>
      </c>
      <c r="AF34" s="46">
        <v>49.305</v>
      </c>
      <c r="AG34" s="46">
        <v>75.289999999999992</v>
      </c>
      <c r="AH34" s="46">
        <v>39.091000000000001</v>
      </c>
      <c r="AI34" s="46">
        <v>40.622</v>
      </c>
      <c r="AJ34" s="46">
        <v>66.458999999999989</v>
      </c>
      <c r="AK34" s="46">
        <v>37.04</v>
      </c>
      <c r="AL34" s="46">
        <v>29.61</v>
      </c>
      <c r="AM34" s="46">
        <v>84.066000000000017</v>
      </c>
      <c r="AN34" s="46">
        <v>9.9689999999999994</v>
      </c>
      <c r="AO34" s="46">
        <f t="shared" si="0"/>
        <v>48.117290322580644</v>
      </c>
      <c r="AP34" s="67">
        <f t="shared" si="1"/>
        <v>24.058645161290322</v>
      </c>
    </row>
    <row r="35" spans="1:42" ht="15.6" x14ac:dyDescent="0.3">
      <c r="A35" s="5">
        <v>34</v>
      </c>
      <c r="B35" s="6" t="s">
        <v>9</v>
      </c>
      <c r="C35" s="12" t="s">
        <v>370</v>
      </c>
      <c r="D35" s="6" t="s">
        <v>128</v>
      </c>
      <c r="E35" s="6" t="s">
        <v>12</v>
      </c>
      <c r="F35" s="6" t="s">
        <v>13</v>
      </c>
      <c r="G35" s="6" t="s">
        <v>35</v>
      </c>
      <c r="H35" s="5">
        <v>1</v>
      </c>
      <c r="I35" s="74" t="s">
        <v>273</v>
      </c>
      <c r="J35" s="46">
        <v>20.79</v>
      </c>
      <c r="K35" s="46">
        <v>8.7829999999999995</v>
      </c>
      <c r="L35" s="46">
        <v>21.626999999999999</v>
      </c>
      <c r="M35" s="46">
        <v>9.4</v>
      </c>
      <c r="N35" s="46">
        <v>15.798</v>
      </c>
      <c r="O35" s="46">
        <v>14.932</v>
      </c>
      <c r="P35" s="46">
        <v>17.96</v>
      </c>
      <c r="Q35" s="46">
        <v>2.762</v>
      </c>
      <c r="R35" s="46">
        <v>17.135000000000002</v>
      </c>
      <c r="S35" s="46">
        <v>8.75</v>
      </c>
      <c r="T35" s="46">
        <v>15.913</v>
      </c>
      <c r="U35" s="46">
        <v>10.103999999999999</v>
      </c>
      <c r="V35" s="46">
        <v>9.7929999999999993</v>
      </c>
      <c r="W35" s="46">
        <v>8.26</v>
      </c>
      <c r="X35" s="46">
        <v>13.593000000000002</v>
      </c>
      <c r="Y35" s="46">
        <v>8.67</v>
      </c>
      <c r="Z35" s="46">
        <v>14.82</v>
      </c>
      <c r="AA35" s="46">
        <v>13.132000000000001</v>
      </c>
      <c r="AB35" s="46">
        <v>18.387</v>
      </c>
      <c r="AC35" s="46">
        <v>7.734</v>
      </c>
      <c r="AD35" s="46">
        <v>18.768999999999998</v>
      </c>
      <c r="AE35" s="46">
        <v>11.259</v>
      </c>
      <c r="AF35" s="46">
        <v>21.533999999999999</v>
      </c>
      <c r="AG35" s="46">
        <v>16.074999999999999</v>
      </c>
      <c r="AH35" s="46">
        <v>17.567</v>
      </c>
      <c r="AI35" s="46">
        <v>23.956000000000003</v>
      </c>
      <c r="AJ35" s="46">
        <v>18.997999999999998</v>
      </c>
      <c r="AK35" s="46">
        <v>22.35</v>
      </c>
      <c r="AL35" s="46">
        <v>9.0869999999999997</v>
      </c>
      <c r="AM35" s="46">
        <v>15.701000000000001</v>
      </c>
      <c r="AN35" s="46">
        <v>15.988999999999999</v>
      </c>
      <c r="AO35" s="46">
        <f t="shared" si="0"/>
        <v>14.504129032258064</v>
      </c>
      <c r="AP35" s="67">
        <f t="shared" si="1"/>
        <v>14.504129032258064</v>
      </c>
    </row>
    <row r="36" spans="1:42" ht="15.6" x14ac:dyDescent="0.3">
      <c r="A36" s="5">
        <v>35</v>
      </c>
      <c r="B36" s="6" t="s">
        <v>9</v>
      </c>
      <c r="C36" s="12" t="s">
        <v>283</v>
      </c>
      <c r="D36" s="6" t="s">
        <v>128</v>
      </c>
      <c r="E36" s="6" t="s">
        <v>12</v>
      </c>
      <c r="F36" s="6" t="s">
        <v>13</v>
      </c>
      <c r="G36" s="6" t="s">
        <v>35</v>
      </c>
      <c r="H36" s="5">
        <v>5</v>
      </c>
      <c r="I36" s="74" t="s">
        <v>273</v>
      </c>
      <c r="J36" s="46">
        <v>27.83</v>
      </c>
      <c r="K36" s="46">
        <v>40.771000000000001</v>
      </c>
      <c r="L36" s="46">
        <v>44.606000000000002</v>
      </c>
      <c r="M36" s="46">
        <v>62.747999999999998</v>
      </c>
      <c r="N36" s="46">
        <v>49.214000000000006</v>
      </c>
      <c r="O36" s="46">
        <v>76.168999999999997</v>
      </c>
      <c r="P36" s="46">
        <v>48.440999999999995</v>
      </c>
      <c r="Q36" s="46">
        <v>61.526999999999994</v>
      </c>
      <c r="R36" s="46">
        <v>52.18399999999999</v>
      </c>
      <c r="S36" s="46">
        <v>60.184000000000005</v>
      </c>
      <c r="T36" s="46">
        <v>38.064999999999998</v>
      </c>
      <c r="U36" s="46">
        <v>47.386000000000003</v>
      </c>
      <c r="V36" s="46">
        <v>43.220999999999997</v>
      </c>
      <c r="W36" s="46">
        <v>29.657000000000004</v>
      </c>
      <c r="X36" s="46">
        <v>46.469000000000008</v>
      </c>
      <c r="Y36" s="46">
        <v>13.834999999999999</v>
      </c>
      <c r="Z36" s="46">
        <v>44.577999999999996</v>
      </c>
      <c r="AA36" s="46">
        <v>47.664000000000001</v>
      </c>
      <c r="AB36" s="46">
        <v>37.495000000000005</v>
      </c>
      <c r="AC36" s="46">
        <v>51.18</v>
      </c>
      <c r="AD36" s="46">
        <v>42.347000000000001</v>
      </c>
      <c r="AE36" s="46">
        <v>41.507000000000005</v>
      </c>
      <c r="AF36" s="46">
        <v>45.886999999999993</v>
      </c>
      <c r="AG36" s="46">
        <v>67.040000000000006</v>
      </c>
      <c r="AH36" s="46">
        <v>43.444999999999986</v>
      </c>
      <c r="AI36" s="46">
        <v>32.022999999999996</v>
      </c>
      <c r="AJ36" s="46">
        <v>39.77600000000001</v>
      </c>
      <c r="AK36" s="46">
        <v>22.63</v>
      </c>
      <c r="AL36" s="46">
        <v>18.771999999999998</v>
      </c>
      <c r="AM36" s="46">
        <v>31.041</v>
      </c>
      <c r="AN36" s="46">
        <v>50.146000000000001</v>
      </c>
      <c r="AO36" s="46">
        <f t="shared" si="0"/>
        <v>43.801225806451598</v>
      </c>
      <c r="AP36" s="67">
        <f t="shared" si="1"/>
        <v>8.7602451612903192</v>
      </c>
    </row>
    <row r="37" spans="1:42" ht="15.6" x14ac:dyDescent="0.3">
      <c r="A37" s="5">
        <v>36</v>
      </c>
      <c r="B37" s="6" t="s">
        <v>9</v>
      </c>
      <c r="C37" s="12" t="s">
        <v>318</v>
      </c>
      <c r="D37" s="6" t="s">
        <v>128</v>
      </c>
      <c r="E37" s="6" t="s">
        <v>12</v>
      </c>
      <c r="F37" s="6" t="s">
        <v>13</v>
      </c>
      <c r="G37" s="6" t="s">
        <v>35</v>
      </c>
      <c r="H37" s="5">
        <v>1</v>
      </c>
      <c r="I37" s="74" t="s">
        <v>272</v>
      </c>
      <c r="J37" s="46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0.89700000000000002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f t="shared" si="0"/>
        <v>2.8935483870967744E-2</v>
      </c>
      <c r="AP37" s="67">
        <f t="shared" si="1"/>
        <v>2.8935483870967744E-2</v>
      </c>
    </row>
    <row r="38" spans="1:42" ht="15.6" x14ac:dyDescent="0.3">
      <c r="A38" s="5">
        <v>37</v>
      </c>
      <c r="B38" s="6" t="s">
        <v>9</v>
      </c>
      <c r="C38" s="12" t="s">
        <v>323</v>
      </c>
      <c r="D38" s="6" t="s">
        <v>128</v>
      </c>
      <c r="E38" s="6" t="s">
        <v>12</v>
      </c>
      <c r="F38" s="6" t="s">
        <v>13</v>
      </c>
      <c r="G38" s="6" t="s">
        <v>35</v>
      </c>
      <c r="H38" s="5">
        <v>3</v>
      </c>
      <c r="I38" s="74" t="s">
        <v>273</v>
      </c>
      <c r="J38" s="46">
        <v>16.72</v>
      </c>
      <c r="K38" s="46">
        <v>22.682999999999996</v>
      </c>
      <c r="L38" s="46">
        <v>4.4570000000000007</v>
      </c>
      <c r="M38" s="46">
        <v>30.548999999999999</v>
      </c>
      <c r="N38" s="46">
        <v>28.855000000000004</v>
      </c>
      <c r="O38" s="46">
        <v>17.018000000000001</v>
      </c>
      <c r="P38" s="46">
        <v>21.497</v>
      </c>
      <c r="Q38" s="46">
        <v>37.753999999999991</v>
      </c>
      <c r="R38" s="46">
        <v>16.839999999999996</v>
      </c>
      <c r="S38" s="46">
        <v>18.806999999999999</v>
      </c>
      <c r="T38" s="46">
        <v>11.766</v>
      </c>
      <c r="U38" s="46">
        <v>14.08</v>
      </c>
      <c r="V38" s="46">
        <v>23.027999999999999</v>
      </c>
      <c r="W38" s="46">
        <v>7.5419999999999998</v>
      </c>
      <c r="X38" s="46">
        <v>11.097999999999999</v>
      </c>
      <c r="Y38" s="46">
        <v>28.036999999999999</v>
      </c>
      <c r="Z38" s="46">
        <v>18.436</v>
      </c>
      <c r="AA38" s="46">
        <v>13.937999999999999</v>
      </c>
      <c r="AB38" s="46">
        <v>28.575999999999997</v>
      </c>
      <c r="AC38" s="46">
        <v>19.950999999999997</v>
      </c>
      <c r="AD38" s="46">
        <v>22.312000000000001</v>
      </c>
      <c r="AE38" s="46">
        <v>7.609</v>
      </c>
      <c r="AF38" s="46">
        <v>21.367999999999999</v>
      </c>
      <c r="AG38" s="46">
        <v>14.699</v>
      </c>
      <c r="AH38" s="46">
        <v>7.9930000000000003</v>
      </c>
      <c r="AI38" s="46">
        <v>19.933999999999997</v>
      </c>
      <c r="AJ38" s="46">
        <v>19.773</v>
      </c>
      <c r="AK38" s="46">
        <v>20.995000000000001</v>
      </c>
      <c r="AL38" s="46">
        <v>13.357999999999999</v>
      </c>
      <c r="AM38" s="46">
        <v>17.128000000000004</v>
      </c>
      <c r="AN38" s="46">
        <v>15.026999999999997</v>
      </c>
      <c r="AO38" s="46">
        <f t="shared" si="0"/>
        <v>18.446064516129031</v>
      </c>
      <c r="AP38" s="67">
        <f t="shared" si="1"/>
        <v>6.14868817204301</v>
      </c>
    </row>
    <row r="39" spans="1:42" ht="15.6" x14ac:dyDescent="0.3">
      <c r="A39" s="5">
        <v>38</v>
      </c>
      <c r="B39" s="6" t="s">
        <v>9</v>
      </c>
      <c r="C39" s="12" t="s">
        <v>354</v>
      </c>
      <c r="D39" s="6" t="s">
        <v>128</v>
      </c>
      <c r="E39" s="6" t="s">
        <v>12</v>
      </c>
      <c r="F39" s="6" t="s">
        <v>13</v>
      </c>
      <c r="G39" s="6" t="s">
        <v>35</v>
      </c>
      <c r="H39" s="5">
        <v>6</v>
      </c>
      <c r="I39" s="74" t="s">
        <v>273</v>
      </c>
      <c r="J39" s="46">
        <v>13.191999999999998</v>
      </c>
      <c r="K39" s="46">
        <v>57.324000000000005</v>
      </c>
      <c r="L39" s="46">
        <v>50.567</v>
      </c>
      <c r="M39" s="46">
        <v>40.003</v>
      </c>
      <c r="N39" s="46">
        <v>36.953000000000003</v>
      </c>
      <c r="O39" s="46">
        <v>29.091999999999999</v>
      </c>
      <c r="P39" s="46">
        <v>34.450000000000003</v>
      </c>
      <c r="Q39" s="46">
        <v>53.087999999999994</v>
      </c>
      <c r="R39" s="46">
        <v>77.288000000000011</v>
      </c>
      <c r="S39" s="46">
        <v>49.865000000000009</v>
      </c>
      <c r="T39" s="46">
        <v>40.516999999999996</v>
      </c>
      <c r="U39" s="46">
        <v>60.58</v>
      </c>
      <c r="V39" s="46">
        <v>25.207999999999998</v>
      </c>
      <c r="W39" s="46">
        <v>73.427999999999997</v>
      </c>
      <c r="X39" s="46">
        <v>24.82</v>
      </c>
      <c r="Y39" s="46">
        <v>92.527000000000015</v>
      </c>
      <c r="Z39" s="46">
        <v>54.016999999999996</v>
      </c>
      <c r="AA39" s="46">
        <v>30.337999999999997</v>
      </c>
      <c r="AB39" s="46">
        <v>36.513999999999996</v>
      </c>
      <c r="AC39" s="46">
        <v>34.019000000000005</v>
      </c>
      <c r="AD39" s="46">
        <v>74.721999999999994</v>
      </c>
      <c r="AE39" s="46">
        <v>32.671999999999976</v>
      </c>
      <c r="AF39" s="46">
        <v>42.811000000000007</v>
      </c>
      <c r="AG39" s="46">
        <v>63.738999999999997</v>
      </c>
      <c r="AH39" s="46">
        <v>58.573999999999998</v>
      </c>
      <c r="AI39" s="46">
        <v>46.607999999999997</v>
      </c>
      <c r="AJ39" s="46">
        <v>49.807999999999993</v>
      </c>
      <c r="AK39" s="46">
        <v>72.977000000000004</v>
      </c>
      <c r="AL39" s="46">
        <v>49.754000000000005</v>
      </c>
      <c r="AM39" s="46">
        <v>64.346000000000004</v>
      </c>
      <c r="AN39" s="46">
        <v>73.394999999999996</v>
      </c>
      <c r="AO39" s="46">
        <f t="shared" si="0"/>
        <v>49.780516129032264</v>
      </c>
      <c r="AP39" s="67">
        <f t="shared" si="1"/>
        <v>8.2967526881720435</v>
      </c>
    </row>
    <row r="40" spans="1:42" ht="15.6" x14ac:dyDescent="0.3">
      <c r="A40" s="5">
        <v>39</v>
      </c>
      <c r="B40" s="6" t="s">
        <v>9</v>
      </c>
      <c r="C40" s="12" t="s">
        <v>357</v>
      </c>
      <c r="D40" s="6" t="s">
        <v>128</v>
      </c>
      <c r="E40" s="6" t="s">
        <v>12</v>
      </c>
      <c r="F40" s="6" t="s">
        <v>353</v>
      </c>
      <c r="G40" s="6" t="s">
        <v>35</v>
      </c>
      <c r="H40" s="5">
        <v>1</v>
      </c>
      <c r="I40" s="74" t="s">
        <v>272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9.0410000000000004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46">
        <v>0</v>
      </c>
      <c r="AN40" s="46">
        <v>0</v>
      </c>
      <c r="AO40" s="46">
        <f t="shared" si="0"/>
        <v>0.29164516129032259</v>
      </c>
      <c r="AP40" s="67">
        <f t="shared" si="1"/>
        <v>0.29164516129032259</v>
      </c>
    </row>
    <row r="41" spans="1:42" ht="15.6" x14ac:dyDescent="0.3">
      <c r="A41" s="5">
        <v>40</v>
      </c>
      <c r="B41" s="6" t="s">
        <v>9</v>
      </c>
      <c r="C41" s="39" t="s">
        <v>366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5</v>
      </c>
      <c r="I41" s="74" t="s">
        <v>273</v>
      </c>
      <c r="J41" s="46">
        <v>31.636000000000003</v>
      </c>
      <c r="K41" s="46">
        <v>33.477999999999994</v>
      </c>
      <c r="L41" s="46">
        <v>21.029</v>
      </c>
      <c r="M41" s="46">
        <v>35.018000000000001</v>
      </c>
      <c r="N41" s="46">
        <v>12.753</v>
      </c>
      <c r="O41" s="46">
        <v>25.159999999999997</v>
      </c>
      <c r="P41" s="46">
        <v>27.932999999999996</v>
      </c>
      <c r="Q41" s="46">
        <v>24.909000000000002</v>
      </c>
      <c r="R41" s="46">
        <v>25.393000000000001</v>
      </c>
      <c r="S41" s="46">
        <v>26.215000000000003</v>
      </c>
      <c r="T41" s="46">
        <v>41.147999999999996</v>
      </c>
      <c r="U41" s="46">
        <v>25.965000000000003</v>
      </c>
      <c r="V41" s="46">
        <v>56.260000000000005</v>
      </c>
      <c r="W41" s="46">
        <v>12.693</v>
      </c>
      <c r="X41" s="46">
        <v>32.812000000000005</v>
      </c>
      <c r="Y41" s="46">
        <v>30.360999999999997</v>
      </c>
      <c r="Z41" s="46">
        <v>24.917999999999999</v>
      </c>
      <c r="AA41" s="46">
        <v>17.493000000000002</v>
      </c>
      <c r="AB41" s="46">
        <v>39.003999999999998</v>
      </c>
      <c r="AC41" s="46">
        <v>28.915000000000003</v>
      </c>
      <c r="AD41" s="46">
        <v>21.704999999999998</v>
      </c>
      <c r="AE41" s="46">
        <v>41.085999999999999</v>
      </c>
      <c r="AF41" s="46">
        <v>10.677</v>
      </c>
      <c r="AG41" s="46">
        <v>22.051000000000002</v>
      </c>
      <c r="AH41" s="46">
        <v>22.664000000000001</v>
      </c>
      <c r="AI41" s="46">
        <v>24.21</v>
      </c>
      <c r="AJ41" s="46">
        <v>9.6690000000000005</v>
      </c>
      <c r="AK41" s="46">
        <v>18.423999999999999</v>
      </c>
      <c r="AL41" s="46">
        <v>35.879999999999995</v>
      </c>
      <c r="AM41" s="46">
        <v>8.6560000000000006</v>
      </c>
      <c r="AN41" s="46">
        <v>15.645</v>
      </c>
      <c r="AO41" s="46">
        <f t="shared" si="0"/>
        <v>25.927741935483869</v>
      </c>
      <c r="AP41" s="67">
        <f t="shared" si="1"/>
        <v>5.185548387096774</v>
      </c>
    </row>
    <row r="42" spans="1:42" ht="15.6" x14ac:dyDescent="0.3">
      <c r="A42" s="5">
        <v>41</v>
      </c>
      <c r="B42" s="6" t="s">
        <v>9</v>
      </c>
      <c r="C42" s="12" t="s">
        <v>403</v>
      </c>
      <c r="D42" s="6" t="s">
        <v>30</v>
      </c>
      <c r="E42" s="6" t="s">
        <v>12</v>
      </c>
      <c r="F42" s="6" t="s">
        <v>13</v>
      </c>
      <c r="G42" s="6" t="s">
        <v>35</v>
      </c>
      <c r="H42" s="5">
        <v>1</v>
      </c>
      <c r="I42" s="74" t="s">
        <v>273</v>
      </c>
      <c r="J42" s="46"/>
      <c r="K42" s="46"/>
      <c r="L42" s="46"/>
      <c r="M42" s="46"/>
      <c r="N42" s="46"/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5.2590000000000003</v>
      </c>
      <c r="AG42" s="46">
        <v>3.5129999999999999</v>
      </c>
      <c r="AH42" s="46">
        <v>2.3170000000000002</v>
      </c>
      <c r="AI42" s="46">
        <v>4.5960000000000001</v>
      </c>
      <c r="AJ42" s="46">
        <v>3.7709999999999999</v>
      </c>
      <c r="AK42" s="46">
        <v>2.7639999999999998</v>
      </c>
      <c r="AL42" s="46">
        <v>8.6630000000000003</v>
      </c>
      <c r="AM42" s="46">
        <v>1.151</v>
      </c>
      <c r="AN42" s="46">
        <v>3.8679999999999999</v>
      </c>
      <c r="AO42" s="46">
        <f t="shared" si="0"/>
        <v>1.3808461538461538</v>
      </c>
      <c r="AP42" s="67">
        <f t="shared" si="1"/>
        <v>1.3808461538461538</v>
      </c>
    </row>
    <row r="43" spans="1:42" x14ac:dyDescent="0.3">
      <c r="A43" s="5">
        <v>42</v>
      </c>
      <c r="B43" s="6" t="s">
        <v>9</v>
      </c>
      <c r="C43" s="12" t="s">
        <v>404</v>
      </c>
      <c r="D43" s="6" t="s">
        <v>128</v>
      </c>
      <c r="E43" s="6" t="s">
        <v>12</v>
      </c>
      <c r="F43" s="6" t="s">
        <v>13</v>
      </c>
      <c r="G43" s="6" t="s">
        <v>35</v>
      </c>
      <c r="H43" s="5">
        <v>1</v>
      </c>
      <c r="I43" s="67" t="s">
        <v>160</v>
      </c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f t="shared" si="0"/>
        <v>0</v>
      </c>
      <c r="AP43" s="67">
        <f t="shared" si="1"/>
        <v>0</v>
      </c>
    </row>
    <row r="44" spans="1:42" x14ac:dyDescent="0.3">
      <c r="A44" s="5">
        <v>43</v>
      </c>
      <c r="B44" s="6" t="s">
        <v>9</v>
      </c>
      <c r="C44" s="6" t="s">
        <v>93</v>
      </c>
      <c r="D44" s="6" t="s">
        <v>26</v>
      </c>
      <c r="E44" s="6" t="s">
        <v>19</v>
      </c>
      <c r="F44" s="6" t="s">
        <v>13</v>
      </c>
      <c r="G44" s="6" t="s">
        <v>14</v>
      </c>
      <c r="H44" s="5">
        <v>1</v>
      </c>
      <c r="I44" s="67" t="s">
        <v>160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45">
        <v>0</v>
      </c>
      <c r="X44" s="45">
        <v>0</v>
      </c>
      <c r="Y44" s="45">
        <v>0</v>
      </c>
      <c r="Z44" s="45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 t="shared" si="0"/>
        <v>0</v>
      </c>
      <c r="AP44" s="67">
        <f t="shared" si="1"/>
        <v>0</v>
      </c>
    </row>
    <row r="45" spans="1:42" x14ac:dyDescent="0.3">
      <c r="A45" s="5">
        <v>44</v>
      </c>
      <c r="B45" s="6" t="s">
        <v>9</v>
      </c>
      <c r="C45" s="6" t="s">
        <v>27</v>
      </c>
      <c r="D45" s="6" t="s">
        <v>28</v>
      </c>
      <c r="E45" s="6" t="s">
        <v>19</v>
      </c>
      <c r="F45" s="6" t="s">
        <v>13</v>
      </c>
      <c r="G45" s="6" t="s">
        <v>14</v>
      </c>
      <c r="H45" s="5">
        <v>4</v>
      </c>
      <c r="I45" s="67" t="s">
        <v>160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45">
        <v>0</v>
      </c>
      <c r="P45" s="45">
        <v>0</v>
      </c>
      <c r="Q45" s="45">
        <v>0</v>
      </c>
      <c r="R45" s="45">
        <v>0</v>
      </c>
      <c r="S45" s="45">
        <v>0</v>
      </c>
      <c r="T45" s="45">
        <v>0</v>
      </c>
      <c r="U45" s="45">
        <v>0</v>
      </c>
      <c r="V45" s="45">
        <v>0</v>
      </c>
      <c r="W45" s="45">
        <v>0</v>
      </c>
      <c r="X45" s="45">
        <v>0</v>
      </c>
      <c r="Y45" s="45">
        <v>0</v>
      </c>
      <c r="Z45" s="45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f t="shared" si="0"/>
        <v>0</v>
      </c>
      <c r="AP45" s="67">
        <f t="shared" si="1"/>
        <v>0</v>
      </c>
    </row>
    <row r="46" spans="1:42" x14ac:dyDescent="0.3">
      <c r="A46" s="5">
        <v>45</v>
      </c>
      <c r="B46" s="6" t="s">
        <v>9</v>
      </c>
      <c r="C46" s="6" t="s">
        <v>94</v>
      </c>
      <c r="D46" s="6" t="s">
        <v>32</v>
      </c>
      <c r="E46" s="6" t="s">
        <v>19</v>
      </c>
      <c r="F46" s="6" t="s">
        <v>13</v>
      </c>
      <c r="G46" s="6" t="s">
        <v>14</v>
      </c>
      <c r="H46" s="5">
        <v>2</v>
      </c>
      <c r="I46" s="67" t="s">
        <v>160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45">
        <v>0</v>
      </c>
      <c r="P46" s="45">
        <v>0</v>
      </c>
      <c r="Q46" s="45">
        <v>0</v>
      </c>
      <c r="R46" s="45">
        <v>0</v>
      </c>
      <c r="S46" s="45">
        <v>0</v>
      </c>
      <c r="T46" s="45">
        <v>0</v>
      </c>
      <c r="U46" s="45">
        <v>0</v>
      </c>
      <c r="V46" s="45">
        <v>0</v>
      </c>
      <c r="W46" s="45">
        <v>0</v>
      </c>
      <c r="X46" s="45">
        <v>0</v>
      </c>
      <c r="Y46" s="45">
        <v>0</v>
      </c>
      <c r="Z46" s="45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f t="shared" si="0"/>
        <v>0</v>
      </c>
      <c r="AP46" s="67">
        <f t="shared" si="1"/>
        <v>0</v>
      </c>
    </row>
    <row r="47" spans="1:42" ht="15.6" x14ac:dyDescent="0.3">
      <c r="A47" s="5">
        <v>46</v>
      </c>
      <c r="B47" s="6" t="s">
        <v>49</v>
      </c>
      <c r="C47" s="12" t="s">
        <v>388</v>
      </c>
      <c r="D47" s="6" t="s">
        <v>128</v>
      </c>
      <c r="E47" s="6" t="s">
        <v>12</v>
      </c>
      <c r="F47" s="6" t="s">
        <v>13</v>
      </c>
      <c r="G47" s="6" t="s">
        <v>35</v>
      </c>
      <c r="H47" s="5">
        <v>5</v>
      </c>
      <c r="I47" s="74" t="s">
        <v>273</v>
      </c>
      <c r="J47" s="46">
        <v>5.3710000000000004</v>
      </c>
      <c r="K47" s="46">
        <v>10.431000000000001</v>
      </c>
      <c r="L47" s="46">
        <v>11.937999999999999</v>
      </c>
      <c r="M47" s="46">
        <v>9.495000000000001</v>
      </c>
      <c r="N47" s="46">
        <v>6.5919999999999996</v>
      </c>
      <c r="O47" s="46">
        <v>7.2390000000000008</v>
      </c>
      <c r="P47" s="46">
        <v>0</v>
      </c>
      <c r="Q47" s="46">
        <v>5.5540000000000003</v>
      </c>
      <c r="R47" s="46">
        <v>2.1339999999999999</v>
      </c>
      <c r="S47" s="46">
        <v>13.366999999999999</v>
      </c>
      <c r="T47" s="46">
        <v>4.4120000000000017</v>
      </c>
      <c r="U47" s="46">
        <v>11.21</v>
      </c>
      <c r="V47" s="46">
        <v>3.8860000000000001</v>
      </c>
      <c r="W47" s="46">
        <v>0</v>
      </c>
      <c r="X47" s="46">
        <v>4.1399999999999997</v>
      </c>
      <c r="Y47" s="46">
        <v>6.8659999999999997</v>
      </c>
      <c r="Z47" s="46">
        <v>4.8380000000000001</v>
      </c>
      <c r="AA47" s="46">
        <v>6.359</v>
      </c>
      <c r="AB47" s="46">
        <v>7.322000000000001</v>
      </c>
      <c r="AC47" s="46">
        <v>12.238</v>
      </c>
      <c r="AD47" s="46">
        <v>0</v>
      </c>
      <c r="AE47" s="46">
        <v>8.8490000000000002</v>
      </c>
      <c r="AF47" s="46">
        <v>9.0500000000000007</v>
      </c>
      <c r="AG47" s="46">
        <v>2.84</v>
      </c>
      <c r="AH47" s="46">
        <v>21.47</v>
      </c>
      <c r="AI47" s="46">
        <v>10.824</v>
      </c>
      <c r="AJ47" s="46">
        <v>15.179</v>
      </c>
      <c r="AK47" s="46">
        <v>0</v>
      </c>
      <c r="AL47" s="46">
        <v>10.045</v>
      </c>
      <c r="AM47" s="46">
        <v>13.248000000000001</v>
      </c>
      <c r="AN47" s="46">
        <v>13.083</v>
      </c>
      <c r="AO47" s="46">
        <f t="shared" si="0"/>
        <v>7.6767741935483871</v>
      </c>
      <c r="AP47" s="67">
        <f t="shared" si="1"/>
        <v>1.5353548387096774</v>
      </c>
    </row>
    <row r="48" spans="1:42" ht="15.6" x14ac:dyDescent="0.3">
      <c r="A48" s="5">
        <v>47</v>
      </c>
      <c r="B48" s="6" t="s">
        <v>49</v>
      </c>
      <c r="C48" s="12" t="s">
        <v>389</v>
      </c>
      <c r="D48" s="6" t="s">
        <v>128</v>
      </c>
      <c r="E48" s="6" t="s">
        <v>12</v>
      </c>
      <c r="F48" s="6" t="s">
        <v>13</v>
      </c>
      <c r="G48" s="6" t="s">
        <v>35</v>
      </c>
      <c r="H48" s="5">
        <v>10</v>
      </c>
      <c r="I48" s="74" t="s">
        <v>273</v>
      </c>
      <c r="J48" s="46">
        <v>157.17199999999997</v>
      </c>
      <c r="K48" s="46">
        <v>88.397999999999996</v>
      </c>
      <c r="L48" s="46">
        <v>79.176999999999992</v>
      </c>
      <c r="M48" s="46">
        <v>99.358000000000018</v>
      </c>
      <c r="N48" s="46">
        <v>129.02299999999997</v>
      </c>
      <c r="O48" s="46">
        <v>94.228000000000023</v>
      </c>
      <c r="P48" s="46">
        <v>90.6</v>
      </c>
      <c r="Q48" s="46">
        <v>107.58700000000002</v>
      </c>
      <c r="R48" s="46">
        <v>109.471</v>
      </c>
      <c r="S48" s="46">
        <v>78.673999999999992</v>
      </c>
      <c r="T48" s="46">
        <v>88.65900000000002</v>
      </c>
      <c r="U48" s="46">
        <v>86.795999999999992</v>
      </c>
      <c r="V48" s="46">
        <v>105.94</v>
      </c>
      <c r="W48" s="46">
        <v>79.747999999999962</v>
      </c>
      <c r="X48" s="46">
        <v>50.316000000000003</v>
      </c>
      <c r="Y48" s="46">
        <v>134.42699999999999</v>
      </c>
      <c r="Z48" s="46">
        <v>79.257000000000005</v>
      </c>
      <c r="AA48" s="46">
        <v>90.815999999999988</v>
      </c>
      <c r="AB48" s="46">
        <v>79.771000000000001</v>
      </c>
      <c r="AC48" s="46">
        <v>67.149000000000001</v>
      </c>
      <c r="AD48" s="46">
        <v>104.94500000000001</v>
      </c>
      <c r="AE48" s="46">
        <v>87.675999999999988</v>
      </c>
      <c r="AF48" s="46">
        <v>86.195999999999998</v>
      </c>
      <c r="AG48" s="46">
        <v>106.30900000000001</v>
      </c>
      <c r="AH48" s="46">
        <v>101.87799999999997</v>
      </c>
      <c r="AI48" s="46">
        <v>84.600999999999999</v>
      </c>
      <c r="AJ48" s="46">
        <v>86.820999999999998</v>
      </c>
      <c r="AK48" s="46">
        <v>116.87899999999999</v>
      </c>
      <c r="AL48" s="46">
        <v>89.638999999999996</v>
      </c>
      <c r="AM48" s="46">
        <v>91.84999999999998</v>
      </c>
      <c r="AN48" s="46">
        <v>81.772999999999939</v>
      </c>
      <c r="AO48" s="46">
        <f t="shared" si="0"/>
        <v>94.681741935483899</v>
      </c>
      <c r="AP48" s="67">
        <f t="shared" si="1"/>
        <v>9.4681741935483892</v>
      </c>
    </row>
    <row r="49" spans="1:42" ht="15.6" x14ac:dyDescent="0.3">
      <c r="A49" s="5">
        <v>48</v>
      </c>
      <c r="B49" s="6" t="s">
        <v>52</v>
      </c>
      <c r="C49" s="12" t="s">
        <v>390</v>
      </c>
      <c r="D49" s="6" t="s">
        <v>128</v>
      </c>
      <c r="E49" s="6" t="s">
        <v>12</v>
      </c>
      <c r="F49" s="6" t="s">
        <v>13</v>
      </c>
      <c r="G49" s="6" t="s">
        <v>35</v>
      </c>
      <c r="H49" s="5">
        <v>3</v>
      </c>
      <c r="I49" s="74" t="s">
        <v>273</v>
      </c>
      <c r="J49" s="46">
        <v>10.285</v>
      </c>
      <c r="K49" s="46">
        <v>5.9119999999999999</v>
      </c>
      <c r="L49" s="46">
        <v>4.8689999999999998</v>
      </c>
      <c r="M49" s="46">
        <v>8.0820000000000007</v>
      </c>
      <c r="N49" s="46">
        <v>8.4660000000000011</v>
      </c>
      <c r="O49" s="46">
        <v>1.254</v>
      </c>
      <c r="P49" s="46">
        <v>0</v>
      </c>
      <c r="Q49" s="46">
        <v>6.0979999999999999</v>
      </c>
      <c r="R49" s="46">
        <v>7.2620000000000005</v>
      </c>
      <c r="S49" s="46">
        <v>6.4610000000000003</v>
      </c>
      <c r="T49" s="46">
        <v>0</v>
      </c>
      <c r="U49" s="46">
        <v>0</v>
      </c>
      <c r="V49" s="46">
        <v>0</v>
      </c>
      <c r="W49" s="46">
        <v>0</v>
      </c>
      <c r="X49" s="46">
        <v>7.6420000000000003</v>
      </c>
      <c r="Y49" s="46">
        <v>4.3550000000000004</v>
      </c>
      <c r="Z49" s="46">
        <v>10.484</v>
      </c>
      <c r="AA49" s="46">
        <v>3.0000000000000001E-3</v>
      </c>
      <c r="AB49" s="46">
        <v>4.4080000000000004</v>
      </c>
      <c r="AC49" s="46">
        <v>8.9439999999999991</v>
      </c>
      <c r="AD49" s="46">
        <v>0</v>
      </c>
      <c r="AE49" s="46">
        <v>0</v>
      </c>
      <c r="AF49" s="46">
        <v>0.97599999999999998</v>
      </c>
      <c r="AG49" s="46">
        <v>6.7629999999999999</v>
      </c>
      <c r="AH49" s="46">
        <v>11.801</v>
      </c>
      <c r="AI49" s="46">
        <v>0.77800000000000002</v>
      </c>
      <c r="AJ49" s="46">
        <v>3.1890000000000001</v>
      </c>
      <c r="AK49" s="46">
        <v>0</v>
      </c>
      <c r="AL49" s="46">
        <v>7.468</v>
      </c>
      <c r="AM49" s="46">
        <v>4.9889999999999999</v>
      </c>
      <c r="AN49" s="46">
        <v>0</v>
      </c>
      <c r="AO49" s="46">
        <f t="shared" si="0"/>
        <v>4.2093225806451615</v>
      </c>
      <c r="AP49" s="67">
        <f t="shared" si="1"/>
        <v>1.4031075268817206</v>
      </c>
    </row>
    <row r="50" spans="1:42" ht="15.6" x14ac:dyDescent="0.3">
      <c r="A50" s="5">
        <v>49</v>
      </c>
      <c r="B50" s="6" t="s">
        <v>52</v>
      </c>
      <c r="C50" s="12" t="s">
        <v>212</v>
      </c>
      <c r="D50" s="6" t="s">
        <v>128</v>
      </c>
      <c r="E50" s="6" t="s">
        <v>12</v>
      </c>
      <c r="F50" s="6" t="s">
        <v>13</v>
      </c>
      <c r="G50" s="6" t="s">
        <v>35</v>
      </c>
      <c r="H50" s="5">
        <v>7</v>
      </c>
      <c r="I50" s="74" t="s">
        <v>273</v>
      </c>
      <c r="J50" s="46">
        <v>101.965</v>
      </c>
      <c r="K50" s="46">
        <v>106.51499999999997</v>
      </c>
      <c r="L50" s="46">
        <v>117.95700000000002</v>
      </c>
      <c r="M50" s="46">
        <v>111.57599999999998</v>
      </c>
      <c r="N50" s="46">
        <v>113.806</v>
      </c>
      <c r="O50" s="46">
        <v>126.32600000000001</v>
      </c>
      <c r="P50" s="46">
        <v>92.13300000000001</v>
      </c>
      <c r="Q50" s="46">
        <v>88.126000000000005</v>
      </c>
      <c r="R50" s="46">
        <v>133.529</v>
      </c>
      <c r="S50" s="46">
        <v>125.218</v>
      </c>
      <c r="T50" s="46">
        <v>116.956</v>
      </c>
      <c r="U50" s="46">
        <v>75.304999999999993</v>
      </c>
      <c r="V50" s="46">
        <v>88.61999999999999</v>
      </c>
      <c r="W50" s="46">
        <v>99.972000000000023</v>
      </c>
      <c r="X50" s="46">
        <v>116.07400000000001</v>
      </c>
      <c r="Y50" s="46">
        <v>102.16000000000001</v>
      </c>
      <c r="Z50" s="46">
        <v>131.08300000000003</v>
      </c>
      <c r="AA50" s="46">
        <v>91.930999999999997</v>
      </c>
      <c r="AB50" s="46">
        <v>97.66</v>
      </c>
      <c r="AC50" s="46">
        <v>130.76399999999998</v>
      </c>
      <c r="AD50" s="46">
        <v>62.396000000000001</v>
      </c>
      <c r="AE50" s="46">
        <v>130.577</v>
      </c>
      <c r="AF50" s="46">
        <v>110.69699999999999</v>
      </c>
      <c r="AG50" s="46">
        <v>115.91599999999997</v>
      </c>
      <c r="AH50" s="46">
        <v>127.18999999999998</v>
      </c>
      <c r="AI50" s="46">
        <v>114.34700000000002</v>
      </c>
      <c r="AJ50" s="46">
        <v>121.16300000000001</v>
      </c>
      <c r="AK50" s="46">
        <v>112.20100000000002</v>
      </c>
      <c r="AL50" s="46">
        <v>80.536000000000001</v>
      </c>
      <c r="AM50" s="46">
        <v>157.761</v>
      </c>
      <c r="AN50" s="46">
        <v>115.041</v>
      </c>
      <c r="AO50" s="46">
        <f t="shared" si="0"/>
        <v>110.17745161290325</v>
      </c>
      <c r="AP50" s="67">
        <f t="shared" si="1"/>
        <v>15.739635944700465</v>
      </c>
    </row>
    <row r="51" spans="1:42" ht="15.6" x14ac:dyDescent="0.3">
      <c r="A51" s="5">
        <v>50</v>
      </c>
      <c r="B51" s="6" t="s">
        <v>134</v>
      </c>
      <c r="C51" s="6" t="s">
        <v>391</v>
      </c>
      <c r="D51" s="6" t="s">
        <v>128</v>
      </c>
      <c r="E51" s="6" t="s">
        <v>12</v>
      </c>
      <c r="F51" s="6" t="s">
        <v>13</v>
      </c>
      <c r="G51" s="6" t="s">
        <v>35</v>
      </c>
      <c r="H51" s="5">
        <v>7</v>
      </c>
      <c r="I51" s="74" t="s">
        <v>273</v>
      </c>
      <c r="J51" s="46">
        <v>48.423999999999999</v>
      </c>
      <c r="K51" s="46">
        <v>29.193000000000001</v>
      </c>
      <c r="L51" s="46">
        <v>69.474999999999994</v>
      </c>
      <c r="M51" s="46">
        <v>62.667000000000002</v>
      </c>
      <c r="N51" s="46">
        <v>38.742999999999995</v>
      </c>
      <c r="O51" s="46">
        <v>47.111000000000011</v>
      </c>
      <c r="P51" s="46">
        <v>37.361000000000004</v>
      </c>
      <c r="Q51" s="46">
        <v>60.020999999999994</v>
      </c>
      <c r="R51" s="46">
        <v>63.966000000000001</v>
      </c>
      <c r="S51" s="46">
        <v>40.341999999999999</v>
      </c>
      <c r="T51" s="46">
        <v>37.269999999999996</v>
      </c>
      <c r="U51" s="46">
        <v>46.348000000000006</v>
      </c>
      <c r="V51" s="46">
        <v>48.334000000000003</v>
      </c>
      <c r="W51" s="46">
        <v>49.426999999999992</v>
      </c>
      <c r="X51" s="46">
        <v>32.792000000000002</v>
      </c>
      <c r="Y51" s="46">
        <v>60.385000000000005</v>
      </c>
      <c r="Z51" s="46">
        <v>45.111000000000004</v>
      </c>
      <c r="AA51" s="46">
        <v>39.71</v>
      </c>
      <c r="AB51" s="46">
        <v>48.118000000000009</v>
      </c>
      <c r="AC51" s="46">
        <v>41.879999999999988</v>
      </c>
      <c r="AD51" s="46">
        <v>45.734999999999999</v>
      </c>
      <c r="AE51" s="46">
        <v>31.346000000000004</v>
      </c>
      <c r="AF51" s="46">
        <v>53.173999999999999</v>
      </c>
      <c r="AG51" s="46">
        <v>45.32</v>
      </c>
      <c r="AH51" s="46">
        <v>39.919000000000004</v>
      </c>
      <c r="AI51" s="46">
        <v>71.400000000000006</v>
      </c>
      <c r="AJ51" s="46">
        <v>51.241999999999997</v>
      </c>
      <c r="AK51" s="46">
        <v>38.091000000000001</v>
      </c>
      <c r="AL51" s="46">
        <v>40.203999999999994</v>
      </c>
      <c r="AM51" s="46">
        <v>50.509</v>
      </c>
      <c r="AN51" s="46">
        <v>50.453999999999994</v>
      </c>
      <c r="AO51" s="46">
        <f t="shared" si="0"/>
        <v>47.22812903225806</v>
      </c>
      <c r="AP51" s="67">
        <f t="shared" si="1"/>
        <v>6.7468755760368655</v>
      </c>
    </row>
    <row r="52" spans="1:42" ht="15.6" x14ac:dyDescent="0.3">
      <c r="A52" s="5">
        <v>51</v>
      </c>
      <c r="B52" s="12" t="s">
        <v>246</v>
      </c>
      <c r="C52" s="12" t="s">
        <v>247</v>
      </c>
      <c r="D52" s="6" t="s">
        <v>128</v>
      </c>
      <c r="E52" s="6" t="s">
        <v>12</v>
      </c>
      <c r="F52" s="6" t="s">
        <v>13</v>
      </c>
      <c r="G52" s="6" t="s">
        <v>35</v>
      </c>
      <c r="H52" s="5">
        <v>5</v>
      </c>
      <c r="I52" s="74" t="s">
        <v>273</v>
      </c>
      <c r="J52" s="46">
        <v>29.664000000000001</v>
      </c>
      <c r="K52" s="46">
        <v>18.734999999999999</v>
      </c>
      <c r="L52" s="46">
        <v>30.983000000000001</v>
      </c>
      <c r="M52" s="46">
        <v>25.225999999999999</v>
      </c>
      <c r="N52" s="46">
        <v>31.329000000000001</v>
      </c>
      <c r="O52" s="46">
        <v>20.687999999999999</v>
      </c>
      <c r="P52" s="46">
        <v>32.443000000000005</v>
      </c>
      <c r="Q52" s="46">
        <v>29.405000000000001</v>
      </c>
      <c r="R52" s="46">
        <v>10.555999999999999</v>
      </c>
      <c r="S52" s="46">
        <v>35.048000000000002</v>
      </c>
      <c r="T52" s="46">
        <v>22.084999999999997</v>
      </c>
      <c r="U52" s="46">
        <v>39.472000000000001</v>
      </c>
      <c r="V52" s="46">
        <v>28.365000000000002</v>
      </c>
      <c r="W52" s="46">
        <v>2.8029999999999999</v>
      </c>
      <c r="X52" s="46">
        <v>33.518999999999998</v>
      </c>
      <c r="Y52" s="46">
        <v>15.016000000000002</v>
      </c>
      <c r="Z52" s="46">
        <v>19.844000000000001</v>
      </c>
      <c r="AA52" s="46">
        <v>9.722999999999999</v>
      </c>
      <c r="AB52" s="46">
        <v>35.493000000000002</v>
      </c>
      <c r="AC52" s="46">
        <v>21.315000000000001</v>
      </c>
      <c r="AD52" s="46">
        <v>31.713999999999999</v>
      </c>
      <c r="AE52" s="46">
        <v>35.149000000000001</v>
      </c>
      <c r="AF52" s="46">
        <v>23.233000000000001</v>
      </c>
      <c r="AG52" s="46">
        <v>37.960999999999999</v>
      </c>
      <c r="AH52" s="46">
        <v>30.901000000000007</v>
      </c>
      <c r="AI52" s="46">
        <v>23.336000000000002</v>
      </c>
      <c r="AJ52" s="46">
        <v>36.009</v>
      </c>
      <c r="AK52" s="46">
        <v>26.538000000000004</v>
      </c>
      <c r="AL52" s="46">
        <v>23.116999999999997</v>
      </c>
      <c r="AM52" s="46">
        <v>29.276000000000003</v>
      </c>
      <c r="AN52" s="46">
        <v>33.174999999999997</v>
      </c>
      <c r="AO52" s="46">
        <f t="shared" si="0"/>
        <v>26.520032258064507</v>
      </c>
      <c r="AP52" s="67">
        <f t="shared" si="1"/>
        <v>5.3040064516129011</v>
      </c>
    </row>
    <row r="53" spans="1:42" ht="15.6" x14ac:dyDescent="0.3">
      <c r="A53" s="5">
        <v>52</v>
      </c>
      <c r="B53" s="6" t="s">
        <v>58</v>
      </c>
      <c r="C53" s="12" t="s">
        <v>213</v>
      </c>
      <c r="D53" s="6" t="s">
        <v>61</v>
      </c>
      <c r="E53" s="6" t="s">
        <v>12</v>
      </c>
      <c r="F53" s="6" t="s">
        <v>13</v>
      </c>
      <c r="G53" s="6" t="s">
        <v>35</v>
      </c>
      <c r="H53" s="5">
        <v>3</v>
      </c>
      <c r="I53" s="74" t="s">
        <v>273</v>
      </c>
      <c r="J53" s="46">
        <v>88.913000000000011</v>
      </c>
      <c r="K53" s="46">
        <v>69.277999999999992</v>
      </c>
      <c r="L53" s="46">
        <v>78.944000000000003</v>
      </c>
      <c r="M53" s="46">
        <v>86.660999999999987</v>
      </c>
      <c r="N53" s="46">
        <v>88.278000000000006</v>
      </c>
      <c r="O53" s="46">
        <v>80.400999999999996</v>
      </c>
      <c r="P53" s="46">
        <v>103.87500000000001</v>
      </c>
      <c r="Q53" s="46">
        <v>77.878000000000043</v>
      </c>
      <c r="R53" s="46">
        <v>89.545999999999992</v>
      </c>
      <c r="S53" s="46">
        <v>70.826000000000008</v>
      </c>
      <c r="T53" s="46">
        <v>80.407000000000011</v>
      </c>
      <c r="U53" s="46">
        <v>84.020999999999987</v>
      </c>
      <c r="V53" s="46">
        <v>96.076000000000008</v>
      </c>
      <c r="W53" s="46">
        <v>74.28</v>
      </c>
      <c r="X53" s="46">
        <v>87.78</v>
      </c>
      <c r="Y53" s="46">
        <v>95.248000000000005</v>
      </c>
      <c r="Z53" s="46">
        <v>92.356999999999999</v>
      </c>
      <c r="AA53" s="46">
        <v>77.929999999999993</v>
      </c>
      <c r="AB53" s="46">
        <v>85.667000000000016</v>
      </c>
      <c r="AC53" s="46">
        <v>66.766999999999982</v>
      </c>
      <c r="AD53" s="46">
        <v>99.202000000000012</v>
      </c>
      <c r="AE53" s="46">
        <v>84.703000000000003</v>
      </c>
      <c r="AF53" s="46">
        <v>94.63600000000001</v>
      </c>
      <c r="AG53" s="46">
        <v>81.436999999999998</v>
      </c>
      <c r="AH53" s="46">
        <v>94.311000000000021</v>
      </c>
      <c r="AI53" s="46">
        <v>81.448000000000008</v>
      </c>
      <c r="AJ53" s="46">
        <v>99.091999999999999</v>
      </c>
      <c r="AK53" s="46">
        <v>114.76200000000001</v>
      </c>
      <c r="AL53" s="46">
        <v>94.033000000000015</v>
      </c>
      <c r="AM53" s="46">
        <v>85.082999999999998</v>
      </c>
      <c r="AN53" s="46">
        <v>76.254999999999995</v>
      </c>
      <c r="AO53" s="46">
        <f t="shared" si="0"/>
        <v>86.454677419354852</v>
      </c>
      <c r="AP53" s="67">
        <f t="shared" si="1"/>
        <v>28.818225806451618</v>
      </c>
    </row>
    <row r="54" spans="1:42" ht="15.6" x14ac:dyDescent="0.3">
      <c r="A54" s="5">
        <v>53</v>
      </c>
      <c r="B54" s="6" t="s">
        <v>58</v>
      </c>
      <c r="C54" s="12" t="s">
        <v>214</v>
      </c>
      <c r="D54" s="6" t="s">
        <v>61</v>
      </c>
      <c r="E54" s="6" t="s">
        <v>12</v>
      </c>
      <c r="F54" s="6" t="s">
        <v>13</v>
      </c>
      <c r="G54" s="6" t="s">
        <v>35</v>
      </c>
      <c r="H54" s="5">
        <v>9</v>
      </c>
      <c r="I54" s="74" t="s">
        <v>273</v>
      </c>
      <c r="J54" s="46">
        <v>181.44599999999991</v>
      </c>
      <c r="K54" s="46">
        <v>193.25200000000004</v>
      </c>
      <c r="L54" s="46">
        <v>174.51000000000002</v>
      </c>
      <c r="M54" s="46">
        <v>218.93800000000002</v>
      </c>
      <c r="N54" s="46">
        <v>189.98300000000012</v>
      </c>
      <c r="O54" s="46">
        <v>184.33600000000001</v>
      </c>
      <c r="P54" s="46">
        <v>213.23699999999991</v>
      </c>
      <c r="Q54" s="46">
        <v>211.94500000000002</v>
      </c>
      <c r="R54" s="46">
        <v>173.61099999999999</v>
      </c>
      <c r="S54" s="46">
        <v>170.47599999999997</v>
      </c>
      <c r="T54" s="46">
        <v>204.42100000000005</v>
      </c>
      <c r="U54" s="46">
        <v>185.17799999999994</v>
      </c>
      <c r="V54" s="46">
        <v>132.81400000000005</v>
      </c>
      <c r="W54" s="46">
        <v>182.38300000000001</v>
      </c>
      <c r="X54" s="46">
        <v>198.04899999999998</v>
      </c>
      <c r="Y54" s="46">
        <v>182.74000000000007</v>
      </c>
      <c r="Z54" s="46">
        <v>166.51900000000001</v>
      </c>
      <c r="AA54" s="46">
        <v>185.93000000000009</v>
      </c>
      <c r="AB54" s="46">
        <v>160.06300000000002</v>
      </c>
      <c r="AC54" s="46">
        <v>187.26600000000008</v>
      </c>
      <c r="AD54" s="46">
        <v>215.39599999999999</v>
      </c>
      <c r="AE54" s="46">
        <v>210.44500000000005</v>
      </c>
      <c r="AF54" s="46">
        <v>195.78099999999995</v>
      </c>
      <c r="AG54" s="46">
        <v>196.22000000000003</v>
      </c>
      <c r="AH54" s="46">
        <v>187.46499999999997</v>
      </c>
      <c r="AI54" s="46">
        <v>191.91499999999999</v>
      </c>
      <c r="AJ54" s="46">
        <v>150.40500000000003</v>
      </c>
      <c r="AK54" s="46">
        <v>144.39099999999999</v>
      </c>
      <c r="AL54" s="46">
        <v>132.81599999999997</v>
      </c>
      <c r="AM54" s="46">
        <v>156.38200000000001</v>
      </c>
      <c r="AN54" s="46">
        <v>125.89000000000003</v>
      </c>
      <c r="AO54" s="46">
        <f t="shared" si="0"/>
        <v>180.78074193548386</v>
      </c>
      <c r="AP54" s="67">
        <f t="shared" si="1"/>
        <v>20.086749103942651</v>
      </c>
    </row>
    <row r="55" spans="1:42" ht="15.6" x14ac:dyDescent="0.3">
      <c r="A55" s="5">
        <v>54</v>
      </c>
      <c r="B55" s="6" t="s">
        <v>58</v>
      </c>
      <c r="C55" s="12" t="s">
        <v>392</v>
      </c>
      <c r="D55" s="6" t="s">
        <v>63</v>
      </c>
      <c r="E55" s="6" t="s">
        <v>19</v>
      </c>
      <c r="F55" s="6" t="s">
        <v>13</v>
      </c>
      <c r="G55" s="12" t="s">
        <v>35</v>
      </c>
      <c r="H55" s="5">
        <v>8</v>
      </c>
      <c r="I55" s="74" t="s">
        <v>273</v>
      </c>
      <c r="J55" s="46">
        <v>48.478999999999999</v>
      </c>
      <c r="K55" s="46">
        <v>70.777000000000001</v>
      </c>
      <c r="L55" s="46">
        <v>64.66</v>
      </c>
      <c r="M55" s="46">
        <v>59.352999999999994</v>
      </c>
      <c r="N55" s="46">
        <v>70.816999999999993</v>
      </c>
      <c r="O55" s="46">
        <v>73.165000000000006</v>
      </c>
      <c r="P55" s="46">
        <v>59.638000000000005</v>
      </c>
      <c r="Q55" s="46">
        <v>23.987000000000002</v>
      </c>
      <c r="R55" s="46">
        <v>61.479000000000006</v>
      </c>
      <c r="S55" s="46">
        <v>60.126999999999995</v>
      </c>
      <c r="T55" s="46">
        <v>41.786000000000001</v>
      </c>
      <c r="U55" s="46">
        <v>42.579000000000001</v>
      </c>
      <c r="V55" s="46">
        <v>53.201999999999998</v>
      </c>
      <c r="W55" s="46">
        <v>44.338000000000008</v>
      </c>
      <c r="X55" s="46">
        <v>33.106999999999999</v>
      </c>
      <c r="Y55" s="46">
        <v>49.934000000000005</v>
      </c>
      <c r="Z55" s="46">
        <v>16.182000000000006</v>
      </c>
      <c r="AA55" s="46">
        <v>12.242999999999999</v>
      </c>
      <c r="AB55" s="46">
        <v>37.147000000000006</v>
      </c>
      <c r="AC55" s="46">
        <v>33.305999999999997</v>
      </c>
      <c r="AD55" s="46">
        <v>54.951999999999998</v>
      </c>
      <c r="AE55" s="46">
        <v>60.396000000000001</v>
      </c>
      <c r="AF55" s="46">
        <v>41.784999999999997</v>
      </c>
      <c r="AG55" s="46">
        <v>55.078000000000003</v>
      </c>
      <c r="AH55" s="46">
        <v>55.234999999999999</v>
      </c>
      <c r="AI55" s="46">
        <v>44.998000000000005</v>
      </c>
      <c r="AJ55" s="46">
        <v>80.768000000000015</v>
      </c>
      <c r="AK55" s="46">
        <v>65.202999999999989</v>
      </c>
      <c r="AL55" s="46">
        <v>48.581000000000003</v>
      </c>
      <c r="AM55" s="46">
        <v>15.446999999999999</v>
      </c>
      <c r="AN55" s="46">
        <v>42.722999999999999</v>
      </c>
      <c r="AO55" s="46">
        <f t="shared" si="0"/>
        <v>49.07974193548386</v>
      </c>
      <c r="AP55" s="67">
        <f t="shared" si="1"/>
        <v>6.1349677419354824</v>
      </c>
    </row>
    <row r="56" spans="1:42" ht="15.6" x14ac:dyDescent="0.3">
      <c r="A56" s="5">
        <v>55</v>
      </c>
      <c r="B56" s="6" t="s">
        <v>58</v>
      </c>
      <c r="C56" s="12" t="s">
        <v>392</v>
      </c>
      <c r="D56" s="6" t="s">
        <v>63</v>
      </c>
      <c r="E56" s="6" t="s">
        <v>19</v>
      </c>
      <c r="F56" s="6" t="s">
        <v>64</v>
      </c>
      <c r="G56" s="6" t="s">
        <v>80</v>
      </c>
      <c r="H56" s="5">
        <v>1</v>
      </c>
      <c r="I56" s="74" t="s">
        <v>273</v>
      </c>
      <c r="J56" s="46">
        <v>0</v>
      </c>
      <c r="K56" s="45">
        <v>0</v>
      </c>
      <c r="L56" s="45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60">
        <v>0</v>
      </c>
      <c r="AF56" s="60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0.51</v>
      </c>
      <c r="AO56" s="46">
        <f t="shared" si="0"/>
        <v>1.6451612903225808E-2</v>
      </c>
      <c r="AP56" s="67">
        <f t="shared" si="1"/>
        <v>1.6451612903225808E-2</v>
      </c>
    </row>
    <row r="57" spans="1:42" ht="15.6" x14ac:dyDescent="0.3">
      <c r="A57" s="5">
        <v>56</v>
      </c>
      <c r="B57" s="6" t="s">
        <v>58</v>
      </c>
      <c r="C57" s="12" t="s">
        <v>216</v>
      </c>
      <c r="D57" s="6" t="s">
        <v>128</v>
      </c>
      <c r="E57" s="6" t="s">
        <v>12</v>
      </c>
      <c r="F57" s="6" t="s">
        <v>13</v>
      </c>
      <c r="G57" s="12" t="s">
        <v>35</v>
      </c>
      <c r="H57" s="5">
        <v>7</v>
      </c>
      <c r="I57" s="74" t="s">
        <v>273</v>
      </c>
      <c r="J57" s="46">
        <v>165.38999999999996</v>
      </c>
      <c r="K57" s="46">
        <v>174.22300000000001</v>
      </c>
      <c r="L57" s="46">
        <v>201.50400000000002</v>
      </c>
      <c r="M57" s="46">
        <v>195.64600000000007</v>
      </c>
      <c r="N57" s="46">
        <v>145.18</v>
      </c>
      <c r="O57" s="46">
        <v>208.62199999999996</v>
      </c>
      <c r="P57" s="46">
        <v>161.55699999999999</v>
      </c>
      <c r="Q57" s="46">
        <v>132.11199999999999</v>
      </c>
      <c r="R57" s="46">
        <v>189.82</v>
      </c>
      <c r="S57" s="46">
        <v>114.65299999999998</v>
      </c>
      <c r="T57" s="46">
        <v>132.43299999999996</v>
      </c>
      <c r="U57" s="46">
        <v>131.97900000000001</v>
      </c>
      <c r="V57" s="46">
        <v>152.46099999999996</v>
      </c>
      <c r="W57" s="46">
        <v>113.73200000000001</v>
      </c>
      <c r="X57" s="46">
        <v>135.578</v>
      </c>
      <c r="Y57" s="46">
        <v>169.077</v>
      </c>
      <c r="Z57" s="46">
        <v>126.59199999999997</v>
      </c>
      <c r="AA57" s="46">
        <v>128.02500000000001</v>
      </c>
      <c r="AB57" s="46">
        <v>95.671999999999997</v>
      </c>
      <c r="AC57" s="46">
        <v>154.59400000000005</v>
      </c>
      <c r="AD57" s="46">
        <v>149.971</v>
      </c>
      <c r="AE57" s="46">
        <v>157.72399999999999</v>
      </c>
      <c r="AF57" s="46">
        <v>199.84000000000006</v>
      </c>
      <c r="AG57" s="46">
        <v>146.44099999999995</v>
      </c>
      <c r="AH57" s="46">
        <v>146.78899999999999</v>
      </c>
      <c r="AI57" s="46">
        <v>151.18099999999998</v>
      </c>
      <c r="AJ57" s="46">
        <v>162.70499999999996</v>
      </c>
      <c r="AK57" s="46">
        <v>152.75600000000006</v>
      </c>
      <c r="AL57" s="46">
        <v>136.05600000000004</v>
      </c>
      <c r="AM57" s="46">
        <v>114.13500000000002</v>
      </c>
      <c r="AN57" s="46">
        <v>182.29600000000002</v>
      </c>
      <c r="AO57" s="46">
        <f t="shared" si="0"/>
        <v>152.54012903225808</v>
      </c>
      <c r="AP57" s="67">
        <f t="shared" si="1"/>
        <v>21.791447004608298</v>
      </c>
    </row>
    <row r="58" spans="1:42" ht="15.6" x14ac:dyDescent="0.3">
      <c r="A58" s="5">
        <v>57</v>
      </c>
      <c r="B58" s="6" t="s">
        <v>58</v>
      </c>
      <c r="C58" s="12" t="s">
        <v>355</v>
      </c>
      <c r="D58" s="6" t="s">
        <v>128</v>
      </c>
      <c r="E58" s="6" t="s">
        <v>12</v>
      </c>
      <c r="F58" s="6" t="s">
        <v>13</v>
      </c>
      <c r="G58" s="12" t="s">
        <v>35</v>
      </c>
      <c r="H58" s="5">
        <v>10</v>
      </c>
      <c r="I58" s="74" t="s">
        <v>273</v>
      </c>
      <c r="J58" s="46">
        <v>221.09300000000002</v>
      </c>
      <c r="K58" s="46">
        <v>187.20499999999998</v>
      </c>
      <c r="L58" s="46">
        <v>172.59899999999999</v>
      </c>
      <c r="M58" s="46">
        <v>213.15900000000008</v>
      </c>
      <c r="N58" s="46">
        <v>234.09499999999994</v>
      </c>
      <c r="O58" s="46">
        <v>250.77699999999996</v>
      </c>
      <c r="P58" s="46">
        <v>220.197</v>
      </c>
      <c r="Q58" s="46">
        <v>218.69299999999998</v>
      </c>
      <c r="R58" s="46">
        <v>184.21799999999999</v>
      </c>
      <c r="S58" s="46">
        <v>143.94999999999999</v>
      </c>
      <c r="T58" s="46">
        <v>272.577</v>
      </c>
      <c r="U58" s="46">
        <v>214.38200000000003</v>
      </c>
      <c r="V58" s="46">
        <v>237.95499999999996</v>
      </c>
      <c r="W58" s="46">
        <v>170.18100000000001</v>
      </c>
      <c r="X58" s="46">
        <v>211.46299999999999</v>
      </c>
      <c r="Y58" s="46">
        <v>199.14100000000002</v>
      </c>
      <c r="Z58" s="46">
        <v>222.06200000000004</v>
      </c>
      <c r="AA58" s="46">
        <v>267.33999999999986</v>
      </c>
      <c r="AB58" s="46">
        <v>228.98700000000002</v>
      </c>
      <c r="AC58" s="46">
        <v>242.2939999999999</v>
      </c>
      <c r="AD58" s="46">
        <v>224.68700000000004</v>
      </c>
      <c r="AE58" s="46">
        <v>239.04400000000001</v>
      </c>
      <c r="AF58" s="46">
        <v>232.33600000000004</v>
      </c>
      <c r="AG58" s="46">
        <v>219.48199999999991</v>
      </c>
      <c r="AH58" s="46">
        <v>217.80799999999999</v>
      </c>
      <c r="AI58" s="46">
        <v>209.82599999999999</v>
      </c>
      <c r="AJ58" s="46">
        <v>253.56500000000003</v>
      </c>
      <c r="AK58" s="46">
        <v>215.89500000000001</v>
      </c>
      <c r="AL58" s="46">
        <v>226.77600000000001</v>
      </c>
      <c r="AM58" s="46">
        <v>199.44300000000001</v>
      </c>
      <c r="AN58" s="46">
        <v>195.98000000000002</v>
      </c>
      <c r="AO58" s="46">
        <f t="shared" si="0"/>
        <v>217.651935483871</v>
      </c>
      <c r="AP58" s="67">
        <f t="shared" si="1"/>
        <v>21.765193548387099</v>
      </c>
    </row>
    <row r="59" spans="1:42" ht="15.6" x14ac:dyDescent="0.3">
      <c r="A59" s="5">
        <v>58</v>
      </c>
      <c r="B59" s="6" t="s">
        <v>58</v>
      </c>
      <c r="C59" s="12" t="s">
        <v>249</v>
      </c>
      <c r="D59" s="6" t="s">
        <v>128</v>
      </c>
      <c r="E59" s="6" t="s">
        <v>12</v>
      </c>
      <c r="F59" s="6" t="s">
        <v>13</v>
      </c>
      <c r="G59" s="12" t="s">
        <v>35</v>
      </c>
      <c r="H59" s="5">
        <v>8</v>
      </c>
      <c r="I59" s="74" t="s">
        <v>273</v>
      </c>
      <c r="J59" s="46">
        <v>124.08100000000005</v>
      </c>
      <c r="K59" s="46">
        <v>127.35699999999999</v>
      </c>
      <c r="L59" s="46">
        <v>114.89800000000001</v>
      </c>
      <c r="M59" s="46">
        <v>124.69400000000002</v>
      </c>
      <c r="N59" s="46">
        <v>113.38500000000001</v>
      </c>
      <c r="O59" s="46">
        <v>120.85600000000002</v>
      </c>
      <c r="P59" s="46">
        <v>109.09999999999998</v>
      </c>
      <c r="Q59" s="46">
        <v>96.320000000000007</v>
      </c>
      <c r="R59" s="46">
        <v>112.08299999999998</v>
      </c>
      <c r="S59" s="46">
        <v>107.571</v>
      </c>
      <c r="T59" s="46">
        <v>60.902000000000001</v>
      </c>
      <c r="U59" s="46">
        <v>97.272000000000006</v>
      </c>
      <c r="V59" s="46">
        <v>98.457000000000008</v>
      </c>
      <c r="W59" s="46">
        <v>90.666000000000011</v>
      </c>
      <c r="X59" s="46">
        <v>107.58700000000002</v>
      </c>
      <c r="Y59" s="46">
        <v>103.72899999999998</v>
      </c>
      <c r="Z59" s="46">
        <v>99.407000000000025</v>
      </c>
      <c r="AA59" s="46">
        <v>75.272000000000006</v>
      </c>
      <c r="AB59" s="46">
        <v>136.19900000000001</v>
      </c>
      <c r="AC59" s="46">
        <v>93.01</v>
      </c>
      <c r="AD59" s="46">
        <v>95.162999999999982</v>
      </c>
      <c r="AE59" s="46">
        <v>130.08999999999997</v>
      </c>
      <c r="AF59" s="46">
        <v>108.15500000000002</v>
      </c>
      <c r="AG59" s="46">
        <v>117.752</v>
      </c>
      <c r="AH59" s="46">
        <v>104.95399999999998</v>
      </c>
      <c r="AI59" s="46">
        <v>104.277</v>
      </c>
      <c r="AJ59" s="46">
        <v>98.267000000000024</v>
      </c>
      <c r="AK59" s="46">
        <v>113.91000000000003</v>
      </c>
      <c r="AL59" s="46">
        <v>101.583</v>
      </c>
      <c r="AM59" s="46">
        <v>91.4</v>
      </c>
      <c r="AN59" s="46">
        <v>105.032</v>
      </c>
      <c r="AO59" s="46">
        <f t="shared" si="0"/>
        <v>105.91706451612905</v>
      </c>
      <c r="AP59" s="67">
        <f t="shared" si="1"/>
        <v>13.239633064516131</v>
      </c>
    </row>
    <row r="60" spans="1:42" ht="15.6" x14ac:dyDescent="0.3">
      <c r="A60" s="5">
        <v>59</v>
      </c>
      <c r="B60" s="6" t="s">
        <v>58</v>
      </c>
      <c r="C60" s="12" t="s">
        <v>256</v>
      </c>
      <c r="D60" s="6" t="s">
        <v>128</v>
      </c>
      <c r="E60" s="6" t="s">
        <v>12</v>
      </c>
      <c r="F60" s="6" t="s">
        <v>13</v>
      </c>
      <c r="G60" s="12" t="s">
        <v>35</v>
      </c>
      <c r="H60" s="5">
        <v>6</v>
      </c>
      <c r="I60" s="74" t="s">
        <v>273</v>
      </c>
      <c r="J60" s="46">
        <v>0</v>
      </c>
      <c r="K60" s="45">
        <v>0</v>
      </c>
      <c r="L60" s="46">
        <v>0</v>
      </c>
      <c r="M60" s="46">
        <v>1.526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46">
        <v>0</v>
      </c>
      <c r="AK60" s="46">
        <v>0</v>
      </c>
      <c r="AL60" s="46">
        <v>0</v>
      </c>
      <c r="AM60" s="46">
        <v>4.173</v>
      </c>
      <c r="AN60" s="46">
        <v>4.3410000000000002</v>
      </c>
      <c r="AO60" s="46">
        <f t="shared" si="0"/>
        <v>0.32387096774193547</v>
      </c>
      <c r="AP60" s="67">
        <f t="shared" si="1"/>
        <v>5.3978494623655913E-2</v>
      </c>
    </row>
    <row r="61" spans="1:42" ht="15.6" x14ac:dyDescent="0.3">
      <c r="A61" s="5">
        <v>60</v>
      </c>
      <c r="B61" s="6" t="s">
        <v>119</v>
      </c>
      <c r="C61" s="12" t="s">
        <v>217</v>
      </c>
      <c r="D61" s="6" t="s">
        <v>30</v>
      </c>
      <c r="E61" s="6" t="s">
        <v>12</v>
      </c>
      <c r="F61" s="6" t="s">
        <v>121</v>
      </c>
      <c r="G61" s="6" t="s">
        <v>35</v>
      </c>
      <c r="H61" s="5">
        <v>20</v>
      </c>
      <c r="I61" s="74" t="s">
        <v>273</v>
      </c>
      <c r="J61" s="46">
        <v>31.96</v>
      </c>
      <c r="K61" s="46">
        <v>51.247</v>
      </c>
      <c r="L61" s="46">
        <v>71.463999999999999</v>
      </c>
      <c r="M61" s="46">
        <v>40.513999999999996</v>
      </c>
      <c r="N61" s="46">
        <v>70.257999999999981</v>
      </c>
      <c r="O61" s="46">
        <v>57.393999999999998</v>
      </c>
      <c r="P61" s="46">
        <v>21.036000000000001</v>
      </c>
      <c r="Q61" s="46">
        <v>28.948999999999998</v>
      </c>
      <c r="R61" s="46">
        <v>48.158000000000008</v>
      </c>
      <c r="S61" s="46">
        <v>62.499999999999993</v>
      </c>
      <c r="T61" s="46">
        <v>59.642000000000031</v>
      </c>
      <c r="U61" s="46">
        <v>77.081000000000017</v>
      </c>
      <c r="V61" s="46">
        <v>59.504999999999981</v>
      </c>
      <c r="W61" s="46">
        <v>44.715999999999994</v>
      </c>
      <c r="X61" s="46">
        <v>49.831000000000003</v>
      </c>
      <c r="Y61" s="46">
        <v>35.036000000000001</v>
      </c>
      <c r="Z61" s="46">
        <v>42.072000000000003</v>
      </c>
      <c r="AA61" s="46">
        <v>44.003999999999991</v>
      </c>
      <c r="AB61" s="46">
        <v>44.073</v>
      </c>
      <c r="AC61" s="46">
        <v>17.753</v>
      </c>
      <c r="AD61" s="46">
        <v>3.8330000000000002</v>
      </c>
      <c r="AE61" s="46">
        <v>25.765000000000001</v>
      </c>
      <c r="AF61" s="46">
        <v>40.32</v>
      </c>
      <c r="AG61" s="46">
        <v>43.817</v>
      </c>
      <c r="AH61" s="46">
        <v>30.55599999999999</v>
      </c>
      <c r="AI61" s="46">
        <v>26.553000000000001</v>
      </c>
      <c r="AJ61" s="46">
        <v>27.471</v>
      </c>
      <c r="AK61" s="46">
        <v>6.5620000000000003</v>
      </c>
      <c r="AL61" s="46">
        <v>39.253999999999998</v>
      </c>
      <c r="AM61" s="46">
        <v>49.692000000000007</v>
      </c>
      <c r="AN61" s="46">
        <v>26.573000000000004</v>
      </c>
      <c r="AO61" s="46">
        <f t="shared" si="0"/>
        <v>41.212548387096781</v>
      </c>
      <c r="AP61" s="67">
        <f t="shared" si="1"/>
        <v>2.0606274193548391</v>
      </c>
    </row>
    <row r="62" spans="1:42" ht="15.6" x14ac:dyDescent="0.3">
      <c r="A62" s="5">
        <v>61</v>
      </c>
      <c r="B62" s="6" t="s">
        <v>119</v>
      </c>
      <c r="C62" s="12" t="s">
        <v>218</v>
      </c>
      <c r="D62" s="6" t="s">
        <v>128</v>
      </c>
      <c r="E62" s="6" t="s">
        <v>12</v>
      </c>
      <c r="F62" s="6" t="s">
        <v>121</v>
      </c>
      <c r="G62" s="6" t="s">
        <v>35</v>
      </c>
      <c r="H62" s="5">
        <v>3</v>
      </c>
      <c r="I62" s="74" t="s">
        <v>273</v>
      </c>
      <c r="J62" s="46">
        <v>0</v>
      </c>
      <c r="K62" s="45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60">
        <v>0</v>
      </c>
      <c r="AF62" s="60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v>0</v>
      </c>
      <c r="AO62" s="46">
        <f t="shared" si="0"/>
        <v>0</v>
      </c>
      <c r="AP62" s="67">
        <f t="shared" si="1"/>
        <v>0</v>
      </c>
    </row>
    <row r="63" spans="1:42" ht="15.6" x14ac:dyDescent="0.3">
      <c r="A63" s="5">
        <v>62</v>
      </c>
      <c r="B63" s="6" t="s">
        <v>55</v>
      </c>
      <c r="C63" s="12" t="s">
        <v>393</v>
      </c>
      <c r="D63" s="6" t="s">
        <v>57</v>
      </c>
      <c r="E63" s="6" t="s">
        <v>12</v>
      </c>
      <c r="F63" s="6" t="s">
        <v>13</v>
      </c>
      <c r="G63" s="6" t="s">
        <v>35</v>
      </c>
      <c r="H63" s="5">
        <v>40</v>
      </c>
      <c r="I63" s="74" t="s">
        <v>273</v>
      </c>
      <c r="J63" s="46">
        <v>335.51700000000005</v>
      </c>
      <c r="K63" s="46">
        <v>160.92900000000003</v>
      </c>
      <c r="L63" s="46">
        <v>390.16400000000004</v>
      </c>
      <c r="M63" s="46">
        <v>375.71499999999975</v>
      </c>
      <c r="N63" s="46">
        <v>359.7580000000001</v>
      </c>
      <c r="O63" s="46">
        <v>418.06799999999981</v>
      </c>
      <c r="P63" s="46">
        <v>455.99400000000026</v>
      </c>
      <c r="Q63" s="46">
        <v>416.45100000000002</v>
      </c>
      <c r="R63" s="46">
        <v>177.40400000000002</v>
      </c>
      <c r="S63" s="46">
        <v>296.24599999999998</v>
      </c>
      <c r="T63" s="46">
        <v>317.61099999999999</v>
      </c>
      <c r="U63" s="46">
        <v>192.51600000000005</v>
      </c>
      <c r="V63" s="46">
        <v>95.795999999999992</v>
      </c>
      <c r="W63" s="46">
        <v>670.1129999999996</v>
      </c>
      <c r="X63" s="46">
        <v>438.68799999999987</v>
      </c>
      <c r="Y63" s="46">
        <v>156.559</v>
      </c>
      <c r="Z63" s="46">
        <v>303.68600000000009</v>
      </c>
      <c r="AA63" s="46">
        <v>356.21699999999976</v>
      </c>
      <c r="AB63" s="46">
        <v>330.97700000000003</v>
      </c>
      <c r="AC63" s="46">
        <v>329.36399999999998</v>
      </c>
      <c r="AD63" s="46">
        <v>514.50700000000006</v>
      </c>
      <c r="AE63" s="46">
        <v>460.38799999999986</v>
      </c>
      <c r="AF63" s="46">
        <v>155.69399999999999</v>
      </c>
      <c r="AG63" s="46">
        <v>401.37999999999988</v>
      </c>
      <c r="AH63" s="46">
        <v>247.095</v>
      </c>
      <c r="AI63" s="46">
        <v>261.88999999999993</v>
      </c>
      <c r="AJ63" s="46">
        <v>361.21599999999995</v>
      </c>
      <c r="AK63" s="46">
        <v>488.30500000000006</v>
      </c>
      <c r="AL63" s="46">
        <v>359.04300000000001</v>
      </c>
      <c r="AM63" s="46">
        <v>144.33299999999997</v>
      </c>
      <c r="AN63" s="46">
        <v>239.09999999999997</v>
      </c>
      <c r="AO63" s="46">
        <f t="shared" si="0"/>
        <v>329.37819354838712</v>
      </c>
      <c r="AP63" s="67">
        <f t="shared" si="1"/>
        <v>8.2344548387096772</v>
      </c>
    </row>
    <row r="64" spans="1:42" ht="15.6" x14ac:dyDescent="0.3">
      <c r="A64" s="5">
        <v>63</v>
      </c>
      <c r="B64" s="12" t="s">
        <v>221</v>
      </c>
      <c r="C64" s="12" t="s">
        <v>220</v>
      </c>
      <c r="D64" s="6" t="s">
        <v>30</v>
      </c>
      <c r="E64" s="6" t="s">
        <v>12</v>
      </c>
      <c r="F64" s="6" t="s">
        <v>13</v>
      </c>
      <c r="G64" s="6" t="s">
        <v>35</v>
      </c>
      <c r="H64" s="5">
        <v>19</v>
      </c>
      <c r="I64" s="74" t="s">
        <v>273</v>
      </c>
      <c r="J64" s="46">
        <v>24.536999999999999</v>
      </c>
      <c r="K64" s="46">
        <v>22.754000000000001</v>
      </c>
      <c r="L64" s="46">
        <v>31.728999999999999</v>
      </c>
      <c r="M64" s="46">
        <v>32.372000000000007</v>
      </c>
      <c r="N64" s="46">
        <v>19.720000000000002</v>
      </c>
      <c r="O64" s="46">
        <v>16.484999999999999</v>
      </c>
      <c r="P64" s="46">
        <v>12.335999999999997</v>
      </c>
      <c r="Q64" s="46">
        <v>10.003</v>
      </c>
      <c r="R64" s="46">
        <v>5.5720000000000001</v>
      </c>
      <c r="S64" s="46">
        <v>4.5469999999999997</v>
      </c>
      <c r="T64" s="46">
        <v>5.1020000000000003</v>
      </c>
      <c r="U64" s="46">
        <v>7.173</v>
      </c>
      <c r="V64" s="46">
        <v>6.5380000000000003</v>
      </c>
      <c r="W64" s="46">
        <v>5.67</v>
      </c>
      <c r="X64" s="46">
        <v>5.1239999999999997</v>
      </c>
      <c r="Y64" s="46">
        <v>5.16</v>
      </c>
      <c r="Z64" s="46">
        <v>9.8889999999999993</v>
      </c>
      <c r="AA64" s="46">
        <v>4.3860000000000001</v>
      </c>
      <c r="AB64" s="46">
        <v>5.6669999999999998</v>
      </c>
      <c r="AC64" s="46">
        <v>5.1639999999999997</v>
      </c>
      <c r="AD64" s="46">
        <v>6.1</v>
      </c>
      <c r="AE64" s="46">
        <v>5.3379999999999992</v>
      </c>
      <c r="AF64" s="46">
        <v>5.1130000000000004</v>
      </c>
      <c r="AG64" s="46">
        <v>5.3569999999999993</v>
      </c>
      <c r="AH64" s="46">
        <v>4.5919999999999996</v>
      </c>
      <c r="AI64" s="46">
        <v>5.4660000000000002</v>
      </c>
      <c r="AJ64" s="46">
        <v>5.9639999999999995</v>
      </c>
      <c r="AK64" s="46">
        <v>6.6850000000000005</v>
      </c>
      <c r="AL64" s="46">
        <v>5.4819999999999993</v>
      </c>
      <c r="AM64" s="46">
        <v>3.2549999999999999</v>
      </c>
      <c r="AN64" s="46">
        <v>6.2389999999999999</v>
      </c>
      <c r="AO64" s="46">
        <f t="shared" si="0"/>
        <v>9.6619032258064497</v>
      </c>
      <c r="AP64" s="67">
        <f t="shared" si="1"/>
        <v>0.50852122241086573</v>
      </c>
    </row>
    <row r="65" spans="1:42" x14ac:dyDescent="0.3">
      <c r="A65" s="5">
        <v>64</v>
      </c>
      <c r="B65" s="12" t="s">
        <v>222</v>
      </c>
      <c r="C65" s="12" t="s">
        <v>223</v>
      </c>
      <c r="D65" s="6" t="s">
        <v>69</v>
      </c>
      <c r="E65" s="6" t="s">
        <v>12</v>
      </c>
      <c r="F65" s="6" t="s">
        <v>40</v>
      </c>
      <c r="G65" s="6" t="s">
        <v>35</v>
      </c>
      <c r="H65" s="5">
        <v>2</v>
      </c>
      <c r="I65" s="67" t="s">
        <v>272</v>
      </c>
      <c r="J65" s="46">
        <v>0</v>
      </c>
      <c r="K65" s="45">
        <v>0</v>
      </c>
      <c r="L65" s="45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60">
        <v>0</v>
      </c>
      <c r="AF65" s="60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f t="shared" si="0"/>
        <v>0</v>
      </c>
      <c r="AP65" s="67">
        <f t="shared" si="1"/>
        <v>0</v>
      </c>
    </row>
    <row r="66" spans="1:42" ht="15.6" x14ac:dyDescent="0.3">
      <c r="A66" s="5">
        <v>65</v>
      </c>
      <c r="B66" s="12" t="s">
        <v>175</v>
      </c>
      <c r="C66" s="12" t="s">
        <v>174</v>
      </c>
      <c r="D66" s="6" t="s">
        <v>128</v>
      </c>
      <c r="E66" s="6" t="s">
        <v>12</v>
      </c>
      <c r="F66" s="6" t="s">
        <v>121</v>
      </c>
      <c r="G66" s="6" t="s">
        <v>35</v>
      </c>
      <c r="H66" s="5">
        <v>10</v>
      </c>
      <c r="I66" s="74" t="s">
        <v>273</v>
      </c>
      <c r="J66" s="46">
        <v>44.506999999999998</v>
      </c>
      <c r="K66" s="46">
        <v>47.745000000000005</v>
      </c>
      <c r="L66" s="46">
        <v>24.2</v>
      </c>
      <c r="M66" s="46">
        <v>31.025000000000002</v>
      </c>
      <c r="N66" s="46">
        <v>65.867999999999995</v>
      </c>
      <c r="O66" s="46">
        <v>68.472999999999985</v>
      </c>
      <c r="P66" s="46">
        <v>52.144000000000005</v>
      </c>
      <c r="Q66" s="46">
        <v>25.207999999999998</v>
      </c>
      <c r="R66" s="46">
        <v>36.438000000000002</v>
      </c>
      <c r="S66" s="46">
        <v>47.656999999999989</v>
      </c>
      <c r="T66" s="46">
        <v>43.002999999999993</v>
      </c>
      <c r="U66" s="46">
        <v>38.11</v>
      </c>
      <c r="V66" s="46">
        <v>57.82</v>
      </c>
      <c r="W66" s="46">
        <v>49</v>
      </c>
      <c r="X66" s="46">
        <v>75.95</v>
      </c>
      <c r="Y66" s="46">
        <v>69.17</v>
      </c>
      <c r="Z66" s="46">
        <v>34.840000000000003</v>
      </c>
      <c r="AA66" s="46">
        <v>95.74</v>
      </c>
      <c r="AB66" s="46">
        <v>81.88</v>
      </c>
      <c r="AC66" s="60">
        <v>67.790000000000006</v>
      </c>
      <c r="AD66" s="46">
        <v>82.31</v>
      </c>
      <c r="AE66" s="46">
        <v>111.64299999999999</v>
      </c>
      <c r="AF66" s="46">
        <v>94.126000000000047</v>
      </c>
      <c r="AG66" s="46">
        <v>93.235000000000014</v>
      </c>
      <c r="AH66" s="46">
        <v>113.402</v>
      </c>
      <c r="AI66" s="46">
        <v>114.262</v>
      </c>
      <c r="AJ66" s="46">
        <v>159.64200000000002</v>
      </c>
      <c r="AK66" s="46">
        <v>169.6690000000001</v>
      </c>
      <c r="AL66" s="46">
        <v>91.625000000000014</v>
      </c>
      <c r="AM66" s="46">
        <v>8.7889999999999997</v>
      </c>
      <c r="AN66" s="46">
        <v>0</v>
      </c>
      <c r="AO66" s="46">
        <f t="shared" si="0"/>
        <v>67.589387096774217</v>
      </c>
      <c r="AP66" s="67">
        <f t="shared" si="1"/>
        <v>6.7589387096774214</v>
      </c>
    </row>
    <row r="67" spans="1:42" ht="15.6" x14ac:dyDescent="0.3">
      <c r="A67" s="5">
        <v>66</v>
      </c>
      <c r="B67" s="12" t="s">
        <v>175</v>
      </c>
      <c r="C67" s="12" t="s">
        <v>174</v>
      </c>
      <c r="D67" s="6" t="s">
        <v>128</v>
      </c>
      <c r="E67" s="6" t="s">
        <v>12</v>
      </c>
      <c r="F67" s="6" t="s">
        <v>40</v>
      </c>
      <c r="G67" s="6" t="s">
        <v>35</v>
      </c>
      <c r="H67" s="5">
        <v>1</v>
      </c>
      <c r="I67" s="74" t="s">
        <v>273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38.71</v>
      </c>
      <c r="V67" s="46">
        <v>25.47</v>
      </c>
      <c r="W67" s="46">
        <v>0</v>
      </c>
      <c r="X67" s="46">
        <v>31.27</v>
      </c>
      <c r="Y67" s="46">
        <v>40.31</v>
      </c>
      <c r="Z67" s="46">
        <v>5.7</v>
      </c>
      <c r="AA67" s="46">
        <v>47</v>
      </c>
      <c r="AB67" s="46">
        <v>12.06</v>
      </c>
      <c r="AC67" s="60">
        <v>0</v>
      </c>
      <c r="AD67" s="60">
        <v>6.15</v>
      </c>
      <c r="AE67" s="46">
        <v>30.166</v>
      </c>
      <c r="AF67" s="46">
        <v>34.191000000000003</v>
      </c>
      <c r="AG67" s="46">
        <v>25.891000000000005</v>
      </c>
      <c r="AH67" s="46">
        <v>36.595999999999997</v>
      </c>
      <c r="AI67" s="46">
        <v>25.666</v>
      </c>
      <c r="AJ67" s="46">
        <v>20.733000000000001</v>
      </c>
      <c r="AK67" s="46">
        <v>0</v>
      </c>
      <c r="AL67" s="46">
        <v>24.024000000000001</v>
      </c>
      <c r="AM67" s="46">
        <v>51.318999999999996</v>
      </c>
      <c r="AN67" s="46">
        <v>51.664999999999999</v>
      </c>
      <c r="AO67" s="46">
        <f t="shared" ref="AO67:AO103" si="2">AVERAGE(J67:AN67)</f>
        <v>16.352290322580647</v>
      </c>
      <c r="AP67" s="67">
        <f t="shared" ref="AP67:AP105" si="3">AO67/H67</f>
        <v>16.352290322580647</v>
      </c>
    </row>
    <row r="68" spans="1:42" x14ac:dyDescent="0.3">
      <c r="A68" s="5">
        <v>67</v>
      </c>
      <c r="B68" s="12" t="s">
        <v>175</v>
      </c>
      <c r="C68" s="12" t="s">
        <v>241</v>
      </c>
      <c r="D68" s="6" t="s">
        <v>128</v>
      </c>
      <c r="E68" s="6" t="s">
        <v>12</v>
      </c>
      <c r="F68" s="6" t="s">
        <v>124</v>
      </c>
      <c r="G68" s="6" t="s">
        <v>80</v>
      </c>
      <c r="H68" s="5">
        <v>1</v>
      </c>
      <c r="I68" s="67" t="s">
        <v>160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46">
        <f t="shared" si="2"/>
        <v>0</v>
      </c>
      <c r="AP68" s="67">
        <f t="shared" si="3"/>
        <v>0</v>
      </c>
    </row>
    <row r="69" spans="1:42" x14ac:dyDescent="0.3">
      <c r="A69" s="5">
        <v>68</v>
      </c>
      <c r="B69" s="12" t="s">
        <v>175</v>
      </c>
      <c r="C69" s="12" t="s">
        <v>240</v>
      </c>
      <c r="D69" s="6" t="s">
        <v>128</v>
      </c>
      <c r="E69" s="6" t="s">
        <v>12</v>
      </c>
      <c r="F69" s="6" t="s">
        <v>124</v>
      </c>
      <c r="G69" s="6" t="s">
        <v>80</v>
      </c>
      <c r="H69" s="5">
        <v>1</v>
      </c>
      <c r="I69" s="67" t="s">
        <v>160</v>
      </c>
      <c r="J69" s="46">
        <v>0</v>
      </c>
      <c r="K69" s="46">
        <v>0</v>
      </c>
      <c r="L69" s="46">
        <v>0</v>
      </c>
      <c r="M69" s="46">
        <v>0</v>
      </c>
      <c r="N69" s="46">
        <v>0.05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0</v>
      </c>
      <c r="AE69" s="46">
        <v>0</v>
      </c>
      <c r="AF69" s="46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46">
        <f t="shared" si="2"/>
        <v>1.6129032258064516E-3</v>
      </c>
      <c r="AP69" s="67">
        <f t="shared" si="3"/>
        <v>1.6129032258064516E-3</v>
      </c>
    </row>
    <row r="70" spans="1:42" x14ac:dyDescent="0.3">
      <c r="A70" s="5">
        <v>69</v>
      </c>
      <c r="B70" s="12" t="s">
        <v>175</v>
      </c>
      <c r="C70" s="12" t="s">
        <v>242</v>
      </c>
      <c r="D70" s="6" t="s">
        <v>128</v>
      </c>
      <c r="E70" s="6" t="s">
        <v>12</v>
      </c>
      <c r="F70" s="6" t="s">
        <v>124</v>
      </c>
      <c r="G70" s="6" t="s">
        <v>80</v>
      </c>
      <c r="H70" s="5">
        <v>1</v>
      </c>
      <c r="I70" s="67" t="s">
        <v>160</v>
      </c>
      <c r="J70" s="46">
        <v>0</v>
      </c>
      <c r="K70" s="46">
        <v>0</v>
      </c>
      <c r="L70" s="46">
        <v>0</v>
      </c>
      <c r="M70" s="46">
        <v>0</v>
      </c>
      <c r="N70" s="46">
        <v>0.23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46">
        <f t="shared" si="2"/>
        <v>7.4193548387096776E-3</v>
      </c>
      <c r="AP70" s="67">
        <f t="shared" si="3"/>
        <v>7.4193548387096776E-3</v>
      </c>
    </row>
    <row r="71" spans="1:42" ht="15.6" x14ac:dyDescent="0.3">
      <c r="A71" s="5">
        <v>70</v>
      </c>
      <c r="B71" s="6" t="s">
        <v>65</v>
      </c>
      <c r="C71" s="12" t="s">
        <v>224</v>
      </c>
      <c r="D71" s="6" t="s">
        <v>30</v>
      </c>
      <c r="E71" s="6" t="s">
        <v>12</v>
      </c>
      <c r="F71" s="6" t="s">
        <v>13</v>
      </c>
      <c r="G71" s="6" t="s">
        <v>35</v>
      </c>
      <c r="H71" s="5">
        <v>5</v>
      </c>
      <c r="I71" s="74" t="s">
        <v>273</v>
      </c>
      <c r="J71" s="46">
        <v>33.405999999999999</v>
      </c>
      <c r="K71" s="46">
        <v>62.603999999999999</v>
      </c>
      <c r="L71" s="46">
        <v>37.22699999999999</v>
      </c>
      <c r="M71" s="46">
        <v>47.848999999999997</v>
      </c>
      <c r="N71" s="46">
        <v>33.548000000000002</v>
      </c>
      <c r="O71" s="46">
        <v>31.532000000000004</v>
      </c>
      <c r="P71" s="46">
        <v>37.079000000000001</v>
      </c>
      <c r="Q71" s="46">
        <v>45.744</v>
      </c>
      <c r="R71" s="46">
        <v>34.602000000000004</v>
      </c>
      <c r="S71" s="46">
        <v>40.530999999999999</v>
      </c>
      <c r="T71" s="46">
        <v>33.492999999999995</v>
      </c>
      <c r="U71" s="46">
        <v>23.416</v>
      </c>
      <c r="V71" s="46">
        <v>6.4420000000000002</v>
      </c>
      <c r="W71" s="46">
        <v>29.934000000000001</v>
      </c>
      <c r="X71" s="46">
        <v>52.140999999999998</v>
      </c>
      <c r="Y71" s="46">
        <v>23.053999999999998</v>
      </c>
      <c r="Z71" s="46">
        <v>35.339999999999996</v>
      </c>
      <c r="AA71" s="46">
        <v>52.657000000000004</v>
      </c>
      <c r="AB71" s="46">
        <v>30.023000000000003</v>
      </c>
      <c r="AC71" s="46">
        <v>33.951000000000001</v>
      </c>
      <c r="AD71" s="46">
        <v>41.737000000000002</v>
      </c>
      <c r="AE71" s="46">
        <v>34.760999999999996</v>
      </c>
      <c r="AF71" s="46">
        <v>40.204999999999998</v>
      </c>
      <c r="AG71" s="46">
        <v>32.132999999999996</v>
      </c>
      <c r="AH71" s="46">
        <v>40.111999999999995</v>
      </c>
      <c r="AI71" s="46">
        <v>21.957999999999998</v>
      </c>
      <c r="AJ71" s="46">
        <v>31.795999999999999</v>
      </c>
      <c r="AK71" s="46">
        <v>36.814</v>
      </c>
      <c r="AL71" s="46">
        <v>53.302</v>
      </c>
      <c r="AM71" s="46">
        <v>29.909000000000002</v>
      </c>
      <c r="AN71" s="46">
        <v>28.914000000000001</v>
      </c>
      <c r="AO71" s="46">
        <f t="shared" si="2"/>
        <v>36.006903225806447</v>
      </c>
      <c r="AP71" s="67">
        <f t="shared" si="3"/>
        <v>7.2013806451612892</v>
      </c>
    </row>
    <row r="72" spans="1:42" ht="15.6" x14ac:dyDescent="0.3">
      <c r="A72" s="5">
        <v>71</v>
      </c>
      <c r="B72" s="6" t="s">
        <v>65</v>
      </c>
      <c r="C72" s="12" t="s">
        <v>225</v>
      </c>
      <c r="D72" s="6" t="s">
        <v>30</v>
      </c>
      <c r="E72" s="6" t="s">
        <v>12</v>
      </c>
      <c r="F72" s="6" t="s">
        <v>13</v>
      </c>
      <c r="G72" s="6" t="s">
        <v>35</v>
      </c>
      <c r="H72" s="5">
        <v>16</v>
      </c>
      <c r="I72" s="74" t="s">
        <v>273</v>
      </c>
      <c r="J72" s="46">
        <v>38.412000000000013</v>
      </c>
      <c r="K72" s="46">
        <v>31.683999999999997</v>
      </c>
      <c r="L72" s="46">
        <v>35.167999999999999</v>
      </c>
      <c r="M72" s="46">
        <v>30.856999999999999</v>
      </c>
      <c r="N72" s="46">
        <v>13.144</v>
      </c>
      <c r="O72" s="46">
        <v>24.748999999999999</v>
      </c>
      <c r="P72" s="46">
        <v>27.710999999999999</v>
      </c>
      <c r="Q72" s="46">
        <v>39.697000000000003</v>
      </c>
      <c r="R72" s="46">
        <v>26.613999999999997</v>
      </c>
      <c r="S72" s="46">
        <v>39.972000000000001</v>
      </c>
      <c r="T72" s="46">
        <v>50.271000000000001</v>
      </c>
      <c r="U72" s="46">
        <v>31.817999999999998</v>
      </c>
      <c r="V72" s="46">
        <v>24.844999999999999</v>
      </c>
      <c r="W72" s="46">
        <v>17.251999999999999</v>
      </c>
      <c r="X72" s="46">
        <v>0</v>
      </c>
      <c r="Y72" s="46">
        <v>24.585999999999999</v>
      </c>
      <c r="Z72" s="46">
        <v>13.378</v>
      </c>
      <c r="AA72" s="46">
        <v>5.2999999999999999E-2</v>
      </c>
      <c r="AB72" s="46">
        <v>0</v>
      </c>
      <c r="AC72" s="46">
        <v>7.1870000000000012</v>
      </c>
      <c r="AD72" s="46">
        <v>6.6550000000000002</v>
      </c>
      <c r="AE72" s="46">
        <v>8.1669999999999998</v>
      </c>
      <c r="AF72" s="46">
        <v>7.125</v>
      </c>
      <c r="AG72" s="46">
        <v>3.6519999999999997</v>
      </c>
      <c r="AH72" s="46">
        <v>9.92</v>
      </c>
      <c r="AI72" s="46">
        <v>1.881</v>
      </c>
      <c r="AJ72" s="46">
        <v>0.88600000000000001</v>
      </c>
      <c r="AK72" s="46">
        <v>12.353999999999999</v>
      </c>
      <c r="AL72" s="46">
        <v>1.4019999999999999</v>
      </c>
      <c r="AM72" s="46">
        <v>8.7540000000000013</v>
      </c>
      <c r="AN72" s="46">
        <v>0</v>
      </c>
      <c r="AO72" s="46">
        <f t="shared" si="2"/>
        <v>17.361096774193548</v>
      </c>
      <c r="AP72" s="67">
        <f t="shared" si="3"/>
        <v>1.0850685483870968</v>
      </c>
    </row>
    <row r="73" spans="1:42" ht="15.6" x14ac:dyDescent="0.3">
      <c r="A73" s="5">
        <v>72</v>
      </c>
      <c r="B73" s="6" t="s">
        <v>65</v>
      </c>
      <c r="C73" s="12" t="s">
        <v>226</v>
      </c>
      <c r="D73" s="6" t="s">
        <v>30</v>
      </c>
      <c r="E73" s="6" t="s">
        <v>12</v>
      </c>
      <c r="F73" s="6" t="s">
        <v>13</v>
      </c>
      <c r="G73" s="6" t="s">
        <v>35</v>
      </c>
      <c r="H73" s="5">
        <v>10</v>
      </c>
      <c r="I73" s="74" t="s">
        <v>273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0</v>
      </c>
      <c r="AD73" s="46">
        <v>0</v>
      </c>
      <c r="AE73" s="60">
        <v>0</v>
      </c>
      <c r="AF73" s="60">
        <v>0</v>
      </c>
      <c r="AG73" s="46">
        <v>0</v>
      </c>
      <c r="AH73" s="46">
        <v>0</v>
      </c>
      <c r="AI73" s="46">
        <v>0</v>
      </c>
      <c r="AJ73" s="46">
        <v>0</v>
      </c>
      <c r="AK73" s="46">
        <v>0</v>
      </c>
      <c r="AL73" s="46">
        <v>0</v>
      </c>
      <c r="AM73" s="46">
        <v>0</v>
      </c>
      <c r="AN73" s="46">
        <v>0</v>
      </c>
      <c r="AO73" s="46">
        <f t="shared" si="2"/>
        <v>0</v>
      </c>
      <c r="AP73" s="67">
        <f t="shared" si="3"/>
        <v>0</v>
      </c>
    </row>
    <row r="74" spans="1:42" ht="15.6" x14ac:dyDescent="0.3">
      <c r="A74" s="5">
        <v>73</v>
      </c>
      <c r="B74" s="6" t="s">
        <v>65</v>
      </c>
      <c r="C74" s="12" t="s">
        <v>227</v>
      </c>
      <c r="D74" s="6" t="s">
        <v>30</v>
      </c>
      <c r="E74" s="6" t="s">
        <v>12</v>
      </c>
      <c r="F74" s="6" t="s">
        <v>13</v>
      </c>
      <c r="G74" s="6" t="s">
        <v>35</v>
      </c>
      <c r="H74" s="5">
        <v>13</v>
      </c>
      <c r="I74" s="74" t="s">
        <v>273</v>
      </c>
      <c r="J74" s="46">
        <v>30.068999999999996</v>
      </c>
      <c r="K74" s="46">
        <v>32.213000000000001</v>
      </c>
      <c r="L74" s="46">
        <v>34.103999999999999</v>
      </c>
      <c r="M74" s="46">
        <v>50.852000000000004</v>
      </c>
      <c r="N74" s="46">
        <v>33.785000000000004</v>
      </c>
      <c r="O74" s="46">
        <v>32.572000000000003</v>
      </c>
      <c r="P74" s="46">
        <v>30.109000000000002</v>
      </c>
      <c r="Q74" s="46">
        <v>16.567</v>
      </c>
      <c r="R74" s="46">
        <v>41.171000000000006</v>
      </c>
      <c r="S74" s="46">
        <v>44.083999999999996</v>
      </c>
      <c r="T74" s="46">
        <v>26.003</v>
      </c>
      <c r="U74" s="46">
        <v>40.18399999999999</v>
      </c>
      <c r="V74" s="46">
        <v>59.123000000000005</v>
      </c>
      <c r="W74" s="46">
        <v>28.914000000000001</v>
      </c>
      <c r="X74" s="46">
        <v>47.067999999999998</v>
      </c>
      <c r="Y74" s="46">
        <v>40.512</v>
      </c>
      <c r="Z74" s="46">
        <v>2.9749999999999996</v>
      </c>
      <c r="AA74" s="46">
        <v>62.55599999999999</v>
      </c>
      <c r="AB74" s="46">
        <v>36.330999999999996</v>
      </c>
      <c r="AC74" s="46">
        <v>42.193999999999996</v>
      </c>
      <c r="AD74" s="46">
        <v>0</v>
      </c>
      <c r="AE74" s="46">
        <v>45.185000000000002</v>
      </c>
      <c r="AF74" s="46">
        <v>49.858000000000004</v>
      </c>
      <c r="AG74" s="46">
        <v>25.916</v>
      </c>
      <c r="AH74" s="46">
        <v>50.728000000000009</v>
      </c>
      <c r="AI74" s="46">
        <v>27.983999999999998</v>
      </c>
      <c r="AJ74" s="46">
        <v>35.941999999999993</v>
      </c>
      <c r="AK74" s="46">
        <v>4.4079999999999995</v>
      </c>
      <c r="AL74" s="46">
        <v>69.353999999999999</v>
      </c>
      <c r="AM74" s="46">
        <v>28.384</v>
      </c>
      <c r="AN74" s="46">
        <v>66.012999999999991</v>
      </c>
      <c r="AO74" s="46">
        <f t="shared" si="2"/>
        <v>36.617999999999995</v>
      </c>
      <c r="AP74" s="67">
        <f t="shared" si="3"/>
        <v>2.8167692307692302</v>
      </c>
    </row>
    <row r="75" spans="1:42" ht="15.6" x14ac:dyDescent="0.3">
      <c r="A75" s="5">
        <v>74</v>
      </c>
      <c r="B75" s="6" t="s">
        <v>65</v>
      </c>
      <c r="C75" s="12" t="s">
        <v>356</v>
      </c>
      <c r="D75" s="6" t="s">
        <v>30</v>
      </c>
      <c r="E75" s="6" t="s">
        <v>12</v>
      </c>
      <c r="F75" s="6" t="s">
        <v>13</v>
      </c>
      <c r="G75" s="6" t="s">
        <v>35</v>
      </c>
      <c r="H75" s="5">
        <v>20</v>
      </c>
      <c r="I75" s="74" t="s">
        <v>273</v>
      </c>
      <c r="J75" s="46">
        <v>259.73700000000014</v>
      </c>
      <c r="K75" s="46">
        <v>240.33600000000001</v>
      </c>
      <c r="L75" s="46">
        <v>260.70400000000006</v>
      </c>
      <c r="M75" s="46">
        <v>253.98399999999998</v>
      </c>
      <c r="N75" s="46">
        <v>273.99999999999994</v>
      </c>
      <c r="O75" s="46">
        <v>246.864</v>
      </c>
      <c r="P75" s="46">
        <v>321.40500000000026</v>
      </c>
      <c r="Q75" s="46">
        <v>185.26200000000003</v>
      </c>
      <c r="R75" s="46">
        <v>229.12099999999998</v>
      </c>
      <c r="S75" s="46">
        <v>272.20900000000012</v>
      </c>
      <c r="T75" s="46">
        <v>262.68199999999996</v>
      </c>
      <c r="U75" s="46">
        <v>264.55700000000007</v>
      </c>
      <c r="V75" s="46">
        <v>307.87999999999994</v>
      </c>
      <c r="W75" s="46">
        <v>317.57900000000006</v>
      </c>
      <c r="X75" s="46">
        <v>240.7059999999999</v>
      </c>
      <c r="Y75" s="46">
        <v>248.446</v>
      </c>
      <c r="Z75" s="46">
        <v>373.09499999999974</v>
      </c>
      <c r="AA75" s="46">
        <v>305.89800000000002</v>
      </c>
      <c r="AB75" s="46">
        <v>343.56099999999998</v>
      </c>
      <c r="AC75" s="46">
        <v>286.21200000000005</v>
      </c>
      <c r="AD75" s="46">
        <v>311.41599999999994</v>
      </c>
      <c r="AE75" s="46">
        <v>320.03700000000003</v>
      </c>
      <c r="AF75" s="46">
        <v>205.91600000000003</v>
      </c>
      <c r="AG75" s="46">
        <v>308.81</v>
      </c>
      <c r="AH75" s="46">
        <v>303.34400000000011</v>
      </c>
      <c r="AI75" s="46">
        <v>330.94099999999997</v>
      </c>
      <c r="AJ75" s="46">
        <v>322.73100000000011</v>
      </c>
      <c r="AK75" s="46">
        <v>318.06999999999994</v>
      </c>
      <c r="AL75" s="46">
        <v>294.30799999999999</v>
      </c>
      <c r="AM75" s="46">
        <v>249.73200000000003</v>
      </c>
      <c r="AN75" s="46">
        <v>250.29099999999994</v>
      </c>
      <c r="AO75" s="46">
        <f t="shared" si="2"/>
        <v>280.96238709677419</v>
      </c>
      <c r="AP75" s="67">
        <f t="shared" si="3"/>
        <v>14.048119354838709</v>
      </c>
    </row>
    <row r="76" spans="1:42" x14ac:dyDescent="0.3">
      <c r="A76" s="5">
        <v>75</v>
      </c>
      <c r="B76" s="6" t="s">
        <v>65</v>
      </c>
      <c r="C76" s="12" t="s">
        <v>228</v>
      </c>
      <c r="D76" s="6" t="s">
        <v>30</v>
      </c>
      <c r="E76" s="6" t="s">
        <v>12</v>
      </c>
      <c r="F76" s="6" t="s">
        <v>13</v>
      </c>
      <c r="G76" s="6" t="s">
        <v>35</v>
      </c>
      <c r="H76" s="5">
        <v>1</v>
      </c>
      <c r="I76" s="67" t="s">
        <v>272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60">
        <v>0</v>
      </c>
      <c r="AH76" s="60">
        <v>0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46">
        <f t="shared" si="2"/>
        <v>0</v>
      </c>
      <c r="AP76" s="67">
        <f t="shared" si="3"/>
        <v>0</v>
      </c>
    </row>
    <row r="77" spans="1:42" x14ac:dyDescent="0.3">
      <c r="A77" s="5">
        <v>76</v>
      </c>
      <c r="B77" s="6" t="s">
        <v>65</v>
      </c>
      <c r="C77" s="12" t="s">
        <v>110</v>
      </c>
      <c r="D77" s="6" t="s">
        <v>30</v>
      </c>
      <c r="E77" s="6" t="s">
        <v>12</v>
      </c>
      <c r="F77" s="6" t="s">
        <v>13</v>
      </c>
      <c r="G77" s="6" t="s">
        <v>35</v>
      </c>
      <c r="H77" s="5">
        <v>1</v>
      </c>
      <c r="I77" s="67" t="s">
        <v>272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  <c r="AF77" s="46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46">
        <v>0</v>
      </c>
      <c r="AM77" s="46">
        <v>0</v>
      </c>
      <c r="AN77" s="46">
        <v>0</v>
      </c>
      <c r="AO77" s="46">
        <f t="shared" si="2"/>
        <v>0</v>
      </c>
      <c r="AP77" s="67">
        <f t="shared" si="3"/>
        <v>0</v>
      </c>
    </row>
    <row r="78" spans="1:42" x14ac:dyDescent="0.3">
      <c r="A78" s="5">
        <v>77</v>
      </c>
      <c r="B78" s="6" t="s">
        <v>65</v>
      </c>
      <c r="C78" s="12" t="s">
        <v>229</v>
      </c>
      <c r="D78" s="6" t="s">
        <v>128</v>
      </c>
      <c r="E78" s="6" t="s">
        <v>12</v>
      </c>
      <c r="F78" s="6" t="s">
        <v>40</v>
      </c>
      <c r="G78" s="6" t="s">
        <v>35</v>
      </c>
      <c r="H78" s="5">
        <v>2</v>
      </c>
      <c r="I78" s="67" t="s">
        <v>160</v>
      </c>
      <c r="J78" s="46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45">
        <v>0</v>
      </c>
      <c r="T78" s="45">
        <v>0</v>
      </c>
      <c r="U78" s="45">
        <v>0</v>
      </c>
      <c r="V78" s="45">
        <v>0</v>
      </c>
      <c r="W78" s="45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46">
        <v>0</v>
      </c>
      <c r="AM78" s="46">
        <v>0</v>
      </c>
      <c r="AN78" s="46">
        <v>0</v>
      </c>
      <c r="AO78" s="46">
        <f t="shared" si="2"/>
        <v>0</v>
      </c>
      <c r="AP78" s="67">
        <f t="shared" si="3"/>
        <v>0</v>
      </c>
    </row>
    <row r="79" spans="1:42" x14ac:dyDescent="0.3">
      <c r="A79" s="5">
        <v>78</v>
      </c>
      <c r="B79" s="6" t="s">
        <v>65</v>
      </c>
      <c r="C79" s="12" t="s">
        <v>230</v>
      </c>
      <c r="D79" s="6"/>
      <c r="E79" s="6" t="s">
        <v>130</v>
      </c>
      <c r="F79" s="6" t="s">
        <v>121</v>
      </c>
      <c r="G79" s="6" t="s">
        <v>35</v>
      </c>
      <c r="H79" s="5">
        <v>2</v>
      </c>
      <c r="I79" s="67" t="s">
        <v>160</v>
      </c>
      <c r="J79" s="46">
        <v>0</v>
      </c>
      <c r="K79" s="51">
        <v>0</v>
      </c>
      <c r="L79" s="46">
        <v>0</v>
      </c>
      <c r="M79" s="51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51">
        <v>0</v>
      </c>
      <c r="T79" s="51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51">
        <v>0</v>
      </c>
      <c r="AB79" s="46">
        <v>0</v>
      </c>
      <c r="AC79" s="46">
        <v>0</v>
      </c>
      <c r="AD79" s="46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0</v>
      </c>
      <c r="AL79" s="46">
        <v>0</v>
      </c>
      <c r="AM79" s="46">
        <v>0</v>
      </c>
      <c r="AN79" s="46">
        <v>0</v>
      </c>
      <c r="AO79" s="46">
        <f t="shared" si="2"/>
        <v>0</v>
      </c>
      <c r="AP79" s="67">
        <f t="shared" si="3"/>
        <v>0</v>
      </c>
    </row>
    <row r="80" spans="1:42" x14ac:dyDescent="0.3">
      <c r="A80" s="5">
        <v>79</v>
      </c>
      <c r="B80" s="6" t="s">
        <v>65</v>
      </c>
      <c r="C80" s="12" t="s">
        <v>231</v>
      </c>
      <c r="D80" s="6" t="s">
        <v>128</v>
      </c>
      <c r="E80" s="6" t="s">
        <v>19</v>
      </c>
      <c r="F80" s="6" t="s">
        <v>13</v>
      </c>
      <c r="G80" s="6" t="s">
        <v>35</v>
      </c>
      <c r="H80" s="5">
        <v>6</v>
      </c>
      <c r="I80" s="67" t="s">
        <v>160</v>
      </c>
      <c r="J80" s="46">
        <v>68.662000000000006</v>
      </c>
      <c r="K80" s="46">
        <v>68.171999999999997</v>
      </c>
      <c r="L80" s="46">
        <v>60.577999999999996</v>
      </c>
      <c r="M80" s="46">
        <v>59.792000000000002</v>
      </c>
      <c r="N80" s="46">
        <v>92.88300000000001</v>
      </c>
      <c r="O80" s="46">
        <v>5.3949999999999996</v>
      </c>
      <c r="P80" s="46">
        <v>0</v>
      </c>
      <c r="Q80" s="46">
        <v>64.271000000000001</v>
      </c>
      <c r="R80" s="46">
        <v>58.675000000000004</v>
      </c>
      <c r="S80" s="46">
        <v>53.44400000000001</v>
      </c>
      <c r="T80" s="46">
        <v>41.358999999999995</v>
      </c>
      <c r="U80" s="46">
        <v>65.570000000000007</v>
      </c>
      <c r="V80" s="46">
        <v>16.673000000000002</v>
      </c>
      <c r="W80" s="46">
        <v>16.010000000000002</v>
      </c>
      <c r="X80" s="46">
        <v>47.594000000000008</v>
      </c>
      <c r="Y80" s="46">
        <v>55.652000000000001</v>
      </c>
      <c r="Z80" s="46">
        <v>0</v>
      </c>
      <c r="AA80" s="46">
        <v>75.454000000000008</v>
      </c>
      <c r="AB80" s="46">
        <v>58.661000000000008</v>
      </c>
      <c r="AC80" s="46">
        <v>19.641999999999999</v>
      </c>
      <c r="AD80" s="46">
        <v>0</v>
      </c>
      <c r="AE80" s="46">
        <v>74.347000000000008</v>
      </c>
      <c r="AF80" s="46">
        <v>65.033999999999992</v>
      </c>
      <c r="AG80" s="46">
        <v>57.103000000000002</v>
      </c>
      <c r="AH80" s="46">
        <v>54.419000000000004</v>
      </c>
      <c r="AI80" s="46">
        <v>35.971000000000011</v>
      </c>
      <c r="AJ80" s="46">
        <v>0</v>
      </c>
      <c r="AK80" s="46">
        <v>2.7370000000000001</v>
      </c>
      <c r="AL80" s="46">
        <v>98.970999999999975</v>
      </c>
      <c r="AM80" s="46">
        <v>69.495000000000005</v>
      </c>
      <c r="AN80" s="46">
        <v>92.873999999999995</v>
      </c>
      <c r="AO80" s="46">
        <f t="shared" si="2"/>
        <v>47.72380645161293</v>
      </c>
      <c r="AP80" s="67">
        <f t="shared" si="3"/>
        <v>7.9539677419354886</v>
      </c>
    </row>
    <row r="81" spans="1:42" x14ac:dyDescent="0.3">
      <c r="A81" s="5">
        <v>80</v>
      </c>
      <c r="B81" s="6" t="s">
        <v>65</v>
      </c>
      <c r="C81" s="12" t="s">
        <v>231</v>
      </c>
      <c r="D81" s="6" t="s">
        <v>128</v>
      </c>
      <c r="E81" s="6" t="s">
        <v>19</v>
      </c>
      <c r="F81" s="6" t="s">
        <v>40</v>
      </c>
      <c r="G81" s="6" t="s">
        <v>35</v>
      </c>
      <c r="H81" s="5">
        <v>1</v>
      </c>
      <c r="I81" s="67" t="s">
        <v>160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0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0</v>
      </c>
      <c r="AL81" s="51">
        <v>0</v>
      </c>
      <c r="AM81" s="51">
        <v>0</v>
      </c>
      <c r="AN81" s="51">
        <v>0</v>
      </c>
      <c r="AO81" s="46">
        <f t="shared" si="2"/>
        <v>0</v>
      </c>
      <c r="AP81" s="67">
        <f t="shared" si="3"/>
        <v>0</v>
      </c>
    </row>
    <row r="82" spans="1:42" ht="15.6" x14ac:dyDescent="0.3">
      <c r="A82" s="5">
        <v>81</v>
      </c>
      <c r="B82" s="6" t="s">
        <v>65</v>
      </c>
      <c r="C82" s="12" t="s">
        <v>232</v>
      </c>
      <c r="D82" s="6" t="s">
        <v>128</v>
      </c>
      <c r="E82" s="6" t="s">
        <v>12</v>
      </c>
      <c r="F82" s="6" t="s">
        <v>121</v>
      </c>
      <c r="G82" s="6" t="s">
        <v>35</v>
      </c>
      <c r="H82" s="5">
        <v>20</v>
      </c>
      <c r="I82" s="74" t="s">
        <v>273</v>
      </c>
      <c r="J82" s="46">
        <v>142.68999999999997</v>
      </c>
      <c r="K82" s="46">
        <v>126.55100000000002</v>
      </c>
      <c r="L82" s="46">
        <v>116.393</v>
      </c>
      <c r="M82" s="46">
        <v>120.485</v>
      </c>
      <c r="N82" s="46">
        <v>107.41200000000005</v>
      </c>
      <c r="O82" s="46">
        <v>153.38800000000001</v>
      </c>
      <c r="P82" s="46">
        <v>150.56200000000001</v>
      </c>
      <c r="Q82" s="46">
        <v>134.31400000000002</v>
      </c>
      <c r="R82" s="46">
        <v>162.499</v>
      </c>
      <c r="S82" s="46">
        <v>137.42099999999999</v>
      </c>
      <c r="T82" s="46">
        <v>155.63799999999998</v>
      </c>
      <c r="U82" s="46">
        <v>137.20800000000003</v>
      </c>
      <c r="V82" s="46">
        <v>155.32900000000004</v>
      </c>
      <c r="W82" s="46">
        <v>97.292000000000002</v>
      </c>
      <c r="X82" s="46">
        <v>140.56700000000006</v>
      </c>
      <c r="Y82" s="46">
        <v>176.15099999999998</v>
      </c>
      <c r="Z82" s="46">
        <v>125.18299999999999</v>
      </c>
      <c r="AA82" s="46">
        <v>195.72400000000002</v>
      </c>
      <c r="AB82" s="46">
        <v>164.63300000000004</v>
      </c>
      <c r="AC82" s="46">
        <v>192.86100000000002</v>
      </c>
      <c r="AD82" s="46">
        <v>146.03400000000002</v>
      </c>
      <c r="AE82" s="46">
        <v>182.369</v>
      </c>
      <c r="AF82" s="46">
        <v>184.31200000000001</v>
      </c>
      <c r="AG82" s="46">
        <v>186.49600000000001</v>
      </c>
      <c r="AH82" s="46">
        <v>207.99699999999999</v>
      </c>
      <c r="AI82" s="46">
        <v>217.31100000000006</v>
      </c>
      <c r="AJ82" s="46">
        <v>232.72499999999997</v>
      </c>
      <c r="AK82" s="46">
        <v>258.10599999999999</v>
      </c>
      <c r="AL82" s="46">
        <v>257.428</v>
      </c>
      <c r="AM82" s="46">
        <v>182.74700000000004</v>
      </c>
      <c r="AN82" s="46">
        <v>167.92799999999997</v>
      </c>
      <c r="AO82" s="46">
        <f t="shared" si="2"/>
        <v>165.02432258064519</v>
      </c>
      <c r="AP82" s="67">
        <f t="shared" si="3"/>
        <v>8.2512161290322599</v>
      </c>
    </row>
    <row r="83" spans="1:42" ht="15.6" x14ac:dyDescent="0.3">
      <c r="A83" s="5">
        <v>82</v>
      </c>
      <c r="B83" s="6" t="s">
        <v>65</v>
      </c>
      <c r="C83" s="12" t="s">
        <v>254</v>
      </c>
      <c r="D83" s="6" t="s">
        <v>128</v>
      </c>
      <c r="E83" s="6" t="s">
        <v>12</v>
      </c>
      <c r="F83" s="6" t="s">
        <v>121</v>
      </c>
      <c r="G83" s="6" t="s">
        <v>35</v>
      </c>
      <c r="H83" s="5">
        <v>10</v>
      </c>
      <c r="I83" s="74" t="s">
        <v>273</v>
      </c>
      <c r="J83" s="46">
        <v>62.513000000000005</v>
      </c>
      <c r="K83" s="46">
        <v>78.049000000000007</v>
      </c>
      <c r="L83" s="46">
        <v>77.872</v>
      </c>
      <c r="M83" s="46">
        <v>50.850999999999999</v>
      </c>
      <c r="N83" s="46">
        <v>74.815999999999988</v>
      </c>
      <c r="O83" s="46">
        <v>111.49299999999999</v>
      </c>
      <c r="P83" s="46">
        <v>101.42399999999999</v>
      </c>
      <c r="Q83" s="46">
        <v>70.53</v>
      </c>
      <c r="R83" s="46">
        <v>86.130999999999986</v>
      </c>
      <c r="S83" s="46">
        <v>94.596000000000004</v>
      </c>
      <c r="T83" s="46">
        <v>90.546000000000006</v>
      </c>
      <c r="U83" s="46">
        <v>131.44500000000002</v>
      </c>
      <c r="V83" s="46">
        <v>134.97</v>
      </c>
      <c r="W83" s="46">
        <v>121.73499999999999</v>
      </c>
      <c r="X83" s="46">
        <v>114.58399999999999</v>
      </c>
      <c r="Y83" s="46">
        <v>130.11700000000005</v>
      </c>
      <c r="Z83" s="46">
        <v>91.91</v>
      </c>
      <c r="AA83" s="46">
        <v>120.50999999999999</v>
      </c>
      <c r="AB83" s="46">
        <v>151.22800000000001</v>
      </c>
      <c r="AC83" s="46">
        <v>145.24</v>
      </c>
      <c r="AD83" s="46">
        <v>131.84</v>
      </c>
      <c r="AE83" s="46">
        <v>144.02800000000002</v>
      </c>
      <c r="AF83" s="46">
        <v>160.11700000000002</v>
      </c>
      <c r="AG83" s="46">
        <v>135.46299999999999</v>
      </c>
      <c r="AH83" s="46">
        <v>139.40900000000002</v>
      </c>
      <c r="AI83" s="46">
        <v>155.37899999999999</v>
      </c>
      <c r="AJ83" s="46">
        <v>135.52400000000003</v>
      </c>
      <c r="AK83" s="46">
        <v>155.31699999999998</v>
      </c>
      <c r="AL83" s="46">
        <v>166.90500000000006</v>
      </c>
      <c r="AM83" s="46">
        <v>153.00099999999998</v>
      </c>
      <c r="AN83" s="46">
        <v>134.13400000000001</v>
      </c>
      <c r="AO83" s="46">
        <f t="shared" si="2"/>
        <v>117.79603225806453</v>
      </c>
      <c r="AP83" s="67">
        <f t="shared" si="3"/>
        <v>11.779603225806452</v>
      </c>
    </row>
    <row r="84" spans="1:42" x14ac:dyDescent="0.3">
      <c r="A84" s="5">
        <v>83</v>
      </c>
      <c r="B84" s="6" t="s">
        <v>65</v>
      </c>
      <c r="C84" s="12" t="s">
        <v>233</v>
      </c>
      <c r="D84" s="6" t="s">
        <v>128</v>
      </c>
      <c r="E84" s="6" t="s">
        <v>12</v>
      </c>
      <c r="F84" s="6" t="s">
        <v>121</v>
      </c>
      <c r="G84" s="6" t="s">
        <v>35</v>
      </c>
      <c r="H84" s="5">
        <v>2</v>
      </c>
      <c r="I84" s="67" t="s">
        <v>272</v>
      </c>
      <c r="J84" s="46">
        <v>0</v>
      </c>
      <c r="K84" s="46">
        <v>0</v>
      </c>
      <c r="L84" s="46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46">
        <f t="shared" si="2"/>
        <v>0</v>
      </c>
      <c r="AP84" s="67">
        <f t="shared" si="3"/>
        <v>0</v>
      </c>
    </row>
    <row r="85" spans="1:42" x14ac:dyDescent="0.3">
      <c r="A85" s="5">
        <v>84</v>
      </c>
      <c r="B85" s="6" t="s">
        <v>65</v>
      </c>
      <c r="C85" s="12" t="s">
        <v>233</v>
      </c>
      <c r="D85" s="6" t="s">
        <v>128</v>
      </c>
      <c r="E85" s="6" t="s">
        <v>12</v>
      </c>
      <c r="F85" s="6" t="s">
        <v>40</v>
      </c>
      <c r="G85" s="6" t="s">
        <v>35</v>
      </c>
      <c r="H85" s="5">
        <v>2</v>
      </c>
      <c r="I85" s="67" t="s">
        <v>272</v>
      </c>
      <c r="J85" s="46">
        <v>0</v>
      </c>
      <c r="K85" s="46">
        <v>0</v>
      </c>
      <c r="L85" s="46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0</v>
      </c>
      <c r="Z85" s="45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46">
        <f t="shared" si="2"/>
        <v>0</v>
      </c>
      <c r="AP85" s="67">
        <f t="shared" si="3"/>
        <v>0</v>
      </c>
    </row>
    <row r="86" spans="1:42" x14ac:dyDescent="0.3">
      <c r="A86" s="5">
        <v>85</v>
      </c>
      <c r="B86" s="6" t="s">
        <v>65</v>
      </c>
      <c r="C86" s="12" t="s">
        <v>252</v>
      </c>
      <c r="D86" s="6" t="s">
        <v>236</v>
      </c>
      <c r="E86" s="6" t="s">
        <v>12</v>
      </c>
      <c r="F86" s="6" t="s">
        <v>121</v>
      </c>
      <c r="G86" s="6" t="s">
        <v>35</v>
      </c>
      <c r="H86" s="5">
        <v>3</v>
      </c>
      <c r="I86" s="67" t="s">
        <v>160</v>
      </c>
      <c r="J86" s="46">
        <v>0</v>
      </c>
      <c r="K86" s="45">
        <v>0</v>
      </c>
      <c r="L86" s="46">
        <v>0</v>
      </c>
      <c r="M86" s="46">
        <v>0</v>
      </c>
      <c r="N86" s="45">
        <v>0</v>
      </c>
      <c r="O86" s="45">
        <v>0</v>
      </c>
      <c r="P86" s="45">
        <v>0</v>
      </c>
      <c r="Q86" s="45">
        <v>0</v>
      </c>
      <c r="R86" s="45">
        <v>0</v>
      </c>
      <c r="S86" s="45">
        <v>0</v>
      </c>
      <c r="T86" s="45">
        <v>0</v>
      </c>
      <c r="U86" s="45">
        <v>0</v>
      </c>
      <c r="V86" s="45">
        <v>0</v>
      </c>
      <c r="W86" s="45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46">
        <v>0</v>
      </c>
      <c r="AM86" s="46">
        <v>0</v>
      </c>
      <c r="AN86" s="46">
        <v>0</v>
      </c>
      <c r="AO86" s="46">
        <f t="shared" si="2"/>
        <v>0</v>
      </c>
      <c r="AP86" s="67">
        <f t="shared" si="3"/>
        <v>0</v>
      </c>
    </row>
    <row r="87" spans="1:42" x14ac:dyDescent="0.3">
      <c r="A87" s="5">
        <v>86</v>
      </c>
      <c r="B87" s="6" t="s">
        <v>65</v>
      </c>
      <c r="C87" s="12" t="s">
        <v>238</v>
      </c>
      <c r="D87" s="6" t="s">
        <v>236</v>
      </c>
      <c r="E87" s="6" t="s">
        <v>12</v>
      </c>
      <c r="F87" s="6" t="s">
        <v>121</v>
      </c>
      <c r="G87" s="6" t="s">
        <v>35</v>
      </c>
      <c r="H87" s="5">
        <v>3</v>
      </c>
      <c r="I87" s="67" t="s">
        <v>160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6">
        <v>0</v>
      </c>
      <c r="Q87" s="45">
        <v>0</v>
      </c>
      <c r="R87" s="45">
        <v>0</v>
      </c>
      <c r="S87" s="45">
        <v>0</v>
      </c>
      <c r="T87" s="45">
        <v>0</v>
      </c>
      <c r="U87" s="45">
        <v>0</v>
      </c>
      <c r="V87" s="45">
        <v>0</v>
      </c>
      <c r="W87" s="45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46">
        <v>0</v>
      </c>
      <c r="AM87" s="46">
        <v>0</v>
      </c>
      <c r="AN87" s="46">
        <v>0</v>
      </c>
      <c r="AO87" s="46">
        <f t="shared" si="2"/>
        <v>0</v>
      </c>
      <c r="AP87" s="67">
        <f t="shared" si="3"/>
        <v>0</v>
      </c>
    </row>
    <row r="88" spans="1:42" x14ac:dyDescent="0.3">
      <c r="A88" s="5">
        <v>87</v>
      </c>
      <c r="B88" s="6" t="s">
        <v>65</v>
      </c>
      <c r="C88" s="12" t="s">
        <v>238</v>
      </c>
      <c r="D88" s="6" t="s">
        <v>236</v>
      </c>
      <c r="E88" s="6" t="s">
        <v>12</v>
      </c>
      <c r="F88" s="6" t="s">
        <v>95</v>
      </c>
      <c r="G88" s="6" t="s">
        <v>80</v>
      </c>
      <c r="H88" s="5">
        <v>1</v>
      </c>
      <c r="I88" s="67" t="s">
        <v>160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46">
        <v>0</v>
      </c>
      <c r="Q88" s="45">
        <v>0</v>
      </c>
      <c r="R88" s="45">
        <v>0</v>
      </c>
      <c r="S88" s="45">
        <v>0</v>
      </c>
      <c r="T88" s="45">
        <v>0</v>
      </c>
      <c r="U88" s="45">
        <v>0</v>
      </c>
      <c r="V88" s="45">
        <v>0</v>
      </c>
      <c r="W88" s="45">
        <v>0</v>
      </c>
      <c r="X88" s="46">
        <v>0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46">
        <f t="shared" si="2"/>
        <v>0</v>
      </c>
      <c r="AP88" s="67">
        <f t="shared" si="3"/>
        <v>0</v>
      </c>
    </row>
    <row r="89" spans="1:42" x14ac:dyDescent="0.3">
      <c r="A89" s="5">
        <v>88</v>
      </c>
      <c r="B89" s="6" t="s">
        <v>65</v>
      </c>
      <c r="C89" s="12" t="s">
        <v>235</v>
      </c>
      <c r="D89" s="6" t="s">
        <v>236</v>
      </c>
      <c r="E89" s="6" t="s">
        <v>12</v>
      </c>
      <c r="F89" s="6" t="s">
        <v>121</v>
      </c>
      <c r="G89" s="6" t="s">
        <v>35</v>
      </c>
      <c r="H89" s="5">
        <v>3</v>
      </c>
      <c r="I89" s="67" t="s">
        <v>160</v>
      </c>
      <c r="J89" s="46">
        <v>0</v>
      </c>
      <c r="K89" s="46">
        <v>0</v>
      </c>
      <c r="L89" s="46">
        <v>0</v>
      </c>
      <c r="M89" s="46">
        <v>0.55499999999999994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0.10199999999999999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v>0</v>
      </c>
      <c r="AN89" s="46">
        <v>0</v>
      </c>
      <c r="AO89" s="46">
        <f t="shared" si="2"/>
        <v>2.1193548387096771E-2</v>
      </c>
      <c r="AP89" s="67">
        <f t="shared" si="3"/>
        <v>7.064516129032257E-3</v>
      </c>
    </row>
    <row r="90" spans="1:42" x14ac:dyDescent="0.3">
      <c r="A90" s="5">
        <v>89</v>
      </c>
      <c r="B90" s="6" t="s">
        <v>65</v>
      </c>
      <c r="C90" s="12" t="s">
        <v>237</v>
      </c>
      <c r="D90" s="6" t="s">
        <v>236</v>
      </c>
      <c r="E90" s="6" t="s">
        <v>12</v>
      </c>
      <c r="F90" s="6" t="s">
        <v>121</v>
      </c>
      <c r="G90" s="6" t="s">
        <v>35</v>
      </c>
      <c r="H90" s="5">
        <v>3</v>
      </c>
      <c r="I90" s="67" t="s">
        <v>160</v>
      </c>
      <c r="J90" s="46">
        <v>6.8440000000000003</v>
      </c>
      <c r="K90" s="46">
        <v>13.101000000000001</v>
      </c>
      <c r="L90" s="46">
        <v>8.0350000000000001</v>
      </c>
      <c r="M90" s="46">
        <v>12.211</v>
      </c>
      <c r="N90" s="46">
        <v>18.118000000000002</v>
      </c>
      <c r="O90" s="46">
        <v>6.5119999999999996</v>
      </c>
      <c r="P90" s="46">
        <v>13.068999999999999</v>
      </c>
      <c r="Q90" s="46">
        <v>0.27900000000000003</v>
      </c>
      <c r="R90" s="46">
        <v>9.2349999999999994</v>
      </c>
      <c r="S90" s="46">
        <v>8.4529999999999994</v>
      </c>
      <c r="T90" s="46">
        <v>8.3149999999999995</v>
      </c>
      <c r="U90" s="46">
        <v>13.248999999999999</v>
      </c>
      <c r="V90" s="46">
        <v>10.157</v>
      </c>
      <c r="W90" s="46">
        <v>8.0879999999999992</v>
      </c>
      <c r="X90" s="46">
        <v>11.821999999999999</v>
      </c>
      <c r="Y90" s="46">
        <v>7.367</v>
      </c>
      <c r="Z90" s="46">
        <v>6.0069999999999997</v>
      </c>
      <c r="AA90" s="46">
        <v>13.879</v>
      </c>
      <c r="AB90" s="46">
        <v>8.0050000000000008</v>
      </c>
      <c r="AC90" s="46">
        <v>8.7629999999999999</v>
      </c>
      <c r="AD90" s="46">
        <v>11.727</v>
      </c>
      <c r="AE90" s="46">
        <v>2.14</v>
      </c>
      <c r="AF90" s="46">
        <v>13.465</v>
      </c>
      <c r="AG90" s="46">
        <v>11.74</v>
      </c>
      <c r="AH90" s="46">
        <v>11.387</v>
      </c>
      <c r="AI90" s="46">
        <v>2.9210000000000003</v>
      </c>
      <c r="AJ90" s="46">
        <v>12.833</v>
      </c>
      <c r="AK90" s="46">
        <v>11.786</v>
      </c>
      <c r="AL90" s="46">
        <v>7.4890000000000008</v>
      </c>
      <c r="AM90" s="46">
        <v>11.896000000000001</v>
      </c>
      <c r="AN90" s="46">
        <v>13.579000000000001</v>
      </c>
      <c r="AO90" s="46">
        <f t="shared" si="2"/>
        <v>9.7571612903225802</v>
      </c>
      <c r="AP90" s="67">
        <f t="shared" si="3"/>
        <v>3.2523870967741932</v>
      </c>
    </row>
    <row r="91" spans="1:42" x14ac:dyDescent="0.3">
      <c r="A91" s="5">
        <v>90</v>
      </c>
      <c r="B91" s="6" t="s">
        <v>65</v>
      </c>
      <c r="C91" s="12" t="s">
        <v>245</v>
      </c>
      <c r="D91" s="6" t="s">
        <v>236</v>
      </c>
      <c r="E91" s="6" t="s">
        <v>12</v>
      </c>
      <c r="F91" s="6" t="s">
        <v>121</v>
      </c>
      <c r="G91" s="6" t="s">
        <v>35</v>
      </c>
      <c r="H91" s="5">
        <v>3</v>
      </c>
      <c r="I91" s="67" t="s">
        <v>160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5">
        <v>0</v>
      </c>
      <c r="T91" s="45">
        <v>0</v>
      </c>
      <c r="U91" s="45">
        <v>0</v>
      </c>
      <c r="V91" s="45">
        <v>0</v>
      </c>
      <c r="W91" s="45">
        <v>0</v>
      </c>
      <c r="X91" s="45">
        <v>0</v>
      </c>
      <c r="Y91" s="45">
        <v>0</v>
      </c>
      <c r="Z91" s="45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46">
        <v>0</v>
      </c>
      <c r="AM91" s="46">
        <v>0</v>
      </c>
      <c r="AN91" s="46">
        <v>0</v>
      </c>
      <c r="AO91" s="46">
        <f t="shared" si="2"/>
        <v>0</v>
      </c>
      <c r="AP91" s="67">
        <f t="shared" si="3"/>
        <v>0</v>
      </c>
    </row>
    <row r="92" spans="1:42" x14ac:dyDescent="0.3">
      <c r="A92" s="5">
        <v>91</v>
      </c>
      <c r="B92" s="6" t="s">
        <v>65</v>
      </c>
      <c r="C92" s="12" t="s">
        <v>253</v>
      </c>
      <c r="D92" s="6" t="s">
        <v>236</v>
      </c>
      <c r="E92" s="6" t="s">
        <v>12</v>
      </c>
      <c r="F92" s="6" t="s">
        <v>121</v>
      </c>
      <c r="G92" s="6" t="s">
        <v>35</v>
      </c>
      <c r="H92" s="5">
        <v>3</v>
      </c>
      <c r="I92" s="67" t="s">
        <v>160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5">
        <v>0</v>
      </c>
      <c r="T92" s="45">
        <v>0</v>
      </c>
      <c r="U92" s="45">
        <v>0</v>
      </c>
      <c r="V92" s="45">
        <v>0</v>
      </c>
      <c r="W92" s="45">
        <v>0</v>
      </c>
      <c r="X92" s="45">
        <v>0</v>
      </c>
      <c r="Y92" s="45">
        <v>0</v>
      </c>
      <c r="Z92" s="45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46">
        <v>0</v>
      </c>
      <c r="AM92" s="46">
        <v>0</v>
      </c>
      <c r="AN92" s="46">
        <v>0</v>
      </c>
      <c r="AO92" s="46">
        <f t="shared" si="2"/>
        <v>0</v>
      </c>
      <c r="AP92" s="67">
        <f t="shared" si="3"/>
        <v>0</v>
      </c>
    </row>
    <row r="93" spans="1:42" x14ac:dyDescent="0.3">
      <c r="A93" s="5">
        <v>92</v>
      </c>
      <c r="B93" s="6" t="s">
        <v>65</v>
      </c>
      <c r="C93" s="12" t="s">
        <v>261</v>
      </c>
      <c r="D93" s="6" t="s">
        <v>236</v>
      </c>
      <c r="E93" s="6" t="s">
        <v>12</v>
      </c>
      <c r="F93" s="6" t="s">
        <v>121</v>
      </c>
      <c r="G93" s="6" t="s">
        <v>35</v>
      </c>
      <c r="H93" s="5">
        <v>16</v>
      </c>
      <c r="I93" s="67" t="s">
        <v>160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5">
        <v>0</v>
      </c>
      <c r="T93" s="45">
        <v>0</v>
      </c>
      <c r="U93" s="45">
        <v>0</v>
      </c>
      <c r="V93" s="45">
        <v>0</v>
      </c>
      <c r="W93" s="45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46">
        <f t="shared" si="2"/>
        <v>0</v>
      </c>
      <c r="AP93" s="67">
        <f t="shared" si="3"/>
        <v>0</v>
      </c>
    </row>
    <row r="94" spans="1:42" ht="15.6" x14ac:dyDescent="0.3">
      <c r="A94" s="5">
        <v>93</v>
      </c>
      <c r="B94" s="6" t="s">
        <v>65</v>
      </c>
      <c r="C94" s="12" t="s">
        <v>298</v>
      </c>
      <c r="D94" s="6" t="s">
        <v>30</v>
      </c>
      <c r="E94" s="6" t="s">
        <v>12</v>
      </c>
      <c r="F94" s="6" t="s">
        <v>121</v>
      </c>
      <c r="G94" s="6" t="s">
        <v>35</v>
      </c>
      <c r="H94" s="5">
        <v>4</v>
      </c>
      <c r="I94" s="74" t="s">
        <v>273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1.458</v>
      </c>
      <c r="P94" s="46">
        <v>0</v>
      </c>
      <c r="Q94" s="46">
        <v>0</v>
      </c>
      <c r="R94" s="46">
        <v>0</v>
      </c>
      <c r="S94" s="45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46">
        <f t="shared" si="2"/>
        <v>4.7032258064516129E-2</v>
      </c>
      <c r="AP94" s="67">
        <f t="shared" si="3"/>
        <v>1.1758064516129032E-2</v>
      </c>
    </row>
    <row r="95" spans="1:42" ht="15.6" x14ac:dyDescent="0.3">
      <c r="A95" s="5">
        <v>94</v>
      </c>
      <c r="B95" s="6" t="s">
        <v>65</v>
      </c>
      <c r="C95" s="12" t="s">
        <v>405</v>
      </c>
      <c r="D95" s="6" t="s">
        <v>128</v>
      </c>
      <c r="E95" s="6" t="s">
        <v>12</v>
      </c>
      <c r="F95" s="6" t="s">
        <v>121</v>
      </c>
      <c r="G95" s="6" t="s">
        <v>35</v>
      </c>
      <c r="H95" s="5">
        <v>4</v>
      </c>
      <c r="I95" s="74" t="s">
        <v>273</v>
      </c>
      <c r="J95" s="46"/>
      <c r="K95" s="46"/>
      <c r="L95" s="46"/>
      <c r="M95" s="46"/>
      <c r="N95" s="46"/>
      <c r="O95" s="46"/>
      <c r="P95" s="46"/>
      <c r="Q95" s="46"/>
      <c r="R95" s="46"/>
      <c r="S95" s="45">
        <v>0</v>
      </c>
      <c r="T95" s="46">
        <v>0</v>
      </c>
      <c r="U95" s="46">
        <v>0</v>
      </c>
      <c r="V95" s="46">
        <v>0.38100000000000001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26.295999999999999</v>
      </c>
      <c r="AG95" s="46">
        <v>5.4789999999999992</v>
      </c>
      <c r="AH95" s="46">
        <v>6.7649999999999988</v>
      </c>
      <c r="AI95" s="46">
        <v>8.9269999999999996</v>
      </c>
      <c r="AJ95" s="46">
        <v>18.346</v>
      </c>
      <c r="AK95" s="46">
        <v>4.3120000000000003</v>
      </c>
      <c r="AL95" s="46">
        <v>6.6760000000000002</v>
      </c>
      <c r="AM95" s="46">
        <v>6.7779999999999987</v>
      </c>
      <c r="AN95" s="46">
        <v>11.087</v>
      </c>
      <c r="AO95" s="46">
        <f t="shared" si="2"/>
        <v>4.3203181818181822</v>
      </c>
      <c r="AP95" s="67">
        <f t="shared" si="3"/>
        <v>1.0800795454545455</v>
      </c>
    </row>
    <row r="96" spans="1:42" x14ac:dyDescent="0.3">
      <c r="A96" s="5">
        <v>95</v>
      </c>
      <c r="B96" s="6" t="s">
        <v>65</v>
      </c>
      <c r="C96" s="12" t="s">
        <v>406</v>
      </c>
      <c r="D96" s="6" t="s">
        <v>407</v>
      </c>
      <c r="E96" s="6" t="s">
        <v>12</v>
      </c>
      <c r="F96" s="6" t="s">
        <v>121</v>
      </c>
      <c r="G96" s="6" t="s">
        <v>35</v>
      </c>
      <c r="H96" s="5">
        <v>2</v>
      </c>
      <c r="I96" s="67" t="s">
        <v>160</v>
      </c>
      <c r="J96" s="46"/>
      <c r="K96" s="46"/>
      <c r="L96" s="46"/>
      <c r="M96" s="46"/>
      <c r="N96" s="46"/>
      <c r="O96" s="46"/>
      <c r="P96" s="46"/>
      <c r="Q96" s="46"/>
      <c r="R96" s="46"/>
      <c r="S96" s="45"/>
      <c r="T96" s="46"/>
      <c r="U96" s="46"/>
      <c r="V96" s="46"/>
      <c r="W96" s="46"/>
      <c r="X96" s="46"/>
      <c r="Y96" s="46">
        <v>13.877000000000001</v>
      </c>
      <c r="Z96" s="46">
        <v>0</v>
      </c>
      <c r="AA96" s="46">
        <v>14.331999999999999</v>
      </c>
      <c r="AB96" s="46">
        <v>0</v>
      </c>
      <c r="AC96" s="46">
        <v>0</v>
      </c>
      <c r="AD96" s="46">
        <v>8.5079999999999991</v>
      </c>
      <c r="AE96" s="46">
        <v>11.845000000000001</v>
      </c>
      <c r="AF96" s="46">
        <v>8.9659999999999993</v>
      </c>
      <c r="AG96" s="60">
        <v>0</v>
      </c>
      <c r="AH96" s="46">
        <v>6.8440000000000003</v>
      </c>
      <c r="AI96" s="60">
        <v>0</v>
      </c>
      <c r="AJ96" s="46">
        <v>16.847000000000001</v>
      </c>
      <c r="AK96" s="46">
        <v>0</v>
      </c>
      <c r="AL96" s="46">
        <v>8.1289999999999996</v>
      </c>
      <c r="AM96" s="46">
        <v>7.3310000000000004</v>
      </c>
      <c r="AN96" s="46">
        <v>3.0910000000000002</v>
      </c>
      <c r="AO96" s="46">
        <f t="shared" si="2"/>
        <v>6.2356249999999998</v>
      </c>
      <c r="AP96" s="67">
        <f t="shared" si="3"/>
        <v>3.1178124999999999</v>
      </c>
    </row>
    <row r="97" spans="1:42" x14ac:dyDescent="0.3">
      <c r="A97" s="5">
        <v>96</v>
      </c>
      <c r="B97" s="6" t="s">
        <v>65</v>
      </c>
      <c r="C97" s="39" t="s">
        <v>115</v>
      </c>
      <c r="D97" s="6" t="s">
        <v>113</v>
      </c>
      <c r="E97" s="6" t="s">
        <v>19</v>
      </c>
      <c r="F97" s="6" t="s">
        <v>116</v>
      </c>
      <c r="G97" s="6" t="s">
        <v>80</v>
      </c>
      <c r="H97" s="5">
        <v>1</v>
      </c>
      <c r="I97" s="67" t="s">
        <v>160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5">
        <v>0</v>
      </c>
      <c r="R97" s="45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46">
        <f t="shared" si="2"/>
        <v>0</v>
      </c>
      <c r="AP97" s="67">
        <f t="shared" si="3"/>
        <v>0</v>
      </c>
    </row>
    <row r="98" spans="1:42" x14ac:dyDescent="0.3">
      <c r="A98" s="5">
        <v>97</v>
      </c>
      <c r="B98" s="6" t="s">
        <v>65</v>
      </c>
      <c r="C98" s="39" t="s">
        <v>117</v>
      </c>
      <c r="D98" s="6" t="s">
        <v>113</v>
      </c>
      <c r="E98" s="6" t="s">
        <v>19</v>
      </c>
      <c r="F98" s="6" t="s">
        <v>116</v>
      </c>
      <c r="G98" s="6" t="s">
        <v>80</v>
      </c>
      <c r="H98" s="5">
        <v>1</v>
      </c>
      <c r="I98" s="67" t="s">
        <v>160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5">
        <v>0</v>
      </c>
      <c r="R98" s="45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46">
        <f t="shared" si="2"/>
        <v>0</v>
      </c>
      <c r="AP98" s="67">
        <f t="shared" si="3"/>
        <v>0</v>
      </c>
    </row>
    <row r="99" spans="1:42" x14ac:dyDescent="0.3">
      <c r="A99" s="5">
        <v>98</v>
      </c>
      <c r="B99" s="6" t="s">
        <v>65</v>
      </c>
      <c r="C99" s="6" t="s">
        <v>66</v>
      </c>
      <c r="D99" s="6" t="s">
        <v>67</v>
      </c>
      <c r="E99" s="6" t="s">
        <v>12</v>
      </c>
      <c r="F99" s="6" t="s">
        <v>13</v>
      </c>
      <c r="G99" s="6" t="s">
        <v>14</v>
      </c>
      <c r="H99" s="5">
        <v>87</v>
      </c>
      <c r="I99" s="67" t="s">
        <v>160</v>
      </c>
      <c r="J99" s="46">
        <v>0</v>
      </c>
      <c r="K99" s="46">
        <v>0</v>
      </c>
      <c r="L99" s="45">
        <v>0</v>
      </c>
      <c r="M99" s="46">
        <v>0</v>
      </c>
      <c r="N99" s="46">
        <v>0</v>
      </c>
      <c r="O99" s="45">
        <v>0</v>
      </c>
      <c r="P99" s="45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46">
        <f t="shared" si="2"/>
        <v>0</v>
      </c>
      <c r="AP99" s="67">
        <f t="shared" si="3"/>
        <v>0</v>
      </c>
    </row>
    <row r="100" spans="1:42" x14ac:dyDescent="0.3">
      <c r="A100" s="5">
        <v>99</v>
      </c>
      <c r="B100" s="6" t="s">
        <v>65</v>
      </c>
      <c r="C100" s="6" t="s">
        <v>70</v>
      </c>
      <c r="D100" s="6"/>
      <c r="E100" s="6" t="s">
        <v>12</v>
      </c>
      <c r="F100" s="6" t="s">
        <v>13</v>
      </c>
      <c r="G100" s="6" t="s">
        <v>14</v>
      </c>
      <c r="H100" s="5">
        <v>82</v>
      </c>
      <c r="I100" s="67" t="s">
        <v>160</v>
      </c>
      <c r="J100" s="46">
        <v>6.2850000000000001</v>
      </c>
      <c r="K100" s="46">
        <v>0.61099999999999999</v>
      </c>
      <c r="L100" s="45">
        <v>8.4819999999999993</v>
      </c>
      <c r="M100" s="46">
        <v>0</v>
      </c>
      <c r="N100" s="46">
        <v>0</v>
      </c>
      <c r="O100" s="45">
        <v>0</v>
      </c>
      <c r="P100" s="45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46">
        <f t="shared" si="2"/>
        <v>0.49606451612903224</v>
      </c>
      <c r="AP100" s="67">
        <f t="shared" si="3"/>
        <v>6.049567269866247E-3</v>
      </c>
    </row>
    <row r="101" spans="1:42" x14ac:dyDescent="0.3">
      <c r="A101" s="5">
        <v>100</v>
      </c>
      <c r="B101" s="6" t="s">
        <v>65</v>
      </c>
      <c r="C101" s="6" t="s">
        <v>74</v>
      </c>
      <c r="D101" s="6" t="s">
        <v>30</v>
      </c>
      <c r="E101" s="6" t="s">
        <v>19</v>
      </c>
      <c r="F101" s="6" t="s">
        <v>13</v>
      </c>
      <c r="G101" s="6" t="s">
        <v>14</v>
      </c>
      <c r="H101" s="5">
        <v>2</v>
      </c>
      <c r="I101" s="67" t="s">
        <v>160</v>
      </c>
      <c r="J101" s="46">
        <v>0</v>
      </c>
      <c r="K101" s="46">
        <v>0</v>
      </c>
      <c r="L101" s="45">
        <v>0</v>
      </c>
      <c r="M101" s="46">
        <v>0</v>
      </c>
      <c r="N101" s="46">
        <v>0</v>
      </c>
      <c r="O101" s="45">
        <v>0</v>
      </c>
      <c r="P101" s="45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46">
        <f t="shared" si="2"/>
        <v>0</v>
      </c>
      <c r="AP101" s="67">
        <f t="shared" si="3"/>
        <v>0</v>
      </c>
    </row>
    <row r="102" spans="1:42" x14ac:dyDescent="0.3">
      <c r="A102" s="5">
        <v>101</v>
      </c>
      <c r="B102" s="6" t="s">
        <v>65</v>
      </c>
      <c r="C102" s="39" t="s">
        <v>122</v>
      </c>
      <c r="D102" s="6" t="s">
        <v>30</v>
      </c>
      <c r="E102" s="6" t="s">
        <v>19</v>
      </c>
      <c r="F102" s="6" t="s">
        <v>13</v>
      </c>
      <c r="G102" s="6" t="s">
        <v>14</v>
      </c>
      <c r="H102" s="5">
        <v>3</v>
      </c>
      <c r="I102" s="67" t="s">
        <v>160</v>
      </c>
      <c r="J102" s="46">
        <v>0</v>
      </c>
      <c r="K102" s="46">
        <v>0</v>
      </c>
      <c r="L102" s="45">
        <v>0</v>
      </c>
      <c r="M102" s="46">
        <v>0</v>
      </c>
      <c r="N102" s="46">
        <v>0</v>
      </c>
      <c r="O102" s="45">
        <v>0</v>
      </c>
      <c r="P102" s="45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46">
        <f t="shared" si="2"/>
        <v>0</v>
      </c>
      <c r="AP102" s="67">
        <f t="shared" si="3"/>
        <v>0</v>
      </c>
    </row>
    <row r="103" spans="1:42" x14ac:dyDescent="0.3">
      <c r="A103" s="5">
        <v>102</v>
      </c>
      <c r="B103" s="6" t="s">
        <v>65</v>
      </c>
      <c r="C103" s="39" t="s">
        <v>143</v>
      </c>
      <c r="D103" s="6" t="s">
        <v>128</v>
      </c>
      <c r="E103" s="6" t="s">
        <v>12</v>
      </c>
      <c r="F103" s="6" t="s">
        <v>121</v>
      </c>
      <c r="G103" s="6" t="s">
        <v>14</v>
      </c>
      <c r="H103" s="5">
        <v>2</v>
      </c>
      <c r="I103" s="67" t="s">
        <v>272</v>
      </c>
      <c r="J103" s="46">
        <v>0</v>
      </c>
      <c r="K103" s="46">
        <v>11.925000000000001</v>
      </c>
      <c r="L103" s="45">
        <v>0</v>
      </c>
      <c r="M103" s="46">
        <v>0</v>
      </c>
      <c r="N103" s="46">
        <v>0</v>
      </c>
      <c r="O103" s="45">
        <v>0</v>
      </c>
      <c r="P103" s="45">
        <v>0</v>
      </c>
      <c r="Q103" s="46">
        <v>0.44600000000000001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46">
        <f t="shared" si="2"/>
        <v>0.39906451612903227</v>
      </c>
      <c r="AP103" s="67">
        <f t="shared" si="3"/>
        <v>0.19953225806451613</v>
      </c>
    </row>
    <row r="104" spans="1:42" x14ac:dyDescent="0.3">
      <c r="A104" s="5"/>
      <c r="B104" s="6"/>
      <c r="C104" s="39"/>
      <c r="D104" s="6"/>
      <c r="E104" s="6"/>
      <c r="F104" s="6"/>
      <c r="G104" s="6"/>
      <c r="H104" s="5"/>
      <c r="I104" s="67"/>
      <c r="J104" s="45"/>
      <c r="K104" s="45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67"/>
    </row>
    <row r="105" spans="1:42" x14ac:dyDescent="0.3">
      <c r="A105" s="5"/>
      <c r="B105" s="6"/>
      <c r="C105" s="14"/>
      <c r="D105" s="14"/>
      <c r="E105" s="13"/>
      <c r="F105" s="13"/>
      <c r="G105" s="13" t="s">
        <v>79</v>
      </c>
      <c r="H105" s="52">
        <f>SUM(H2:H103)</f>
        <v>698</v>
      </c>
      <c r="I105" s="52"/>
      <c r="J105" s="44">
        <f t="shared" ref="J105:AN105" si="4">SUM(J2:J103)</f>
        <v>3952.3379999999988</v>
      </c>
      <c r="K105" s="44">
        <f t="shared" si="4"/>
        <v>3612.3969999999995</v>
      </c>
      <c r="L105" s="44">
        <f t="shared" si="4"/>
        <v>4103.058</v>
      </c>
      <c r="M105" s="44">
        <f t="shared" si="4"/>
        <v>4060.92</v>
      </c>
      <c r="N105" s="44">
        <f t="shared" si="4"/>
        <v>3925.1389999999992</v>
      </c>
      <c r="O105" s="44">
        <f t="shared" si="4"/>
        <v>4239.2930000000006</v>
      </c>
      <c r="P105" s="44">
        <f t="shared" si="4"/>
        <v>4137.7680000000009</v>
      </c>
      <c r="Q105" s="44">
        <f t="shared" si="4"/>
        <v>3844.929000000001</v>
      </c>
      <c r="R105" s="44">
        <f t="shared" si="4"/>
        <v>3788.3179999999993</v>
      </c>
      <c r="S105" s="44">
        <f t="shared" si="4"/>
        <v>3804.558</v>
      </c>
      <c r="T105" s="44">
        <f t="shared" si="4"/>
        <v>3777.8659999999995</v>
      </c>
      <c r="U105" s="44">
        <f t="shared" si="4"/>
        <v>3827.7400000000007</v>
      </c>
      <c r="V105" s="44">
        <f t="shared" si="4"/>
        <v>3794.1199999999985</v>
      </c>
      <c r="W105" s="44">
        <f t="shared" si="4"/>
        <v>3875.420000000001</v>
      </c>
      <c r="X105" s="44">
        <f t="shared" si="4"/>
        <v>4053.8110000000006</v>
      </c>
      <c r="Y105" s="44">
        <f t="shared" si="4"/>
        <v>3970.7390000000014</v>
      </c>
      <c r="Z105" s="44">
        <f t="shared" si="4"/>
        <v>3753.884</v>
      </c>
      <c r="AA105" s="44">
        <f t="shared" si="4"/>
        <v>4121.2789999999995</v>
      </c>
      <c r="AB105" s="44">
        <f t="shared" si="4"/>
        <v>4101.5240000000003</v>
      </c>
      <c r="AC105" s="44">
        <f t="shared" si="4"/>
        <v>4083.0030000000006</v>
      </c>
      <c r="AD105" s="44">
        <f t="shared" si="4"/>
        <v>4322.902</v>
      </c>
      <c r="AE105" s="44">
        <f t="shared" si="4"/>
        <v>4575.9610000000011</v>
      </c>
      <c r="AF105" s="44">
        <f t="shared" si="4"/>
        <v>4226.1400000000012</v>
      </c>
      <c r="AG105" s="44">
        <f t="shared" si="4"/>
        <v>4666.9080000000004</v>
      </c>
      <c r="AH105" s="44">
        <f t="shared" si="4"/>
        <v>4542.1150000000007</v>
      </c>
      <c r="AI105" s="44">
        <f t="shared" si="4"/>
        <v>4705.7959999999994</v>
      </c>
      <c r="AJ105" s="44">
        <f t="shared" si="4"/>
        <v>4854.5839999999989</v>
      </c>
      <c r="AK105" s="44">
        <f t="shared" si="4"/>
        <v>4628.5140000000001</v>
      </c>
      <c r="AL105" s="44">
        <f t="shared" si="4"/>
        <v>4427.7499999999991</v>
      </c>
      <c r="AM105" s="44">
        <f t="shared" si="4"/>
        <v>4276.6330000000016</v>
      </c>
      <c r="AN105" s="44">
        <f t="shared" si="4"/>
        <v>4673.5910000000003</v>
      </c>
      <c r="AO105" s="46">
        <f t="shared" ref="AO105" si="5">AVERAGE(J105:AN105)</f>
        <v>4152.5483225806447</v>
      </c>
      <c r="AP105" s="67">
        <f t="shared" si="3"/>
        <v>5.9492096312043623</v>
      </c>
    </row>
    <row r="106" spans="1:42" x14ac:dyDescent="0.3">
      <c r="I106" s="28"/>
      <c r="J106" s="27"/>
      <c r="K106" s="28"/>
      <c r="L106"/>
      <c r="AL106" s="50"/>
      <c r="AM106" s="50"/>
      <c r="AN106" s="50"/>
    </row>
    <row r="107" spans="1:42" x14ac:dyDescent="0.3">
      <c r="AO107" s="50"/>
    </row>
  </sheetData>
  <autoFilter ref="A1:I103" xr:uid="{00000000-0009-0000-0000-000024000000}"/>
  <pageMargins left="0.7" right="0.7" top="0.75" bottom="0.75" header="0.3" footer="0.3"/>
  <pageSetup scale="1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N34"/>
  <sheetViews>
    <sheetView topLeftCell="A19" workbookViewId="0">
      <selection activeCell="F29" sqref="F29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9.44140625" bestFit="1" customWidth="1"/>
    <col min="4" max="4" width="8" customWidth="1"/>
    <col min="5" max="5" width="9.77734375" bestFit="1" customWidth="1"/>
    <col min="6" max="6" width="7" bestFit="1" customWidth="1"/>
    <col min="7" max="7" width="10.21875" bestFit="1" customWidth="1"/>
    <col min="8" max="8" width="8.6640625" bestFit="1" customWidth="1"/>
    <col min="9" max="9" width="7.21875" bestFit="1" customWidth="1"/>
    <col min="10" max="10" width="7" customWidth="1"/>
    <col min="11" max="11" width="12.44140625" bestFit="1" customWidth="1"/>
    <col min="12" max="12" width="10.77734375" bestFit="1" customWidth="1"/>
    <col min="13" max="13" width="14.21875" bestFit="1" customWidth="1"/>
    <col min="14" max="14" width="10.77734375" bestFit="1" customWidth="1"/>
    <col min="15" max="24" width="17.33203125" bestFit="1" customWidth="1"/>
    <col min="25" max="26" width="22.33203125" bestFit="1" customWidth="1"/>
  </cols>
  <sheetData>
    <row r="2" spans="1:14" x14ac:dyDescent="0.3">
      <c r="B2" s="29" t="s">
        <v>144</v>
      </c>
    </row>
    <row r="3" spans="1:14" x14ac:dyDescent="0.3">
      <c r="A3" s="30" t="s">
        <v>131</v>
      </c>
      <c r="B3" s="12" t="s">
        <v>175</v>
      </c>
      <c r="C3" s="12" t="s">
        <v>58</v>
      </c>
      <c r="D3" s="12" t="s">
        <v>65</v>
      </c>
      <c r="E3" s="12" t="s">
        <v>222</v>
      </c>
      <c r="F3" s="12" t="s">
        <v>134</v>
      </c>
      <c r="G3" s="12" t="s">
        <v>9</v>
      </c>
      <c r="H3" s="12" t="s">
        <v>55</v>
      </c>
      <c r="I3" s="12" t="s">
        <v>119</v>
      </c>
      <c r="J3" s="12" t="s">
        <v>221</v>
      </c>
      <c r="K3" s="12" t="s">
        <v>246</v>
      </c>
      <c r="L3" s="12" t="s">
        <v>49</v>
      </c>
      <c r="M3" s="12" t="s">
        <v>52</v>
      </c>
      <c r="N3" s="12" t="s">
        <v>83</v>
      </c>
    </row>
    <row r="4" spans="1:14" x14ac:dyDescent="0.3">
      <c r="A4" s="39" t="s">
        <v>373</v>
      </c>
      <c r="B4" s="137">
        <v>44.506999999999998</v>
      </c>
      <c r="C4" s="137">
        <v>829.40199999999993</v>
      </c>
      <c r="D4" s="137">
        <v>642.3330000000002</v>
      </c>
      <c r="E4" s="137">
        <v>0</v>
      </c>
      <c r="F4" s="137">
        <v>48.423999999999999</v>
      </c>
      <c r="G4" s="137">
        <v>1684.9159999999999</v>
      </c>
      <c r="H4" s="137">
        <v>335.51700000000005</v>
      </c>
      <c r="I4" s="137">
        <v>31.96</v>
      </c>
      <c r="J4" s="137">
        <v>24.536999999999999</v>
      </c>
      <c r="K4" s="137">
        <v>29.664000000000001</v>
      </c>
      <c r="L4" s="137">
        <v>162.54299999999998</v>
      </c>
      <c r="M4" s="137">
        <v>112.25</v>
      </c>
      <c r="N4" s="137">
        <v>3946.0530000000003</v>
      </c>
    </row>
    <row r="5" spans="1:14" x14ac:dyDescent="0.3">
      <c r="A5" s="39" t="s">
        <v>374</v>
      </c>
      <c r="B5" s="137">
        <v>47.745000000000005</v>
      </c>
      <c r="C5" s="137">
        <v>822.09199999999998</v>
      </c>
      <c r="D5" s="137">
        <v>652.71</v>
      </c>
      <c r="E5" s="137">
        <v>0</v>
      </c>
      <c r="F5" s="137">
        <v>29.193000000000001</v>
      </c>
      <c r="G5" s="137">
        <v>1583.2</v>
      </c>
      <c r="H5" s="137">
        <v>160.92900000000003</v>
      </c>
      <c r="I5" s="137">
        <v>51.247</v>
      </c>
      <c r="J5" s="137">
        <v>22.754000000000001</v>
      </c>
      <c r="K5" s="137">
        <v>18.734999999999999</v>
      </c>
      <c r="L5" s="137">
        <v>98.828999999999994</v>
      </c>
      <c r="M5" s="137">
        <v>112.42699999999998</v>
      </c>
      <c r="N5" s="137">
        <v>3599.8610000000003</v>
      </c>
    </row>
    <row r="6" spans="1:14" x14ac:dyDescent="0.3">
      <c r="A6" s="39" t="s">
        <v>375</v>
      </c>
      <c r="B6" s="137">
        <v>24.2</v>
      </c>
      <c r="C6" s="137">
        <v>807.11500000000012</v>
      </c>
      <c r="D6" s="137">
        <v>630.0809999999999</v>
      </c>
      <c r="E6" s="137">
        <v>0</v>
      </c>
      <c r="F6" s="137">
        <v>69.474999999999994</v>
      </c>
      <c r="G6" s="137">
        <v>1825.4240000000002</v>
      </c>
      <c r="H6" s="137">
        <v>390.16400000000004</v>
      </c>
      <c r="I6" s="137">
        <v>71.463999999999999</v>
      </c>
      <c r="J6" s="137">
        <v>31.728999999999999</v>
      </c>
      <c r="K6" s="137">
        <v>30.983000000000001</v>
      </c>
      <c r="L6" s="137">
        <v>91.114999999999995</v>
      </c>
      <c r="M6" s="137">
        <v>122.82600000000002</v>
      </c>
      <c r="N6" s="137">
        <v>4094.576</v>
      </c>
    </row>
    <row r="7" spans="1:14" x14ac:dyDescent="0.3">
      <c r="A7" s="39" t="s">
        <v>376</v>
      </c>
      <c r="B7" s="137">
        <v>31.025000000000002</v>
      </c>
      <c r="C7" s="137">
        <v>899.9770000000002</v>
      </c>
      <c r="D7" s="137">
        <v>627.43599999999992</v>
      </c>
      <c r="E7" s="137">
        <v>0</v>
      </c>
      <c r="F7" s="137">
        <v>62.667000000000002</v>
      </c>
      <c r="G7" s="137">
        <v>1737.4770000000003</v>
      </c>
      <c r="H7" s="137">
        <v>375.71499999999975</v>
      </c>
      <c r="I7" s="137">
        <v>40.513999999999996</v>
      </c>
      <c r="J7" s="137">
        <v>32.372000000000007</v>
      </c>
      <c r="K7" s="137">
        <v>25.225999999999999</v>
      </c>
      <c r="L7" s="137">
        <v>108.85300000000002</v>
      </c>
      <c r="M7" s="137">
        <v>119.65799999999999</v>
      </c>
      <c r="N7" s="137">
        <v>4060.92</v>
      </c>
    </row>
    <row r="8" spans="1:14" x14ac:dyDescent="0.3">
      <c r="A8" s="39" t="s">
        <v>377</v>
      </c>
      <c r="B8" s="137">
        <v>66.147999999999996</v>
      </c>
      <c r="C8" s="137">
        <v>841.73800000000006</v>
      </c>
      <c r="D8" s="137">
        <v>647.70600000000013</v>
      </c>
      <c r="E8" s="137">
        <v>0</v>
      </c>
      <c r="F8" s="137">
        <v>38.742999999999995</v>
      </c>
      <c r="G8" s="137">
        <v>1591.8519999999999</v>
      </c>
      <c r="H8" s="137">
        <v>359.7580000000001</v>
      </c>
      <c r="I8" s="137">
        <v>70.257999999999981</v>
      </c>
      <c r="J8" s="137">
        <v>19.720000000000002</v>
      </c>
      <c r="K8" s="137">
        <v>31.329000000000001</v>
      </c>
      <c r="L8" s="137">
        <v>135.61499999999998</v>
      </c>
      <c r="M8" s="137">
        <v>122.27199999999999</v>
      </c>
      <c r="N8" s="137">
        <v>3925.1389999999997</v>
      </c>
    </row>
    <row r="9" spans="1:14" x14ac:dyDescent="0.3">
      <c r="A9" s="39" t="s">
        <v>378</v>
      </c>
      <c r="B9" s="137">
        <v>68.472999999999985</v>
      </c>
      <c r="C9" s="137">
        <v>918.15699999999993</v>
      </c>
      <c r="D9" s="137">
        <v>613.96299999999985</v>
      </c>
      <c r="E9" s="137">
        <v>0</v>
      </c>
      <c r="F9" s="137">
        <v>47.111000000000011</v>
      </c>
      <c r="G9" s="137">
        <v>1849.9070000000006</v>
      </c>
      <c r="H9" s="137">
        <v>418.06799999999981</v>
      </c>
      <c r="I9" s="137">
        <v>57.393999999999998</v>
      </c>
      <c r="J9" s="137">
        <v>16.484999999999999</v>
      </c>
      <c r="K9" s="137">
        <v>20.687999999999999</v>
      </c>
      <c r="L9" s="137">
        <v>101.46700000000003</v>
      </c>
      <c r="M9" s="137">
        <v>127.58000000000001</v>
      </c>
      <c r="N9" s="137">
        <v>4239.2930000000006</v>
      </c>
    </row>
    <row r="10" spans="1:14" x14ac:dyDescent="0.3">
      <c r="A10" s="39" t="s">
        <v>379</v>
      </c>
      <c r="B10" s="137">
        <v>52.144000000000005</v>
      </c>
      <c r="C10" s="137">
        <v>867.60399999999993</v>
      </c>
      <c r="D10" s="137">
        <v>681.35900000000015</v>
      </c>
      <c r="E10" s="137">
        <v>0</v>
      </c>
      <c r="F10" s="137">
        <v>37.361000000000004</v>
      </c>
      <c r="G10" s="137">
        <v>1794.7580000000003</v>
      </c>
      <c r="H10" s="137">
        <v>455.99400000000026</v>
      </c>
      <c r="I10" s="137">
        <v>21.036000000000001</v>
      </c>
      <c r="J10" s="137">
        <v>12.335999999999997</v>
      </c>
      <c r="K10" s="137">
        <v>32.443000000000005</v>
      </c>
      <c r="L10" s="137">
        <v>90.6</v>
      </c>
      <c r="M10" s="137">
        <v>92.13300000000001</v>
      </c>
      <c r="N10" s="137">
        <v>4137.7680000000009</v>
      </c>
    </row>
    <row r="11" spans="1:14" x14ac:dyDescent="0.3">
      <c r="A11" s="39" t="s">
        <v>380</v>
      </c>
      <c r="B11" s="137">
        <v>25.207999999999998</v>
      </c>
      <c r="C11" s="137">
        <v>760.93500000000017</v>
      </c>
      <c r="D11" s="137">
        <v>556.6640000000001</v>
      </c>
      <c r="E11" s="137">
        <v>0</v>
      </c>
      <c r="F11" s="137">
        <v>60.020999999999994</v>
      </c>
      <c r="G11" s="137">
        <v>1749.4819999999997</v>
      </c>
      <c r="H11" s="137">
        <v>416.45100000000002</v>
      </c>
      <c r="I11" s="137">
        <v>28.948999999999998</v>
      </c>
      <c r="J11" s="137">
        <v>10.003</v>
      </c>
      <c r="K11" s="137">
        <v>29.405000000000001</v>
      </c>
      <c r="L11" s="137">
        <v>113.14100000000002</v>
      </c>
      <c r="M11" s="137">
        <v>94.224000000000004</v>
      </c>
      <c r="N11" s="137">
        <v>3844.4830000000006</v>
      </c>
    </row>
    <row r="12" spans="1:14" x14ac:dyDescent="0.3">
      <c r="A12" s="39" t="s">
        <v>381</v>
      </c>
      <c r="B12" s="137">
        <v>36.438000000000002</v>
      </c>
      <c r="C12" s="137">
        <v>810.75699999999983</v>
      </c>
      <c r="D12" s="137">
        <v>648.048</v>
      </c>
      <c r="E12" s="137">
        <v>0</v>
      </c>
      <c r="F12" s="137">
        <v>63.966000000000001</v>
      </c>
      <c r="G12" s="137">
        <v>1735.0229999999997</v>
      </c>
      <c r="H12" s="137">
        <v>177.40400000000002</v>
      </c>
      <c r="I12" s="137">
        <v>48.158000000000008</v>
      </c>
      <c r="J12" s="137">
        <v>5.5720000000000001</v>
      </c>
      <c r="K12" s="137">
        <v>10.555999999999999</v>
      </c>
      <c r="L12" s="137">
        <v>111.605</v>
      </c>
      <c r="M12" s="137">
        <v>140.791</v>
      </c>
      <c r="N12" s="137">
        <v>3788.3179999999998</v>
      </c>
    </row>
    <row r="13" spans="1:14" x14ac:dyDescent="0.3">
      <c r="A13" s="39" t="s">
        <v>382</v>
      </c>
      <c r="B13" s="137">
        <v>47.656999999999989</v>
      </c>
      <c r="C13" s="137">
        <v>667.60299999999995</v>
      </c>
      <c r="D13" s="137">
        <v>690.71</v>
      </c>
      <c r="E13" s="137">
        <v>0</v>
      </c>
      <c r="F13" s="137">
        <v>40.341999999999999</v>
      </c>
      <c r="G13" s="137">
        <v>1736.1849999999999</v>
      </c>
      <c r="H13" s="137">
        <v>296.24599999999998</v>
      </c>
      <c r="I13" s="137">
        <v>62.499999999999993</v>
      </c>
      <c r="J13" s="137">
        <v>4.5469999999999997</v>
      </c>
      <c r="K13" s="137">
        <v>35.048000000000002</v>
      </c>
      <c r="L13" s="137">
        <v>92.040999999999997</v>
      </c>
      <c r="M13" s="137">
        <v>131.679</v>
      </c>
      <c r="N13" s="137">
        <v>3804.5580000000009</v>
      </c>
    </row>
    <row r="14" spans="1:14" x14ac:dyDescent="0.3">
      <c r="A14" s="39" t="s">
        <v>383</v>
      </c>
      <c r="B14" s="137">
        <v>43.002999999999993</v>
      </c>
      <c r="C14" s="137">
        <v>792.52600000000007</v>
      </c>
      <c r="D14" s="137">
        <v>668.40899999999999</v>
      </c>
      <c r="E14" s="137">
        <v>0</v>
      </c>
      <c r="F14" s="137">
        <v>37.269999999999996</v>
      </c>
      <c r="G14" s="137">
        <v>1622.1910000000003</v>
      </c>
      <c r="H14" s="137">
        <v>317.61099999999999</v>
      </c>
      <c r="I14" s="137">
        <v>59.642000000000031</v>
      </c>
      <c r="J14" s="137">
        <v>5.1020000000000003</v>
      </c>
      <c r="K14" s="137">
        <v>22.084999999999997</v>
      </c>
      <c r="L14" s="137">
        <v>93.071000000000026</v>
      </c>
      <c r="M14" s="137">
        <v>116.956</v>
      </c>
      <c r="N14" s="137">
        <v>3777.866</v>
      </c>
    </row>
    <row r="15" spans="1:14" x14ac:dyDescent="0.3">
      <c r="A15" s="39" t="s">
        <v>384</v>
      </c>
      <c r="B15" s="137">
        <v>76.819999999999993</v>
      </c>
      <c r="C15" s="137">
        <v>755.41100000000006</v>
      </c>
      <c r="D15" s="137">
        <v>707.44700000000012</v>
      </c>
      <c r="E15" s="137">
        <v>0</v>
      </c>
      <c r="F15" s="137">
        <v>46.348000000000006</v>
      </c>
      <c r="G15" s="137">
        <v>1752.1609999999996</v>
      </c>
      <c r="H15" s="137">
        <v>192.51600000000005</v>
      </c>
      <c r="I15" s="137">
        <v>77.081000000000017</v>
      </c>
      <c r="J15" s="137">
        <v>7.173</v>
      </c>
      <c r="K15" s="137">
        <v>39.472000000000001</v>
      </c>
      <c r="L15" s="137">
        <v>98.006</v>
      </c>
      <c r="M15" s="137">
        <v>75.304999999999993</v>
      </c>
      <c r="N15" s="137">
        <v>3827.74</v>
      </c>
    </row>
    <row r="16" spans="1:14" x14ac:dyDescent="0.3">
      <c r="A16" s="39" t="s">
        <v>385</v>
      </c>
      <c r="B16" s="137">
        <v>83.289999999999992</v>
      </c>
      <c r="C16" s="137">
        <v>770.96499999999992</v>
      </c>
      <c r="D16" s="137">
        <v>715.80000000000007</v>
      </c>
      <c r="E16" s="137">
        <v>0</v>
      </c>
      <c r="F16" s="137">
        <v>48.334000000000003</v>
      </c>
      <c r="G16" s="137">
        <v>1787.0809999999997</v>
      </c>
      <c r="H16" s="137">
        <v>95.795999999999992</v>
      </c>
      <c r="I16" s="137">
        <v>59.504999999999981</v>
      </c>
      <c r="J16" s="137">
        <v>6.5380000000000003</v>
      </c>
      <c r="K16" s="137">
        <v>28.365000000000002</v>
      </c>
      <c r="L16" s="137">
        <v>109.82599999999999</v>
      </c>
      <c r="M16" s="137">
        <v>88.61999999999999</v>
      </c>
      <c r="N16" s="137">
        <v>3794.119999999999</v>
      </c>
    </row>
    <row r="17" spans="1:14" x14ac:dyDescent="0.3">
      <c r="A17" s="39" t="s">
        <v>386</v>
      </c>
      <c r="B17" s="137">
        <v>49</v>
      </c>
      <c r="C17" s="137">
        <v>675.58000000000015</v>
      </c>
      <c r="D17" s="137">
        <v>636.80400000000009</v>
      </c>
      <c r="E17" s="137">
        <v>0</v>
      </c>
      <c r="F17" s="137">
        <v>49.426999999999992</v>
      </c>
      <c r="G17" s="137">
        <v>1561.5869999999998</v>
      </c>
      <c r="H17" s="137">
        <v>670.1129999999996</v>
      </c>
      <c r="I17" s="137">
        <v>44.715999999999994</v>
      </c>
      <c r="J17" s="137">
        <v>5.67</v>
      </c>
      <c r="K17" s="137">
        <v>2.8029999999999999</v>
      </c>
      <c r="L17" s="137">
        <v>79.747999999999962</v>
      </c>
      <c r="M17" s="137">
        <v>99.972000000000023</v>
      </c>
      <c r="N17" s="137">
        <v>3875.4199999999996</v>
      </c>
    </row>
    <row r="18" spans="1:14" x14ac:dyDescent="0.3">
      <c r="A18" s="39" t="s">
        <v>387</v>
      </c>
      <c r="B18" s="137">
        <v>107.22</v>
      </c>
      <c r="C18" s="137">
        <v>773.56399999999985</v>
      </c>
      <c r="D18" s="137">
        <v>654.48199999999997</v>
      </c>
      <c r="E18" s="137">
        <v>0</v>
      </c>
      <c r="F18" s="137">
        <v>32.792000000000002</v>
      </c>
      <c r="G18" s="137">
        <v>1780.4189999999999</v>
      </c>
      <c r="H18" s="137">
        <v>438.68799999999987</v>
      </c>
      <c r="I18" s="137">
        <v>49.831000000000003</v>
      </c>
      <c r="J18" s="137">
        <v>5.1239999999999997</v>
      </c>
      <c r="K18" s="137">
        <v>33.518999999999998</v>
      </c>
      <c r="L18" s="137">
        <v>54.456000000000003</v>
      </c>
      <c r="M18" s="137">
        <v>123.71600000000001</v>
      </c>
      <c r="N18" s="137">
        <v>4053.8109999999997</v>
      </c>
    </row>
    <row r="19" spans="1:14" x14ac:dyDescent="0.3">
      <c r="A19" s="39" t="s">
        <v>395</v>
      </c>
      <c r="B19" s="137">
        <v>109.48</v>
      </c>
      <c r="C19" s="137">
        <v>799.86900000000014</v>
      </c>
      <c r="D19" s="137">
        <v>719.76199999999994</v>
      </c>
      <c r="E19" s="137">
        <v>0</v>
      </c>
      <c r="F19" s="137">
        <v>60.385000000000005</v>
      </c>
      <c r="G19" s="137">
        <v>1821.6640000000004</v>
      </c>
      <c r="H19" s="137">
        <v>156.559</v>
      </c>
      <c r="I19" s="137">
        <v>35.036000000000001</v>
      </c>
      <c r="J19" s="137">
        <v>5.16</v>
      </c>
      <c r="K19" s="137">
        <v>15.016000000000002</v>
      </c>
      <c r="L19" s="137">
        <v>141.29300000000001</v>
      </c>
      <c r="M19" s="137">
        <v>106.51500000000001</v>
      </c>
      <c r="N19" s="137">
        <v>3970.7390000000009</v>
      </c>
    </row>
    <row r="20" spans="1:14" x14ac:dyDescent="0.3">
      <c r="A20" s="26" t="s">
        <v>396</v>
      </c>
      <c r="B20" s="137">
        <v>40.540000000000006</v>
      </c>
      <c r="C20" s="137">
        <v>723.11900000000003</v>
      </c>
      <c r="D20" s="137">
        <v>647.88799999999969</v>
      </c>
      <c r="E20" s="137">
        <v>0</v>
      </c>
      <c r="F20" s="137">
        <v>45.111000000000004</v>
      </c>
      <c r="G20" s="137">
        <v>1696.0729999999996</v>
      </c>
      <c r="H20" s="137">
        <v>303.68600000000009</v>
      </c>
      <c r="I20" s="137">
        <v>42.072000000000003</v>
      </c>
      <c r="J20" s="137">
        <v>9.8889999999999993</v>
      </c>
      <c r="K20" s="137">
        <v>19.844000000000001</v>
      </c>
      <c r="L20" s="137">
        <v>84.094999999999999</v>
      </c>
      <c r="M20" s="137">
        <v>141.56700000000004</v>
      </c>
      <c r="N20" s="137">
        <v>3753.8839999999996</v>
      </c>
    </row>
    <row r="21" spans="1:14" x14ac:dyDescent="0.3">
      <c r="A21" s="26" t="s">
        <v>397</v>
      </c>
      <c r="B21" s="137">
        <v>142.74</v>
      </c>
      <c r="C21" s="137">
        <v>746.7399999999999</v>
      </c>
      <c r="D21" s="137">
        <v>841.06299999999999</v>
      </c>
      <c r="E21" s="137">
        <v>0</v>
      </c>
      <c r="F21" s="137">
        <v>39.71</v>
      </c>
      <c r="G21" s="137">
        <v>1747.587</v>
      </c>
      <c r="H21" s="137">
        <v>356.21699999999976</v>
      </c>
      <c r="I21" s="137">
        <v>44.003999999999991</v>
      </c>
      <c r="J21" s="137">
        <v>4.3860000000000001</v>
      </c>
      <c r="K21" s="137">
        <v>9.722999999999999</v>
      </c>
      <c r="L21" s="137">
        <v>97.174999999999983</v>
      </c>
      <c r="M21" s="137">
        <v>91.933999999999997</v>
      </c>
      <c r="N21" s="137">
        <v>4121.2789999999995</v>
      </c>
    </row>
    <row r="22" spans="1:14" x14ac:dyDescent="0.3">
      <c r="A22" s="26" t="s">
        <v>398</v>
      </c>
      <c r="B22" s="137">
        <v>93.94</v>
      </c>
      <c r="C22" s="137">
        <v>743.73500000000013</v>
      </c>
      <c r="D22" s="137">
        <v>792.44200000000012</v>
      </c>
      <c r="E22" s="137">
        <v>0</v>
      </c>
      <c r="F22" s="137">
        <v>48.118000000000009</v>
      </c>
      <c r="G22" s="137">
        <v>1817.9179999999997</v>
      </c>
      <c r="H22" s="137">
        <v>330.97700000000003</v>
      </c>
      <c r="I22" s="137">
        <v>44.073</v>
      </c>
      <c r="J22" s="137">
        <v>5.6669999999999998</v>
      </c>
      <c r="K22" s="137">
        <v>35.493000000000002</v>
      </c>
      <c r="L22" s="137">
        <v>87.093000000000004</v>
      </c>
      <c r="M22" s="137">
        <v>102.068</v>
      </c>
      <c r="N22" s="137">
        <v>4101.5239999999994</v>
      </c>
    </row>
    <row r="23" spans="1:14" x14ac:dyDescent="0.3">
      <c r="A23" s="26" t="s">
        <v>400</v>
      </c>
      <c r="B23" s="137">
        <v>67.790000000000006</v>
      </c>
      <c r="C23" s="137">
        <v>777.23699999999997</v>
      </c>
      <c r="D23" s="137">
        <v>736.05000000000007</v>
      </c>
      <c r="E23" s="137">
        <v>0</v>
      </c>
      <c r="F23" s="137">
        <v>41.879999999999988</v>
      </c>
      <c r="G23" s="137">
        <v>1867.3550000000002</v>
      </c>
      <c r="H23" s="137">
        <v>329.36399999999998</v>
      </c>
      <c r="I23" s="137">
        <v>17.753</v>
      </c>
      <c r="J23" s="137">
        <v>5.1639999999999997</v>
      </c>
      <c r="K23" s="137">
        <v>21.315000000000001</v>
      </c>
      <c r="L23" s="137">
        <v>79.387</v>
      </c>
      <c r="M23" s="137">
        <v>139.70799999999997</v>
      </c>
      <c r="N23" s="137">
        <v>4083.0030000000006</v>
      </c>
    </row>
    <row r="24" spans="1:14" x14ac:dyDescent="0.3">
      <c r="A24" s="26" t="s">
        <v>399</v>
      </c>
      <c r="B24" s="137">
        <v>88.460000000000008</v>
      </c>
      <c r="C24" s="137">
        <v>839.37099999999998</v>
      </c>
      <c r="D24" s="137">
        <v>657.91700000000003</v>
      </c>
      <c r="E24" s="137">
        <v>0</v>
      </c>
      <c r="F24" s="137">
        <v>45.734999999999999</v>
      </c>
      <c r="G24" s="137">
        <v>1967.9239999999993</v>
      </c>
      <c r="H24" s="137">
        <v>514.50700000000006</v>
      </c>
      <c r="I24" s="137">
        <v>3.8330000000000002</v>
      </c>
      <c r="J24" s="137">
        <v>6.1</v>
      </c>
      <c r="K24" s="137">
        <v>31.713999999999999</v>
      </c>
      <c r="L24" s="137">
        <v>104.94500000000001</v>
      </c>
      <c r="M24" s="137">
        <v>62.396000000000001</v>
      </c>
      <c r="N24" s="137">
        <v>4322.9019999999982</v>
      </c>
    </row>
    <row r="25" spans="1:14" x14ac:dyDescent="0.3">
      <c r="A25" s="26" t="s">
        <v>401</v>
      </c>
      <c r="B25" s="31">
        <v>141.809</v>
      </c>
      <c r="C25" s="31">
        <v>882.40200000000004</v>
      </c>
      <c r="D25" s="31">
        <v>822.87900000000013</v>
      </c>
      <c r="E25" s="31">
        <v>0</v>
      </c>
      <c r="F25" s="31">
        <v>31.346000000000004</v>
      </c>
      <c r="G25" s="31">
        <v>1943.7830000000001</v>
      </c>
      <c r="H25" s="31">
        <v>460.38799999999986</v>
      </c>
      <c r="I25" s="31">
        <v>25.765000000000001</v>
      </c>
      <c r="J25" s="31">
        <v>5.3379999999999992</v>
      </c>
      <c r="K25" s="31">
        <v>35.149000000000001</v>
      </c>
      <c r="L25" s="31">
        <v>96.524999999999991</v>
      </c>
      <c r="M25" s="31">
        <v>130.577</v>
      </c>
      <c r="N25" s="31">
        <v>4575.9610000000002</v>
      </c>
    </row>
    <row r="26" spans="1:14" x14ac:dyDescent="0.3">
      <c r="A26" s="26" t="s">
        <v>402</v>
      </c>
      <c r="B26" s="137">
        <v>128.31700000000006</v>
      </c>
      <c r="C26" s="137">
        <v>872.53300000000002</v>
      </c>
      <c r="D26" s="137">
        <v>761.2940000000001</v>
      </c>
      <c r="E26" s="137">
        <v>0</v>
      </c>
      <c r="F26" s="137">
        <v>53.173999999999999</v>
      </c>
      <c r="G26" s="137">
        <v>1979.5429999999999</v>
      </c>
      <c r="H26" s="137">
        <v>155.69399999999999</v>
      </c>
      <c r="I26" s="137">
        <v>40.32</v>
      </c>
      <c r="J26" s="137">
        <v>5.1130000000000004</v>
      </c>
      <c r="K26" s="137">
        <v>23.233000000000001</v>
      </c>
      <c r="L26" s="137">
        <v>95.245999999999995</v>
      </c>
      <c r="M26" s="137">
        <v>111.67299999999999</v>
      </c>
      <c r="N26" s="137">
        <v>4226.1399999999994</v>
      </c>
    </row>
    <row r="27" spans="1:14" x14ac:dyDescent="0.3">
      <c r="A27" s="26" t="s">
        <v>408</v>
      </c>
      <c r="B27" s="137">
        <v>119.12600000000002</v>
      </c>
      <c r="C27" s="137">
        <v>816.40999999999985</v>
      </c>
      <c r="D27" s="137">
        <v>766.79200000000003</v>
      </c>
      <c r="E27" s="137">
        <v>0</v>
      </c>
      <c r="F27" s="137">
        <v>45.32</v>
      </c>
      <c r="G27" s="137">
        <v>2198.9169999999999</v>
      </c>
      <c r="H27" s="137">
        <v>401.37999999999988</v>
      </c>
      <c r="I27" s="137">
        <v>43.817</v>
      </c>
      <c r="J27" s="137">
        <v>5.3569999999999993</v>
      </c>
      <c r="K27" s="137">
        <v>37.960999999999999</v>
      </c>
      <c r="L27" s="137">
        <v>109.14900000000002</v>
      </c>
      <c r="M27" s="137">
        <v>122.67899999999997</v>
      </c>
      <c r="N27" s="137">
        <v>4666.9080000000004</v>
      </c>
    </row>
    <row r="28" spans="1:14" x14ac:dyDescent="0.3">
      <c r="A28" s="26" t="s">
        <v>410</v>
      </c>
      <c r="B28" s="137">
        <v>149.99799999999999</v>
      </c>
      <c r="C28" s="137">
        <v>806.5619999999999</v>
      </c>
      <c r="D28" s="137">
        <v>830.92500000000007</v>
      </c>
      <c r="E28" s="137">
        <v>0</v>
      </c>
      <c r="F28" s="137">
        <v>39.919000000000004</v>
      </c>
      <c r="G28" s="137">
        <v>2139.2280000000001</v>
      </c>
      <c r="H28" s="137">
        <v>247.095</v>
      </c>
      <c r="I28" s="137">
        <v>30.55599999999999</v>
      </c>
      <c r="J28" s="137">
        <v>4.5919999999999996</v>
      </c>
      <c r="K28" s="137">
        <v>30.901000000000007</v>
      </c>
      <c r="L28" s="137">
        <v>123.34799999999997</v>
      </c>
      <c r="M28" s="137">
        <v>138.99099999999999</v>
      </c>
      <c r="N28" s="137">
        <v>4542.1149999999998</v>
      </c>
    </row>
    <row r="29" spans="1:14" x14ac:dyDescent="0.3">
      <c r="A29" s="26" t="s">
        <v>411</v>
      </c>
      <c r="B29" s="137">
        <v>139.928</v>
      </c>
      <c r="C29" s="137">
        <v>783.64499999999998</v>
      </c>
      <c r="D29" s="137">
        <v>803.27300000000014</v>
      </c>
      <c r="E29" s="137">
        <v>0</v>
      </c>
      <c r="F29" s="137">
        <v>71.400000000000006</v>
      </c>
      <c r="G29" s="137">
        <v>2379.7549999999997</v>
      </c>
      <c r="H29" s="137">
        <v>261.88999999999993</v>
      </c>
      <c r="I29" s="137">
        <v>26.553000000000001</v>
      </c>
      <c r="J29" s="137">
        <v>5.4660000000000002</v>
      </c>
      <c r="K29" s="137">
        <v>23.336000000000002</v>
      </c>
      <c r="L29" s="137">
        <v>95.424999999999997</v>
      </c>
      <c r="M29" s="137">
        <v>115.12500000000003</v>
      </c>
      <c r="N29" s="137">
        <v>4705.7960000000012</v>
      </c>
    </row>
    <row r="30" spans="1:14" x14ac:dyDescent="0.3">
      <c r="A30" s="26" t="s">
        <v>412</v>
      </c>
      <c r="B30" s="137">
        <v>180.37500000000003</v>
      </c>
      <c r="C30" s="137">
        <v>844.80200000000013</v>
      </c>
      <c r="D30" s="137">
        <v>807.63000000000011</v>
      </c>
      <c r="E30" s="137">
        <v>0</v>
      </c>
      <c r="F30" s="137">
        <v>51.241999999999997</v>
      </c>
      <c r="G30" s="137">
        <v>2313.5229999999997</v>
      </c>
      <c r="H30" s="137">
        <v>361.21599999999995</v>
      </c>
      <c r="I30" s="137">
        <v>27.471</v>
      </c>
      <c r="J30" s="137">
        <v>5.9639999999999995</v>
      </c>
      <c r="K30" s="137">
        <v>36.009</v>
      </c>
      <c r="L30" s="137">
        <v>102</v>
      </c>
      <c r="M30" s="137">
        <v>124.352</v>
      </c>
      <c r="N30" s="137">
        <v>4854.5839999999998</v>
      </c>
    </row>
    <row r="31" spans="1:14" x14ac:dyDescent="0.3">
      <c r="A31" s="26" t="s">
        <v>413</v>
      </c>
      <c r="B31" s="137">
        <v>169.6690000000001</v>
      </c>
      <c r="C31" s="137">
        <v>806.91700000000014</v>
      </c>
      <c r="D31" s="137">
        <v>803.904</v>
      </c>
      <c r="E31" s="137">
        <v>0</v>
      </c>
      <c r="F31" s="137">
        <v>38.091000000000001</v>
      </c>
      <c r="G31" s="137">
        <v>2052.7630000000004</v>
      </c>
      <c r="H31" s="137">
        <v>488.30500000000006</v>
      </c>
      <c r="I31" s="137">
        <v>6.5620000000000003</v>
      </c>
      <c r="J31" s="137">
        <v>6.6850000000000005</v>
      </c>
      <c r="K31" s="137">
        <v>26.538000000000004</v>
      </c>
      <c r="L31" s="137">
        <v>116.87899999999999</v>
      </c>
      <c r="M31" s="137">
        <v>112.20100000000002</v>
      </c>
      <c r="N31" s="137">
        <v>4628.5140000000001</v>
      </c>
    </row>
    <row r="32" spans="1:14" x14ac:dyDescent="0.3">
      <c r="A32" s="26" t="s">
        <v>414</v>
      </c>
      <c r="B32" s="137">
        <v>115.64900000000002</v>
      </c>
      <c r="C32" s="137">
        <v>739.84500000000003</v>
      </c>
      <c r="D32" s="137">
        <v>963.96400000000017</v>
      </c>
      <c r="E32" s="137">
        <v>0</v>
      </c>
      <c r="F32" s="137">
        <v>40.203999999999994</v>
      </c>
      <c r="G32" s="137">
        <v>1953.503999999999</v>
      </c>
      <c r="H32" s="137">
        <v>359.04300000000001</v>
      </c>
      <c r="I32" s="137">
        <v>39.253999999999998</v>
      </c>
      <c r="J32" s="137">
        <v>5.4819999999999993</v>
      </c>
      <c r="K32" s="137">
        <v>23.116999999999997</v>
      </c>
      <c r="L32" s="137">
        <v>99.683999999999997</v>
      </c>
      <c r="M32" s="137">
        <v>88.004000000000005</v>
      </c>
      <c r="N32" s="137">
        <v>4427.7499999999991</v>
      </c>
    </row>
    <row r="33" spans="1:14" x14ac:dyDescent="0.3">
      <c r="A33" s="26" t="s">
        <v>415</v>
      </c>
      <c r="B33" s="137">
        <v>60.107999999999997</v>
      </c>
      <c r="C33" s="137">
        <v>666.06299999999999</v>
      </c>
      <c r="D33" s="137">
        <v>748.02700000000004</v>
      </c>
      <c r="E33" s="137">
        <v>0</v>
      </c>
      <c r="F33" s="137">
        <v>50.509</v>
      </c>
      <c r="G33" s="137">
        <v>2257.5220000000004</v>
      </c>
      <c r="H33" s="137">
        <v>144.33299999999997</v>
      </c>
      <c r="I33" s="137">
        <v>49.692000000000007</v>
      </c>
      <c r="J33" s="137">
        <v>3.2549999999999999</v>
      </c>
      <c r="K33" s="137">
        <v>29.276000000000003</v>
      </c>
      <c r="L33" s="137">
        <v>105.09799999999998</v>
      </c>
      <c r="M33" s="137">
        <v>162.75</v>
      </c>
      <c r="N33" s="137">
        <v>4276.6330000000007</v>
      </c>
    </row>
    <row r="34" spans="1:14" x14ac:dyDescent="0.3">
      <c r="A34" s="26" t="s">
        <v>416</v>
      </c>
      <c r="B34" s="137">
        <v>51.664999999999999</v>
      </c>
      <c r="C34" s="137">
        <v>733.02700000000016</v>
      </c>
      <c r="D34" s="137">
        <v>767.91099999999994</v>
      </c>
      <c r="E34" s="137">
        <v>0</v>
      </c>
      <c r="F34" s="137">
        <v>50.453999999999994</v>
      </c>
      <c r="G34" s="137">
        <v>2555.5499999999993</v>
      </c>
      <c r="H34" s="137">
        <v>239.09999999999997</v>
      </c>
      <c r="I34" s="137">
        <v>26.573000000000004</v>
      </c>
      <c r="J34" s="137">
        <v>6.2389999999999999</v>
      </c>
      <c r="K34" s="137">
        <v>33.174999999999997</v>
      </c>
      <c r="L34" s="137">
        <v>94.855999999999938</v>
      </c>
      <c r="M34" s="137">
        <v>115.041</v>
      </c>
      <c r="N34" s="137">
        <v>4673.5909999999994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H119"/>
  <sheetViews>
    <sheetView topLeftCell="AB100" workbookViewId="0">
      <selection activeCell="F29" sqref="F29"/>
    </sheetView>
  </sheetViews>
  <sheetFormatPr defaultRowHeight="14.4" x14ac:dyDescent="0.3"/>
  <cols>
    <col min="1" max="1" width="18" bestFit="1" customWidth="1"/>
    <col min="2" max="7" width="16.88671875" bestFit="1" customWidth="1"/>
    <col min="8" max="8" width="18.33203125" bestFit="1" customWidth="1"/>
    <col min="9" max="33" width="16.88671875" bestFit="1" customWidth="1"/>
    <col min="34" max="34" width="14.44140625" bestFit="1" customWidth="1"/>
  </cols>
  <sheetData>
    <row r="1" spans="1:34" x14ac:dyDescent="0.3">
      <c r="A1" s="30" t="s">
        <v>1</v>
      </c>
      <c r="B1" s="12" t="s">
        <v>82</v>
      </c>
    </row>
    <row r="2" spans="1:34" x14ac:dyDescent="0.3">
      <c r="A2" s="30" t="s">
        <v>158</v>
      </c>
      <c r="B2" s="12" t="s">
        <v>82</v>
      </c>
    </row>
    <row r="4" spans="1:34" x14ac:dyDescent="0.3">
      <c r="A4" s="30" t="s">
        <v>394</v>
      </c>
      <c r="B4" s="12" t="s">
        <v>84</v>
      </c>
      <c r="C4" s="12" t="s">
        <v>418</v>
      </c>
      <c r="D4" s="12" t="s">
        <v>419</v>
      </c>
      <c r="E4" s="12" t="s">
        <v>420</v>
      </c>
      <c r="F4" s="12" t="s">
        <v>421</v>
      </c>
      <c r="G4" s="12" t="s">
        <v>422</v>
      </c>
      <c r="H4" s="12" t="s">
        <v>423</v>
      </c>
      <c r="I4" s="12" t="s">
        <v>424</v>
      </c>
      <c r="J4" s="12" t="s">
        <v>425</v>
      </c>
      <c r="K4" s="12" t="s">
        <v>426</v>
      </c>
      <c r="L4" s="12" t="s">
        <v>427</v>
      </c>
      <c r="M4" s="12" t="s">
        <v>428</v>
      </c>
      <c r="N4" s="12" t="s">
        <v>429</v>
      </c>
      <c r="O4" s="12" t="s">
        <v>430</v>
      </c>
      <c r="P4" s="12" t="s">
        <v>436</v>
      </c>
      <c r="Q4" s="12" t="s">
        <v>437</v>
      </c>
      <c r="R4" s="12" t="s">
        <v>439</v>
      </c>
      <c r="S4" s="12" t="s">
        <v>443</v>
      </c>
      <c r="T4" s="12" t="s">
        <v>444</v>
      </c>
      <c r="U4" s="12" t="s">
        <v>445</v>
      </c>
      <c r="V4" s="12" t="s">
        <v>446</v>
      </c>
      <c r="W4" s="12" t="s">
        <v>447</v>
      </c>
      <c r="X4" s="12" t="s">
        <v>449</v>
      </c>
      <c r="Y4" s="12" t="s">
        <v>448</v>
      </c>
      <c r="Z4" s="12" t="s">
        <v>450</v>
      </c>
      <c r="AA4" s="12" t="s">
        <v>451</v>
      </c>
      <c r="AB4" s="12" t="s">
        <v>452</v>
      </c>
      <c r="AC4" s="12" t="s">
        <v>453</v>
      </c>
      <c r="AD4" s="12" t="s">
        <v>454</v>
      </c>
      <c r="AE4" s="12" t="s">
        <v>459</v>
      </c>
      <c r="AF4" s="31" t="s">
        <v>460</v>
      </c>
      <c r="AG4" s="12" t="s">
        <v>461</v>
      </c>
      <c r="AH4" s="12" t="s">
        <v>85</v>
      </c>
    </row>
    <row r="5" spans="1:34" x14ac:dyDescent="0.3">
      <c r="A5" s="12" t="s">
        <v>242</v>
      </c>
      <c r="B5" s="137">
        <v>1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  <c r="AH5" s="31">
        <v>0</v>
      </c>
    </row>
    <row r="6" spans="1:34" x14ac:dyDescent="0.3">
      <c r="A6" s="12" t="s">
        <v>241</v>
      </c>
      <c r="B6" s="137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</row>
    <row r="7" spans="1:34" x14ac:dyDescent="0.3">
      <c r="A7" s="12" t="s">
        <v>240</v>
      </c>
      <c r="B7" s="137">
        <v>1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  <c r="AH7" s="31">
        <v>0</v>
      </c>
    </row>
    <row r="8" spans="1:34" x14ac:dyDescent="0.3">
      <c r="A8" s="12" t="s">
        <v>70</v>
      </c>
      <c r="B8" s="137">
        <v>82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</row>
    <row r="9" spans="1:34" x14ac:dyDescent="0.3">
      <c r="A9" s="12" t="s">
        <v>252</v>
      </c>
      <c r="B9" s="137">
        <v>3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2.2810000000000001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  <c r="AH9" s="31">
        <v>7.3580645161290328E-2</v>
      </c>
    </row>
    <row r="10" spans="1:34" x14ac:dyDescent="0.3">
      <c r="A10" s="12" t="s">
        <v>261</v>
      </c>
      <c r="B10" s="137">
        <v>16</v>
      </c>
      <c r="C10" s="31">
        <v>0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</row>
    <row r="11" spans="1:34" x14ac:dyDescent="0.3">
      <c r="A11" s="12" t="s">
        <v>245</v>
      </c>
      <c r="B11" s="137">
        <v>3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</row>
    <row r="12" spans="1:34" x14ac:dyDescent="0.3">
      <c r="A12" s="12" t="s">
        <v>237</v>
      </c>
      <c r="B12" s="137">
        <v>3</v>
      </c>
      <c r="C12" s="31">
        <v>3.0750000000000002</v>
      </c>
      <c r="D12" s="31">
        <v>6.08</v>
      </c>
      <c r="E12" s="31">
        <v>8.2330000000000005</v>
      </c>
      <c r="F12" s="31">
        <v>9.5079999999999991</v>
      </c>
      <c r="G12" s="31">
        <v>3.1669999999999998</v>
      </c>
      <c r="H12" s="31">
        <v>8.9600000000000009</v>
      </c>
      <c r="I12" s="31">
        <v>7.149</v>
      </c>
      <c r="J12" s="31">
        <v>9.0259999999999998</v>
      </c>
      <c r="K12" s="31">
        <v>10.583</v>
      </c>
      <c r="L12" s="31">
        <v>11.204999999999998</v>
      </c>
      <c r="M12" s="31">
        <v>11.186999999999999</v>
      </c>
      <c r="N12" s="31">
        <v>2.7119999999999997</v>
      </c>
      <c r="O12" s="31">
        <v>3.4210000000000003</v>
      </c>
      <c r="P12" s="31">
        <v>1.89</v>
      </c>
      <c r="Q12" s="31">
        <v>5.7960000000000003</v>
      </c>
      <c r="R12" s="31">
        <v>0</v>
      </c>
      <c r="S12" s="31">
        <v>6.4530000000000003</v>
      </c>
      <c r="T12" s="31">
        <v>10.984999999999999</v>
      </c>
      <c r="U12" s="31">
        <v>0</v>
      </c>
      <c r="V12" s="31">
        <v>1.4330000000000001</v>
      </c>
      <c r="W12" s="31">
        <v>12.952999999999999</v>
      </c>
      <c r="X12" s="31">
        <v>7.593</v>
      </c>
      <c r="Y12" s="31">
        <v>9.52</v>
      </c>
      <c r="Z12" s="31">
        <v>0</v>
      </c>
      <c r="AA12" s="31">
        <v>7.4160000000000004</v>
      </c>
      <c r="AB12" s="31">
        <v>6.98</v>
      </c>
      <c r="AC12" s="31">
        <v>3.2759999999999998</v>
      </c>
      <c r="AD12" s="31">
        <v>11.052</v>
      </c>
      <c r="AE12" s="31">
        <v>9.9530000000000012</v>
      </c>
      <c r="AF12" s="31">
        <v>11.715</v>
      </c>
      <c r="AG12" s="31">
        <v>10.305</v>
      </c>
      <c r="AH12" s="31">
        <v>6.8266451612903234</v>
      </c>
    </row>
    <row r="13" spans="1:34" x14ac:dyDescent="0.3">
      <c r="A13" s="12" t="s">
        <v>253</v>
      </c>
      <c r="B13" s="137">
        <v>3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</row>
    <row r="14" spans="1:34" x14ac:dyDescent="0.3">
      <c r="A14" s="12" t="s">
        <v>235</v>
      </c>
      <c r="B14" s="137">
        <v>3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6.4580000000000002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0.20832258064516129</v>
      </c>
    </row>
    <row r="15" spans="1:34" x14ac:dyDescent="0.3">
      <c r="A15" s="12" t="s">
        <v>238</v>
      </c>
      <c r="B15" s="137">
        <v>4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</row>
    <row r="16" spans="1:34" x14ac:dyDescent="0.3">
      <c r="A16" s="12" t="s">
        <v>93</v>
      </c>
      <c r="B16" s="137">
        <v>1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</row>
    <row r="17" spans="1:34" x14ac:dyDescent="0.3">
      <c r="A17" s="12" t="s">
        <v>66</v>
      </c>
      <c r="B17" s="137">
        <v>87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</row>
    <row r="18" spans="1:34" x14ac:dyDescent="0.3">
      <c r="A18" s="12" t="s">
        <v>74</v>
      </c>
      <c r="B18" s="137">
        <v>2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</row>
    <row r="19" spans="1:34" x14ac:dyDescent="0.3">
      <c r="A19" s="12" t="s">
        <v>27</v>
      </c>
      <c r="B19" s="137">
        <v>4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</row>
    <row r="20" spans="1:34" x14ac:dyDescent="0.3">
      <c r="A20" s="12" t="s">
        <v>226</v>
      </c>
      <c r="B20" s="137">
        <v>10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</row>
    <row r="21" spans="1:34" x14ac:dyDescent="0.3">
      <c r="A21" s="12" t="s">
        <v>217</v>
      </c>
      <c r="B21" s="137">
        <v>20</v>
      </c>
      <c r="C21" s="31">
        <v>23.722000000000001</v>
      </c>
      <c r="D21" s="31">
        <v>18.992000000000004</v>
      </c>
      <c r="E21" s="31">
        <v>22.082999999999998</v>
      </c>
      <c r="F21" s="31">
        <v>2E-3</v>
      </c>
      <c r="G21" s="31">
        <v>25.652000000000001</v>
      </c>
      <c r="H21" s="31">
        <v>33.563000000000002</v>
      </c>
      <c r="I21" s="31">
        <v>58.843999999999994</v>
      </c>
      <c r="J21" s="31">
        <v>55.304999999999993</v>
      </c>
      <c r="K21" s="31">
        <v>41.871000000000016</v>
      </c>
      <c r="L21" s="31">
        <v>34.314</v>
      </c>
      <c r="M21" s="31">
        <v>28.918000000000006</v>
      </c>
      <c r="N21" s="31">
        <v>24.250000000000004</v>
      </c>
      <c r="O21" s="31">
        <v>42.873999999999981</v>
      </c>
      <c r="P21" s="31">
        <v>24.837000000000003</v>
      </c>
      <c r="Q21" s="31">
        <v>0.65700000000000003</v>
      </c>
      <c r="R21" s="31">
        <v>31.404</v>
      </c>
      <c r="S21" s="31">
        <v>24.006999999999998</v>
      </c>
      <c r="T21" s="31">
        <v>8.3129999999999988</v>
      </c>
      <c r="U21" s="31">
        <v>8.1389999999999993</v>
      </c>
      <c r="V21" s="31">
        <v>13.872999999999998</v>
      </c>
      <c r="W21" s="31">
        <v>2.359</v>
      </c>
      <c r="X21" s="31">
        <v>0</v>
      </c>
      <c r="Y21" s="31">
        <v>3.9950000000000001</v>
      </c>
      <c r="Z21" s="31">
        <v>1.996</v>
      </c>
      <c r="AA21" s="31">
        <v>0</v>
      </c>
      <c r="AB21" s="31">
        <v>0</v>
      </c>
      <c r="AC21" s="31">
        <v>9.907</v>
      </c>
      <c r="AD21" s="31">
        <v>2.073</v>
      </c>
      <c r="AE21" s="31">
        <v>3.26</v>
      </c>
      <c r="AF21" s="31">
        <v>7.1319999999999997</v>
      </c>
      <c r="AG21" s="31">
        <v>3.5590000000000002</v>
      </c>
      <c r="AH21" s="31">
        <v>17.932290322580645</v>
      </c>
    </row>
    <row r="22" spans="1:34" x14ac:dyDescent="0.3">
      <c r="A22" s="12" t="s">
        <v>199</v>
      </c>
      <c r="B22" s="137">
        <v>6</v>
      </c>
      <c r="C22" s="31"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31">
        <v>0</v>
      </c>
      <c r="Y22" s="31">
        <v>0</v>
      </c>
      <c r="Z22" s="31">
        <v>0</v>
      </c>
      <c r="AA22" s="31">
        <v>0</v>
      </c>
      <c r="AB22" s="31">
        <v>0</v>
      </c>
      <c r="AC22" s="31">
        <v>0</v>
      </c>
      <c r="AD22" s="31">
        <v>0</v>
      </c>
      <c r="AE22" s="31">
        <v>0</v>
      </c>
      <c r="AF22" s="31">
        <v>0</v>
      </c>
      <c r="AG22" s="31">
        <v>0</v>
      </c>
      <c r="AH22" s="31">
        <v>0</v>
      </c>
    </row>
    <row r="23" spans="1:34" x14ac:dyDescent="0.3">
      <c r="A23" s="12" t="s">
        <v>200</v>
      </c>
      <c r="B23" s="137">
        <v>9</v>
      </c>
      <c r="C23" s="31">
        <v>118.81300000000002</v>
      </c>
      <c r="D23" s="31">
        <v>110.40499999999996</v>
      </c>
      <c r="E23" s="31">
        <v>125.74000000000002</v>
      </c>
      <c r="F23" s="31">
        <v>104.44600000000003</v>
      </c>
      <c r="G23" s="31">
        <v>127.09899999999996</v>
      </c>
      <c r="H23" s="31">
        <v>126.52300000000001</v>
      </c>
      <c r="I23" s="31">
        <v>133.506</v>
      </c>
      <c r="J23" s="31">
        <v>101.42500000000001</v>
      </c>
      <c r="K23" s="31">
        <v>128.54000000000002</v>
      </c>
      <c r="L23" s="31">
        <v>119.93199999999999</v>
      </c>
      <c r="M23" s="31">
        <v>113.575</v>
      </c>
      <c r="N23" s="31">
        <v>111.48100000000001</v>
      </c>
      <c r="O23" s="31">
        <v>129.136</v>
      </c>
      <c r="P23" s="31">
        <v>96.273999999999987</v>
      </c>
      <c r="Q23" s="31">
        <v>121.21499999999999</v>
      </c>
      <c r="R23" s="31">
        <v>102.71</v>
      </c>
      <c r="S23" s="31">
        <v>133.571</v>
      </c>
      <c r="T23" s="31">
        <v>125.67600000000002</v>
      </c>
      <c r="U23" s="31">
        <v>66.027999999999992</v>
      </c>
      <c r="V23" s="31">
        <v>54.838000000000001</v>
      </c>
      <c r="W23" s="31">
        <v>131.94499999999999</v>
      </c>
      <c r="X23" s="31">
        <v>101.51599999999999</v>
      </c>
      <c r="Y23" s="31">
        <v>128.69400000000002</v>
      </c>
      <c r="Z23" s="31">
        <v>96.675000000000011</v>
      </c>
      <c r="AA23" s="31">
        <v>137.011</v>
      </c>
      <c r="AB23" s="31">
        <v>122.12899999999999</v>
      </c>
      <c r="AC23" s="31">
        <v>109.64400000000001</v>
      </c>
      <c r="AD23" s="31">
        <v>116.65900000000001</v>
      </c>
      <c r="AE23" s="31">
        <v>117.87100000000002</v>
      </c>
      <c r="AF23" s="31">
        <v>112.20599999999999</v>
      </c>
      <c r="AG23" s="31">
        <v>80.317999999999984</v>
      </c>
      <c r="AH23" s="31">
        <v>113.08390322580644</v>
      </c>
    </row>
    <row r="24" spans="1:34" x14ac:dyDescent="0.3">
      <c r="A24" s="12" t="s">
        <v>201</v>
      </c>
      <c r="B24" s="137">
        <v>3</v>
      </c>
      <c r="C24" s="31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</row>
    <row r="25" spans="1:34" x14ac:dyDescent="0.3">
      <c r="A25" s="12" t="s">
        <v>391</v>
      </c>
      <c r="B25" s="137">
        <v>7</v>
      </c>
      <c r="C25" s="31">
        <v>35.177</v>
      </c>
      <c r="D25" s="31">
        <v>38.345999999999997</v>
      </c>
      <c r="E25" s="31">
        <v>36.516999999999996</v>
      </c>
      <c r="F25" s="31">
        <v>60.861000000000004</v>
      </c>
      <c r="G25" s="31">
        <v>59.561999999999991</v>
      </c>
      <c r="H25" s="31">
        <v>64.585999999999984</v>
      </c>
      <c r="I25" s="31">
        <v>45.600999999999999</v>
      </c>
      <c r="J25" s="31">
        <v>41.819000000000003</v>
      </c>
      <c r="K25" s="31">
        <v>47.211999999999996</v>
      </c>
      <c r="L25" s="31">
        <v>54.986999999999995</v>
      </c>
      <c r="M25" s="31">
        <v>41.596000000000004</v>
      </c>
      <c r="N25" s="31">
        <v>42.855999999999995</v>
      </c>
      <c r="O25" s="31">
        <v>46.579000000000001</v>
      </c>
      <c r="P25" s="31">
        <v>49.238</v>
      </c>
      <c r="Q25" s="31">
        <v>61.342000000000006</v>
      </c>
      <c r="R25" s="31">
        <v>41.117000000000004</v>
      </c>
      <c r="S25" s="31">
        <v>71.191000000000003</v>
      </c>
      <c r="T25" s="31">
        <v>27.116</v>
      </c>
      <c r="U25" s="31">
        <v>58.966999999999999</v>
      </c>
      <c r="V25" s="31">
        <v>32.49</v>
      </c>
      <c r="W25" s="31">
        <v>25.012999999999998</v>
      </c>
      <c r="X25" s="31">
        <v>35.055999999999997</v>
      </c>
      <c r="Y25" s="31">
        <v>74.47399999999999</v>
      </c>
      <c r="Z25" s="31">
        <v>39.896999999999998</v>
      </c>
      <c r="AA25" s="31">
        <v>20.783999999999999</v>
      </c>
      <c r="AB25" s="31">
        <v>52.638999999999996</v>
      </c>
      <c r="AC25" s="31">
        <v>57.324000000000005</v>
      </c>
      <c r="AD25" s="31">
        <v>61.163999999999987</v>
      </c>
      <c r="AE25" s="31">
        <v>39.232000000000006</v>
      </c>
      <c r="AF25" s="31">
        <v>60.659999999999989</v>
      </c>
      <c r="AG25" s="31">
        <v>2.6309999999999998</v>
      </c>
      <c r="AH25" s="31">
        <v>46.001096774193549</v>
      </c>
    </row>
    <row r="26" spans="1:34" x14ac:dyDescent="0.3">
      <c r="A26" s="12" t="s">
        <v>388</v>
      </c>
      <c r="B26" s="137">
        <v>5</v>
      </c>
      <c r="C26" s="31">
        <v>9.5350000000000001</v>
      </c>
      <c r="D26" s="31">
        <v>11.525</v>
      </c>
      <c r="E26" s="31">
        <v>15.099</v>
      </c>
      <c r="F26" s="31">
        <v>0</v>
      </c>
      <c r="G26" s="31">
        <v>10.928999999999998</v>
      </c>
      <c r="H26" s="31">
        <v>22.344000000000001</v>
      </c>
      <c r="I26" s="31">
        <v>8.0190000000000001</v>
      </c>
      <c r="J26" s="31">
        <v>12.455</v>
      </c>
      <c r="K26" s="31">
        <v>20.701000000000001</v>
      </c>
      <c r="L26" s="31">
        <v>19.649000000000001</v>
      </c>
      <c r="M26" s="31">
        <v>0</v>
      </c>
      <c r="N26" s="31">
        <v>10.606000000000002</v>
      </c>
      <c r="O26" s="31">
        <v>6.0990000000000002</v>
      </c>
      <c r="P26" s="31">
        <v>17.051000000000002</v>
      </c>
      <c r="Q26" s="31">
        <v>0</v>
      </c>
      <c r="R26" s="31">
        <v>19.879000000000001</v>
      </c>
      <c r="S26" s="31">
        <v>13.776999999999999</v>
      </c>
      <c r="T26" s="31">
        <v>0</v>
      </c>
      <c r="U26" s="31">
        <v>14.956999999999999</v>
      </c>
      <c r="V26" s="31">
        <v>12.215999999999999</v>
      </c>
      <c r="W26" s="31">
        <v>10.879000000000001</v>
      </c>
      <c r="X26" s="31">
        <v>17.498999999999999</v>
      </c>
      <c r="Y26" s="31">
        <v>8.7259999999999991</v>
      </c>
      <c r="Z26" s="31">
        <v>5.7799999999999994</v>
      </c>
      <c r="AA26" s="31">
        <v>0</v>
      </c>
      <c r="AB26" s="31">
        <v>16.094000000000001</v>
      </c>
      <c r="AC26" s="31">
        <v>18.097000000000001</v>
      </c>
      <c r="AD26" s="31">
        <v>5.5670000000000002</v>
      </c>
      <c r="AE26" s="31">
        <v>11.096</v>
      </c>
      <c r="AF26" s="31">
        <v>17.835000000000001</v>
      </c>
      <c r="AG26" s="31">
        <v>0</v>
      </c>
      <c r="AH26" s="31">
        <v>10.852064516129028</v>
      </c>
    </row>
    <row r="27" spans="1:34" x14ac:dyDescent="0.3">
      <c r="A27" s="12" t="s">
        <v>212</v>
      </c>
      <c r="B27" s="137">
        <v>7</v>
      </c>
      <c r="C27" s="31">
        <v>144.76399999999998</v>
      </c>
      <c r="D27" s="31">
        <v>102.636</v>
      </c>
      <c r="E27" s="31">
        <v>129.11500000000001</v>
      </c>
      <c r="F27" s="31">
        <v>96.344999999999985</v>
      </c>
      <c r="G27" s="31">
        <v>123.063</v>
      </c>
      <c r="H27" s="31">
        <v>119.59400000000002</v>
      </c>
      <c r="I27" s="31">
        <v>136.077</v>
      </c>
      <c r="J27" s="31">
        <v>111.35399999999998</v>
      </c>
      <c r="K27" s="31">
        <v>85.22</v>
      </c>
      <c r="L27" s="31">
        <v>135.97200000000001</v>
      </c>
      <c r="M27" s="31">
        <v>119.82599999999999</v>
      </c>
      <c r="N27" s="31">
        <v>124.499</v>
      </c>
      <c r="O27" s="31">
        <v>110.26900000000001</v>
      </c>
      <c r="P27" s="31">
        <v>114.94299999999998</v>
      </c>
      <c r="Q27" s="31">
        <v>105.29199999999999</v>
      </c>
      <c r="R27" s="31">
        <v>130.49800000000002</v>
      </c>
      <c r="S27" s="31">
        <v>117.834</v>
      </c>
      <c r="T27" s="31">
        <v>84.143000000000001</v>
      </c>
      <c r="U27" s="31">
        <v>138.12499999999994</v>
      </c>
      <c r="V27" s="31">
        <v>152.00800000000001</v>
      </c>
      <c r="W27" s="31">
        <v>88.424000000000007</v>
      </c>
      <c r="X27" s="31">
        <v>154.84599999999998</v>
      </c>
      <c r="Y27" s="31">
        <v>105.392</v>
      </c>
      <c r="Z27" s="31">
        <v>104.56399999999999</v>
      </c>
      <c r="AA27" s="31">
        <v>75.274000000000001</v>
      </c>
      <c r="AB27" s="31">
        <v>142.56799999999998</v>
      </c>
      <c r="AC27" s="31">
        <v>112.15100000000002</v>
      </c>
      <c r="AD27" s="31">
        <v>87.418999999999997</v>
      </c>
      <c r="AE27" s="31">
        <v>148.69499999999996</v>
      </c>
      <c r="AF27" s="31">
        <v>138.92200000000003</v>
      </c>
      <c r="AG27" s="31">
        <v>100.741</v>
      </c>
      <c r="AH27" s="31">
        <v>117.43783870967739</v>
      </c>
    </row>
    <row r="28" spans="1:34" x14ac:dyDescent="0.3">
      <c r="A28" s="12" t="s">
        <v>227</v>
      </c>
      <c r="B28" s="137">
        <v>13</v>
      </c>
      <c r="C28" s="31">
        <v>36.524000000000001</v>
      </c>
      <c r="D28" s="31">
        <v>63.019999999999996</v>
      </c>
      <c r="E28" s="31">
        <v>34.134</v>
      </c>
      <c r="F28" s="31">
        <v>33.650999999999996</v>
      </c>
      <c r="G28" s="31">
        <v>45.888999999999996</v>
      </c>
      <c r="H28" s="31">
        <v>38.591000000000001</v>
      </c>
      <c r="I28" s="31">
        <v>42.489000000000004</v>
      </c>
      <c r="J28" s="31">
        <v>36.54</v>
      </c>
      <c r="K28" s="31">
        <v>59.216999999999999</v>
      </c>
      <c r="L28" s="31">
        <v>51.306999999999995</v>
      </c>
      <c r="M28" s="31">
        <v>8.4759999999999991</v>
      </c>
      <c r="N28" s="31">
        <v>28.724</v>
      </c>
      <c r="O28" s="31">
        <v>55.122</v>
      </c>
      <c r="P28" s="31">
        <v>45.967000000000006</v>
      </c>
      <c r="Q28" s="31">
        <v>24.006</v>
      </c>
      <c r="R28" s="31">
        <v>39.116999999999997</v>
      </c>
      <c r="S28" s="31">
        <v>53.818000000000005</v>
      </c>
      <c r="T28" s="31">
        <v>23.076000000000001</v>
      </c>
      <c r="U28" s="31">
        <v>53.772999999999996</v>
      </c>
      <c r="V28" s="31">
        <v>22.050999999999998</v>
      </c>
      <c r="W28" s="31">
        <v>11.526999999999999</v>
      </c>
      <c r="X28" s="31">
        <v>26.492000000000001</v>
      </c>
      <c r="Y28" s="31">
        <v>10.481</v>
      </c>
      <c r="Z28" s="31">
        <v>28.168000000000003</v>
      </c>
      <c r="AA28" s="31">
        <v>38.784999999999997</v>
      </c>
      <c r="AB28" s="31">
        <v>40.613</v>
      </c>
      <c r="AC28" s="31">
        <v>24.228999999999999</v>
      </c>
      <c r="AD28" s="31">
        <v>47.865000000000002</v>
      </c>
      <c r="AE28" s="31">
        <v>35.29</v>
      </c>
      <c r="AF28" s="31">
        <v>57.324999999999989</v>
      </c>
      <c r="AG28" s="31">
        <v>50.757000000000005</v>
      </c>
      <c r="AH28" s="31">
        <v>37.645935483870971</v>
      </c>
    </row>
    <row r="29" spans="1:34" x14ac:dyDescent="0.3">
      <c r="A29" s="12" t="s">
        <v>403</v>
      </c>
      <c r="B29" s="137">
        <v>1</v>
      </c>
      <c r="C29" s="31">
        <v>4.9290000000000003</v>
      </c>
      <c r="D29" s="31">
        <v>5.1189999999999998</v>
      </c>
      <c r="E29" s="31">
        <v>1.6850000000000001</v>
      </c>
      <c r="F29" s="31">
        <v>2.7650000000000001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1.8009999999999999</v>
      </c>
      <c r="M29" s="31">
        <v>0</v>
      </c>
      <c r="N29" s="31">
        <v>2.9849999999999999</v>
      </c>
      <c r="O29" s="31">
        <v>9.1669999999999998</v>
      </c>
      <c r="P29" s="31">
        <v>2.7709999999999999</v>
      </c>
      <c r="Q29" s="31">
        <v>2E-3</v>
      </c>
      <c r="R29" s="31">
        <v>2E-3</v>
      </c>
      <c r="S29" s="31">
        <v>0</v>
      </c>
      <c r="T29" s="31">
        <v>0.36799999999999999</v>
      </c>
      <c r="U29" s="31">
        <v>7.2309999999999999</v>
      </c>
      <c r="V29" s="31">
        <v>6.5609999999999999</v>
      </c>
      <c r="W29" s="31">
        <v>3.444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</v>
      </c>
      <c r="AH29" s="31">
        <v>1.5751612903225807</v>
      </c>
    </row>
    <row r="30" spans="1:34" x14ac:dyDescent="0.3">
      <c r="A30" s="12" t="s">
        <v>218</v>
      </c>
      <c r="B30" s="137">
        <v>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31">
        <v>0</v>
      </c>
      <c r="AH30" s="31">
        <v>0</v>
      </c>
    </row>
    <row r="31" spans="1:34" x14ac:dyDescent="0.3">
      <c r="A31" s="12" t="s">
        <v>370</v>
      </c>
      <c r="B31" s="137">
        <v>1</v>
      </c>
      <c r="C31" s="31">
        <v>18.850000000000001</v>
      </c>
      <c r="D31" s="31">
        <v>14.950999999999999</v>
      </c>
      <c r="E31" s="31">
        <v>20.706</v>
      </c>
      <c r="F31" s="31">
        <v>16.904999999999998</v>
      </c>
      <c r="G31" s="31">
        <v>12.135</v>
      </c>
      <c r="H31" s="31">
        <v>20.397999999999996</v>
      </c>
      <c r="I31" s="31">
        <v>17.515999999999998</v>
      </c>
      <c r="J31" s="31">
        <v>14.339000000000002</v>
      </c>
      <c r="K31" s="31">
        <v>10.614000000000001</v>
      </c>
      <c r="L31" s="31">
        <v>22.875</v>
      </c>
      <c r="M31" s="31">
        <v>9.6460000000000008</v>
      </c>
      <c r="N31" s="31">
        <v>17.513000000000002</v>
      </c>
      <c r="O31" s="31">
        <v>16.399999999999999</v>
      </c>
      <c r="P31" s="31">
        <v>18.350000000000001</v>
      </c>
      <c r="Q31" s="31">
        <v>16.246000000000002</v>
      </c>
      <c r="R31" s="31">
        <v>4.7220000000000004</v>
      </c>
      <c r="S31" s="31">
        <v>10.182</v>
      </c>
      <c r="T31" s="31">
        <v>15.145</v>
      </c>
      <c r="U31" s="31">
        <v>14.196000000000002</v>
      </c>
      <c r="V31" s="31">
        <v>6.415</v>
      </c>
      <c r="W31" s="31">
        <v>14.16</v>
      </c>
      <c r="X31" s="31">
        <v>23.082000000000001</v>
      </c>
      <c r="Y31" s="31">
        <v>14.518000000000001</v>
      </c>
      <c r="Z31" s="31">
        <v>13.166</v>
      </c>
      <c r="AA31" s="31">
        <v>7.069</v>
      </c>
      <c r="AB31" s="31">
        <v>9.6260000000000012</v>
      </c>
      <c r="AC31" s="31">
        <v>9.6649999999999991</v>
      </c>
      <c r="AD31" s="31">
        <v>9.39</v>
      </c>
      <c r="AE31" s="31">
        <v>8.8330000000000002</v>
      </c>
      <c r="AF31" s="31">
        <v>9.9559999999999995</v>
      </c>
      <c r="AG31" s="31">
        <v>6.5019999999999998</v>
      </c>
      <c r="AH31" s="31">
        <v>13.679709677419357</v>
      </c>
    </row>
    <row r="32" spans="1:34" x14ac:dyDescent="0.3">
      <c r="A32" s="12" t="s">
        <v>406</v>
      </c>
      <c r="B32" s="137">
        <v>2</v>
      </c>
      <c r="C32" s="31">
        <v>19.859000000000002</v>
      </c>
      <c r="D32" s="31">
        <v>8.9649999999999999</v>
      </c>
      <c r="E32" s="31">
        <v>0</v>
      </c>
      <c r="F32" s="31">
        <v>0</v>
      </c>
      <c r="G32" s="31">
        <v>14.769</v>
      </c>
      <c r="H32" s="31">
        <v>0</v>
      </c>
      <c r="I32" s="31">
        <v>3.266</v>
      </c>
      <c r="J32" s="31">
        <v>15.188000000000001</v>
      </c>
      <c r="K32" s="31">
        <v>2.7930000000000001</v>
      </c>
      <c r="L32" s="31">
        <v>19.454999999999998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0</v>
      </c>
      <c r="AE32" s="31">
        <v>0</v>
      </c>
      <c r="AF32" s="31">
        <v>0</v>
      </c>
      <c r="AG32" s="31">
        <v>0</v>
      </c>
      <c r="AH32" s="31">
        <v>2.7191935483870968</v>
      </c>
    </row>
    <row r="33" spans="1:34" x14ac:dyDescent="0.3">
      <c r="A33" s="12" t="s">
        <v>435</v>
      </c>
      <c r="B33" s="137">
        <v>1</v>
      </c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>
        <v>6.3880000000000008</v>
      </c>
      <c r="Q33" s="31">
        <v>0</v>
      </c>
      <c r="R33" s="31">
        <v>2.37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31">
        <v>0</v>
      </c>
      <c r="AD33" s="31">
        <v>0</v>
      </c>
      <c r="AE33" s="31">
        <v>0</v>
      </c>
      <c r="AF33" s="31">
        <v>0</v>
      </c>
      <c r="AG33" s="31">
        <v>0</v>
      </c>
      <c r="AH33" s="31">
        <v>0.48655555555555563</v>
      </c>
    </row>
    <row r="34" spans="1:34" x14ac:dyDescent="0.3">
      <c r="A34" s="12" t="s">
        <v>225</v>
      </c>
      <c r="B34" s="137">
        <v>16</v>
      </c>
      <c r="C34" s="31">
        <v>2.5910000000000002</v>
      </c>
      <c r="D34" s="31">
        <v>0</v>
      </c>
      <c r="E34" s="31">
        <v>1.204</v>
      </c>
      <c r="F34" s="31">
        <v>19.154</v>
      </c>
      <c r="G34" s="31">
        <v>6.3049999999999997</v>
      </c>
      <c r="H34" s="31">
        <v>10.760999999999999</v>
      </c>
      <c r="I34" s="31">
        <v>1.9410000000000001</v>
      </c>
      <c r="J34" s="31">
        <v>8.9340000000000011</v>
      </c>
      <c r="K34" s="31">
        <v>13.428000000000001</v>
      </c>
      <c r="L34" s="31">
        <v>5.4340000000000002</v>
      </c>
      <c r="M34" s="31">
        <v>4.51</v>
      </c>
      <c r="N34" s="31">
        <v>0</v>
      </c>
      <c r="O34" s="31">
        <v>19.978999999999999</v>
      </c>
      <c r="P34" s="31">
        <v>18.487000000000002</v>
      </c>
      <c r="Q34" s="31">
        <v>15.691000000000001</v>
      </c>
      <c r="R34" s="31">
        <v>9.6259999999999994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1.2669999999999999</v>
      </c>
      <c r="AA34" s="31">
        <v>0</v>
      </c>
      <c r="AB34" s="31">
        <v>1.7799999999999996</v>
      </c>
      <c r="AC34" s="31">
        <v>0.33200000000000002</v>
      </c>
      <c r="AD34" s="31">
        <v>6.0000000000000001E-3</v>
      </c>
      <c r="AE34" s="31">
        <v>0.93899999999999995</v>
      </c>
      <c r="AF34" s="31">
        <v>4.6470000000000002</v>
      </c>
      <c r="AG34" s="31">
        <v>1.111</v>
      </c>
      <c r="AH34" s="31">
        <v>4.7782903225806441</v>
      </c>
    </row>
    <row r="35" spans="1:34" x14ac:dyDescent="0.3">
      <c r="A35" s="12" t="s">
        <v>248</v>
      </c>
      <c r="B35" s="137">
        <v>1</v>
      </c>
      <c r="C35" s="31">
        <v>3.3050000000000002</v>
      </c>
      <c r="D35" s="31">
        <v>0</v>
      </c>
      <c r="E35" s="31">
        <v>0</v>
      </c>
      <c r="F35" s="31">
        <v>0</v>
      </c>
      <c r="G35" s="31">
        <v>0</v>
      </c>
      <c r="H35" s="31">
        <v>0</v>
      </c>
      <c r="I35" s="31">
        <v>6.7460000000000004</v>
      </c>
      <c r="J35" s="31">
        <v>0</v>
      </c>
      <c r="K35" s="31">
        <v>0</v>
      </c>
      <c r="L35" s="31">
        <v>2.524</v>
      </c>
      <c r="M35" s="31">
        <v>0</v>
      </c>
      <c r="N35" s="31">
        <v>0</v>
      </c>
      <c r="O35" s="31">
        <v>0</v>
      </c>
      <c r="P35" s="31">
        <v>0</v>
      </c>
      <c r="Q35" s="31">
        <v>3.3439999999999999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3.9780000000000002</v>
      </c>
      <c r="Y35" s="31">
        <v>0</v>
      </c>
      <c r="Z35" s="31">
        <v>0</v>
      </c>
      <c r="AA35" s="31">
        <v>0</v>
      </c>
      <c r="AB35" s="31">
        <v>0</v>
      </c>
      <c r="AC35" s="31">
        <v>0</v>
      </c>
      <c r="AD35" s="31">
        <v>0</v>
      </c>
      <c r="AE35" s="31">
        <v>0</v>
      </c>
      <c r="AF35" s="31">
        <v>3.3559999999999999</v>
      </c>
      <c r="AG35" s="31">
        <v>0</v>
      </c>
      <c r="AH35" s="31">
        <v>0.75009677419354837</v>
      </c>
    </row>
    <row r="36" spans="1:34" x14ac:dyDescent="0.3">
      <c r="A36" s="12" t="s">
        <v>220</v>
      </c>
      <c r="B36" s="137">
        <v>19</v>
      </c>
      <c r="C36" s="31">
        <v>4.1669999999999998</v>
      </c>
      <c r="D36" s="31">
        <v>5.4580000000000002</v>
      </c>
      <c r="E36" s="31">
        <v>5.3109999999999999</v>
      </c>
      <c r="F36" s="31">
        <v>3.9020000000000001</v>
      </c>
      <c r="G36" s="31">
        <v>3.9640000000000004</v>
      </c>
      <c r="H36" s="31">
        <v>3.8639999999999999</v>
      </c>
      <c r="I36" s="31">
        <v>5.1419999999999995</v>
      </c>
      <c r="J36" s="31">
        <v>4.8889999999999993</v>
      </c>
      <c r="K36" s="31">
        <v>3.9570000000000003</v>
      </c>
      <c r="L36" s="31">
        <v>5.5670000000000002</v>
      </c>
      <c r="M36" s="31">
        <v>3.5179999999999998</v>
      </c>
      <c r="N36" s="31">
        <v>5.5519999999999996</v>
      </c>
      <c r="O36" s="31">
        <v>4.3419999999999996</v>
      </c>
      <c r="P36" s="31">
        <v>5.5180000000000007</v>
      </c>
      <c r="Q36" s="31">
        <v>4.5540000000000003</v>
      </c>
      <c r="R36" s="31">
        <v>5.8469999999999995</v>
      </c>
      <c r="S36" s="31">
        <v>5.476</v>
      </c>
      <c r="T36" s="31">
        <v>5.8679999999999994</v>
      </c>
      <c r="U36" s="31">
        <v>4.6630000000000003</v>
      </c>
      <c r="V36" s="31">
        <v>4.5</v>
      </c>
      <c r="W36" s="31">
        <v>2.262</v>
      </c>
      <c r="X36" s="31">
        <v>5.2430000000000003</v>
      </c>
      <c r="Y36" s="31">
        <v>5.3250000000000002</v>
      </c>
      <c r="Z36" s="31">
        <v>6.827</v>
      </c>
      <c r="AA36" s="31">
        <v>4.2439999999999998</v>
      </c>
      <c r="AB36" s="31">
        <v>5.6720000000000006</v>
      </c>
      <c r="AC36" s="31">
        <v>5.0310000000000006</v>
      </c>
      <c r="AD36" s="31">
        <v>4.4640000000000004</v>
      </c>
      <c r="AE36" s="31">
        <v>3.7290000000000001</v>
      </c>
      <c r="AF36" s="31">
        <v>5.4239999999999995</v>
      </c>
      <c r="AG36" s="31">
        <v>5.3719999999999999</v>
      </c>
      <c r="AH36" s="31">
        <v>4.8274838709677415</v>
      </c>
    </row>
    <row r="37" spans="1:34" x14ac:dyDescent="0.3">
      <c r="A37" s="12" t="s">
        <v>389</v>
      </c>
      <c r="B37" s="137">
        <v>10</v>
      </c>
      <c r="C37" s="31">
        <v>92.644000000000005</v>
      </c>
      <c r="D37" s="31">
        <v>88.615999999999985</v>
      </c>
      <c r="E37" s="31">
        <v>76.156999999999996</v>
      </c>
      <c r="F37" s="31">
        <v>98.017999999999986</v>
      </c>
      <c r="G37" s="31">
        <v>98.942999999999998</v>
      </c>
      <c r="H37" s="31">
        <v>90.25800000000001</v>
      </c>
      <c r="I37" s="31">
        <v>123.88399999999997</v>
      </c>
      <c r="J37" s="31">
        <v>95.145999999999987</v>
      </c>
      <c r="K37" s="31">
        <v>120.666</v>
      </c>
      <c r="L37" s="31">
        <v>100.13799999999999</v>
      </c>
      <c r="M37" s="31">
        <v>74.830000000000027</v>
      </c>
      <c r="N37" s="31">
        <v>46.927000000000007</v>
      </c>
      <c r="O37" s="31">
        <v>73.646999999999991</v>
      </c>
      <c r="P37" s="31">
        <v>63.213999999999999</v>
      </c>
      <c r="Q37" s="31">
        <v>55.381</v>
      </c>
      <c r="R37" s="31">
        <v>60.143999999999998</v>
      </c>
      <c r="S37" s="31">
        <v>54.336000000000006</v>
      </c>
      <c r="T37" s="31">
        <v>67.00500000000001</v>
      </c>
      <c r="U37" s="31">
        <v>62.393999999999998</v>
      </c>
      <c r="V37" s="31">
        <v>62.505999999999993</v>
      </c>
      <c r="W37" s="31">
        <v>7.8979999999999997</v>
      </c>
      <c r="X37" s="31">
        <v>84.88600000000001</v>
      </c>
      <c r="Y37" s="31">
        <v>65.525999999999996</v>
      </c>
      <c r="Z37" s="31">
        <v>67.683000000000007</v>
      </c>
      <c r="AA37" s="31">
        <v>61.152999999999999</v>
      </c>
      <c r="AB37" s="31">
        <v>57.439999999999991</v>
      </c>
      <c r="AC37" s="31">
        <v>61.455999999999996</v>
      </c>
      <c r="AD37" s="31">
        <v>64.945999999999998</v>
      </c>
      <c r="AE37" s="31">
        <v>56.560999999999993</v>
      </c>
      <c r="AF37" s="31">
        <v>72.274999999999991</v>
      </c>
      <c r="AG37" s="31">
        <v>50.507999999999996</v>
      </c>
      <c r="AH37" s="31">
        <v>72.747935483870975</v>
      </c>
    </row>
    <row r="38" spans="1:34" x14ac:dyDescent="0.3">
      <c r="A38" s="12" t="s">
        <v>390</v>
      </c>
      <c r="B38" s="137">
        <v>3</v>
      </c>
      <c r="C38" s="31">
        <v>0</v>
      </c>
      <c r="D38" s="31">
        <v>0</v>
      </c>
      <c r="E38" s="31">
        <v>0</v>
      </c>
      <c r="F38" s="31">
        <v>0</v>
      </c>
      <c r="G38" s="31">
        <v>0</v>
      </c>
      <c r="H38" s="31">
        <v>1.0609999999999999</v>
      </c>
      <c r="I38" s="31">
        <v>3.2050000000000001</v>
      </c>
      <c r="J38" s="31">
        <v>0</v>
      </c>
      <c r="K38" s="31">
        <v>0</v>
      </c>
      <c r="L38" s="31">
        <v>4.4710000000000001</v>
      </c>
      <c r="M38" s="31">
        <v>0</v>
      </c>
      <c r="N38" s="31">
        <v>5.15</v>
      </c>
      <c r="O38" s="31">
        <v>0.05</v>
      </c>
      <c r="P38" s="31">
        <v>2.3380000000000001</v>
      </c>
      <c r="Q38" s="31">
        <v>0</v>
      </c>
      <c r="R38" s="31">
        <v>3.9369999999999998</v>
      </c>
      <c r="S38" s="31">
        <v>2.5300000000000002</v>
      </c>
      <c r="T38" s="31">
        <v>0</v>
      </c>
      <c r="U38" s="31">
        <v>7.0519999999999996</v>
      </c>
      <c r="V38" s="31">
        <v>5.8490000000000002</v>
      </c>
      <c r="W38" s="31">
        <v>0</v>
      </c>
      <c r="X38" s="31">
        <v>9.0749999999999993</v>
      </c>
      <c r="Y38" s="31">
        <v>9.1890000000000001</v>
      </c>
      <c r="Z38" s="31">
        <v>11.334</v>
      </c>
      <c r="AA38" s="31">
        <v>6.9640000000000004</v>
      </c>
      <c r="AB38" s="31">
        <v>1E-3</v>
      </c>
      <c r="AC38" s="31">
        <v>2.1189999999999998</v>
      </c>
      <c r="AD38" s="31">
        <v>7.7210000000000001</v>
      </c>
      <c r="AE38" s="31">
        <v>0</v>
      </c>
      <c r="AF38" s="31">
        <v>7.2329999999999997</v>
      </c>
      <c r="AG38" s="31">
        <v>0</v>
      </c>
      <c r="AH38" s="31">
        <v>2.8799677419354843</v>
      </c>
    </row>
    <row r="39" spans="1:34" x14ac:dyDescent="0.3">
      <c r="A39" s="12" t="s">
        <v>205</v>
      </c>
      <c r="B39" s="137">
        <v>3</v>
      </c>
      <c r="C39" s="31">
        <v>75.11</v>
      </c>
      <c r="D39" s="31">
        <v>88.111999999999995</v>
      </c>
      <c r="E39" s="31">
        <v>88.433000000000007</v>
      </c>
      <c r="F39" s="31">
        <v>77.337999999999994</v>
      </c>
      <c r="G39" s="31">
        <v>81.540000000000006</v>
      </c>
      <c r="H39" s="31">
        <v>87.846000000000004</v>
      </c>
      <c r="I39" s="31">
        <v>110.587</v>
      </c>
      <c r="J39" s="31">
        <v>88.666999999999987</v>
      </c>
      <c r="K39" s="31">
        <v>104.627</v>
      </c>
      <c r="L39" s="31">
        <v>106.52299999999998</v>
      </c>
      <c r="M39" s="31">
        <v>94.74199999999999</v>
      </c>
      <c r="N39" s="31">
        <v>74.36399999999999</v>
      </c>
      <c r="O39" s="31">
        <v>104.89800000000001</v>
      </c>
      <c r="P39" s="31">
        <v>73.278999999999996</v>
      </c>
      <c r="Q39" s="31">
        <v>82.681999999999988</v>
      </c>
      <c r="R39" s="31">
        <v>76.323999999999998</v>
      </c>
      <c r="S39" s="31">
        <v>109.82899999999999</v>
      </c>
      <c r="T39" s="31">
        <v>92.63300000000001</v>
      </c>
      <c r="U39" s="31">
        <v>72.537999999999997</v>
      </c>
      <c r="V39" s="31">
        <v>93.805000000000007</v>
      </c>
      <c r="W39" s="31">
        <v>88.741</v>
      </c>
      <c r="X39" s="31">
        <v>58.258999999999993</v>
      </c>
      <c r="Y39" s="31">
        <v>92.932999999999993</v>
      </c>
      <c r="Z39" s="31">
        <v>84.801999999999992</v>
      </c>
      <c r="AA39" s="31">
        <v>102.55300000000001</v>
      </c>
      <c r="AB39" s="31">
        <v>66.600999999999999</v>
      </c>
      <c r="AC39" s="31">
        <v>98.73</v>
      </c>
      <c r="AD39" s="31">
        <v>113.51599999999999</v>
      </c>
      <c r="AE39" s="31">
        <v>81.545999999999992</v>
      </c>
      <c r="AF39" s="31">
        <v>69.441000000000003</v>
      </c>
      <c r="AG39" s="31">
        <v>99.411000000000001</v>
      </c>
      <c r="AH39" s="31">
        <v>88.400322580645152</v>
      </c>
    </row>
    <row r="40" spans="1:34" x14ac:dyDescent="0.3">
      <c r="A40" s="12" t="s">
        <v>434</v>
      </c>
      <c r="B40" s="137">
        <v>1</v>
      </c>
      <c r="C40" s="31"/>
      <c r="D40" s="31"/>
      <c r="E40" s="31"/>
      <c r="F40" s="31"/>
      <c r="G40" s="31"/>
      <c r="H40" s="31"/>
      <c r="I40" s="31"/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2.7170000000000001</v>
      </c>
      <c r="X40" s="31">
        <v>0</v>
      </c>
      <c r="Y40" s="31">
        <v>0</v>
      </c>
      <c r="Z40" s="31">
        <v>4.468</v>
      </c>
      <c r="AA40" s="31">
        <v>0</v>
      </c>
      <c r="AB40" s="31">
        <v>8.5410000000000004</v>
      </c>
      <c r="AC40" s="31">
        <v>0</v>
      </c>
      <c r="AD40" s="31">
        <v>6.306</v>
      </c>
      <c r="AE40" s="31">
        <v>0</v>
      </c>
      <c r="AF40" s="31">
        <v>2.556</v>
      </c>
      <c r="AG40" s="31">
        <v>0</v>
      </c>
      <c r="AH40" s="31">
        <v>1.0245</v>
      </c>
    </row>
    <row r="41" spans="1:34" x14ac:dyDescent="0.3">
      <c r="A41" s="12" t="s">
        <v>213</v>
      </c>
      <c r="B41" s="137">
        <v>4</v>
      </c>
      <c r="C41" s="31">
        <v>80.861999999999995</v>
      </c>
      <c r="D41" s="31">
        <v>97.768000000000015</v>
      </c>
      <c r="E41" s="31">
        <v>84.93</v>
      </c>
      <c r="F41" s="31">
        <v>96.205000000000013</v>
      </c>
      <c r="G41" s="31">
        <v>76.11999999999999</v>
      </c>
      <c r="H41" s="31">
        <v>97.555000000000007</v>
      </c>
      <c r="I41" s="31">
        <v>91.1</v>
      </c>
      <c r="J41" s="31">
        <v>77.814000000000007</v>
      </c>
      <c r="K41" s="31">
        <v>87.923999999999992</v>
      </c>
      <c r="L41" s="31">
        <v>97.759000000000029</v>
      </c>
      <c r="M41" s="31">
        <v>100.574</v>
      </c>
      <c r="N41" s="31">
        <v>83.115000000000009</v>
      </c>
      <c r="O41" s="31">
        <v>79.290999999999997</v>
      </c>
      <c r="P41" s="31">
        <v>79.955000000000013</v>
      </c>
      <c r="Q41" s="31">
        <v>73.610000000000014</v>
      </c>
      <c r="R41" s="31">
        <v>94.870000000000019</v>
      </c>
      <c r="S41" s="31">
        <v>85.130999999999986</v>
      </c>
      <c r="T41" s="31">
        <v>74.094999999999999</v>
      </c>
      <c r="U41" s="31">
        <v>79.898000000000025</v>
      </c>
      <c r="V41" s="31">
        <v>94.391999999999996</v>
      </c>
      <c r="W41" s="31">
        <v>51.768999999999998</v>
      </c>
      <c r="X41" s="31">
        <v>72.500999999999991</v>
      </c>
      <c r="Y41" s="31">
        <v>76.727000000000004</v>
      </c>
      <c r="Z41" s="31">
        <v>71.923000000000016</v>
      </c>
      <c r="AA41" s="31">
        <v>96.587999999999994</v>
      </c>
      <c r="AB41" s="31">
        <v>78.176999999999992</v>
      </c>
      <c r="AC41" s="31">
        <v>84.186000000000007</v>
      </c>
      <c r="AD41" s="31">
        <v>93.775999999999982</v>
      </c>
      <c r="AE41" s="31">
        <v>79.016000000000005</v>
      </c>
      <c r="AF41" s="31">
        <v>96.506999999999991</v>
      </c>
      <c r="AG41" s="31">
        <v>82.153999999999996</v>
      </c>
      <c r="AH41" s="31">
        <v>84.396516129032264</v>
      </c>
    </row>
    <row r="42" spans="1:34" x14ac:dyDescent="0.3">
      <c r="A42" s="12" t="s">
        <v>298</v>
      </c>
      <c r="B42" s="137">
        <v>4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</row>
    <row r="43" spans="1:34" x14ac:dyDescent="0.3">
      <c r="A43" s="12" t="s">
        <v>202</v>
      </c>
      <c r="B43" s="137">
        <v>8</v>
      </c>
      <c r="C43" s="31">
        <v>127.94799999999999</v>
      </c>
      <c r="D43" s="31">
        <v>87.940999999999988</v>
      </c>
      <c r="E43" s="31">
        <v>96.367000000000004</v>
      </c>
      <c r="F43" s="31">
        <v>129.72</v>
      </c>
      <c r="G43" s="31">
        <v>131.67000000000002</v>
      </c>
      <c r="H43" s="31">
        <v>126.21599999999999</v>
      </c>
      <c r="I43" s="31">
        <v>118.96000000000001</v>
      </c>
      <c r="J43" s="31">
        <v>144.56100000000001</v>
      </c>
      <c r="K43" s="31">
        <v>126.239</v>
      </c>
      <c r="L43" s="31">
        <v>115.74099999999999</v>
      </c>
      <c r="M43" s="31">
        <v>137.38299999999998</v>
      </c>
      <c r="N43" s="31">
        <v>79.131</v>
      </c>
      <c r="O43" s="31">
        <v>91.984000000000009</v>
      </c>
      <c r="P43" s="31">
        <v>89.492000000000004</v>
      </c>
      <c r="Q43" s="31">
        <v>113.29100000000001</v>
      </c>
      <c r="R43" s="31">
        <v>91.26</v>
      </c>
      <c r="S43" s="31">
        <v>102.70899999999999</v>
      </c>
      <c r="T43" s="31">
        <v>79.355999999999995</v>
      </c>
      <c r="U43" s="31">
        <v>147.20699999999999</v>
      </c>
      <c r="V43" s="31">
        <v>99.491</v>
      </c>
      <c r="W43" s="31">
        <v>89.94</v>
      </c>
      <c r="X43" s="31">
        <v>99.469000000000008</v>
      </c>
      <c r="Y43" s="31">
        <v>61.13</v>
      </c>
      <c r="Z43" s="31">
        <v>80.194000000000003</v>
      </c>
      <c r="AA43" s="31">
        <v>102.547</v>
      </c>
      <c r="AB43" s="31">
        <v>44.628999999999998</v>
      </c>
      <c r="AC43" s="31">
        <v>107.04599999999999</v>
      </c>
      <c r="AD43" s="31">
        <v>106.739</v>
      </c>
      <c r="AE43" s="31">
        <v>80.694000000000003</v>
      </c>
      <c r="AF43" s="31">
        <v>58.381999999999998</v>
      </c>
      <c r="AG43" s="31">
        <v>66.331999999999994</v>
      </c>
      <c r="AH43" s="31">
        <v>101.08932258064516</v>
      </c>
    </row>
    <row r="44" spans="1:34" x14ac:dyDescent="0.3">
      <c r="A44" s="12" t="s">
        <v>356</v>
      </c>
      <c r="B44" s="137">
        <v>20</v>
      </c>
      <c r="C44" s="31">
        <v>294.55700000000002</v>
      </c>
      <c r="D44" s="31">
        <v>325.64700000000005</v>
      </c>
      <c r="E44" s="31">
        <v>302.72300000000001</v>
      </c>
      <c r="F44" s="31">
        <v>358.64000000000004</v>
      </c>
      <c r="G44" s="31">
        <v>295.07599999999996</v>
      </c>
      <c r="H44" s="31">
        <v>273.17599999999999</v>
      </c>
      <c r="I44" s="31">
        <v>366.24899999999991</v>
      </c>
      <c r="J44" s="31">
        <v>281.0080000000001</v>
      </c>
      <c r="K44" s="31">
        <v>355.16899999999993</v>
      </c>
      <c r="L44" s="31">
        <v>333.15100000000001</v>
      </c>
      <c r="M44" s="31">
        <v>358.38900000000001</v>
      </c>
      <c r="N44" s="31">
        <v>234.70800000000006</v>
      </c>
      <c r="O44" s="31">
        <v>284.76799999999992</v>
      </c>
      <c r="P44" s="31">
        <v>300.22399999999999</v>
      </c>
      <c r="Q44" s="31">
        <v>336.53600000000006</v>
      </c>
      <c r="R44" s="31">
        <v>329.87400000000002</v>
      </c>
      <c r="S44" s="31">
        <v>319.17900000000009</v>
      </c>
      <c r="T44" s="31">
        <v>332.98599999999999</v>
      </c>
      <c r="U44" s="31">
        <v>326.15800000000007</v>
      </c>
      <c r="V44" s="31">
        <v>236.65300000000002</v>
      </c>
      <c r="W44" s="31">
        <v>192.90799999999996</v>
      </c>
      <c r="X44" s="31">
        <v>160.64599999999999</v>
      </c>
      <c r="Y44" s="31">
        <v>134.696</v>
      </c>
      <c r="Z44" s="31">
        <v>240.13100000000006</v>
      </c>
      <c r="AA44" s="31">
        <v>359.84399999999994</v>
      </c>
      <c r="AB44" s="31">
        <v>325.5379999999999</v>
      </c>
      <c r="AC44" s="31">
        <v>353.12599999999998</v>
      </c>
      <c r="AD44" s="31">
        <v>278.46100000000007</v>
      </c>
      <c r="AE44" s="31">
        <v>315.22100000000006</v>
      </c>
      <c r="AF44" s="31">
        <v>291.94200000000012</v>
      </c>
      <c r="AG44" s="31">
        <v>347.20800000000014</v>
      </c>
      <c r="AH44" s="31">
        <v>298.21264516129042</v>
      </c>
    </row>
    <row r="45" spans="1:34" x14ac:dyDescent="0.3">
      <c r="A45" s="12" t="s">
        <v>433</v>
      </c>
      <c r="B45" s="137">
        <v>1</v>
      </c>
      <c r="C45" s="31"/>
      <c r="D45" s="31"/>
      <c r="E45" s="31"/>
      <c r="F45" s="31"/>
      <c r="G45" s="31"/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1.492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31">
        <v>0</v>
      </c>
      <c r="AD45" s="31">
        <v>0</v>
      </c>
      <c r="AE45" s="31">
        <v>0</v>
      </c>
      <c r="AF45" s="31">
        <v>0</v>
      </c>
      <c r="AG45" s="31">
        <v>0</v>
      </c>
      <c r="AH45" s="31">
        <v>5.7384615384615381E-2</v>
      </c>
    </row>
    <row r="46" spans="1:34" x14ac:dyDescent="0.3">
      <c r="A46" s="12" t="s">
        <v>229</v>
      </c>
      <c r="B46" s="137">
        <v>2</v>
      </c>
      <c r="C46" s="31">
        <v>0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5.19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4.1399999999999997</v>
      </c>
      <c r="Y46" s="31">
        <v>0</v>
      </c>
      <c r="Z46" s="31">
        <v>0</v>
      </c>
      <c r="AA46" s="31">
        <v>0</v>
      </c>
      <c r="AB46" s="31">
        <v>0</v>
      </c>
      <c r="AC46" s="31">
        <v>2.37</v>
      </c>
      <c r="AD46" s="31">
        <v>0</v>
      </c>
      <c r="AE46" s="31">
        <v>0</v>
      </c>
      <c r="AF46" s="31">
        <v>0</v>
      </c>
      <c r="AG46" s="31">
        <v>0</v>
      </c>
      <c r="AH46" s="31">
        <v>0.37741935483870964</v>
      </c>
    </row>
    <row r="47" spans="1:34" x14ac:dyDescent="0.3">
      <c r="A47" s="12" t="s">
        <v>233</v>
      </c>
      <c r="B47" s="137">
        <v>4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  <c r="AH47" s="31">
        <v>0</v>
      </c>
    </row>
    <row r="48" spans="1:34" x14ac:dyDescent="0.3">
      <c r="A48" s="12" t="s">
        <v>224</v>
      </c>
      <c r="B48" s="137">
        <v>5</v>
      </c>
      <c r="C48" s="31">
        <v>29.698999999999998</v>
      </c>
      <c r="D48" s="31">
        <v>12.620999999999997</v>
      </c>
      <c r="E48" s="31">
        <v>7.7030000000000003</v>
      </c>
      <c r="F48" s="31">
        <v>44.436999999999998</v>
      </c>
      <c r="G48" s="31">
        <v>33.47</v>
      </c>
      <c r="H48" s="31">
        <v>31.998999999999999</v>
      </c>
      <c r="I48" s="31">
        <v>55.501000000000005</v>
      </c>
      <c r="J48" s="31">
        <v>27.053000000000001</v>
      </c>
      <c r="K48" s="31">
        <v>57.093000000000004</v>
      </c>
      <c r="L48" s="31">
        <v>41.988</v>
      </c>
      <c r="M48" s="31">
        <v>28.55</v>
      </c>
      <c r="N48" s="31">
        <v>39.426000000000002</v>
      </c>
      <c r="O48" s="31">
        <v>42.141000000000005</v>
      </c>
      <c r="P48" s="31">
        <v>47.022000000000006</v>
      </c>
      <c r="Q48" s="31">
        <v>16.859000000000002</v>
      </c>
      <c r="R48" s="31">
        <v>22.95</v>
      </c>
      <c r="S48" s="31">
        <v>52.714999999999996</v>
      </c>
      <c r="T48" s="31">
        <v>37.463999999999999</v>
      </c>
      <c r="U48" s="31">
        <v>39.919999999999995</v>
      </c>
      <c r="V48" s="31">
        <v>30.541999999999998</v>
      </c>
      <c r="W48" s="31">
        <v>17.391000000000002</v>
      </c>
      <c r="X48" s="31">
        <v>34.665999999999997</v>
      </c>
      <c r="Y48" s="31">
        <v>43.904000000000003</v>
      </c>
      <c r="Z48" s="31">
        <v>26.344000000000001</v>
      </c>
      <c r="AA48" s="31">
        <v>43.869</v>
      </c>
      <c r="AB48" s="31">
        <v>33.4</v>
      </c>
      <c r="AC48" s="31">
        <v>30.52</v>
      </c>
      <c r="AD48" s="31">
        <v>29.103000000000002</v>
      </c>
      <c r="AE48" s="31">
        <v>36.417999999999999</v>
      </c>
      <c r="AF48" s="31">
        <v>36.775999999999996</v>
      </c>
      <c r="AG48" s="31">
        <v>32.410000000000004</v>
      </c>
      <c r="AH48" s="31">
        <v>34.321096774193556</v>
      </c>
    </row>
    <row r="49" spans="1:34" x14ac:dyDescent="0.3">
      <c r="A49" s="12" t="s">
        <v>230</v>
      </c>
      <c r="B49" s="137">
        <v>2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0</v>
      </c>
    </row>
    <row r="50" spans="1:34" x14ac:dyDescent="0.3">
      <c r="A50" s="12" t="s">
        <v>231</v>
      </c>
      <c r="B50" s="137">
        <v>7</v>
      </c>
      <c r="C50" s="31">
        <v>60.611999999999995</v>
      </c>
      <c r="D50" s="31">
        <v>74.741</v>
      </c>
      <c r="E50" s="31">
        <v>0</v>
      </c>
      <c r="F50" s="31">
        <v>0</v>
      </c>
      <c r="G50" s="31">
        <v>58.492000000000004</v>
      </c>
      <c r="H50" s="31">
        <v>68.081000000000003</v>
      </c>
      <c r="I50" s="31">
        <v>70.99499999999999</v>
      </c>
      <c r="J50" s="31">
        <v>54.987000000000002</v>
      </c>
      <c r="K50" s="31">
        <v>50.97</v>
      </c>
      <c r="L50" s="31">
        <v>0</v>
      </c>
      <c r="M50" s="31">
        <v>15.349</v>
      </c>
      <c r="N50" s="31">
        <v>0</v>
      </c>
      <c r="O50" s="31">
        <v>46.370999999999995</v>
      </c>
      <c r="P50" s="31">
        <v>55.181000000000004</v>
      </c>
      <c r="Q50" s="31">
        <v>5.2149999999999999</v>
      </c>
      <c r="R50" s="31">
        <v>24.422000000000001</v>
      </c>
      <c r="S50" s="31">
        <v>0</v>
      </c>
      <c r="T50" s="31">
        <v>0</v>
      </c>
      <c r="U50" s="31">
        <v>33.982999999999997</v>
      </c>
      <c r="V50" s="31">
        <v>45.573000000000008</v>
      </c>
      <c r="W50" s="31">
        <v>17.82</v>
      </c>
      <c r="X50" s="31">
        <v>35.464999999999996</v>
      </c>
      <c r="Y50" s="31">
        <v>34.039000000000001</v>
      </c>
      <c r="Z50" s="31">
        <v>14.917999999999999</v>
      </c>
      <c r="AA50" s="31">
        <v>5.972999999999999</v>
      </c>
      <c r="AB50" s="31">
        <v>23.524000000000001</v>
      </c>
      <c r="AC50" s="31">
        <v>64.819999999999993</v>
      </c>
      <c r="AD50" s="31">
        <v>59.730999999999995</v>
      </c>
      <c r="AE50" s="31">
        <v>53.934000000000005</v>
      </c>
      <c r="AF50" s="31">
        <v>72.465999999999994</v>
      </c>
      <c r="AG50" s="31">
        <v>23.393999999999998</v>
      </c>
      <c r="AH50" s="31">
        <v>34.550193548387092</v>
      </c>
    </row>
    <row r="51" spans="1:34" x14ac:dyDescent="0.3">
      <c r="A51" s="12" t="s">
        <v>207</v>
      </c>
      <c r="B51" s="137">
        <v>4</v>
      </c>
      <c r="C51" s="31">
        <v>56.09</v>
      </c>
      <c r="D51" s="31">
        <v>66.02</v>
      </c>
      <c r="E51" s="31">
        <v>68.87</v>
      </c>
      <c r="F51" s="31">
        <v>74.89</v>
      </c>
      <c r="G51" s="31">
        <v>32.06</v>
      </c>
      <c r="H51" s="31">
        <v>28.874000000000002</v>
      </c>
      <c r="I51" s="31">
        <v>10.27</v>
      </c>
      <c r="J51" s="31">
        <v>17.95</v>
      </c>
      <c r="K51" s="31">
        <v>0</v>
      </c>
      <c r="L51" s="31">
        <v>5.77</v>
      </c>
      <c r="M51" s="31">
        <v>4.3600000000000003</v>
      </c>
      <c r="N51" s="31">
        <v>0</v>
      </c>
      <c r="O51" s="31">
        <v>0</v>
      </c>
      <c r="P51" s="31">
        <v>28.740000000000002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5.0600000000000005</v>
      </c>
      <c r="Z51" s="31">
        <v>0</v>
      </c>
      <c r="AA51" s="31">
        <v>0</v>
      </c>
      <c r="AB51" s="31">
        <v>0</v>
      </c>
      <c r="AC51" s="31">
        <v>0</v>
      </c>
      <c r="AD51" s="31">
        <v>8.5570000000000004</v>
      </c>
      <c r="AE51" s="31">
        <v>17.172000000000001</v>
      </c>
      <c r="AF51" s="31">
        <v>0</v>
      </c>
      <c r="AG51" s="31">
        <v>18.810000000000002</v>
      </c>
      <c r="AH51" s="31">
        <v>14.306225806451613</v>
      </c>
    </row>
    <row r="52" spans="1:34" x14ac:dyDescent="0.3">
      <c r="A52" s="12" t="s">
        <v>214</v>
      </c>
      <c r="B52" s="137">
        <v>9</v>
      </c>
      <c r="C52" s="31">
        <v>161.65200000000002</v>
      </c>
      <c r="D52" s="31">
        <v>188.60900000000004</v>
      </c>
      <c r="E52" s="31">
        <v>197.09800000000001</v>
      </c>
      <c r="F52" s="31">
        <v>224.55199999999994</v>
      </c>
      <c r="G52" s="31">
        <v>183.71800000000005</v>
      </c>
      <c r="H52" s="31">
        <v>211.523</v>
      </c>
      <c r="I52" s="31">
        <v>182.637</v>
      </c>
      <c r="J52" s="31">
        <v>187.62199999999999</v>
      </c>
      <c r="K52" s="31">
        <v>185.58599999999996</v>
      </c>
      <c r="L52" s="31">
        <v>204.45900000000003</v>
      </c>
      <c r="M52" s="31">
        <v>213.50399999999996</v>
      </c>
      <c r="N52" s="31">
        <v>174.107</v>
      </c>
      <c r="O52" s="31">
        <v>117.84900000000009</v>
      </c>
      <c r="P52" s="31">
        <v>179.55600000000004</v>
      </c>
      <c r="Q52" s="31">
        <v>166.19800000000006</v>
      </c>
      <c r="R52" s="31">
        <v>128.44500000000002</v>
      </c>
      <c r="S52" s="31">
        <v>151.61799999999999</v>
      </c>
      <c r="T52" s="31">
        <v>163.76700000000002</v>
      </c>
      <c r="U52" s="31">
        <v>143.44500000000002</v>
      </c>
      <c r="V52" s="31">
        <v>129.30999999999997</v>
      </c>
      <c r="W52" s="31">
        <v>111.99499999999999</v>
      </c>
      <c r="X52" s="31">
        <v>134.494</v>
      </c>
      <c r="Y52" s="31">
        <v>193.41899999999998</v>
      </c>
      <c r="Z52" s="31">
        <v>140.42500000000001</v>
      </c>
      <c r="AA52" s="31">
        <v>191.52200000000002</v>
      </c>
      <c r="AB52" s="31">
        <v>168.40199999999999</v>
      </c>
      <c r="AC52" s="31">
        <v>155.90600000000001</v>
      </c>
      <c r="AD52" s="31">
        <v>155.77300000000002</v>
      </c>
      <c r="AE52" s="31">
        <v>135.339</v>
      </c>
      <c r="AF52" s="31">
        <v>114.717</v>
      </c>
      <c r="AG52" s="31">
        <v>182.81100000000001</v>
      </c>
      <c r="AH52" s="31">
        <v>167.09864516129034</v>
      </c>
    </row>
    <row r="53" spans="1:34" x14ac:dyDescent="0.3">
      <c r="A53" s="12" t="s">
        <v>431</v>
      </c>
      <c r="B53" s="137">
        <v>2</v>
      </c>
      <c r="C53" s="31"/>
      <c r="D53" s="31"/>
      <c r="E53" s="31">
        <v>0</v>
      </c>
      <c r="F53" s="31">
        <v>0</v>
      </c>
      <c r="G53" s="31">
        <v>10.528</v>
      </c>
      <c r="H53" s="31">
        <v>6.6609999999999996</v>
      </c>
      <c r="I53" s="31">
        <v>2.5139999999999998</v>
      </c>
      <c r="J53" s="31">
        <v>0</v>
      </c>
      <c r="K53" s="31">
        <v>16.521999999999998</v>
      </c>
      <c r="L53" s="31">
        <v>0</v>
      </c>
      <c r="M53" s="31">
        <v>0</v>
      </c>
      <c r="N53" s="31">
        <v>15.512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22.594999999999999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28.760999999999999</v>
      </c>
      <c r="AE53" s="31">
        <v>0</v>
      </c>
      <c r="AF53" s="31">
        <v>0</v>
      </c>
      <c r="AG53" s="31">
        <v>0</v>
      </c>
      <c r="AH53" s="31">
        <v>3.5549310344827583</v>
      </c>
    </row>
    <row r="54" spans="1:34" x14ac:dyDescent="0.3">
      <c r="A54" s="12" t="s">
        <v>393</v>
      </c>
      <c r="B54" s="137">
        <v>40</v>
      </c>
      <c r="C54" s="31">
        <v>169.96299999999997</v>
      </c>
      <c r="D54" s="31">
        <v>162.99899999999997</v>
      </c>
      <c r="E54" s="31">
        <v>264.69500000000011</v>
      </c>
      <c r="F54" s="31">
        <v>520.58799999999997</v>
      </c>
      <c r="G54" s="31">
        <v>366.59599999999995</v>
      </c>
      <c r="H54" s="31">
        <v>216.22899999999998</v>
      </c>
      <c r="I54" s="31">
        <v>208.68800000000002</v>
      </c>
      <c r="J54" s="31">
        <v>227.59299999999999</v>
      </c>
      <c r="K54" s="31">
        <v>104.155</v>
      </c>
      <c r="L54" s="31">
        <v>138.71099999999998</v>
      </c>
      <c r="M54" s="31">
        <v>416.49199999999996</v>
      </c>
      <c r="N54" s="31">
        <v>383.53600000000012</v>
      </c>
      <c r="O54" s="31">
        <v>158.34400000000002</v>
      </c>
      <c r="P54" s="31">
        <v>391.57400000000007</v>
      </c>
      <c r="Q54" s="31">
        <v>474.73700000000002</v>
      </c>
      <c r="R54" s="31">
        <v>652.55500000000018</v>
      </c>
      <c r="S54" s="31">
        <v>664.64300000000026</v>
      </c>
      <c r="T54" s="31">
        <v>750.19699999999955</v>
      </c>
      <c r="U54" s="31">
        <v>552.73399999999992</v>
      </c>
      <c r="V54" s="31">
        <v>243.80400000000006</v>
      </c>
      <c r="W54" s="31">
        <v>221.08199999999997</v>
      </c>
      <c r="X54" s="31">
        <v>424.01199999999977</v>
      </c>
      <c r="Y54" s="31">
        <v>322.43399999999991</v>
      </c>
      <c r="Z54" s="31">
        <v>318.97399999999999</v>
      </c>
      <c r="AA54" s="31">
        <v>595.3159999999998</v>
      </c>
      <c r="AB54" s="31">
        <v>558.25399999999991</v>
      </c>
      <c r="AC54" s="31">
        <v>347.36100000000005</v>
      </c>
      <c r="AD54" s="31">
        <v>212.68099999999995</v>
      </c>
      <c r="AE54" s="31">
        <v>250.14</v>
      </c>
      <c r="AF54" s="31">
        <v>195.35599999999999</v>
      </c>
      <c r="AG54" s="31">
        <v>217.47200000000007</v>
      </c>
      <c r="AH54" s="31">
        <v>346.1908064516129</v>
      </c>
    </row>
    <row r="55" spans="1:34" x14ac:dyDescent="0.3">
      <c r="A55" s="12" t="s">
        <v>228</v>
      </c>
      <c r="B55" s="137">
        <v>1</v>
      </c>
      <c r="C55" s="31">
        <v>0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</v>
      </c>
      <c r="AH55" s="31">
        <v>0</v>
      </c>
    </row>
    <row r="56" spans="1:34" x14ac:dyDescent="0.3">
      <c r="A56" s="12" t="s">
        <v>94</v>
      </c>
      <c r="B56" s="137">
        <v>2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</row>
    <row r="57" spans="1:34" x14ac:dyDescent="0.3">
      <c r="A57" s="12" t="s">
        <v>117</v>
      </c>
      <c r="B57" s="137">
        <v>1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0</v>
      </c>
      <c r="AH57" s="31">
        <v>0</v>
      </c>
    </row>
    <row r="58" spans="1:34" x14ac:dyDescent="0.3">
      <c r="A58" s="12" t="s">
        <v>115</v>
      </c>
      <c r="B58" s="137">
        <v>1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  <c r="AH58" s="31">
        <v>0</v>
      </c>
    </row>
    <row r="59" spans="1:34" x14ac:dyDescent="0.3">
      <c r="A59" s="12" t="s">
        <v>223</v>
      </c>
      <c r="B59" s="137">
        <v>2</v>
      </c>
      <c r="C59" s="31">
        <v>0</v>
      </c>
      <c r="D59" s="31">
        <v>0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31">
        <v>0</v>
      </c>
      <c r="AF59" s="31">
        <v>0</v>
      </c>
      <c r="AG59" s="31">
        <v>0</v>
      </c>
      <c r="AH59" s="31">
        <v>0</v>
      </c>
    </row>
    <row r="60" spans="1:34" x14ac:dyDescent="0.3">
      <c r="A60" s="12" t="s">
        <v>122</v>
      </c>
      <c r="B60" s="137">
        <v>3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31">
        <v>0</v>
      </c>
      <c r="AD60" s="31">
        <v>0</v>
      </c>
      <c r="AE60" s="31">
        <v>0</v>
      </c>
      <c r="AF60" s="31">
        <v>0</v>
      </c>
      <c r="AG60" s="31">
        <v>0</v>
      </c>
      <c r="AH60" s="31">
        <v>0</v>
      </c>
    </row>
    <row r="61" spans="1:34" x14ac:dyDescent="0.3">
      <c r="A61" s="12" t="s">
        <v>143</v>
      </c>
      <c r="B61" s="137">
        <v>2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  <c r="AH61" s="31">
        <v>0</v>
      </c>
    </row>
    <row r="62" spans="1:34" x14ac:dyDescent="0.3">
      <c r="A62" s="12" t="s">
        <v>208</v>
      </c>
      <c r="B62" s="137">
        <v>10</v>
      </c>
      <c r="C62" s="31">
        <v>151.66500000000005</v>
      </c>
      <c r="D62" s="31">
        <v>150.24799999999999</v>
      </c>
      <c r="E62" s="31">
        <v>175.29899999999998</v>
      </c>
      <c r="F62" s="31">
        <v>122.02799999999999</v>
      </c>
      <c r="G62" s="31">
        <v>184.392</v>
      </c>
      <c r="H62" s="31">
        <v>135.51500000000001</v>
      </c>
      <c r="I62" s="31">
        <v>160.18799999999999</v>
      </c>
      <c r="J62" s="31">
        <v>163.33699999999999</v>
      </c>
      <c r="K62" s="31">
        <v>173.19399999999999</v>
      </c>
      <c r="L62" s="31">
        <v>149.066</v>
      </c>
      <c r="M62" s="31">
        <v>169.98500000000004</v>
      </c>
      <c r="N62" s="31">
        <v>143.35000000000002</v>
      </c>
      <c r="O62" s="31">
        <v>144.10599999999997</v>
      </c>
      <c r="P62" s="31">
        <v>199.791</v>
      </c>
      <c r="Q62" s="31">
        <v>195.65</v>
      </c>
      <c r="R62" s="31">
        <v>175.43199999999999</v>
      </c>
      <c r="S62" s="31">
        <v>149.63799999999998</v>
      </c>
      <c r="T62" s="31">
        <v>175.51700000000005</v>
      </c>
      <c r="U62" s="31">
        <v>177.53099999999998</v>
      </c>
      <c r="V62" s="31">
        <v>127.43399999999998</v>
      </c>
      <c r="W62" s="31">
        <v>159.43700000000001</v>
      </c>
      <c r="X62" s="31">
        <v>102.023</v>
      </c>
      <c r="Y62" s="31">
        <v>184.893</v>
      </c>
      <c r="Z62" s="31">
        <v>183.64</v>
      </c>
      <c r="AA62" s="31">
        <v>218.15299999999999</v>
      </c>
      <c r="AB62" s="31">
        <v>186.59900000000002</v>
      </c>
      <c r="AC62" s="31">
        <v>221.84800000000001</v>
      </c>
      <c r="AD62" s="31">
        <v>247.29200000000003</v>
      </c>
      <c r="AE62" s="31">
        <v>123.01499999999996</v>
      </c>
      <c r="AF62" s="31">
        <v>169.73600000000002</v>
      </c>
      <c r="AG62" s="31">
        <v>208.982</v>
      </c>
      <c r="AH62" s="31">
        <v>168.67690322580646</v>
      </c>
    </row>
    <row r="63" spans="1:34" x14ac:dyDescent="0.3">
      <c r="A63" s="12" t="s">
        <v>244</v>
      </c>
      <c r="B63" s="137">
        <v>5</v>
      </c>
      <c r="C63" s="31">
        <v>20.798999999999999</v>
      </c>
      <c r="D63" s="31">
        <v>29.273</v>
      </c>
      <c r="E63" s="31">
        <v>10.093</v>
      </c>
      <c r="F63" s="31">
        <v>6.0860000000000003</v>
      </c>
      <c r="G63" s="31">
        <v>27.442</v>
      </c>
      <c r="H63" s="31">
        <v>9.2550000000000008</v>
      </c>
      <c r="I63" s="31">
        <v>24.38</v>
      </c>
      <c r="J63" s="31">
        <v>11.542999999999999</v>
      </c>
      <c r="K63" s="31">
        <v>3.0470000000000002</v>
      </c>
      <c r="L63" s="31">
        <v>14.324</v>
      </c>
      <c r="M63" s="31">
        <v>14.422999999999998</v>
      </c>
      <c r="N63" s="31">
        <v>5.4960000000000004</v>
      </c>
      <c r="O63" s="31">
        <v>19.634</v>
      </c>
      <c r="P63" s="31">
        <v>21.433</v>
      </c>
      <c r="Q63" s="31">
        <v>9.3290000000000006</v>
      </c>
      <c r="R63" s="31">
        <v>18.228000000000002</v>
      </c>
      <c r="S63" s="31">
        <v>17.373000000000001</v>
      </c>
      <c r="T63" s="31">
        <v>13.841000000000001</v>
      </c>
      <c r="U63" s="31">
        <v>20.411999999999999</v>
      </c>
      <c r="V63" s="31">
        <v>22.447000000000003</v>
      </c>
      <c r="W63" s="31">
        <v>12.939</v>
      </c>
      <c r="X63" s="31">
        <v>21.538999999999998</v>
      </c>
      <c r="Y63" s="31">
        <v>13.717000000000001</v>
      </c>
      <c r="Z63" s="31">
        <v>9.8230000000000004</v>
      </c>
      <c r="AA63" s="31">
        <v>6.4619999999999997</v>
      </c>
      <c r="AB63" s="31">
        <v>26.783999999999999</v>
      </c>
      <c r="AC63" s="31">
        <v>16.524000000000001</v>
      </c>
      <c r="AD63" s="31">
        <v>27.594999999999999</v>
      </c>
      <c r="AE63" s="31">
        <v>16.993000000000002</v>
      </c>
      <c r="AF63" s="31">
        <v>34.177999999999997</v>
      </c>
      <c r="AG63" s="31">
        <v>15.206</v>
      </c>
      <c r="AH63" s="31">
        <v>16.794129032258063</v>
      </c>
    </row>
    <row r="64" spans="1:34" x14ac:dyDescent="0.3">
      <c r="A64" s="12" t="s">
        <v>256</v>
      </c>
      <c r="B64" s="137">
        <v>6</v>
      </c>
      <c r="C64" s="31">
        <v>5.1479999999999997</v>
      </c>
      <c r="D64" s="31">
        <v>2.58</v>
      </c>
      <c r="E64" s="31">
        <v>10.597</v>
      </c>
      <c r="F64" s="31">
        <v>0</v>
      </c>
      <c r="G64" s="31">
        <v>8.2159999999999993</v>
      </c>
      <c r="H64" s="31">
        <v>2.7610000000000001</v>
      </c>
      <c r="I64" s="31">
        <v>9.713000000000001</v>
      </c>
      <c r="J64" s="31">
        <v>5.0389999999999997</v>
      </c>
      <c r="K64" s="31">
        <v>10.949</v>
      </c>
      <c r="L64" s="31">
        <v>5.5449999999999999</v>
      </c>
      <c r="M64" s="31">
        <v>5.5009999999999994</v>
      </c>
      <c r="N64" s="31">
        <v>1.718</v>
      </c>
      <c r="O64" s="31">
        <v>0</v>
      </c>
      <c r="P64" s="31">
        <v>0</v>
      </c>
      <c r="Q64" s="31">
        <v>5.4889999999999999</v>
      </c>
      <c r="R64" s="31">
        <v>0</v>
      </c>
      <c r="S64" s="31">
        <v>2.698</v>
      </c>
      <c r="T64" s="31">
        <v>5.2859999999999996</v>
      </c>
      <c r="U64" s="31">
        <v>3.3260000000000001</v>
      </c>
      <c r="V64" s="31">
        <v>6.2229999999999999</v>
      </c>
      <c r="W64" s="31">
        <v>6.157</v>
      </c>
      <c r="X64" s="31">
        <v>0</v>
      </c>
      <c r="Y64" s="31">
        <v>0</v>
      </c>
      <c r="Z64" s="31">
        <v>0</v>
      </c>
      <c r="AA64" s="31">
        <v>0</v>
      </c>
      <c r="AB64" s="31">
        <v>1.718</v>
      </c>
      <c r="AC64" s="31">
        <v>0</v>
      </c>
      <c r="AD64" s="31">
        <v>0</v>
      </c>
      <c r="AE64" s="31">
        <v>9.9550000000000001</v>
      </c>
      <c r="AF64" s="31">
        <v>0</v>
      </c>
      <c r="AG64" s="31">
        <v>0</v>
      </c>
      <c r="AH64" s="31">
        <v>3.5038387096774195</v>
      </c>
    </row>
    <row r="65" spans="1:34" x14ac:dyDescent="0.3">
      <c r="A65" s="12" t="s">
        <v>196</v>
      </c>
      <c r="B65" s="137">
        <v>19</v>
      </c>
      <c r="C65" s="31">
        <v>166.69499999999996</v>
      </c>
      <c r="D65" s="31">
        <v>167.76300000000001</v>
      </c>
      <c r="E65" s="31">
        <v>152.238</v>
      </c>
      <c r="F65" s="31">
        <v>149.749</v>
      </c>
      <c r="G65" s="31">
        <v>210.54400000000001</v>
      </c>
      <c r="H65" s="31">
        <v>201.50199999999998</v>
      </c>
      <c r="I65" s="31">
        <v>175.60800000000003</v>
      </c>
      <c r="J65" s="31">
        <v>139.25199999999998</v>
      </c>
      <c r="K65" s="31">
        <v>169.04999999999998</v>
      </c>
      <c r="L65" s="31">
        <v>201.166</v>
      </c>
      <c r="M65" s="31">
        <v>203.83099999999993</v>
      </c>
      <c r="N65" s="31">
        <v>200.09200000000001</v>
      </c>
      <c r="O65" s="31">
        <v>238.84799999999998</v>
      </c>
      <c r="P65" s="31">
        <v>231.07100000000005</v>
      </c>
      <c r="Q65" s="31">
        <v>241.87800000000004</v>
      </c>
      <c r="R65" s="31">
        <v>188.78499999999997</v>
      </c>
      <c r="S65" s="31">
        <v>206.964</v>
      </c>
      <c r="T65" s="31">
        <v>207.11200000000008</v>
      </c>
      <c r="U65" s="31">
        <v>198.68599999999998</v>
      </c>
      <c r="V65" s="31">
        <v>211.84300000000005</v>
      </c>
      <c r="W65" s="31">
        <v>187.98599999999999</v>
      </c>
      <c r="X65" s="31">
        <v>251.30499999999998</v>
      </c>
      <c r="Y65" s="31">
        <v>221.93699999999995</v>
      </c>
      <c r="Z65" s="31">
        <v>267.10200000000003</v>
      </c>
      <c r="AA65" s="31">
        <v>252.52200000000005</v>
      </c>
      <c r="AB65" s="31">
        <v>195.98099999999999</v>
      </c>
      <c r="AC65" s="31">
        <v>220.82200000000003</v>
      </c>
      <c r="AD65" s="31">
        <v>221.91100000000006</v>
      </c>
      <c r="AE65" s="31">
        <v>236.316</v>
      </c>
      <c r="AF65" s="31">
        <v>168.17700000000005</v>
      </c>
      <c r="AG65" s="31">
        <v>152.25100000000003</v>
      </c>
      <c r="AH65" s="31">
        <v>201.2576451612903</v>
      </c>
    </row>
    <row r="66" spans="1:34" x14ac:dyDescent="0.3">
      <c r="A66" s="12" t="s">
        <v>352</v>
      </c>
      <c r="B66" s="137">
        <v>10</v>
      </c>
      <c r="C66" s="31">
        <v>177.46300000000005</v>
      </c>
      <c r="D66" s="31">
        <v>207.964</v>
      </c>
      <c r="E66" s="31">
        <v>196.63200000000001</v>
      </c>
      <c r="F66" s="31">
        <v>198.154</v>
      </c>
      <c r="G66" s="31">
        <v>185.77599999999998</v>
      </c>
      <c r="H66" s="31">
        <v>187.51800000000006</v>
      </c>
      <c r="I66" s="31">
        <v>234.67699999999994</v>
      </c>
      <c r="J66" s="31">
        <v>231.55400000000003</v>
      </c>
      <c r="K66" s="31">
        <v>199.12</v>
      </c>
      <c r="L66" s="31">
        <v>233.36100000000005</v>
      </c>
      <c r="M66" s="31">
        <v>201.48500000000001</v>
      </c>
      <c r="N66" s="31">
        <v>139.20900000000003</v>
      </c>
      <c r="O66" s="31">
        <v>216.26499999999999</v>
      </c>
      <c r="P66" s="31">
        <v>201.18899999999999</v>
      </c>
      <c r="Q66" s="31">
        <v>180.53600000000003</v>
      </c>
      <c r="R66" s="31">
        <v>191.72999999999996</v>
      </c>
      <c r="S66" s="31">
        <v>192.63500000000005</v>
      </c>
      <c r="T66" s="31">
        <v>184.715</v>
      </c>
      <c r="U66" s="31">
        <v>182.54700000000003</v>
      </c>
      <c r="V66" s="31">
        <v>115.449</v>
      </c>
      <c r="W66" s="31">
        <v>167.70000000000005</v>
      </c>
      <c r="X66" s="31">
        <v>191.59900000000005</v>
      </c>
      <c r="Y66" s="31">
        <v>110.71199999999996</v>
      </c>
      <c r="Z66" s="31">
        <v>168.38</v>
      </c>
      <c r="AA66" s="31">
        <v>122.50400000000002</v>
      </c>
      <c r="AB66" s="31">
        <v>187.87200000000001</v>
      </c>
      <c r="AC66" s="31">
        <v>179.62899999999999</v>
      </c>
      <c r="AD66" s="31">
        <v>178.02799999999993</v>
      </c>
      <c r="AE66" s="31">
        <v>156.90399999999997</v>
      </c>
      <c r="AF66" s="31">
        <v>187.054</v>
      </c>
      <c r="AG66" s="31">
        <v>161.28499999999997</v>
      </c>
      <c r="AH66" s="31">
        <v>182.89180645161289</v>
      </c>
    </row>
    <row r="67" spans="1:34" x14ac:dyDescent="0.3">
      <c r="A67" s="12" t="s">
        <v>174</v>
      </c>
      <c r="B67" s="137">
        <v>11</v>
      </c>
      <c r="C67" s="31">
        <v>56.575999999999993</v>
      </c>
      <c r="D67" s="31">
        <v>103.946</v>
      </c>
      <c r="E67" s="31">
        <v>120.01200000000004</v>
      </c>
      <c r="F67" s="31">
        <v>138.21799999999999</v>
      </c>
      <c r="G67" s="31">
        <v>135.048</v>
      </c>
      <c r="H67" s="31">
        <v>96.661000000000016</v>
      </c>
      <c r="I67" s="31">
        <v>33.456000000000003</v>
      </c>
      <c r="J67" s="31">
        <v>94.506999999999991</v>
      </c>
      <c r="K67" s="31">
        <v>95.595999999999989</v>
      </c>
      <c r="L67" s="31">
        <v>73.62700000000001</v>
      </c>
      <c r="M67" s="31">
        <v>83.703000000000017</v>
      </c>
      <c r="N67" s="31">
        <v>107.18400000000001</v>
      </c>
      <c r="O67" s="31">
        <v>56.163999999999987</v>
      </c>
      <c r="P67" s="31">
        <v>84.323999999999984</v>
      </c>
      <c r="Q67" s="31">
        <v>162.35000000000002</v>
      </c>
      <c r="R67" s="31">
        <v>109.711</v>
      </c>
      <c r="S67" s="31">
        <v>149.62700000000001</v>
      </c>
      <c r="T67" s="31">
        <v>194.93399999999991</v>
      </c>
      <c r="U67" s="31">
        <v>50.351999999999997</v>
      </c>
      <c r="V67" s="31">
        <v>42.631999999999998</v>
      </c>
      <c r="W67" s="31">
        <v>37.758000000000003</v>
      </c>
      <c r="X67" s="31">
        <v>133.81799999999998</v>
      </c>
      <c r="Y67" s="31">
        <v>61.958000000000006</v>
      </c>
      <c r="Z67" s="31">
        <v>78.295000000000016</v>
      </c>
      <c r="AA67" s="31">
        <v>107.36100000000003</v>
      </c>
      <c r="AB67" s="31">
        <v>168.88900000000007</v>
      </c>
      <c r="AC67" s="31">
        <v>121.54599999999999</v>
      </c>
      <c r="AD67" s="31">
        <v>145.81299999999999</v>
      </c>
      <c r="AE67" s="31">
        <v>107.97199999999998</v>
      </c>
      <c r="AF67" s="31">
        <v>109.331</v>
      </c>
      <c r="AG67" s="31">
        <v>128.56</v>
      </c>
      <c r="AH67" s="31">
        <v>102.90093548387098</v>
      </c>
    </row>
    <row r="68" spans="1:34" x14ac:dyDescent="0.3">
      <c r="A68" s="12" t="s">
        <v>417</v>
      </c>
      <c r="B68" s="137">
        <v>2</v>
      </c>
      <c r="C68" s="31">
        <v>0</v>
      </c>
      <c r="D68" s="31">
        <v>3.3640000000000003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1.9610000000000001</v>
      </c>
      <c r="L68" s="31">
        <v>0</v>
      </c>
      <c r="M68" s="31">
        <v>0</v>
      </c>
      <c r="N68" s="31">
        <v>0</v>
      </c>
      <c r="O68" s="31">
        <v>0</v>
      </c>
      <c r="P68" s="31">
        <v>0.10600000000000001</v>
      </c>
      <c r="Q68" s="31">
        <v>0</v>
      </c>
      <c r="R68" s="31">
        <v>10.432</v>
      </c>
      <c r="S68" s="31">
        <v>0</v>
      </c>
      <c r="T68" s="31">
        <v>0</v>
      </c>
      <c r="U68" s="31">
        <v>21.702999999999999</v>
      </c>
      <c r="V68" s="31">
        <v>4.3229999999999995</v>
      </c>
      <c r="W68" s="31">
        <v>12.311</v>
      </c>
      <c r="X68" s="31">
        <v>10.168999999999999</v>
      </c>
      <c r="Y68" s="31">
        <v>12.159000000000001</v>
      </c>
      <c r="Z68" s="31">
        <v>22.164999999999999</v>
      </c>
      <c r="AA68" s="31">
        <v>19.806000000000001</v>
      </c>
      <c r="AB68" s="31">
        <v>9.48</v>
      </c>
      <c r="AC68" s="31">
        <v>30.045999999999999</v>
      </c>
      <c r="AD68" s="31">
        <v>14.478000000000002</v>
      </c>
      <c r="AE68" s="31">
        <v>47.668999999999997</v>
      </c>
      <c r="AF68" s="31">
        <v>30.855</v>
      </c>
      <c r="AG68" s="31">
        <v>26.255999999999997</v>
      </c>
      <c r="AH68" s="31">
        <v>8.9446129032258064</v>
      </c>
    </row>
    <row r="69" spans="1:34" x14ac:dyDescent="0.3">
      <c r="A69" s="12" t="s">
        <v>204</v>
      </c>
      <c r="B69" s="137">
        <v>6</v>
      </c>
      <c r="C69" s="31">
        <v>53.994</v>
      </c>
      <c r="D69" s="31">
        <v>37.805</v>
      </c>
      <c r="E69" s="31">
        <v>39.811999999999998</v>
      </c>
      <c r="F69" s="31">
        <v>20.071999999999999</v>
      </c>
      <c r="G69" s="31">
        <v>25.115999999999996</v>
      </c>
      <c r="H69" s="31">
        <v>32.048000000000002</v>
      </c>
      <c r="I69" s="31">
        <v>40.741</v>
      </c>
      <c r="J69" s="31">
        <v>41.941999999999993</v>
      </c>
      <c r="K69" s="31">
        <v>30.45</v>
      </c>
      <c r="L69" s="31">
        <v>43.251999999999995</v>
      </c>
      <c r="M69" s="31">
        <v>32.012999999999998</v>
      </c>
      <c r="N69" s="31">
        <v>21.627000000000002</v>
      </c>
      <c r="O69" s="31">
        <v>45.239000000000004</v>
      </c>
      <c r="P69" s="31">
        <v>33.004000000000005</v>
      </c>
      <c r="Q69" s="31">
        <v>18.135000000000002</v>
      </c>
      <c r="R69" s="31">
        <v>33.308</v>
      </c>
      <c r="S69" s="31">
        <v>19.939</v>
      </c>
      <c r="T69" s="31">
        <v>18.326000000000001</v>
      </c>
      <c r="U69" s="31">
        <v>14.776999999999999</v>
      </c>
      <c r="V69" s="31">
        <v>8.0390000000000015</v>
      </c>
      <c r="W69" s="31">
        <v>18.611000000000001</v>
      </c>
      <c r="X69" s="31">
        <v>20.611999999999998</v>
      </c>
      <c r="Y69" s="31">
        <v>18.731999999999999</v>
      </c>
      <c r="Z69" s="31">
        <v>21.074999999999999</v>
      </c>
      <c r="AA69" s="31">
        <v>19.138000000000005</v>
      </c>
      <c r="AB69" s="31">
        <v>51.402000000000001</v>
      </c>
      <c r="AC69" s="31">
        <v>28.145</v>
      </c>
      <c r="AD69" s="31">
        <v>35.295000000000002</v>
      </c>
      <c r="AE69" s="31">
        <v>33.585999999999999</v>
      </c>
      <c r="AF69" s="31">
        <v>35.195</v>
      </c>
      <c r="AG69" s="31">
        <v>35.512</v>
      </c>
      <c r="AH69" s="31">
        <v>29.901354838709679</v>
      </c>
    </row>
    <row r="70" spans="1:34" x14ac:dyDescent="0.3">
      <c r="A70" s="12" t="s">
        <v>232</v>
      </c>
      <c r="B70" s="137">
        <v>20</v>
      </c>
      <c r="C70" s="31">
        <v>148.44400000000002</v>
      </c>
      <c r="D70" s="31">
        <v>210.69200000000001</v>
      </c>
      <c r="E70" s="31">
        <v>226.78900000000002</v>
      </c>
      <c r="F70" s="31">
        <v>189.63300000000001</v>
      </c>
      <c r="G70" s="31">
        <v>231.81999999999991</v>
      </c>
      <c r="H70" s="31">
        <v>213.54599999999999</v>
      </c>
      <c r="I70" s="31">
        <v>226.25900000000007</v>
      </c>
      <c r="J70" s="31">
        <v>201.16999999999996</v>
      </c>
      <c r="K70" s="31">
        <v>224.12200000000004</v>
      </c>
      <c r="L70" s="31">
        <v>257.64499999999998</v>
      </c>
      <c r="M70" s="31">
        <v>150.44899999999998</v>
      </c>
      <c r="N70" s="31">
        <v>126.72399999999999</v>
      </c>
      <c r="O70" s="31">
        <v>202.16200000000001</v>
      </c>
      <c r="P70" s="31">
        <v>217.57200000000003</v>
      </c>
      <c r="Q70" s="31">
        <v>197.16300000000001</v>
      </c>
      <c r="R70" s="31">
        <v>212.98</v>
      </c>
      <c r="S70" s="31">
        <v>193.17399999999992</v>
      </c>
      <c r="T70" s="31">
        <v>203.37899999999999</v>
      </c>
      <c r="U70" s="31">
        <v>230.15200000000004</v>
      </c>
      <c r="V70" s="31">
        <v>199.95299999999997</v>
      </c>
      <c r="W70" s="31">
        <v>209.46500000000003</v>
      </c>
      <c r="X70" s="31">
        <v>244.94299999999998</v>
      </c>
      <c r="Y70" s="31">
        <v>111.878</v>
      </c>
      <c r="Z70" s="31">
        <v>119.81800000000001</v>
      </c>
      <c r="AA70" s="31">
        <v>175.62000000000006</v>
      </c>
      <c r="AB70" s="31">
        <v>182.059</v>
      </c>
      <c r="AC70" s="31">
        <v>167.90700000000001</v>
      </c>
      <c r="AD70" s="31">
        <v>145.17800000000003</v>
      </c>
      <c r="AE70" s="31">
        <v>209.18900000000005</v>
      </c>
      <c r="AF70" s="31">
        <v>162.43899999999996</v>
      </c>
      <c r="AG70" s="31">
        <v>182.51600000000005</v>
      </c>
      <c r="AH70" s="31">
        <v>192.7367741935484</v>
      </c>
    </row>
    <row r="71" spans="1:34" x14ac:dyDescent="0.3">
      <c r="A71" s="12" t="s">
        <v>366</v>
      </c>
      <c r="B71" s="137">
        <v>5</v>
      </c>
      <c r="C71" s="31">
        <v>24.706</v>
      </c>
      <c r="D71" s="31">
        <v>21.910000000000004</v>
      </c>
      <c r="E71" s="31">
        <v>24.043000000000003</v>
      </c>
      <c r="F71" s="31">
        <v>10.874000000000002</v>
      </c>
      <c r="G71" s="31">
        <v>22.189999999999998</v>
      </c>
      <c r="H71" s="31">
        <v>26.282</v>
      </c>
      <c r="I71" s="31">
        <v>22.916000000000004</v>
      </c>
      <c r="J71" s="31">
        <v>10.206999999999999</v>
      </c>
      <c r="K71" s="31">
        <v>15.911</v>
      </c>
      <c r="L71" s="31">
        <v>27.175000000000004</v>
      </c>
      <c r="M71" s="31">
        <v>19.844000000000001</v>
      </c>
      <c r="N71" s="31">
        <v>23.617999999999999</v>
      </c>
      <c r="O71" s="31">
        <v>19.027999999999999</v>
      </c>
      <c r="P71" s="31">
        <v>15.709999999999999</v>
      </c>
      <c r="Q71" s="31">
        <v>9.4480000000000004</v>
      </c>
      <c r="R71" s="31">
        <v>11.164</v>
      </c>
      <c r="S71" s="31">
        <v>20.704000000000004</v>
      </c>
      <c r="T71" s="31">
        <v>15.423999999999999</v>
      </c>
      <c r="U71" s="31">
        <v>17.742000000000001</v>
      </c>
      <c r="V71" s="31">
        <v>14.864000000000001</v>
      </c>
      <c r="W71" s="31">
        <v>15.614000000000001</v>
      </c>
      <c r="X71" s="31">
        <v>20.169</v>
      </c>
      <c r="Y71" s="31">
        <v>18.634</v>
      </c>
      <c r="Z71" s="31">
        <v>21.204999999999998</v>
      </c>
      <c r="AA71" s="31">
        <v>48.775999999999989</v>
      </c>
      <c r="AB71" s="31">
        <v>30.006999999999998</v>
      </c>
      <c r="AC71" s="31">
        <v>55.120999999999995</v>
      </c>
      <c r="AD71" s="31">
        <v>19.671999999999997</v>
      </c>
      <c r="AE71" s="31">
        <v>26.500000000000004</v>
      </c>
      <c r="AF71" s="31">
        <v>11.375</v>
      </c>
      <c r="AG71" s="31">
        <v>52.764999999999993</v>
      </c>
      <c r="AH71" s="31">
        <v>22.374129032258061</v>
      </c>
    </row>
    <row r="72" spans="1:34" x14ac:dyDescent="0.3">
      <c r="A72" s="12" t="s">
        <v>357</v>
      </c>
      <c r="B72" s="137">
        <v>1</v>
      </c>
      <c r="C72" s="31">
        <v>0</v>
      </c>
      <c r="D72" s="31">
        <v>0</v>
      </c>
      <c r="E72" s="31">
        <v>0</v>
      </c>
      <c r="F72" s="31">
        <v>0</v>
      </c>
      <c r="G72" s="31">
        <v>10.846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0</v>
      </c>
      <c r="AC72" s="31">
        <v>0</v>
      </c>
      <c r="AD72" s="31">
        <v>0</v>
      </c>
      <c r="AE72" s="31">
        <v>0</v>
      </c>
      <c r="AF72" s="31">
        <v>0.41199999999999998</v>
      </c>
      <c r="AG72" s="31">
        <v>13.542</v>
      </c>
      <c r="AH72" s="31">
        <v>0.8</v>
      </c>
    </row>
    <row r="73" spans="1:34" x14ac:dyDescent="0.3">
      <c r="A73" s="12" t="s">
        <v>271</v>
      </c>
      <c r="B73" s="137">
        <v>11</v>
      </c>
      <c r="C73" s="31">
        <v>405.89</v>
      </c>
      <c r="D73" s="31">
        <v>448.57899999999995</v>
      </c>
      <c r="E73" s="31">
        <v>207.583</v>
      </c>
      <c r="F73" s="31">
        <v>254.97</v>
      </c>
      <c r="G73" s="31">
        <v>460.53999999999996</v>
      </c>
      <c r="H73" s="31">
        <v>647.44600000000003</v>
      </c>
      <c r="I73" s="31">
        <v>517.21100000000001</v>
      </c>
      <c r="J73" s="31">
        <v>634.48599999999999</v>
      </c>
      <c r="K73" s="31">
        <v>443.95900000000006</v>
      </c>
      <c r="L73" s="31">
        <v>343.24900000000002</v>
      </c>
      <c r="M73" s="31">
        <v>397.65799999999996</v>
      </c>
      <c r="N73" s="31">
        <v>398.96600000000007</v>
      </c>
      <c r="O73" s="31">
        <v>568.42000000000007</v>
      </c>
      <c r="P73" s="31">
        <v>657.59500000000003</v>
      </c>
      <c r="Q73" s="31">
        <v>524.95500000000004</v>
      </c>
      <c r="R73" s="31">
        <v>506.85199999999998</v>
      </c>
      <c r="S73" s="31">
        <v>312.726</v>
      </c>
      <c r="T73" s="31">
        <v>359.58600000000001</v>
      </c>
      <c r="U73" s="31">
        <v>495.13700000000006</v>
      </c>
      <c r="V73" s="31">
        <v>496.62299999999993</v>
      </c>
      <c r="W73" s="31">
        <v>568.11999999999989</v>
      </c>
      <c r="X73" s="31">
        <v>442.11500000000001</v>
      </c>
      <c r="Y73" s="31">
        <v>479.68100000000004</v>
      </c>
      <c r="Z73" s="31">
        <v>371.77099999999996</v>
      </c>
      <c r="AA73" s="31">
        <v>306.791</v>
      </c>
      <c r="AB73" s="31">
        <v>460.52</v>
      </c>
      <c r="AC73" s="31">
        <v>577.67200000000003</v>
      </c>
      <c r="AD73" s="31">
        <v>575.67199999999991</v>
      </c>
      <c r="AE73" s="31">
        <v>588.697</v>
      </c>
      <c r="AF73" s="31">
        <v>592.37599999999998</v>
      </c>
      <c r="AG73" s="31">
        <v>377.70400000000001</v>
      </c>
      <c r="AH73" s="31">
        <v>465.27580645161299</v>
      </c>
    </row>
    <row r="74" spans="1:34" x14ac:dyDescent="0.3">
      <c r="A74" s="12" t="s">
        <v>249</v>
      </c>
      <c r="B74" s="137">
        <v>8</v>
      </c>
      <c r="C74" s="31">
        <v>94.674000000000007</v>
      </c>
      <c r="D74" s="31">
        <v>105.26500000000001</v>
      </c>
      <c r="E74" s="31">
        <v>115.58399999999999</v>
      </c>
      <c r="F74" s="31">
        <v>112.761</v>
      </c>
      <c r="G74" s="31">
        <v>88.843999999999994</v>
      </c>
      <c r="H74" s="31">
        <v>94.466000000000008</v>
      </c>
      <c r="I74" s="31">
        <v>123.71500000000003</v>
      </c>
      <c r="J74" s="31">
        <v>119.151</v>
      </c>
      <c r="K74" s="31">
        <v>98.585999999999984</v>
      </c>
      <c r="L74" s="31">
        <v>123.254</v>
      </c>
      <c r="M74" s="31">
        <v>116.90600000000001</v>
      </c>
      <c r="N74" s="31">
        <v>94.904999999999987</v>
      </c>
      <c r="O74" s="31">
        <v>47.997999999999998</v>
      </c>
      <c r="P74" s="31">
        <v>115.215</v>
      </c>
      <c r="Q74" s="31">
        <v>72.656999999999996</v>
      </c>
      <c r="R74" s="31">
        <v>76.907000000000011</v>
      </c>
      <c r="S74" s="31">
        <v>60.830000000000005</v>
      </c>
      <c r="T74" s="31">
        <v>63.472999999999985</v>
      </c>
      <c r="U74" s="31">
        <v>105.74600000000004</v>
      </c>
      <c r="V74" s="31">
        <v>91.132000000000005</v>
      </c>
      <c r="W74" s="31">
        <v>67.091999999999999</v>
      </c>
      <c r="X74" s="31">
        <v>45.59</v>
      </c>
      <c r="Y74" s="31">
        <v>46.055</v>
      </c>
      <c r="Z74" s="31">
        <v>42.029000000000003</v>
      </c>
      <c r="AA74" s="31">
        <v>45.501000000000005</v>
      </c>
      <c r="AB74" s="31">
        <v>55.725000000000009</v>
      </c>
      <c r="AC74" s="31">
        <v>78.206000000000003</v>
      </c>
      <c r="AD74" s="31">
        <v>67.524999999999991</v>
      </c>
      <c r="AE74" s="31">
        <v>55.122000000000007</v>
      </c>
      <c r="AF74" s="31">
        <v>68.89400000000002</v>
      </c>
      <c r="AG74" s="31">
        <v>60.764000000000003</v>
      </c>
      <c r="AH74" s="31">
        <v>82.405548387096772</v>
      </c>
    </row>
    <row r="75" spans="1:34" x14ac:dyDescent="0.3">
      <c r="A75" s="12" t="s">
        <v>254</v>
      </c>
      <c r="B75" s="137">
        <v>10</v>
      </c>
      <c r="C75" s="31">
        <v>181.12900000000002</v>
      </c>
      <c r="D75" s="31">
        <v>207.95200000000006</v>
      </c>
      <c r="E75" s="31">
        <v>198.88499999999999</v>
      </c>
      <c r="F75" s="31">
        <v>197.84799999999993</v>
      </c>
      <c r="G75" s="31">
        <v>210.39600000000002</v>
      </c>
      <c r="H75" s="31">
        <v>179.33600000000001</v>
      </c>
      <c r="I75" s="31">
        <v>215.24599999999998</v>
      </c>
      <c r="J75" s="31">
        <v>161.67599999999999</v>
      </c>
      <c r="K75" s="31">
        <v>199.31699999999998</v>
      </c>
      <c r="L75" s="31">
        <v>193.66399999999996</v>
      </c>
      <c r="M75" s="31">
        <v>212.67299999999997</v>
      </c>
      <c r="N75" s="31">
        <v>208.02599999999998</v>
      </c>
      <c r="O75" s="31">
        <v>194.04900000000006</v>
      </c>
      <c r="P75" s="31">
        <v>191.86099999999999</v>
      </c>
      <c r="Q75" s="31">
        <v>140.82499999999999</v>
      </c>
      <c r="R75" s="31">
        <v>200.48100000000005</v>
      </c>
      <c r="S75" s="31">
        <v>189.65099999999998</v>
      </c>
      <c r="T75" s="31">
        <v>226.37399999999997</v>
      </c>
      <c r="U75" s="31">
        <v>246.44700000000003</v>
      </c>
      <c r="V75" s="31">
        <v>273.86700000000002</v>
      </c>
      <c r="W75" s="31">
        <v>247.79999999999995</v>
      </c>
      <c r="X75" s="31">
        <v>240.65199999999999</v>
      </c>
      <c r="Y75" s="31">
        <v>163.54999999999998</v>
      </c>
      <c r="Z75" s="31">
        <v>160.33700000000002</v>
      </c>
      <c r="AA75" s="31">
        <v>246.94300000000001</v>
      </c>
      <c r="AB75" s="31">
        <v>256.964</v>
      </c>
      <c r="AC75" s="31">
        <v>258.16599999999994</v>
      </c>
      <c r="AD75" s="31">
        <v>212.57</v>
      </c>
      <c r="AE75" s="31">
        <v>253.17100000000002</v>
      </c>
      <c r="AF75" s="31">
        <v>245.47300000000004</v>
      </c>
      <c r="AG75" s="31">
        <v>188.65599999999998</v>
      </c>
      <c r="AH75" s="31">
        <v>209.80596774193549</v>
      </c>
    </row>
    <row r="76" spans="1:34" x14ac:dyDescent="0.3">
      <c r="A76" s="12" t="s">
        <v>355</v>
      </c>
      <c r="B76" s="137">
        <v>10</v>
      </c>
      <c r="C76" s="31">
        <v>193.74699999999993</v>
      </c>
      <c r="D76" s="31">
        <v>226.82099999999991</v>
      </c>
      <c r="E76" s="31">
        <v>142.19999999999996</v>
      </c>
      <c r="F76" s="31">
        <v>255.99000000000004</v>
      </c>
      <c r="G76" s="31">
        <v>199.26600000000005</v>
      </c>
      <c r="H76" s="31">
        <v>204.19100000000003</v>
      </c>
      <c r="I76" s="31">
        <v>140.148</v>
      </c>
      <c r="J76" s="31">
        <v>282.07700000000006</v>
      </c>
      <c r="K76" s="31">
        <v>227.35100000000003</v>
      </c>
      <c r="L76" s="31">
        <v>255.06</v>
      </c>
      <c r="M76" s="31">
        <v>205.36000000000004</v>
      </c>
      <c r="N76" s="31">
        <v>209.578</v>
      </c>
      <c r="O76" s="31">
        <v>188.745</v>
      </c>
      <c r="P76" s="31">
        <v>226.24300000000002</v>
      </c>
      <c r="Q76" s="31">
        <v>207.69899999999996</v>
      </c>
      <c r="R76" s="31">
        <v>168.25900000000004</v>
      </c>
      <c r="S76" s="31">
        <v>153.70000000000005</v>
      </c>
      <c r="T76" s="31">
        <v>178.37699999999998</v>
      </c>
      <c r="U76" s="31">
        <v>195.24000000000007</v>
      </c>
      <c r="V76" s="31">
        <v>203.86799999999997</v>
      </c>
      <c r="W76" s="31">
        <v>153.15299999999999</v>
      </c>
      <c r="X76" s="31">
        <v>212.78700000000003</v>
      </c>
      <c r="Y76" s="31">
        <v>161.941</v>
      </c>
      <c r="Z76" s="31">
        <v>199.53599999999994</v>
      </c>
      <c r="AA76" s="31">
        <v>154.489</v>
      </c>
      <c r="AB76" s="31">
        <v>189.88699999999997</v>
      </c>
      <c r="AC76" s="31">
        <v>235.12700000000001</v>
      </c>
      <c r="AD76" s="31">
        <v>155.41999999999999</v>
      </c>
      <c r="AE76" s="31">
        <v>222.91200000000003</v>
      </c>
      <c r="AF76" s="31">
        <v>211.25199999999998</v>
      </c>
      <c r="AG76" s="31">
        <v>190.38799999999998</v>
      </c>
      <c r="AH76" s="31">
        <v>198.41329032258068</v>
      </c>
    </row>
    <row r="77" spans="1:34" x14ac:dyDescent="0.3">
      <c r="A77" s="12" t="s">
        <v>270</v>
      </c>
      <c r="B77" s="137">
        <v>4</v>
      </c>
      <c r="C77" s="31">
        <v>166.57</v>
      </c>
      <c r="D77" s="31">
        <v>125.83</v>
      </c>
      <c r="E77" s="31">
        <v>103.92999999999999</v>
      </c>
      <c r="F77" s="31">
        <v>54.838000000000001</v>
      </c>
      <c r="G77" s="31">
        <v>59.344999999999999</v>
      </c>
      <c r="H77" s="31">
        <v>66.171000000000006</v>
      </c>
      <c r="I77" s="31">
        <v>158.494</v>
      </c>
      <c r="J77" s="31">
        <v>107.99</v>
      </c>
      <c r="K77" s="31">
        <v>144.07299999999998</v>
      </c>
      <c r="L77" s="31">
        <v>103.003</v>
      </c>
      <c r="M77" s="31">
        <v>71.346000000000004</v>
      </c>
      <c r="N77" s="31">
        <v>138.387</v>
      </c>
      <c r="O77" s="31">
        <v>116.24499999999999</v>
      </c>
      <c r="P77" s="31">
        <v>131.66399999999999</v>
      </c>
      <c r="Q77" s="31">
        <v>102.291</v>
      </c>
      <c r="R77" s="31">
        <v>133.13400000000001</v>
      </c>
      <c r="S77" s="31">
        <v>123.267</v>
      </c>
      <c r="T77" s="31">
        <v>93.82</v>
      </c>
      <c r="U77" s="31">
        <v>87.169000000000011</v>
      </c>
      <c r="V77" s="31">
        <v>148.148</v>
      </c>
      <c r="W77" s="31">
        <v>75.051000000000002</v>
      </c>
      <c r="X77" s="31">
        <v>78.903000000000006</v>
      </c>
      <c r="Y77" s="31">
        <v>171.53399999999999</v>
      </c>
      <c r="Z77" s="31">
        <v>151.03199999999998</v>
      </c>
      <c r="AA77" s="31">
        <v>91.992000000000004</v>
      </c>
      <c r="AB77" s="31">
        <v>12.376999999999999</v>
      </c>
      <c r="AC77" s="31">
        <v>58.608999999999995</v>
      </c>
      <c r="AD77" s="31">
        <v>44.798000000000002</v>
      </c>
      <c r="AE77" s="31">
        <v>59.903000000000006</v>
      </c>
      <c r="AF77" s="31">
        <v>131.946</v>
      </c>
      <c r="AG77" s="31">
        <v>46.575999999999993</v>
      </c>
      <c r="AH77" s="31">
        <v>101.88503225806451</v>
      </c>
    </row>
    <row r="78" spans="1:34" x14ac:dyDescent="0.3">
      <c r="A78" s="12" t="s">
        <v>269</v>
      </c>
      <c r="B78" s="137">
        <v>7</v>
      </c>
      <c r="C78" s="31">
        <v>113.72099999999999</v>
      </c>
      <c r="D78" s="31">
        <v>68.704000000000008</v>
      </c>
      <c r="E78" s="31">
        <v>98.248999999999981</v>
      </c>
      <c r="F78" s="31">
        <v>72.69</v>
      </c>
      <c r="G78" s="31">
        <v>148.41999999999999</v>
      </c>
      <c r="H78" s="31">
        <v>60.747</v>
      </c>
      <c r="I78" s="31">
        <v>65.007999999999996</v>
      </c>
      <c r="J78" s="31">
        <v>102.53</v>
      </c>
      <c r="K78" s="31">
        <v>142.35399999999996</v>
      </c>
      <c r="L78" s="31">
        <v>146.97900000000001</v>
      </c>
      <c r="M78" s="31">
        <v>81.569000000000003</v>
      </c>
      <c r="N78" s="31">
        <v>111.71</v>
      </c>
      <c r="O78" s="31">
        <v>51.127000000000002</v>
      </c>
      <c r="P78" s="31">
        <v>84.5</v>
      </c>
      <c r="Q78" s="31">
        <v>112.27800000000001</v>
      </c>
      <c r="R78" s="31">
        <v>58.033000000000001</v>
      </c>
      <c r="S78" s="31">
        <v>149.74699999999999</v>
      </c>
      <c r="T78" s="31">
        <v>87.59</v>
      </c>
      <c r="U78" s="31">
        <v>113.73100000000002</v>
      </c>
      <c r="V78" s="31">
        <v>85.777000000000015</v>
      </c>
      <c r="W78" s="31">
        <v>106.199</v>
      </c>
      <c r="X78" s="31">
        <v>159.58399999999997</v>
      </c>
      <c r="Y78" s="31">
        <v>158.33200000000002</v>
      </c>
      <c r="Z78" s="31">
        <v>86.704000000000008</v>
      </c>
      <c r="AA78" s="31">
        <v>98.197999999999993</v>
      </c>
      <c r="AB78" s="31">
        <v>125.33299999999998</v>
      </c>
      <c r="AC78" s="31">
        <v>128.059</v>
      </c>
      <c r="AD78" s="31">
        <v>153.93599999999998</v>
      </c>
      <c r="AE78" s="31">
        <v>119.64599999999999</v>
      </c>
      <c r="AF78" s="31">
        <v>165.96799999999999</v>
      </c>
      <c r="AG78" s="31">
        <v>138.76500000000001</v>
      </c>
      <c r="AH78" s="31">
        <v>109.55445161290324</v>
      </c>
    </row>
    <row r="79" spans="1:34" x14ac:dyDescent="0.3">
      <c r="A79" s="12" t="s">
        <v>203</v>
      </c>
      <c r="B79" s="137">
        <v>30</v>
      </c>
      <c r="C79" s="31">
        <v>777.49599999999987</v>
      </c>
      <c r="D79" s="31">
        <v>751.30500000000006</v>
      </c>
      <c r="E79" s="31">
        <v>704.0440000000001</v>
      </c>
      <c r="F79" s="31">
        <v>768.66699999999969</v>
      </c>
      <c r="G79" s="31">
        <v>824.48599999999999</v>
      </c>
      <c r="H79" s="31">
        <v>914.64199999999994</v>
      </c>
      <c r="I79" s="31">
        <v>901.71400000000006</v>
      </c>
      <c r="J79" s="31">
        <v>986.80400000000009</v>
      </c>
      <c r="K79" s="31">
        <v>994.15500000000009</v>
      </c>
      <c r="L79" s="31">
        <v>930.25500000000011</v>
      </c>
      <c r="M79" s="31">
        <v>991.75700000000006</v>
      </c>
      <c r="N79" s="31">
        <v>744.92900000000031</v>
      </c>
      <c r="O79" s="31">
        <v>1013.9089999999998</v>
      </c>
      <c r="P79" s="31">
        <v>882.72800000000029</v>
      </c>
      <c r="Q79" s="31">
        <v>802.74399999999957</v>
      </c>
      <c r="R79" s="31">
        <v>1170.0639999999999</v>
      </c>
      <c r="S79" s="31">
        <v>744.76300000000026</v>
      </c>
      <c r="T79" s="31">
        <v>1097.606</v>
      </c>
      <c r="U79" s="31">
        <v>872.24100000000021</v>
      </c>
      <c r="V79" s="31">
        <v>806.51899999999966</v>
      </c>
      <c r="W79" s="31">
        <v>993.99899999999991</v>
      </c>
      <c r="X79" s="31">
        <v>821.78499999999997</v>
      </c>
      <c r="Y79" s="31">
        <v>891.90399999999966</v>
      </c>
      <c r="Z79" s="31">
        <v>837.95999999999958</v>
      </c>
      <c r="AA79" s="31">
        <v>1110.1919999999998</v>
      </c>
      <c r="AB79" s="31">
        <v>996.87199999999996</v>
      </c>
      <c r="AC79" s="31">
        <v>671.21599999999989</v>
      </c>
      <c r="AD79" s="31">
        <v>1170.0290000000005</v>
      </c>
      <c r="AE79" s="31">
        <v>1053.76</v>
      </c>
      <c r="AF79" s="31">
        <v>861.74299999999971</v>
      </c>
      <c r="AG79" s="31">
        <v>962.02700000000027</v>
      </c>
      <c r="AH79" s="31">
        <v>905.37977150537631</v>
      </c>
    </row>
    <row r="80" spans="1:34" x14ac:dyDescent="0.3">
      <c r="A80" s="12" t="s">
        <v>283</v>
      </c>
      <c r="B80" s="137">
        <v>5</v>
      </c>
      <c r="C80" s="31">
        <v>60.671999999999997</v>
      </c>
      <c r="D80" s="31">
        <v>39.970000000000006</v>
      </c>
      <c r="E80" s="31">
        <v>56.047999999999988</v>
      </c>
      <c r="F80" s="31">
        <v>61.298000000000002</v>
      </c>
      <c r="G80" s="31">
        <v>46.282000000000004</v>
      </c>
      <c r="H80" s="31">
        <v>69.421999999999997</v>
      </c>
      <c r="I80" s="31">
        <v>64.606999999999999</v>
      </c>
      <c r="J80" s="31">
        <v>53.023000000000003</v>
      </c>
      <c r="K80" s="31">
        <v>74.500999999999991</v>
      </c>
      <c r="L80" s="31">
        <v>73.297000000000011</v>
      </c>
      <c r="M80" s="31">
        <v>46.905000000000001</v>
      </c>
      <c r="N80" s="31">
        <v>32.078000000000003</v>
      </c>
      <c r="O80" s="31">
        <v>60.762</v>
      </c>
      <c r="P80" s="31">
        <v>68.612999999999985</v>
      </c>
      <c r="Q80" s="31">
        <v>43.522000000000006</v>
      </c>
      <c r="R80" s="31">
        <v>51.567999999999998</v>
      </c>
      <c r="S80" s="31">
        <v>65.695999999999984</v>
      </c>
      <c r="T80" s="31">
        <v>83.201999999999998</v>
      </c>
      <c r="U80" s="31">
        <v>42.067</v>
      </c>
      <c r="V80" s="31">
        <v>54.619</v>
      </c>
      <c r="W80" s="31">
        <v>72.930999999999997</v>
      </c>
      <c r="X80" s="31">
        <v>41.870999999999995</v>
      </c>
      <c r="Y80" s="31">
        <v>45.84</v>
      </c>
      <c r="Z80" s="31">
        <v>74.644999999999996</v>
      </c>
      <c r="AA80" s="31">
        <v>60.19400000000001</v>
      </c>
      <c r="AB80" s="31">
        <v>43.561999999999998</v>
      </c>
      <c r="AC80" s="31">
        <v>66.808000000000007</v>
      </c>
      <c r="AD80" s="31">
        <v>59.862000000000002</v>
      </c>
      <c r="AE80" s="31">
        <v>92.7</v>
      </c>
      <c r="AF80" s="31">
        <v>53.235999999999997</v>
      </c>
      <c r="AG80" s="31">
        <v>74.295000000000002</v>
      </c>
      <c r="AH80" s="31">
        <v>59.164387096774192</v>
      </c>
    </row>
    <row r="81" spans="1:34" x14ac:dyDescent="0.3">
      <c r="A81" s="12" t="s">
        <v>318</v>
      </c>
      <c r="B81" s="137">
        <v>1</v>
      </c>
      <c r="C81" s="31">
        <v>0</v>
      </c>
      <c r="D81" s="31">
        <v>0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</v>
      </c>
      <c r="Y81" s="31">
        <v>1.794</v>
      </c>
      <c r="Z81" s="31">
        <v>0</v>
      </c>
      <c r="AA81" s="31">
        <v>0</v>
      </c>
      <c r="AB81" s="31">
        <v>0</v>
      </c>
      <c r="AC81" s="31">
        <v>0</v>
      </c>
      <c r="AD81" s="31">
        <v>0</v>
      </c>
      <c r="AE81" s="31">
        <v>0</v>
      </c>
      <c r="AF81" s="31">
        <v>0</v>
      </c>
      <c r="AG81" s="31">
        <v>0</v>
      </c>
      <c r="AH81" s="31">
        <v>5.7870967741935488E-2</v>
      </c>
    </row>
    <row r="82" spans="1:34" x14ac:dyDescent="0.3">
      <c r="A82" s="12" t="s">
        <v>392</v>
      </c>
      <c r="B82" s="137">
        <v>9</v>
      </c>
      <c r="C82" s="31">
        <v>39.07500000000001</v>
      </c>
      <c r="D82" s="31">
        <v>63.381</v>
      </c>
      <c r="E82" s="31">
        <v>77.685000000000016</v>
      </c>
      <c r="F82" s="31">
        <v>74.768000000000001</v>
      </c>
      <c r="G82" s="31">
        <v>41.610999999999997</v>
      </c>
      <c r="H82" s="31">
        <v>79.761000000000024</v>
      </c>
      <c r="I82" s="31">
        <v>52.855999999999987</v>
      </c>
      <c r="J82" s="31">
        <v>89.582000000000008</v>
      </c>
      <c r="K82" s="31">
        <v>42.473999999999997</v>
      </c>
      <c r="L82" s="31">
        <v>60.786000000000001</v>
      </c>
      <c r="M82" s="31">
        <v>79.910000000000011</v>
      </c>
      <c r="N82" s="31">
        <v>88.742999999999995</v>
      </c>
      <c r="O82" s="31">
        <v>59.399999999999991</v>
      </c>
      <c r="P82" s="31">
        <v>91.114000000000019</v>
      </c>
      <c r="Q82" s="31">
        <v>87.269999999999982</v>
      </c>
      <c r="R82" s="31">
        <v>90.637999999999977</v>
      </c>
      <c r="S82" s="31">
        <v>66.814999999999998</v>
      </c>
      <c r="T82" s="31">
        <v>77.341000000000008</v>
      </c>
      <c r="U82" s="31">
        <v>54.836999999999996</v>
      </c>
      <c r="V82" s="31">
        <v>43.868000000000002</v>
      </c>
      <c r="W82" s="31">
        <v>7.4980000000000002</v>
      </c>
      <c r="X82" s="31">
        <v>26.615000000000009</v>
      </c>
      <c r="Y82" s="31">
        <v>59.331999999999994</v>
      </c>
      <c r="Z82" s="31">
        <v>65.722000000000008</v>
      </c>
      <c r="AA82" s="31">
        <v>49.04999999999999</v>
      </c>
      <c r="AB82" s="31">
        <v>61.449000000000005</v>
      </c>
      <c r="AC82" s="31">
        <v>69.766000000000005</v>
      </c>
      <c r="AD82" s="31">
        <v>44.767000000000003</v>
      </c>
      <c r="AE82" s="31">
        <v>45.234000000000002</v>
      </c>
      <c r="AF82" s="31">
        <v>59.589999999999989</v>
      </c>
      <c r="AG82" s="31">
        <v>59.103999999999985</v>
      </c>
      <c r="AH82" s="31">
        <v>61.614258064516136</v>
      </c>
    </row>
    <row r="83" spans="1:34" x14ac:dyDescent="0.3">
      <c r="A83" s="12" t="s">
        <v>247</v>
      </c>
      <c r="B83" s="137">
        <v>5</v>
      </c>
      <c r="C83" s="31">
        <v>28.851999999999997</v>
      </c>
      <c r="D83" s="31">
        <v>20.751999999999999</v>
      </c>
      <c r="E83" s="31">
        <v>16.683</v>
      </c>
      <c r="F83" s="31">
        <v>43.680999999999997</v>
      </c>
      <c r="G83" s="31">
        <v>27.59</v>
      </c>
      <c r="H83" s="31">
        <v>38.302999999999997</v>
      </c>
      <c r="I83" s="31">
        <v>30.808999999999997</v>
      </c>
      <c r="J83" s="31">
        <v>27.558</v>
      </c>
      <c r="K83" s="31">
        <v>26.532999999999998</v>
      </c>
      <c r="L83" s="31">
        <v>35.908000000000001</v>
      </c>
      <c r="M83" s="31">
        <v>33.748000000000005</v>
      </c>
      <c r="N83" s="31">
        <v>24.808999999999997</v>
      </c>
      <c r="O83" s="31">
        <v>37.335999999999999</v>
      </c>
      <c r="P83" s="31">
        <v>28.702000000000002</v>
      </c>
      <c r="Q83" s="31">
        <v>24.895999999999997</v>
      </c>
      <c r="R83" s="31">
        <v>31.277000000000001</v>
      </c>
      <c r="S83" s="31">
        <v>27.134</v>
      </c>
      <c r="T83" s="31">
        <v>24.948000000000004</v>
      </c>
      <c r="U83" s="31">
        <v>28.247000000000003</v>
      </c>
      <c r="V83" s="31">
        <v>23.738</v>
      </c>
      <c r="W83" s="31">
        <v>15.199</v>
      </c>
      <c r="X83" s="31">
        <v>33.588000000000001</v>
      </c>
      <c r="Y83" s="31">
        <v>27.001000000000001</v>
      </c>
      <c r="Z83" s="31">
        <v>20.573</v>
      </c>
      <c r="AA83" s="31">
        <v>37.356999999999999</v>
      </c>
      <c r="AB83" s="31">
        <v>26.093999999999998</v>
      </c>
      <c r="AC83" s="31">
        <v>33.558999999999997</v>
      </c>
      <c r="AD83" s="31">
        <v>28.030999999999999</v>
      </c>
      <c r="AE83" s="31">
        <v>26.341999999999999</v>
      </c>
      <c r="AF83" s="31">
        <v>22.263000000000002</v>
      </c>
      <c r="AG83" s="31">
        <v>37.823</v>
      </c>
      <c r="AH83" s="31">
        <v>28.688193548387087</v>
      </c>
    </row>
    <row r="84" spans="1:34" x14ac:dyDescent="0.3">
      <c r="A84" s="12" t="s">
        <v>354</v>
      </c>
      <c r="B84" s="137">
        <v>11</v>
      </c>
      <c r="C84" s="31">
        <v>74.899999999999991</v>
      </c>
      <c r="D84" s="31">
        <v>105.53699999999998</v>
      </c>
      <c r="E84" s="31">
        <v>131.47600000000003</v>
      </c>
      <c r="F84" s="31">
        <v>101.93200000000002</v>
      </c>
      <c r="G84" s="31">
        <v>117.06800000000001</v>
      </c>
      <c r="H84" s="31">
        <v>131.39400000000001</v>
      </c>
      <c r="I84" s="31">
        <v>86.619000000000014</v>
      </c>
      <c r="J84" s="31">
        <v>112.52200000000005</v>
      </c>
      <c r="K84" s="31">
        <v>115.56499999999997</v>
      </c>
      <c r="L84" s="31">
        <v>93.513999999999996</v>
      </c>
      <c r="M84" s="31">
        <v>98.786999999999992</v>
      </c>
      <c r="N84" s="31">
        <v>79.610000000000014</v>
      </c>
      <c r="O84" s="31">
        <v>95.080999999999989</v>
      </c>
      <c r="P84" s="31">
        <v>83.402000000000001</v>
      </c>
      <c r="Q84" s="31">
        <v>92.518000000000029</v>
      </c>
      <c r="R84" s="31">
        <v>103.54600000000001</v>
      </c>
      <c r="S84" s="31">
        <v>126.10400000000003</v>
      </c>
      <c r="T84" s="31">
        <v>77.873000000000019</v>
      </c>
      <c r="U84" s="31">
        <v>91.418000000000021</v>
      </c>
      <c r="V84" s="31">
        <v>116.73699999999998</v>
      </c>
      <c r="W84" s="31">
        <v>99.417000000000002</v>
      </c>
      <c r="X84" s="31">
        <v>84.985000000000014</v>
      </c>
      <c r="Y84" s="31">
        <v>56.288999999999987</v>
      </c>
      <c r="Z84" s="31">
        <v>124.39800000000001</v>
      </c>
      <c r="AA84" s="31">
        <v>89.659000000000006</v>
      </c>
      <c r="AB84" s="31">
        <v>116.679</v>
      </c>
      <c r="AC84" s="31">
        <v>121.88599999999998</v>
      </c>
      <c r="AD84" s="31">
        <v>84.327999999999989</v>
      </c>
      <c r="AE84" s="31">
        <v>131.36000000000001</v>
      </c>
      <c r="AF84" s="31">
        <v>107.87900000000002</v>
      </c>
      <c r="AG84" s="31">
        <v>116.31400000000001</v>
      </c>
      <c r="AH84" s="31">
        <v>102.21925806451615</v>
      </c>
    </row>
    <row r="85" spans="1:34" x14ac:dyDescent="0.3">
      <c r="A85" s="12" t="s">
        <v>216</v>
      </c>
      <c r="B85" s="137">
        <v>7</v>
      </c>
      <c r="C85" s="31">
        <v>161.88900000000004</v>
      </c>
      <c r="D85" s="31">
        <v>164.59799999999998</v>
      </c>
      <c r="E85" s="31">
        <v>202.32300000000004</v>
      </c>
      <c r="F85" s="31">
        <v>239.72</v>
      </c>
      <c r="G85" s="31">
        <v>175.39099999999996</v>
      </c>
      <c r="H85" s="31">
        <v>213.34000000000003</v>
      </c>
      <c r="I85" s="31">
        <v>222.58799999999999</v>
      </c>
      <c r="J85" s="31">
        <v>206.51300000000006</v>
      </c>
      <c r="K85" s="31">
        <v>193.78400000000002</v>
      </c>
      <c r="L85" s="31">
        <v>161.62799999999999</v>
      </c>
      <c r="M85" s="31">
        <v>192.36299999999997</v>
      </c>
      <c r="N85" s="31">
        <v>113.749</v>
      </c>
      <c r="O85" s="31">
        <v>256.714</v>
      </c>
      <c r="P85" s="31">
        <v>228.94999999999996</v>
      </c>
      <c r="Q85" s="31">
        <v>223.00100000000003</v>
      </c>
      <c r="R85" s="31">
        <v>174.58</v>
      </c>
      <c r="S85" s="31">
        <v>156.05400000000003</v>
      </c>
      <c r="T85" s="31">
        <v>133.17900000000003</v>
      </c>
      <c r="U85" s="31">
        <v>158.654</v>
      </c>
      <c r="V85" s="31">
        <v>153.57299999999998</v>
      </c>
      <c r="W85" s="31">
        <v>104.22799999999999</v>
      </c>
      <c r="X85" s="31">
        <v>142.40299999999999</v>
      </c>
      <c r="Y85" s="31">
        <v>177.77100000000004</v>
      </c>
      <c r="Z85" s="31">
        <v>171.40099999999998</v>
      </c>
      <c r="AA85" s="31">
        <v>191.35</v>
      </c>
      <c r="AB85" s="31">
        <v>185.09900000000002</v>
      </c>
      <c r="AC85" s="31">
        <v>217.57300000000001</v>
      </c>
      <c r="AD85" s="31">
        <v>166.125</v>
      </c>
      <c r="AE85" s="31">
        <v>200.27800000000005</v>
      </c>
      <c r="AF85" s="31">
        <v>166.29400000000004</v>
      </c>
      <c r="AG85" s="31">
        <v>188.08600000000004</v>
      </c>
      <c r="AH85" s="31">
        <v>182.03867741935485</v>
      </c>
    </row>
    <row r="86" spans="1:34" x14ac:dyDescent="0.3">
      <c r="A86" s="12" t="s">
        <v>243</v>
      </c>
      <c r="B86" s="137">
        <v>1</v>
      </c>
      <c r="C86" s="31">
        <v>0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0</v>
      </c>
      <c r="Z86" s="31">
        <v>0</v>
      </c>
      <c r="AA86" s="31">
        <v>0</v>
      </c>
      <c r="AB86" s="31">
        <v>0</v>
      </c>
      <c r="AC86" s="31">
        <v>0</v>
      </c>
      <c r="AD86" s="31">
        <v>0</v>
      </c>
      <c r="AE86" s="31">
        <v>0</v>
      </c>
      <c r="AF86" s="31">
        <v>0</v>
      </c>
      <c r="AG86" s="31">
        <v>0</v>
      </c>
      <c r="AH86" s="31">
        <v>0</v>
      </c>
    </row>
    <row r="87" spans="1:34" x14ac:dyDescent="0.3">
      <c r="A87" s="12" t="s">
        <v>404</v>
      </c>
      <c r="B87" s="137">
        <v>1</v>
      </c>
      <c r="C87" s="31">
        <v>0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0</v>
      </c>
      <c r="K87" s="31">
        <v>1.1599999999999999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1.7149999999999999</v>
      </c>
      <c r="R87" s="31">
        <v>5.4399999999999995</v>
      </c>
      <c r="S87" s="31">
        <v>4.4859999999999998</v>
      </c>
      <c r="T87" s="31">
        <v>6.7629999999999999</v>
      </c>
      <c r="U87" s="31">
        <v>3.327</v>
      </c>
      <c r="V87" s="31">
        <v>2.2799999999999998</v>
      </c>
      <c r="W87" s="31">
        <v>0</v>
      </c>
      <c r="X87" s="31">
        <v>0</v>
      </c>
      <c r="Y87" s="31">
        <v>0</v>
      </c>
      <c r="Z87" s="31">
        <v>3.2789999999999999</v>
      </c>
      <c r="AA87" s="31">
        <v>0</v>
      </c>
      <c r="AB87" s="31">
        <v>0</v>
      </c>
      <c r="AC87" s="31">
        <v>0</v>
      </c>
      <c r="AD87" s="31">
        <v>0</v>
      </c>
      <c r="AE87" s="31">
        <v>0</v>
      </c>
      <c r="AF87" s="31">
        <v>2.8620000000000001</v>
      </c>
      <c r="AG87" s="31">
        <v>0.86099999999999999</v>
      </c>
      <c r="AH87" s="31">
        <v>1.0378387096774191</v>
      </c>
    </row>
    <row r="88" spans="1:34" x14ac:dyDescent="0.3">
      <c r="A88" s="12" t="s">
        <v>323</v>
      </c>
      <c r="B88" s="137">
        <v>3</v>
      </c>
      <c r="C88" s="31">
        <v>25.157</v>
      </c>
      <c r="D88" s="31">
        <v>20.056000000000001</v>
      </c>
      <c r="E88" s="31">
        <v>15.948</v>
      </c>
      <c r="F88" s="31">
        <v>27.279</v>
      </c>
      <c r="G88" s="31">
        <v>11.346</v>
      </c>
      <c r="H88" s="31">
        <v>16.695999999999998</v>
      </c>
      <c r="I88" s="31">
        <v>19.777999999999999</v>
      </c>
      <c r="J88" s="31">
        <v>15.223999999999998</v>
      </c>
      <c r="K88" s="31">
        <v>32.012</v>
      </c>
      <c r="L88" s="31">
        <v>20.007000000000001</v>
      </c>
      <c r="M88" s="31">
        <v>23.338000000000001</v>
      </c>
      <c r="N88" s="31">
        <v>18.212</v>
      </c>
      <c r="O88" s="31">
        <v>55.145999999999987</v>
      </c>
      <c r="P88" s="31">
        <v>9.4559999999999995</v>
      </c>
      <c r="Q88" s="31">
        <v>16.033000000000001</v>
      </c>
      <c r="R88" s="31">
        <v>12.898999999999999</v>
      </c>
      <c r="S88" s="31">
        <v>21.326000000000001</v>
      </c>
      <c r="T88" s="31">
        <v>20.067</v>
      </c>
      <c r="U88" s="31">
        <v>4.5670000000000002</v>
      </c>
      <c r="V88" s="31">
        <v>20.978999999999999</v>
      </c>
      <c r="W88" s="31">
        <v>0</v>
      </c>
      <c r="X88" s="31">
        <v>22.599999999999998</v>
      </c>
      <c r="Y88" s="31">
        <v>6.4039999999999999</v>
      </c>
      <c r="Z88" s="31">
        <v>11.441000000000001</v>
      </c>
      <c r="AA88" s="31">
        <v>9.57</v>
      </c>
      <c r="AB88" s="31">
        <v>17.434000000000001</v>
      </c>
      <c r="AC88" s="31">
        <v>18.786000000000001</v>
      </c>
      <c r="AD88" s="31">
        <v>17.175999999999998</v>
      </c>
      <c r="AE88" s="31">
        <v>21.681000000000001</v>
      </c>
      <c r="AF88" s="31">
        <v>15.305999999999999</v>
      </c>
      <c r="AG88" s="31">
        <v>23.402000000000001</v>
      </c>
      <c r="AH88" s="31">
        <v>18.365354838709681</v>
      </c>
    </row>
    <row r="89" spans="1:34" x14ac:dyDescent="0.3">
      <c r="A89" s="12" t="s">
        <v>405</v>
      </c>
      <c r="B89" s="137">
        <v>4</v>
      </c>
      <c r="C89" s="31">
        <v>5.8109999999999999</v>
      </c>
      <c r="D89" s="31">
        <v>7.6639999999999997</v>
      </c>
      <c r="E89" s="31">
        <v>12.134</v>
      </c>
      <c r="F89" s="31">
        <v>19.151</v>
      </c>
      <c r="G89" s="31">
        <v>23.501999999999999</v>
      </c>
      <c r="H89" s="31">
        <v>37.327999999999996</v>
      </c>
      <c r="I89" s="31">
        <v>23.042999999999999</v>
      </c>
      <c r="J89" s="31">
        <v>22.272000000000002</v>
      </c>
      <c r="K89" s="31">
        <v>8.3290000000000006</v>
      </c>
      <c r="L89" s="31">
        <v>7.1369999999999996</v>
      </c>
      <c r="M89" s="31">
        <v>37.451999999999998</v>
      </c>
      <c r="N89" s="31">
        <v>8.3049999999999997</v>
      </c>
      <c r="O89" s="31">
        <v>9.9480000000000004</v>
      </c>
      <c r="P89" s="31">
        <v>0.70799999999999996</v>
      </c>
      <c r="Q89" s="31">
        <v>20.88</v>
      </c>
      <c r="R89" s="31">
        <v>10.105</v>
      </c>
      <c r="S89" s="31">
        <v>20.826000000000001</v>
      </c>
      <c r="T89" s="31">
        <v>25.779</v>
      </c>
      <c r="U89" s="31">
        <v>11.706</v>
      </c>
      <c r="V89" s="31">
        <v>8.3239999999999998</v>
      </c>
      <c r="W89" s="31">
        <v>29.085000000000001</v>
      </c>
      <c r="X89" s="31">
        <v>45.162999999999997</v>
      </c>
      <c r="Y89" s="31">
        <v>56.882999999999996</v>
      </c>
      <c r="Z89" s="31">
        <v>54.181000000000004</v>
      </c>
      <c r="AA89" s="31">
        <v>24.122</v>
      </c>
      <c r="AB89" s="31">
        <v>19.459999999999997</v>
      </c>
      <c r="AC89" s="31">
        <v>30.488999999999997</v>
      </c>
      <c r="AD89" s="31">
        <v>26.655000000000001</v>
      </c>
      <c r="AE89" s="31">
        <v>49.770999999999994</v>
      </c>
      <c r="AF89" s="31">
        <v>44.391999999999996</v>
      </c>
      <c r="AG89" s="31">
        <v>37.048999999999999</v>
      </c>
      <c r="AH89" s="31">
        <v>23.795290322580644</v>
      </c>
    </row>
    <row r="90" spans="1:34" x14ac:dyDescent="0.3">
      <c r="A90" s="12" t="s">
        <v>260</v>
      </c>
      <c r="B90" s="137">
        <v>10</v>
      </c>
      <c r="C90" s="31">
        <v>171.47300000000001</v>
      </c>
      <c r="D90" s="31">
        <v>134.59200000000001</v>
      </c>
      <c r="E90" s="31">
        <v>140.20600000000002</v>
      </c>
      <c r="F90" s="31">
        <v>204.59300000000002</v>
      </c>
      <c r="G90" s="31">
        <v>123.43800000000005</v>
      </c>
      <c r="H90" s="31">
        <v>200.86599999999999</v>
      </c>
      <c r="I90" s="31">
        <v>185.15500000000006</v>
      </c>
      <c r="J90" s="31">
        <v>184.63300000000004</v>
      </c>
      <c r="K90" s="31">
        <v>167.51899999999998</v>
      </c>
      <c r="L90" s="31">
        <v>208.858</v>
      </c>
      <c r="M90" s="31">
        <v>147.87400000000002</v>
      </c>
      <c r="N90" s="31">
        <v>138.09400000000002</v>
      </c>
      <c r="O90" s="31">
        <v>152.14700000000002</v>
      </c>
      <c r="P90" s="31">
        <v>145.44299999999998</v>
      </c>
      <c r="Q90" s="31">
        <v>159.58100000000002</v>
      </c>
      <c r="R90" s="31">
        <v>140.71499999999997</v>
      </c>
      <c r="S90" s="31">
        <v>181.56299999999999</v>
      </c>
      <c r="T90" s="31">
        <v>155.94000000000003</v>
      </c>
      <c r="U90" s="31">
        <v>173.744</v>
      </c>
      <c r="V90" s="31">
        <v>113.889</v>
      </c>
      <c r="W90" s="31">
        <v>119.42499999999998</v>
      </c>
      <c r="X90" s="31">
        <v>123.44300000000003</v>
      </c>
      <c r="Y90" s="31">
        <v>106.88100000000001</v>
      </c>
      <c r="Z90" s="31">
        <v>149.827</v>
      </c>
      <c r="AA90" s="31">
        <v>151.62700000000001</v>
      </c>
      <c r="AB90" s="31">
        <v>148.41500000000002</v>
      </c>
      <c r="AC90" s="31">
        <v>151.27400000000003</v>
      </c>
      <c r="AD90" s="31">
        <v>160.35700000000003</v>
      </c>
      <c r="AE90" s="31">
        <v>156.12400000000005</v>
      </c>
      <c r="AF90" s="31">
        <v>167.87700000000009</v>
      </c>
      <c r="AG90" s="31">
        <v>151.50600000000003</v>
      </c>
      <c r="AH90" s="31">
        <v>155.38964516129033</v>
      </c>
    </row>
    <row r="91" spans="1:34" x14ac:dyDescent="0.3">
      <c r="A91" s="12" t="s">
        <v>110</v>
      </c>
      <c r="B91" s="137">
        <v>1</v>
      </c>
      <c r="C91" s="31">
        <v>0</v>
      </c>
      <c r="D91" s="31">
        <v>0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31">
        <v>0</v>
      </c>
      <c r="AD91" s="31">
        <v>0</v>
      </c>
      <c r="AE91" s="31">
        <v>0</v>
      </c>
      <c r="AF91" s="31">
        <v>0</v>
      </c>
      <c r="AG91" s="31">
        <v>0</v>
      </c>
      <c r="AH91" s="31">
        <v>0</v>
      </c>
    </row>
    <row r="92" spans="1:34" x14ac:dyDescent="0.3">
      <c r="A92" s="12" t="s">
        <v>440</v>
      </c>
      <c r="B92" s="137">
        <v>2</v>
      </c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>
        <v>12.85</v>
      </c>
      <c r="R92" s="31">
        <v>23.46</v>
      </c>
      <c r="S92" s="31">
        <v>6.3650000000000002</v>
      </c>
      <c r="T92" s="31">
        <v>13.439</v>
      </c>
      <c r="U92" s="31">
        <v>31.288000000000004</v>
      </c>
      <c r="V92" s="31">
        <v>90.582000000000008</v>
      </c>
      <c r="W92" s="31">
        <v>83.385000000000005</v>
      </c>
      <c r="X92" s="31">
        <v>56.26</v>
      </c>
      <c r="Y92" s="31">
        <v>62.417999999999999</v>
      </c>
      <c r="Z92" s="31">
        <v>0</v>
      </c>
      <c r="AA92" s="31">
        <v>0</v>
      </c>
      <c r="AB92" s="31">
        <v>0</v>
      </c>
      <c r="AC92" s="31">
        <v>0</v>
      </c>
      <c r="AD92" s="31">
        <v>0</v>
      </c>
      <c r="AE92" s="31">
        <v>0</v>
      </c>
      <c r="AF92" s="31">
        <v>0</v>
      </c>
      <c r="AG92" s="31">
        <v>0</v>
      </c>
      <c r="AH92" s="31">
        <v>22.355705882352943</v>
      </c>
    </row>
    <row r="93" spans="1:34" x14ac:dyDescent="0.3">
      <c r="A93" s="12" t="s">
        <v>442</v>
      </c>
      <c r="B93" s="137">
        <v>2</v>
      </c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>
        <v>0</v>
      </c>
      <c r="S93" s="31">
        <v>5.5449999999999999</v>
      </c>
      <c r="T93" s="31">
        <v>7.3480000000000008</v>
      </c>
      <c r="U93" s="31">
        <v>7.2690000000000001</v>
      </c>
      <c r="V93" s="31">
        <v>3.67</v>
      </c>
      <c r="W93" s="31">
        <v>8.2469999999999999</v>
      </c>
      <c r="X93" s="31">
        <v>7.0720000000000001</v>
      </c>
      <c r="Y93" s="31">
        <v>10.069999999999999</v>
      </c>
      <c r="Z93" s="31">
        <v>10.407999999999999</v>
      </c>
      <c r="AA93" s="31">
        <v>11.718</v>
      </c>
      <c r="AB93" s="31">
        <v>15.358000000000001</v>
      </c>
      <c r="AC93" s="31">
        <v>0</v>
      </c>
      <c r="AD93" s="31">
        <v>0</v>
      </c>
      <c r="AE93" s="31">
        <v>0</v>
      </c>
      <c r="AF93" s="31">
        <v>0</v>
      </c>
      <c r="AG93" s="31">
        <v>13.05</v>
      </c>
      <c r="AH93" s="31">
        <v>6.2346875000000006</v>
      </c>
    </row>
    <row r="94" spans="1:34" x14ac:dyDescent="0.3">
      <c r="A94" s="12" t="s">
        <v>455</v>
      </c>
      <c r="B94" s="137">
        <v>5</v>
      </c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31">
        <v>0</v>
      </c>
      <c r="AD94" s="31">
        <v>0.75</v>
      </c>
      <c r="AE94" s="31">
        <v>0</v>
      </c>
      <c r="AF94" s="31">
        <v>0</v>
      </c>
      <c r="AG94" s="31">
        <v>0</v>
      </c>
      <c r="AH94" s="31">
        <v>6.8181818181818177E-2</v>
      </c>
    </row>
    <row r="95" spans="1:34" x14ac:dyDescent="0.3">
      <c r="A95" s="12" t="s">
        <v>456</v>
      </c>
      <c r="B95" s="137">
        <v>2</v>
      </c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>
        <v>0</v>
      </c>
      <c r="Z95" s="31">
        <v>0</v>
      </c>
      <c r="AA95" s="31">
        <v>0</v>
      </c>
      <c r="AB95" s="31">
        <v>1.01</v>
      </c>
      <c r="AC95" s="31">
        <v>0</v>
      </c>
      <c r="AD95" s="31">
        <v>0</v>
      </c>
      <c r="AE95" s="31">
        <v>0</v>
      </c>
      <c r="AF95" s="31">
        <v>0</v>
      </c>
      <c r="AG95" s="31">
        <v>0</v>
      </c>
      <c r="AH95" s="31">
        <v>0.11222222222222222</v>
      </c>
    </row>
    <row r="96" spans="1:34" x14ac:dyDescent="0.3">
      <c r="A96" s="12" t="s">
        <v>457</v>
      </c>
      <c r="B96" s="137">
        <v>3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>
        <v>31.574999999999999</v>
      </c>
      <c r="AF96" s="31">
        <v>43.064999999999998</v>
      </c>
      <c r="AG96" s="31">
        <v>44.242999999999995</v>
      </c>
      <c r="AH96" s="31">
        <v>39.627666666666663</v>
      </c>
    </row>
    <row r="97" spans="1:34" x14ac:dyDescent="0.3">
      <c r="A97" s="12" t="s">
        <v>458</v>
      </c>
      <c r="B97" s="137">
        <v>2</v>
      </c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>
        <v>0</v>
      </c>
      <c r="AF97" s="31">
        <v>0</v>
      </c>
      <c r="AG97" s="31">
        <v>0</v>
      </c>
      <c r="AH97" s="31">
        <v>0</v>
      </c>
    </row>
    <row r="98" spans="1:34" x14ac:dyDescent="0.3">
      <c r="A98" s="12" t="s">
        <v>83</v>
      </c>
      <c r="B98" s="137">
        <v>728</v>
      </c>
      <c r="C98" s="31">
        <v>4880.9939999999988</v>
      </c>
      <c r="D98" s="31">
        <v>5005.1220000000003</v>
      </c>
      <c r="E98" s="31">
        <v>4765.2960000000003</v>
      </c>
      <c r="F98" s="31">
        <v>5296.9269999999988</v>
      </c>
      <c r="G98" s="31">
        <v>5399.6620000000003</v>
      </c>
      <c r="H98" s="31">
        <v>5547.8600000000006</v>
      </c>
      <c r="I98" s="31">
        <v>5545.8149999999996</v>
      </c>
      <c r="J98" s="31">
        <v>5620.5480000000007</v>
      </c>
      <c r="K98" s="31">
        <v>5473.3489999999983</v>
      </c>
      <c r="L98" s="31">
        <v>5395.4929999999995</v>
      </c>
      <c r="M98" s="31">
        <v>5404.3049999999994</v>
      </c>
      <c r="N98" s="31">
        <v>4694.2230000000027</v>
      </c>
      <c r="O98" s="31">
        <v>5291.2039999999997</v>
      </c>
      <c r="P98" s="31">
        <v>5662.683</v>
      </c>
      <c r="Q98" s="31">
        <v>5348.3470000000007</v>
      </c>
      <c r="R98" s="31">
        <v>5781.8010000000004</v>
      </c>
      <c r="S98" s="31">
        <v>5348.3490000000002</v>
      </c>
      <c r="T98" s="31">
        <v>5649.4320000000007</v>
      </c>
      <c r="U98" s="31">
        <v>5471.4710000000014</v>
      </c>
      <c r="V98" s="31">
        <v>4839.7100000000009</v>
      </c>
      <c r="W98" s="31">
        <v>4684.0339999999997</v>
      </c>
      <c r="X98" s="31">
        <v>5097.1059999999998</v>
      </c>
      <c r="Y98" s="31">
        <v>4838.482</v>
      </c>
      <c r="Z98" s="31">
        <v>4786.2830000000013</v>
      </c>
      <c r="AA98" s="31">
        <v>5506.0070000000005</v>
      </c>
      <c r="AB98" s="31">
        <v>5535.6370000000006</v>
      </c>
      <c r="AC98" s="31">
        <v>5416.0800000000008</v>
      </c>
      <c r="AD98" s="31">
        <v>5514.9930000000013</v>
      </c>
      <c r="AE98" s="31">
        <v>5561.3139999999976</v>
      </c>
      <c r="AF98" s="137">
        <v>5315.9969999999994</v>
      </c>
      <c r="AG98" s="31">
        <v>5069.2940000000017</v>
      </c>
      <c r="AH98" s="31">
        <v>5332.3573164776435</v>
      </c>
    </row>
    <row r="115" spans="1:32" x14ac:dyDescent="0.3">
      <c r="A115" s="30" t="s">
        <v>158</v>
      </c>
      <c r="B115" s="12" t="s">
        <v>418</v>
      </c>
      <c r="C115" s="12" t="s">
        <v>419</v>
      </c>
      <c r="D115" s="12" t="s">
        <v>420</v>
      </c>
      <c r="E115" s="12" t="s">
        <v>421</v>
      </c>
      <c r="F115" s="12" t="s">
        <v>422</v>
      </c>
      <c r="G115" s="12" t="s">
        <v>423</v>
      </c>
      <c r="H115" s="12" t="s">
        <v>438</v>
      </c>
      <c r="I115" s="12" t="s">
        <v>425</v>
      </c>
      <c r="J115" s="12" t="s">
        <v>426</v>
      </c>
      <c r="K115" s="12" t="s">
        <v>427</v>
      </c>
      <c r="L115" s="12" t="s">
        <v>428</v>
      </c>
      <c r="M115" s="12" t="s">
        <v>429</v>
      </c>
      <c r="N115" s="12" t="s">
        <v>430</v>
      </c>
      <c r="O115" s="12" t="s">
        <v>436</v>
      </c>
      <c r="P115" s="12" t="s">
        <v>437</v>
      </c>
      <c r="Q115" s="12" t="s">
        <v>439</v>
      </c>
      <c r="R115" s="12" t="s">
        <v>443</v>
      </c>
      <c r="S115" s="12" t="s">
        <v>444</v>
      </c>
      <c r="T115" s="12" t="s">
        <v>445</v>
      </c>
      <c r="U115" s="12" t="s">
        <v>446</v>
      </c>
      <c r="V115" s="12" t="s">
        <v>447</v>
      </c>
      <c r="W115" s="12" t="s">
        <v>449</v>
      </c>
      <c r="X115" s="12" t="s">
        <v>448</v>
      </c>
      <c r="Y115" s="12" t="s">
        <v>450</v>
      </c>
      <c r="Z115" s="12" t="s">
        <v>451</v>
      </c>
      <c r="AA115" s="12" t="s">
        <v>452</v>
      </c>
      <c r="AB115" s="12" t="s">
        <v>453</v>
      </c>
      <c r="AC115" s="12" t="s">
        <v>454</v>
      </c>
      <c r="AD115" s="12" t="s">
        <v>459</v>
      </c>
      <c r="AE115" s="12" t="s">
        <v>460</v>
      </c>
      <c r="AF115" s="12" t="s">
        <v>461</v>
      </c>
    </row>
    <row r="116" spans="1:32" x14ac:dyDescent="0.3">
      <c r="A116" s="12" t="s">
        <v>273</v>
      </c>
      <c r="B116" s="31">
        <v>4025.9809999999998</v>
      </c>
      <c r="C116" s="31">
        <v>4135.2289999999994</v>
      </c>
      <c r="D116" s="31">
        <v>4240.8469999999998</v>
      </c>
      <c r="E116" s="31">
        <v>4792.1889999999985</v>
      </c>
      <c r="F116" s="31">
        <v>4595.3739999999998</v>
      </c>
      <c r="G116" s="31">
        <v>4585.889000000001</v>
      </c>
      <c r="H116" s="31">
        <v>50</v>
      </c>
      <c r="I116" s="31">
        <v>4665.6719999999996</v>
      </c>
      <c r="J116" s="31">
        <v>4666.5120000000006</v>
      </c>
      <c r="K116" s="31">
        <v>4776.030999999999</v>
      </c>
      <c r="L116" s="31">
        <v>4776.4070000000011</v>
      </c>
      <c r="M116" s="31">
        <v>4015.2110000000007</v>
      </c>
      <c r="N116" s="31">
        <v>4407.9770000000008</v>
      </c>
      <c r="O116" s="31">
        <v>4663.518</v>
      </c>
      <c r="P116" s="31">
        <v>4561.6370000000006</v>
      </c>
      <c r="Q116" s="31">
        <v>4965.1849999999986</v>
      </c>
      <c r="R116" s="31">
        <v>4738.5630000000001</v>
      </c>
      <c r="S116" s="31">
        <v>5017.9739999999983</v>
      </c>
      <c r="T116" s="31">
        <v>4726.8580000000011</v>
      </c>
      <c r="U116" s="31">
        <v>3974.1159999999991</v>
      </c>
      <c r="V116" s="31">
        <v>3773.5740000000005</v>
      </c>
      <c r="W116" s="31">
        <v>4315.9299999999994</v>
      </c>
      <c r="X116" s="31">
        <v>3921.954999999999</v>
      </c>
      <c r="Y116" s="31">
        <v>4128.3769999999995</v>
      </c>
      <c r="Z116" s="31">
        <v>4938.6440000000011</v>
      </c>
      <c r="AA116" s="31">
        <v>4866.9550000000017</v>
      </c>
      <c r="AB116" s="31">
        <v>4583.165</v>
      </c>
      <c r="AC116" s="31">
        <v>4641.4179999999997</v>
      </c>
      <c r="AD116" s="31">
        <v>4696.7910000000011</v>
      </c>
      <c r="AE116" s="31">
        <v>4354.4800000000005</v>
      </c>
      <c r="AF116" s="31">
        <v>4469.5280000000002</v>
      </c>
    </row>
    <row r="117" spans="1:32" x14ac:dyDescent="0.3">
      <c r="A117" s="12" t="s">
        <v>160</v>
      </c>
      <c r="B117" s="31">
        <v>855.01300000000015</v>
      </c>
      <c r="C117" s="31">
        <v>869.89300000000003</v>
      </c>
      <c r="D117" s="31">
        <v>524.44899999999996</v>
      </c>
      <c r="E117" s="31">
        <v>504.738</v>
      </c>
      <c r="F117" s="31">
        <v>793.44200000000001</v>
      </c>
      <c r="G117" s="31">
        <v>961.97100000000012</v>
      </c>
      <c r="H117" s="31">
        <v>46</v>
      </c>
      <c r="I117" s="31">
        <v>954.87599999999986</v>
      </c>
      <c r="J117" s="31">
        <v>806.83699999999999</v>
      </c>
      <c r="K117" s="31">
        <v>619.46200000000022</v>
      </c>
      <c r="L117" s="31">
        <v>627.89800000000002</v>
      </c>
      <c r="M117" s="31">
        <v>679.01199999999994</v>
      </c>
      <c r="N117" s="31">
        <v>883.2270000000002</v>
      </c>
      <c r="O117" s="31">
        <v>999.16500000000008</v>
      </c>
      <c r="P117" s="31">
        <v>786.70999999999992</v>
      </c>
      <c r="Q117" s="31">
        <v>816.61599999999999</v>
      </c>
      <c r="R117" s="31">
        <v>609.78599999999983</v>
      </c>
      <c r="S117" s="31">
        <v>631.45799999999986</v>
      </c>
      <c r="T117" s="31">
        <v>744.61300000000006</v>
      </c>
      <c r="U117" s="31">
        <v>865.59399999999994</v>
      </c>
      <c r="V117" s="31">
        <v>910.45999999999992</v>
      </c>
      <c r="W117" s="31">
        <v>781.17599999999993</v>
      </c>
      <c r="X117" s="31">
        <v>914.73300000000017</v>
      </c>
      <c r="Y117" s="31">
        <v>657.90599999999995</v>
      </c>
      <c r="Z117" s="31">
        <v>567.36300000000006</v>
      </c>
      <c r="AA117" s="31">
        <v>668.6819999999999</v>
      </c>
      <c r="AB117" s="31">
        <v>832.91500000000008</v>
      </c>
      <c r="AC117" s="31">
        <v>873.57499999999993</v>
      </c>
      <c r="AD117" s="31">
        <v>864.52299999999991</v>
      </c>
      <c r="AE117" s="31">
        <v>961.1049999999999</v>
      </c>
      <c r="AF117" s="31">
        <v>586.22399999999993</v>
      </c>
    </row>
    <row r="118" spans="1:32" x14ac:dyDescent="0.3">
      <c r="A118" s="12" t="s">
        <v>272</v>
      </c>
      <c r="B118" s="31">
        <v>0</v>
      </c>
      <c r="C118" s="31">
        <v>0</v>
      </c>
      <c r="D118" s="31">
        <v>0</v>
      </c>
      <c r="E118" s="31">
        <v>0</v>
      </c>
      <c r="F118" s="31">
        <v>10.846</v>
      </c>
      <c r="G118" s="31">
        <v>0</v>
      </c>
      <c r="H118" s="31">
        <v>8</v>
      </c>
      <c r="I118" s="31">
        <v>0</v>
      </c>
      <c r="J118" s="31">
        <v>0</v>
      </c>
      <c r="K118" s="31">
        <v>0</v>
      </c>
      <c r="L118" s="31">
        <v>0</v>
      </c>
      <c r="M118" s="31">
        <v>0</v>
      </c>
      <c r="N118" s="31">
        <v>0</v>
      </c>
      <c r="O118" s="31">
        <v>0</v>
      </c>
      <c r="P118" s="31">
        <v>0</v>
      </c>
      <c r="Q118" s="31">
        <v>0</v>
      </c>
      <c r="R118" s="31">
        <v>0</v>
      </c>
      <c r="S118" s="31">
        <v>0</v>
      </c>
      <c r="T118" s="31">
        <v>0</v>
      </c>
      <c r="U118" s="31">
        <v>0</v>
      </c>
      <c r="V118" s="31">
        <v>0</v>
      </c>
      <c r="W118" s="31">
        <v>0</v>
      </c>
      <c r="X118" s="31">
        <v>1.794</v>
      </c>
      <c r="Y118" s="31">
        <v>0</v>
      </c>
      <c r="Z118" s="31">
        <v>0</v>
      </c>
      <c r="AA118" s="31">
        <v>0</v>
      </c>
      <c r="AB118" s="31">
        <v>0</v>
      </c>
      <c r="AC118" s="31">
        <v>0</v>
      </c>
      <c r="AD118" s="31">
        <v>0</v>
      </c>
      <c r="AE118" s="31">
        <v>0.41199999999999998</v>
      </c>
      <c r="AF118" s="31">
        <v>13.542</v>
      </c>
    </row>
    <row r="119" spans="1:32" x14ac:dyDescent="0.3">
      <c r="A119" s="12" t="s">
        <v>83</v>
      </c>
      <c r="B119" s="31">
        <v>4880.9939999999997</v>
      </c>
      <c r="C119" s="31">
        <v>5005.1219999999994</v>
      </c>
      <c r="D119" s="31">
        <v>4765.2959999999994</v>
      </c>
      <c r="E119" s="31">
        <v>5296.9269999999988</v>
      </c>
      <c r="F119" s="31">
        <v>5399.6620000000012</v>
      </c>
      <c r="G119" s="31">
        <v>5547.8600000000015</v>
      </c>
      <c r="H119" s="31">
        <v>104</v>
      </c>
      <c r="I119" s="31">
        <v>5620.5479999999989</v>
      </c>
      <c r="J119" s="31">
        <v>5473.3489999999993</v>
      </c>
      <c r="K119" s="31">
        <v>5395.4929999999995</v>
      </c>
      <c r="L119" s="31">
        <v>5404.3049999999994</v>
      </c>
      <c r="M119" s="31">
        <v>4694.2230000000018</v>
      </c>
      <c r="N119" s="31">
        <v>5291.2039999999997</v>
      </c>
      <c r="O119" s="31">
        <v>5662.6830000000009</v>
      </c>
      <c r="P119" s="31">
        <v>5348.3470000000016</v>
      </c>
      <c r="Q119" s="31">
        <v>5781.8009999999986</v>
      </c>
      <c r="R119" s="31">
        <v>5348.3489999999993</v>
      </c>
      <c r="S119" s="31">
        <v>5649.431999999998</v>
      </c>
      <c r="T119" s="31">
        <v>5471.4710000000014</v>
      </c>
      <c r="U119" s="31">
        <v>4839.7100000000009</v>
      </c>
      <c r="V119" s="31">
        <v>4684.0340000000006</v>
      </c>
      <c r="W119" s="31">
        <v>5097.1059999999998</v>
      </c>
      <c r="X119" s="31">
        <v>4838.4819999999982</v>
      </c>
      <c r="Y119" s="31">
        <v>4786.2830000000013</v>
      </c>
      <c r="Z119" s="31">
        <v>5506.0070000000023</v>
      </c>
      <c r="AA119" s="31">
        <v>5535.6370000000015</v>
      </c>
      <c r="AB119" s="31">
        <v>5416.0799999999981</v>
      </c>
      <c r="AC119" s="31">
        <v>5514.9929999999977</v>
      </c>
      <c r="AD119" s="31">
        <v>5561.3140000000021</v>
      </c>
      <c r="AE119" s="31">
        <v>5315.9970000000003</v>
      </c>
      <c r="AF119" s="31">
        <v>5069.2940000000026</v>
      </c>
    </row>
  </sheetData>
  <pageMargins left="0.7" right="0.7" top="0.75" bottom="0.75" header="0.3" footer="0.3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P118"/>
  <sheetViews>
    <sheetView topLeftCell="A65" zoomScaleNormal="100" workbookViewId="0">
      <pane xSplit="8" topLeftCell="AK1" activePane="topRight" state="frozen"/>
      <selection activeCell="F29" sqref="F29"/>
      <selection pane="topRight" activeCell="C80" sqref="C80"/>
    </sheetView>
  </sheetViews>
  <sheetFormatPr defaultRowHeight="14.4" x14ac:dyDescent="0.3"/>
  <cols>
    <col min="1" max="1" width="6.6640625" bestFit="1" customWidth="1"/>
    <col min="2" max="2" width="14.6640625" bestFit="1" customWidth="1"/>
    <col min="3" max="3" width="28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40" width="10.44140625" customWidth="1"/>
    <col min="42" max="42" width="10.33203125" customWidth="1"/>
  </cols>
  <sheetData>
    <row r="1" spans="1:42" ht="30.75" customHeight="1" x14ac:dyDescent="0.3">
      <c r="A1" s="1" t="s">
        <v>0</v>
      </c>
      <c r="B1" s="2" t="s">
        <v>1</v>
      </c>
      <c r="C1" s="2" t="s">
        <v>394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45505</v>
      </c>
      <c r="K1" s="16">
        <v>45506</v>
      </c>
      <c r="L1" s="16">
        <v>45507</v>
      </c>
      <c r="M1" s="16">
        <v>45508</v>
      </c>
      <c r="N1" s="16">
        <v>45509</v>
      </c>
      <c r="O1" s="16">
        <v>45510</v>
      </c>
      <c r="P1" s="16">
        <v>45511</v>
      </c>
      <c r="Q1" s="16">
        <v>45512</v>
      </c>
      <c r="R1" s="16">
        <v>45513</v>
      </c>
      <c r="S1" s="16">
        <v>45514</v>
      </c>
      <c r="T1" s="16">
        <v>45515</v>
      </c>
      <c r="U1" s="16">
        <v>45516</v>
      </c>
      <c r="V1" s="16">
        <v>45517</v>
      </c>
      <c r="W1" s="16">
        <v>45518</v>
      </c>
      <c r="X1" s="16">
        <v>45519</v>
      </c>
      <c r="Y1" s="16">
        <v>45520</v>
      </c>
      <c r="Z1" s="16">
        <v>45521</v>
      </c>
      <c r="AA1" s="16">
        <v>45522</v>
      </c>
      <c r="AB1" s="16">
        <v>45523</v>
      </c>
      <c r="AC1" s="16">
        <v>45524</v>
      </c>
      <c r="AD1" s="16">
        <v>45525</v>
      </c>
      <c r="AE1" s="16">
        <v>45526</v>
      </c>
      <c r="AF1" s="16">
        <v>45527</v>
      </c>
      <c r="AG1" s="16">
        <v>45528</v>
      </c>
      <c r="AH1" s="16">
        <v>45529</v>
      </c>
      <c r="AI1" s="16">
        <v>45530</v>
      </c>
      <c r="AJ1" s="16">
        <v>45531</v>
      </c>
      <c r="AK1" s="16">
        <v>45532</v>
      </c>
      <c r="AL1" s="16">
        <v>45533</v>
      </c>
      <c r="AM1" s="16">
        <v>45534</v>
      </c>
      <c r="AN1" s="16">
        <v>45535</v>
      </c>
      <c r="AO1" s="13" t="s">
        <v>8</v>
      </c>
      <c r="AP1" s="66" t="s">
        <v>154</v>
      </c>
    </row>
    <row r="2" spans="1:42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46">
        <v>0</v>
      </c>
      <c r="K2" s="45">
        <v>0</v>
      </c>
      <c r="L2" s="45">
        <v>0</v>
      </c>
      <c r="M2" s="45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60">
        <v>0</v>
      </c>
      <c r="AJ2" s="60">
        <v>0</v>
      </c>
      <c r="AK2" s="60">
        <v>0</v>
      </c>
      <c r="AL2" s="60">
        <v>0</v>
      </c>
      <c r="AM2" s="60">
        <v>0</v>
      </c>
      <c r="AN2" s="60">
        <v>0</v>
      </c>
      <c r="AO2" s="46">
        <f>AVERAGE(J2:AN2)</f>
        <v>0</v>
      </c>
      <c r="AP2" s="67">
        <f t="shared" ref="AP2:AP33" si="0">AO2/H2</f>
        <v>0</v>
      </c>
    </row>
    <row r="3" spans="1:42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46">
        <v>118.81300000000002</v>
      </c>
      <c r="K3" s="46">
        <v>110.40499999999996</v>
      </c>
      <c r="L3" s="46">
        <v>125.74000000000002</v>
      </c>
      <c r="M3" s="46">
        <v>104.44600000000003</v>
      </c>
      <c r="N3" s="46">
        <v>127.09899999999996</v>
      </c>
      <c r="O3" s="46">
        <v>126.52300000000001</v>
      </c>
      <c r="P3" s="46">
        <v>133.506</v>
      </c>
      <c r="Q3" s="46">
        <v>101.42500000000001</v>
      </c>
      <c r="R3" s="46">
        <v>128.54000000000002</v>
      </c>
      <c r="S3" s="46">
        <v>119.93199999999999</v>
      </c>
      <c r="T3" s="46">
        <v>113.575</v>
      </c>
      <c r="U3" s="46">
        <v>111.48100000000001</v>
      </c>
      <c r="V3" s="46">
        <v>129.136</v>
      </c>
      <c r="W3" s="46">
        <v>96.273999999999987</v>
      </c>
      <c r="X3" s="46">
        <v>121.21499999999999</v>
      </c>
      <c r="Y3" s="46">
        <v>102.71</v>
      </c>
      <c r="Z3" s="46">
        <v>133.571</v>
      </c>
      <c r="AA3" s="46">
        <v>125.67600000000002</v>
      </c>
      <c r="AB3" s="46">
        <v>66.027999999999992</v>
      </c>
      <c r="AC3" s="46">
        <v>54.838000000000001</v>
      </c>
      <c r="AD3" s="46">
        <v>131.94499999999999</v>
      </c>
      <c r="AE3" s="46">
        <v>101.51599999999999</v>
      </c>
      <c r="AF3" s="46">
        <v>128.69400000000002</v>
      </c>
      <c r="AG3" s="46">
        <v>96.675000000000011</v>
      </c>
      <c r="AH3" s="46">
        <v>137.011</v>
      </c>
      <c r="AI3" s="46">
        <v>122.12899999999999</v>
      </c>
      <c r="AJ3" s="46">
        <v>109.64400000000001</v>
      </c>
      <c r="AK3" s="46">
        <v>116.65900000000001</v>
      </c>
      <c r="AL3" s="46">
        <v>117.87100000000002</v>
      </c>
      <c r="AM3" s="46">
        <v>112.20599999999999</v>
      </c>
      <c r="AN3" s="46">
        <v>80.317999999999984</v>
      </c>
      <c r="AO3" s="46">
        <f t="shared" ref="AO3:AO66" si="1">AVERAGE(J3:AN3)</f>
        <v>113.08390322580644</v>
      </c>
      <c r="AP3" s="67">
        <f t="shared" si="0"/>
        <v>12.564878136200715</v>
      </c>
    </row>
    <row r="4" spans="1:42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46">
        <v>0</v>
      </c>
      <c r="K4" s="45">
        <v>0</v>
      </c>
      <c r="L4" s="45">
        <v>0</v>
      </c>
      <c r="M4" s="45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f t="shared" si="1"/>
        <v>0</v>
      </c>
      <c r="AP4" s="67">
        <f t="shared" si="0"/>
        <v>0</v>
      </c>
    </row>
    <row r="5" spans="1:42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46">
        <v>127.94799999999999</v>
      </c>
      <c r="K5" s="46">
        <v>87.940999999999988</v>
      </c>
      <c r="L5" s="46">
        <v>96.367000000000004</v>
      </c>
      <c r="M5" s="46">
        <v>129.72</v>
      </c>
      <c r="N5" s="46">
        <v>131.67000000000002</v>
      </c>
      <c r="O5" s="46">
        <v>126.21599999999999</v>
      </c>
      <c r="P5" s="46">
        <v>118.96000000000001</v>
      </c>
      <c r="Q5" s="46">
        <v>144.56100000000001</v>
      </c>
      <c r="R5" s="46">
        <v>126.239</v>
      </c>
      <c r="S5" s="46">
        <v>115.74099999999999</v>
      </c>
      <c r="T5" s="46">
        <v>137.38299999999998</v>
      </c>
      <c r="U5" s="46">
        <v>79.131</v>
      </c>
      <c r="V5" s="46">
        <v>91.984000000000009</v>
      </c>
      <c r="W5" s="46">
        <v>89.492000000000004</v>
      </c>
      <c r="X5" s="46">
        <v>113.29100000000001</v>
      </c>
      <c r="Y5" s="46">
        <v>91.26</v>
      </c>
      <c r="Z5" s="46">
        <v>102.70899999999999</v>
      </c>
      <c r="AA5" s="46">
        <v>79.355999999999995</v>
      </c>
      <c r="AB5" s="46">
        <v>147.20699999999999</v>
      </c>
      <c r="AC5" s="46">
        <v>99.491</v>
      </c>
      <c r="AD5" s="46">
        <v>89.94</v>
      </c>
      <c r="AE5" s="46">
        <v>99.469000000000008</v>
      </c>
      <c r="AF5" s="46">
        <v>61.13</v>
      </c>
      <c r="AG5" s="46">
        <v>80.194000000000003</v>
      </c>
      <c r="AH5" s="46">
        <v>102.547</v>
      </c>
      <c r="AI5" s="46">
        <v>44.628999999999998</v>
      </c>
      <c r="AJ5" s="46">
        <v>107.04599999999999</v>
      </c>
      <c r="AK5" s="46">
        <v>106.739</v>
      </c>
      <c r="AL5" s="46">
        <v>80.694000000000003</v>
      </c>
      <c r="AM5" s="46">
        <v>58.381999999999998</v>
      </c>
      <c r="AN5" s="46">
        <v>66.331999999999994</v>
      </c>
      <c r="AO5" s="46">
        <f t="shared" si="1"/>
        <v>101.08932258064516</v>
      </c>
      <c r="AP5" s="67">
        <f t="shared" si="0"/>
        <v>12.636165322580645</v>
      </c>
    </row>
    <row r="6" spans="1:42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26</v>
      </c>
      <c r="I6" s="74" t="s">
        <v>273</v>
      </c>
      <c r="J6" s="46">
        <v>777.49599999999987</v>
      </c>
      <c r="K6" s="46">
        <v>751.30500000000006</v>
      </c>
      <c r="L6" s="46">
        <v>704.0440000000001</v>
      </c>
      <c r="M6" s="46">
        <v>768.66699999999969</v>
      </c>
      <c r="N6" s="46">
        <v>824.48599999999999</v>
      </c>
      <c r="O6" s="46">
        <v>914.64199999999994</v>
      </c>
      <c r="P6" s="46">
        <v>901.71400000000006</v>
      </c>
      <c r="Q6" s="46">
        <v>986.80400000000009</v>
      </c>
      <c r="R6" s="46">
        <v>994.15500000000009</v>
      </c>
      <c r="S6" s="46">
        <v>930.25500000000011</v>
      </c>
      <c r="T6" s="46">
        <v>989.37700000000007</v>
      </c>
      <c r="U6" s="46">
        <v>744.92900000000031</v>
      </c>
      <c r="V6" s="46">
        <v>1013.9089999999998</v>
      </c>
      <c r="W6" s="46">
        <v>882.72800000000029</v>
      </c>
      <c r="X6" s="46">
        <v>802.74399999999957</v>
      </c>
      <c r="Y6" s="46">
        <v>1170.0639999999999</v>
      </c>
      <c r="Z6" s="46">
        <v>744.76300000000026</v>
      </c>
      <c r="AA6" s="46">
        <v>1097.606</v>
      </c>
      <c r="AB6" s="46">
        <v>872.24100000000021</v>
      </c>
      <c r="AC6" s="46">
        <v>806.51899999999966</v>
      </c>
      <c r="AD6" s="46">
        <v>993.99899999999991</v>
      </c>
      <c r="AE6" s="46">
        <v>805.80500000000006</v>
      </c>
      <c r="AF6" s="46">
        <v>891.90399999999966</v>
      </c>
      <c r="AG6" s="46">
        <v>837.95999999999958</v>
      </c>
      <c r="AH6" s="46">
        <v>1110.1919999999998</v>
      </c>
      <c r="AI6" s="46">
        <v>996.87199999999996</v>
      </c>
      <c r="AJ6" s="46">
        <v>671.21599999999989</v>
      </c>
      <c r="AK6" s="46">
        <v>1170.0290000000005</v>
      </c>
      <c r="AL6" s="46">
        <v>1042.03</v>
      </c>
      <c r="AM6" s="46">
        <v>826.82299999999975</v>
      </c>
      <c r="AN6" s="46">
        <v>962.02700000000027</v>
      </c>
      <c r="AO6" s="46">
        <f t="shared" si="1"/>
        <v>902.81629032258058</v>
      </c>
      <c r="AP6" s="67">
        <f t="shared" si="0"/>
        <v>34.723703473945406</v>
      </c>
    </row>
    <row r="7" spans="1:42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46">
        <v>0</v>
      </c>
      <c r="K7" s="45">
        <v>0</v>
      </c>
      <c r="L7" s="45">
        <v>0</v>
      </c>
      <c r="M7" s="45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60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f t="shared" si="1"/>
        <v>0</v>
      </c>
      <c r="AP7" s="67">
        <f t="shared" si="0"/>
        <v>0</v>
      </c>
    </row>
    <row r="8" spans="1:42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64</v>
      </c>
      <c r="G8" s="6" t="s">
        <v>80</v>
      </c>
      <c r="H8" s="5">
        <v>1</v>
      </c>
      <c r="I8" s="74" t="s">
        <v>273</v>
      </c>
      <c r="J8" s="46"/>
      <c r="K8" s="45"/>
      <c r="L8" s="45"/>
      <c r="M8" s="45"/>
      <c r="N8" s="46"/>
      <c r="O8" s="46"/>
      <c r="P8" s="46"/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2.92</v>
      </c>
      <c r="AF8" s="60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11.729999999999999</v>
      </c>
      <c r="AM8" s="46">
        <v>34.919999999999995</v>
      </c>
      <c r="AN8" s="46">
        <v>0</v>
      </c>
      <c r="AO8" s="46">
        <f t="shared" si="1"/>
        <v>2.0654166666666662</v>
      </c>
      <c r="AP8" s="67">
        <f t="shared" si="0"/>
        <v>2.0654166666666662</v>
      </c>
    </row>
    <row r="9" spans="1:42" ht="15.6" x14ac:dyDescent="0.3">
      <c r="A9" s="5">
        <v>8</v>
      </c>
      <c r="B9" s="6" t="s">
        <v>9</v>
      </c>
      <c r="C9" s="12" t="s">
        <v>203</v>
      </c>
      <c r="D9" s="6" t="s">
        <v>128</v>
      </c>
      <c r="E9" s="6" t="s">
        <v>12</v>
      </c>
      <c r="F9" s="6" t="s">
        <v>124</v>
      </c>
      <c r="G9" s="6" t="s">
        <v>80</v>
      </c>
      <c r="H9" s="5">
        <v>2</v>
      </c>
      <c r="I9" s="74" t="s">
        <v>273</v>
      </c>
      <c r="J9" s="46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6">
        <v>2.38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13.059999999999997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>
        <f t="shared" si="1"/>
        <v>0.49806451612903219</v>
      </c>
      <c r="AP9" s="67">
        <f t="shared" si="0"/>
        <v>0.24903225806451609</v>
      </c>
    </row>
    <row r="10" spans="1:42" ht="15.6" x14ac:dyDescent="0.3">
      <c r="A10" s="5">
        <v>9</v>
      </c>
      <c r="B10" s="6" t="s">
        <v>9</v>
      </c>
      <c r="C10" s="12" t="s">
        <v>204</v>
      </c>
      <c r="D10" s="6" t="s">
        <v>128</v>
      </c>
      <c r="E10" s="6" t="s">
        <v>12</v>
      </c>
      <c r="F10" s="6" t="s">
        <v>13</v>
      </c>
      <c r="G10" s="6" t="s">
        <v>35</v>
      </c>
      <c r="H10" s="5">
        <v>6</v>
      </c>
      <c r="I10" s="74" t="s">
        <v>273</v>
      </c>
      <c r="J10" s="46">
        <v>53.994</v>
      </c>
      <c r="K10" s="46">
        <v>37.805</v>
      </c>
      <c r="L10" s="46">
        <v>39.811999999999998</v>
      </c>
      <c r="M10" s="46">
        <v>20.071999999999999</v>
      </c>
      <c r="N10" s="46">
        <v>25.115999999999996</v>
      </c>
      <c r="O10" s="46">
        <v>32.048000000000002</v>
      </c>
      <c r="P10" s="46">
        <v>40.741</v>
      </c>
      <c r="Q10" s="46">
        <v>41.941999999999993</v>
      </c>
      <c r="R10" s="46">
        <v>30.45</v>
      </c>
      <c r="S10" s="46">
        <v>43.251999999999995</v>
      </c>
      <c r="T10" s="46">
        <v>32.012999999999998</v>
      </c>
      <c r="U10" s="46">
        <v>21.627000000000002</v>
      </c>
      <c r="V10" s="46">
        <v>45.239000000000004</v>
      </c>
      <c r="W10" s="46">
        <v>33.004000000000005</v>
      </c>
      <c r="X10" s="46">
        <v>18.135000000000002</v>
      </c>
      <c r="Y10" s="46">
        <v>33.308</v>
      </c>
      <c r="Z10" s="46">
        <v>19.939</v>
      </c>
      <c r="AA10" s="46">
        <v>18.326000000000001</v>
      </c>
      <c r="AB10" s="46">
        <v>14.776999999999999</v>
      </c>
      <c r="AC10" s="46">
        <v>8.0390000000000015</v>
      </c>
      <c r="AD10" s="46">
        <v>18.611000000000001</v>
      </c>
      <c r="AE10" s="46">
        <v>20.611999999999998</v>
      </c>
      <c r="AF10" s="46">
        <v>18.731999999999999</v>
      </c>
      <c r="AG10" s="46">
        <v>21.074999999999999</v>
      </c>
      <c r="AH10" s="46">
        <v>19.138000000000005</v>
      </c>
      <c r="AI10" s="46">
        <v>51.402000000000001</v>
      </c>
      <c r="AJ10" s="46">
        <v>28.145</v>
      </c>
      <c r="AK10" s="46">
        <v>35.295000000000002</v>
      </c>
      <c r="AL10" s="46">
        <v>33.585999999999999</v>
      </c>
      <c r="AM10" s="46">
        <v>35.195</v>
      </c>
      <c r="AN10" s="46">
        <v>35.512</v>
      </c>
      <c r="AO10" s="46">
        <f t="shared" si="1"/>
        <v>29.901354838709679</v>
      </c>
      <c r="AP10" s="67">
        <f t="shared" si="0"/>
        <v>4.9835591397849468</v>
      </c>
    </row>
    <row r="11" spans="1:42" ht="15.6" x14ac:dyDescent="0.3">
      <c r="A11" s="5">
        <v>10</v>
      </c>
      <c r="B11" s="6" t="s">
        <v>9</v>
      </c>
      <c r="C11" s="12" t="s">
        <v>205</v>
      </c>
      <c r="D11" s="6" t="s">
        <v>30</v>
      </c>
      <c r="E11" s="6" t="s">
        <v>12</v>
      </c>
      <c r="F11" s="6" t="s">
        <v>13</v>
      </c>
      <c r="G11" s="6" t="s">
        <v>35</v>
      </c>
      <c r="H11" s="5">
        <v>3</v>
      </c>
      <c r="I11" s="74" t="s">
        <v>273</v>
      </c>
      <c r="J11" s="46">
        <v>75.11</v>
      </c>
      <c r="K11" s="46">
        <v>88.111999999999995</v>
      </c>
      <c r="L11" s="46">
        <v>88.433000000000007</v>
      </c>
      <c r="M11" s="46">
        <v>77.337999999999994</v>
      </c>
      <c r="N11" s="46">
        <v>81.540000000000006</v>
      </c>
      <c r="O11" s="46">
        <v>87.846000000000004</v>
      </c>
      <c r="P11" s="46">
        <v>110.587</v>
      </c>
      <c r="Q11" s="46">
        <v>88.666999999999987</v>
      </c>
      <c r="R11" s="46">
        <v>104.627</v>
      </c>
      <c r="S11" s="46">
        <v>106.52299999999998</v>
      </c>
      <c r="T11" s="46">
        <v>94.74199999999999</v>
      </c>
      <c r="U11" s="46">
        <v>74.36399999999999</v>
      </c>
      <c r="V11" s="46">
        <v>104.89800000000001</v>
      </c>
      <c r="W11" s="46">
        <v>73.278999999999996</v>
      </c>
      <c r="X11" s="46">
        <v>82.681999999999988</v>
      </c>
      <c r="Y11" s="46">
        <v>76.323999999999998</v>
      </c>
      <c r="Z11" s="46">
        <v>109.82899999999999</v>
      </c>
      <c r="AA11" s="46">
        <v>92.63300000000001</v>
      </c>
      <c r="AB11" s="46">
        <v>72.537999999999997</v>
      </c>
      <c r="AC11" s="46">
        <v>93.805000000000007</v>
      </c>
      <c r="AD11" s="46">
        <v>88.741</v>
      </c>
      <c r="AE11" s="46">
        <v>58.258999999999993</v>
      </c>
      <c r="AF11" s="46">
        <v>92.932999999999993</v>
      </c>
      <c r="AG11" s="46">
        <v>84.801999999999992</v>
      </c>
      <c r="AH11" s="46">
        <v>102.55300000000001</v>
      </c>
      <c r="AI11" s="46">
        <v>66.600999999999999</v>
      </c>
      <c r="AJ11" s="46">
        <v>98.73</v>
      </c>
      <c r="AK11" s="46">
        <v>113.51599999999999</v>
      </c>
      <c r="AL11" s="46">
        <v>81.545999999999992</v>
      </c>
      <c r="AM11" s="46">
        <v>69.441000000000003</v>
      </c>
      <c r="AN11" s="46">
        <v>99.411000000000001</v>
      </c>
      <c r="AO11" s="46">
        <f t="shared" si="1"/>
        <v>88.400322580645152</v>
      </c>
      <c r="AP11" s="67">
        <f t="shared" si="0"/>
        <v>29.466774193548385</v>
      </c>
    </row>
    <row r="12" spans="1:42" x14ac:dyDescent="0.3">
      <c r="A12" s="5">
        <v>11</v>
      </c>
      <c r="B12" s="6" t="s">
        <v>9</v>
      </c>
      <c r="C12" s="12" t="s">
        <v>248</v>
      </c>
      <c r="D12" s="6" t="s">
        <v>128</v>
      </c>
      <c r="E12" s="6" t="s">
        <v>19</v>
      </c>
      <c r="F12" s="6" t="s">
        <v>13</v>
      </c>
      <c r="G12" s="6" t="s">
        <v>35</v>
      </c>
      <c r="H12" s="5">
        <v>1</v>
      </c>
      <c r="I12" s="67" t="s">
        <v>160</v>
      </c>
      <c r="J12" s="46">
        <v>3.3050000000000002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6.7460000000000004</v>
      </c>
      <c r="Q12" s="46">
        <v>0</v>
      </c>
      <c r="R12" s="51">
        <v>0</v>
      </c>
      <c r="S12" s="46">
        <v>2.524</v>
      </c>
      <c r="T12" s="46">
        <v>0</v>
      </c>
      <c r="U12" s="46">
        <v>0</v>
      </c>
      <c r="V12" s="46">
        <v>0</v>
      </c>
      <c r="W12" s="46">
        <v>0</v>
      </c>
      <c r="X12" s="46">
        <v>3.3439999999999999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3.9780000000000002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46">
        <v>3.3559999999999999</v>
      </c>
      <c r="AN12" s="46">
        <v>0</v>
      </c>
      <c r="AO12" s="46">
        <f t="shared" si="1"/>
        <v>0.75009677419354837</v>
      </c>
      <c r="AP12" s="67">
        <f t="shared" si="0"/>
        <v>0.75009677419354837</v>
      </c>
    </row>
    <row r="13" spans="1:42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40</v>
      </c>
      <c r="G13" s="6" t="s">
        <v>35</v>
      </c>
      <c r="H13" s="5">
        <v>2</v>
      </c>
      <c r="I13" s="67" t="s">
        <v>160</v>
      </c>
      <c r="J13" s="46">
        <v>0</v>
      </c>
      <c r="K13" s="46">
        <v>0</v>
      </c>
      <c r="L13" s="46">
        <v>0</v>
      </c>
      <c r="M13" s="46">
        <v>0</v>
      </c>
      <c r="N13" s="45">
        <v>0</v>
      </c>
      <c r="O13" s="46">
        <v>16.074000000000002</v>
      </c>
      <c r="P13" s="45">
        <v>0</v>
      </c>
      <c r="Q13" s="45">
        <v>0</v>
      </c>
      <c r="R13" s="45">
        <v>0</v>
      </c>
      <c r="S13" s="45">
        <v>0</v>
      </c>
      <c r="T13" s="45">
        <v>0</v>
      </c>
      <c r="U13" s="45">
        <v>0</v>
      </c>
      <c r="V13" s="45">
        <v>0</v>
      </c>
      <c r="W13" s="45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8.5570000000000004</v>
      </c>
      <c r="AL13" s="46">
        <v>2.6520000000000001</v>
      </c>
      <c r="AM13" s="46">
        <v>0</v>
      </c>
      <c r="AN13" s="46">
        <v>0</v>
      </c>
      <c r="AO13" s="46">
        <f t="shared" si="1"/>
        <v>0.88009677419354848</v>
      </c>
      <c r="AP13" s="67">
        <f t="shared" si="0"/>
        <v>0.44004838709677424</v>
      </c>
    </row>
    <row r="14" spans="1:42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160</v>
      </c>
      <c r="J14" s="46">
        <v>56.09</v>
      </c>
      <c r="K14" s="46">
        <v>66.02</v>
      </c>
      <c r="L14" s="46">
        <v>68.87</v>
      </c>
      <c r="M14" s="46">
        <v>74.89</v>
      </c>
      <c r="N14" s="46">
        <v>32.06</v>
      </c>
      <c r="O14" s="46">
        <v>12.799999999999999</v>
      </c>
      <c r="P14" s="46">
        <v>10.27</v>
      </c>
      <c r="Q14" s="46">
        <v>17.95</v>
      </c>
      <c r="R14" s="46">
        <v>0</v>
      </c>
      <c r="S14" s="46">
        <v>5.77</v>
      </c>
      <c r="T14" s="46">
        <v>4.3600000000000003</v>
      </c>
      <c r="U14" s="46">
        <v>0</v>
      </c>
      <c r="V14" s="46">
        <v>0</v>
      </c>
      <c r="W14" s="46">
        <v>28.740000000000002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5.0600000000000005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14.52</v>
      </c>
      <c r="AM14" s="46">
        <v>0</v>
      </c>
      <c r="AN14" s="46">
        <v>18.810000000000002</v>
      </c>
      <c r="AO14" s="46">
        <f t="shared" si="1"/>
        <v>13.426129032258064</v>
      </c>
      <c r="AP14" s="67">
        <f t="shared" si="0"/>
        <v>6.7130645161290321</v>
      </c>
    </row>
    <row r="15" spans="1:42" ht="15.6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74" t="s">
        <v>273</v>
      </c>
      <c r="J15" s="46">
        <v>151.66500000000005</v>
      </c>
      <c r="K15" s="46">
        <v>150.24799999999999</v>
      </c>
      <c r="L15" s="46">
        <v>175.29899999999998</v>
      </c>
      <c r="M15" s="46">
        <v>122.02799999999999</v>
      </c>
      <c r="N15" s="46">
        <v>184.392</v>
      </c>
      <c r="O15" s="46">
        <v>135.51500000000001</v>
      </c>
      <c r="P15" s="46">
        <v>160.18799999999999</v>
      </c>
      <c r="Q15" s="46">
        <v>163.33699999999999</v>
      </c>
      <c r="R15" s="46">
        <v>173.19399999999999</v>
      </c>
      <c r="S15" s="46">
        <v>149.066</v>
      </c>
      <c r="T15" s="46">
        <v>169.98500000000004</v>
      </c>
      <c r="U15" s="46">
        <v>143.35000000000002</v>
      </c>
      <c r="V15" s="46">
        <v>144.10599999999997</v>
      </c>
      <c r="W15" s="46">
        <v>199.791</v>
      </c>
      <c r="X15" s="46">
        <v>195.65</v>
      </c>
      <c r="Y15" s="46">
        <v>175.43199999999999</v>
      </c>
      <c r="Z15" s="46">
        <v>149.63799999999998</v>
      </c>
      <c r="AA15" s="46">
        <v>175.51700000000005</v>
      </c>
      <c r="AB15" s="46">
        <v>177.53099999999998</v>
      </c>
      <c r="AC15" s="46">
        <v>127.43399999999998</v>
      </c>
      <c r="AD15" s="46">
        <v>159.43700000000001</v>
      </c>
      <c r="AE15" s="46">
        <v>102.023</v>
      </c>
      <c r="AF15" s="46">
        <v>184.893</v>
      </c>
      <c r="AG15" s="46">
        <v>183.64</v>
      </c>
      <c r="AH15" s="46">
        <v>218.15299999999999</v>
      </c>
      <c r="AI15" s="46">
        <v>186.59900000000002</v>
      </c>
      <c r="AJ15" s="46">
        <v>221.84800000000001</v>
      </c>
      <c r="AK15" s="46">
        <v>247.29200000000003</v>
      </c>
      <c r="AL15" s="46">
        <v>123.01499999999996</v>
      </c>
      <c r="AM15" s="46">
        <v>169.73600000000002</v>
      </c>
      <c r="AN15" s="46">
        <v>208.982</v>
      </c>
      <c r="AO15" s="46">
        <f t="shared" si="1"/>
        <v>168.67690322580646</v>
      </c>
      <c r="AP15" s="67">
        <f t="shared" si="0"/>
        <v>16.867690322580646</v>
      </c>
    </row>
    <row r="16" spans="1:42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4</v>
      </c>
      <c r="I16" s="67" t="s">
        <v>160</v>
      </c>
      <c r="J16" s="46">
        <v>20.798999999999999</v>
      </c>
      <c r="K16" s="46">
        <v>29.273</v>
      </c>
      <c r="L16" s="46">
        <v>10.093</v>
      </c>
      <c r="M16" s="46">
        <v>6.0860000000000003</v>
      </c>
      <c r="N16" s="46">
        <v>27.442</v>
      </c>
      <c r="O16" s="46">
        <v>9.2550000000000008</v>
      </c>
      <c r="P16" s="46">
        <v>24.38</v>
      </c>
      <c r="Q16" s="46">
        <v>11.542999999999999</v>
      </c>
      <c r="R16" s="46">
        <v>3.0470000000000002</v>
      </c>
      <c r="S16" s="46">
        <v>14.324</v>
      </c>
      <c r="T16" s="46">
        <v>14.422999999999998</v>
      </c>
      <c r="U16" s="46">
        <v>5.4960000000000004</v>
      </c>
      <c r="V16" s="46">
        <v>19.634</v>
      </c>
      <c r="W16" s="46">
        <v>21.433</v>
      </c>
      <c r="X16" s="46">
        <v>9.3290000000000006</v>
      </c>
      <c r="Y16" s="46">
        <v>18.228000000000002</v>
      </c>
      <c r="Z16" s="46">
        <v>17.373000000000001</v>
      </c>
      <c r="AA16" s="46">
        <v>13.841000000000001</v>
      </c>
      <c r="AB16" s="46">
        <v>20.411999999999999</v>
      </c>
      <c r="AC16" s="46">
        <v>22.447000000000003</v>
      </c>
      <c r="AD16" s="46">
        <v>12.939</v>
      </c>
      <c r="AE16" s="46">
        <v>21.538999999999998</v>
      </c>
      <c r="AF16" s="46">
        <v>13.717000000000001</v>
      </c>
      <c r="AG16" s="46">
        <v>9.8230000000000004</v>
      </c>
      <c r="AH16" s="46">
        <v>6.4619999999999997</v>
      </c>
      <c r="AI16" s="46">
        <v>26.783999999999999</v>
      </c>
      <c r="AJ16" s="46">
        <v>16.524000000000001</v>
      </c>
      <c r="AK16" s="46">
        <v>27.594999999999999</v>
      </c>
      <c r="AL16" s="46">
        <v>16.993000000000002</v>
      </c>
      <c r="AM16" s="46">
        <v>34.177999999999997</v>
      </c>
      <c r="AN16" s="46">
        <v>15.206</v>
      </c>
      <c r="AO16" s="46">
        <f t="shared" si="1"/>
        <v>16.794129032258063</v>
      </c>
      <c r="AP16" s="67">
        <f t="shared" si="0"/>
        <v>4.1985322580645157</v>
      </c>
    </row>
    <row r="17" spans="1:42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46">
        <v>0</v>
      </c>
      <c r="K17" s="46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46">
        <v>0</v>
      </c>
      <c r="AO17" s="46">
        <f t="shared" si="1"/>
        <v>0</v>
      </c>
      <c r="AP17" s="67">
        <f t="shared" si="0"/>
        <v>0</v>
      </c>
    </row>
    <row r="18" spans="1:42" ht="15.6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19</v>
      </c>
      <c r="I18" s="74" t="s">
        <v>273</v>
      </c>
      <c r="J18" s="46">
        <v>166.69499999999996</v>
      </c>
      <c r="K18" s="46">
        <v>167.76300000000001</v>
      </c>
      <c r="L18" s="46">
        <v>152.238</v>
      </c>
      <c r="M18" s="46">
        <v>149.749</v>
      </c>
      <c r="N18" s="46">
        <v>210.54400000000001</v>
      </c>
      <c r="O18" s="46">
        <v>201.50199999999998</v>
      </c>
      <c r="P18" s="46">
        <v>175.60800000000003</v>
      </c>
      <c r="Q18" s="46">
        <v>139.25199999999998</v>
      </c>
      <c r="R18" s="46">
        <v>169.04999999999998</v>
      </c>
      <c r="S18" s="46">
        <v>201.166</v>
      </c>
      <c r="T18" s="46">
        <v>203.83099999999993</v>
      </c>
      <c r="U18" s="46">
        <v>200.09200000000001</v>
      </c>
      <c r="V18" s="46">
        <v>238.84799999999998</v>
      </c>
      <c r="W18" s="46">
        <v>231.07100000000005</v>
      </c>
      <c r="X18" s="46">
        <v>241.87800000000004</v>
      </c>
      <c r="Y18" s="46">
        <v>188.78499999999997</v>
      </c>
      <c r="Z18" s="46">
        <v>206.964</v>
      </c>
      <c r="AA18" s="46">
        <v>207.11200000000008</v>
      </c>
      <c r="AB18" s="46">
        <v>198.68599999999998</v>
      </c>
      <c r="AC18" s="46">
        <v>211.84300000000005</v>
      </c>
      <c r="AD18" s="46">
        <v>187.98599999999999</v>
      </c>
      <c r="AE18" s="46">
        <v>251.30499999999998</v>
      </c>
      <c r="AF18" s="46">
        <v>221.93699999999995</v>
      </c>
      <c r="AG18" s="46">
        <v>267.10200000000003</v>
      </c>
      <c r="AH18" s="46">
        <v>252.52200000000005</v>
      </c>
      <c r="AI18" s="46">
        <v>195.98099999999999</v>
      </c>
      <c r="AJ18" s="46">
        <v>220.82200000000003</v>
      </c>
      <c r="AK18" s="46">
        <v>221.91100000000006</v>
      </c>
      <c r="AL18" s="46">
        <v>236.316</v>
      </c>
      <c r="AM18" s="46">
        <v>168.17700000000005</v>
      </c>
      <c r="AN18" s="46">
        <v>152.25100000000003</v>
      </c>
      <c r="AO18" s="46">
        <f t="shared" si="1"/>
        <v>201.2576451612903</v>
      </c>
      <c r="AP18" s="67">
        <f t="shared" si="0"/>
        <v>10.592507640067911</v>
      </c>
    </row>
    <row r="19" spans="1:42" x14ac:dyDescent="0.3">
      <c r="A19" s="5">
        <v>18</v>
      </c>
      <c r="B19" s="6" t="s">
        <v>9</v>
      </c>
      <c r="C19" s="12" t="s">
        <v>271</v>
      </c>
      <c r="D19" s="6" t="s">
        <v>128</v>
      </c>
      <c r="E19" s="6" t="s">
        <v>12</v>
      </c>
      <c r="F19" s="6" t="s">
        <v>13</v>
      </c>
      <c r="G19" s="6" t="s">
        <v>35</v>
      </c>
      <c r="H19" s="5">
        <v>5</v>
      </c>
      <c r="I19" s="67" t="s">
        <v>160</v>
      </c>
      <c r="J19" s="46">
        <v>25.955000000000002</v>
      </c>
      <c r="K19" s="46">
        <v>33.565999999999995</v>
      </c>
      <c r="L19" s="46">
        <v>28.268999999999998</v>
      </c>
      <c r="M19" s="46">
        <v>11.387</v>
      </c>
      <c r="N19" s="46">
        <v>54.97699999999999</v>
      </c>
      <c r="O19" s="46">
        <v>52.064000000000007</v>
      </c>
      <c r="P19" s="46">
        <v>52.186</v>
      </c>
      <c r="Q19" s="46">
        <v>73.641999999999996</v>
      </c>
      <c r="R19" s="46">
        <v>42.004000000000005</v>
      </c>
      <c r="S19" s="46">
        <v>53.298999999999992</v>
      </c>
      <c r="T19" s="46">
        <v>45.839000000000006</v>
      </c>
      <c r="U19" s="46">
        <v>57.287000000000006</v>
      </c>
      <c r="V19" s="46">
        <v>84.234999999999999</v>
      </c>
      <c r="W19" s="46">
        <v>81.100999999999999</v>
      </c>
      <c r="X19" s="46">
        <v>59.508000000000003</v>
      </c>
      <c r="Y19" s="46">
        <v>80.890000000000015</v>
      </c>
      <c r="Z19" s="46">
        <v>79.066000000000017</v>
      </c>
      <c r="AA19" s="46">
        <v>100.306</v>
      </c>
      <c r="AB19" s="46">
        <v>89.113</v>
      </c>
      <c r="AC19" s="46">
        <v>89.068999999999988</v>
      </c>
      <c r="AD19" s="46">
        <v>149.12399999999997</v>
      </c>
      <c r="AE19" s="46">
        <v>104.56100000000001</v>
      </c>
      <c r="AF19" s="46">
        <v>140.89699999999996</v>
      </c>
      <c r="AG19" s="46">
        <v>148.85399999999996</v>
      </c>
      <c r="AH19" s="46">
        <v>119.54100000000003</v>
      </c>
      <c r="AI19" s="46">
        <v>161.28400000000002</v>
      </c>
      <c r="AJ19" s="46">
        <v>201.76300000000001</v>
      </c>
      <c r="AK19" s="46">
        <v>192.41299999999998</v>
      </c>
      <c r="AL19" s="46">
        <v>209.65099999999998</v>
      </c>
      <c r="AM19" s="46">
        <v>176.36000000000004</v>
      </c>
      <c r="AN19" s="46">
        <v>172.137</v>
      </c>
      <c r="AO19" s="46">
        <f t="shared" si="1"/>
        <v>95.817677419354851</v>
      </c>
      <c r="AP19" s="67">
        <f t="shared" si="0"/>
        <v>19.16353548387097</v>
      </c>
    </row>
    <row r="20" spans="1:42" x14ac:dyDescent="0.3">
      <c r="A20" s="5">
        <v>19</v>
      </c>
      <c r="B20" s="6" t="s">
        <v>9</v>
      </c>
      <c r="C20" s="12" t="s">
        <v>271</v>
      </c>
      <c r="D20" s="6" t="s">
        <v>128</v>
      </c>
      <c r="E20" s="6" t="s">
        <v>12</v>
      </c>
      <c r="F20" s="6" t="s">
        <v>40</v>
      </c>
      <c r="G20" s="6" t="s">
        <v>35</v>
      </c>
      <c r="H20" s="5">
        <v>2</v>
      </c>
      <c r="I20" s="67" t="s">
        <v>160</v>
      </c>
      <c r="J20" s="46">
        <v>3.6819999999999995</v>
      </c>
      <c r="K20" s="46">
        <v>0.16900000000000001</v>
      </c>
      <c r="L20" s="46">
        <v>20.148</v>
      </c>
      <c r="M20" s="46">
        <v>18.21</v>
      </c>
      <c r="N20" s="46">
        <v>23.076999999999998</v>
      </c>
      <c r="O20" s="46">
        <v>16.112000000000002</v>
      </c>
      <c r="P20" s="46">
        <v>32.281000000000006</v>
      </c>
      <c r="Q20" s="46">
        <v>7.5129999999999999</v>
      </c>
      <c r="R20" s="46">
        <v>52.100999999999992</v>
      </c>
      <c r="S20" s="46">
        <v>14.509</v>
      </c>
      <c r="T20" s="46">
        <v>48.904000000000003</v>
      </c>
      <c r="U20" s="46">
        <v>25.238999999999997</v>
      </c>
      <c r="V20" s="46">
        <v>41.080999999999996</v>
      </c>
      <c r="W20" s="46">
        <v>33.398000000000003</v>
      </c>
      <c r="X20" s="46">
        <v>46.431999999999995</v>
      </c>
      <c r="Y20" s="46">
        <v>29.792000000000002</v>
      </c>
      <c r="Z20" s="46">
        <v>30.074999999999996</v>
      </c>
      <c r="AA20" s="46">
        <v>19.61</v>
      </c>
      <c r="AB20" s="46">
        <v>24.374000000000002</v>
      </c>
      <c r="AC20" s="46">
        <v>21.189</v>
      </c>
      <c r="AD20" s="46">
        <v>14.300999999999998</v>
      </c>
      <c r="AE20" s="46">
        <v>57.105000000000004</v>
      </c>
      <c r="AF20" s="46">
        <v>39.248000000000005</v>
      </c>
      <c r="AG20" s="46">
        <v>32.587000000000003</v>
      </c>
      <c r="AH20" s="46">
        <v>49.55</v>
      </c>
      <c r="AI20" s="46">
        <v>21.837</v>
      </c>
      <c r="AJ20" s="46">
        <v>69.208000000000013</v>
      </c>
      <c r="AK20" s="46">
        <v>22.524000000000001</v>
      </c>
      <c r="AL20" s="46">
        <v>39.697000000000003</v>
      </c>
      <c r="AM20" s="46">
        <v>57.635999999999996</v>
      </c>
      <c r="AN20" s="46">
        <v>38.750999999999998</v>
      </c>
      <c r="AO20" s="46">
        <f t="shared" si="1"/>
        <v>30.656129032258065</v>
      </c>
      <c r="AP20" s="67">
        <f t="shared" si="0"/>
        <v>15.328064516129032</v>
      </c>
    </row>
    <row r="21" spans="1:42" x14ac:dyDescent="0.3">
      <c r="A21" s="5">
        <v>20</v>
      </c>
      <c r="B21" s="6" t="s">
        <v>9</v>
      </c>
      <c r="C21" s="12" t="s">
        <v>271</v>
      </c>
      <c r="D21" s="6" t="s">
        <v>128</v>
      </c>
      <c r="E21" s="6" t="s">
        <v>12</v>
      </c>
      <c r="F21" s="6" t="s">
        <v>95</v>
      </c>
      <c r="G21" s="6" t="s">
        <v>80</v>
      </c>
      <c r="H21" s="5">
        <v>1</v>
      </c>
      <c r="I21" s="67" t="s">
        <v>160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5">
        <v>0</v>
      </c>
      <c r="P21" s="46">
        <v>16.41</v>
      </c>
      <c r="Q21" s="46">
        <v>17.3</v>
      </c>
      <c r="R21" s="45">
        <v>0</v>
      </c>
      <c r="S21" s="45">
        <v>0</v>
      </c>
      <c r="T21" s="46">
        <v>0</v>
      </c>
      <c r="U21" s="46">
        <v>0</v>
      </c>
      <c r="V21" s="46">
        <v>0</v>
      </c>
      <c r="W21" s="46">
        <v>9.36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0.08</v>
      </c>
      <c r="AN21" s="46">
        <v>6.31</v>
      </c>
      <c r="AO21" s="46">
        <f t="shared" si="1"/>
        <v>1.5954838709677419</v>
      </c>
      <c r="AP21" s="67">
        <f t="shared" si="0"/>
        <v>1.5954838709677419</v>
      </c>
    </row>
    <row r="22" spans="1:42" x14ac:dyDescent="0.3">
      <c r="A22" s="5">
        <v>21</v>
      </c>
      <c r="B22" s="6" t="s">
        <v>9</v>
      </c>
      <c r="C22" s="12" t="s">
        <v>271</v>
      </c>
      <c r="D22" s="6" t="s">
        <v>128</v>
      </c>
      <c r="E22" s="6" t="s">
        <v>12</v>
      </c>
      <c r="F22" s="6" t="s">
        <v>309</v>
      </c>
      <c r="G22" s="6" t="s">
        <v>80</v>
      </c>
      <c r="H22" s="5">
        <v>1</v>
      </c>
      <c r="I22" s="67" t="s">
        <v>160</v>
      </c>
      <c r="J22" s="46">
        <v>12.562000000000001</v>
      </c>
      <c r="K22" s="46">
        <v>13.84</v>
      </c>
      <c r="L22" s="46">
        <v>7.2810000000000006</v>
      </c>
      <c r="M22" s="46">
        <v>5.6640000000000006</v>
      </c>
      <c r="N22" s="46">
        <v>14.519999999999998</v>
      </c>
      <c r="O22" s="46">
        <v>46.66</v>
      </c>
      <c r="P22" s="46">
        <v>83.159000000000006</v>
      </c>
      <c r="Q22" s="46">
        <v>87.191000000000017</v>
      </c>
      <c r="R22" s="46">
        <v>47.069000000000003</v>
      </c>
      <c r="S22" s="46">
        <v>2.7809999999999997</v>
      </c>
      <c r="T22" s="46">
        <v>15.44</v>
      </c>
      <c r="U22" s="46">
        <v>12.349999999999998</v>
      </c>
      <c r="V22" s="46">
        <v>38.889000000000003</v>
      </c>
      <c r="W22" s="46">
        <v>38.791000000000004</v>
      </c>
      <c r="X22" s="46">
        <v>0</v>
      </c>
      <c r="Y22" s="46">
        <v>15.16</v>
      </c>
      <c r="Z22" s="46">
        <v>19.07</v>
      </c>
      <c r="AA22" s="46">
        <v>11.59</v>
      </c>
      <c r="AB22" s="46">
        <v>31.479999999999997</v>
      </c>
      <c r="AC22" s="46">
        <v>96.77</v>
      </c>
      <c r="AD22" s="46">
        <v>54.33</v>
      </c>
      <c r="AE22" s="46">
        <v>35.71</v>
      </c>
      <c r="AF22" s="46">
        <v>43.110000000000007</v>
      </c>
      <c r="AG22" s="46">
        <v>9.8699999999999992</v>
      </c>
      <c r="AH22" s="46">
        <v>1.66</v>
      </c>
      <c r="AI22" s="46">
        <v>26.07</v>
      </c>
      <c r="AJ22" s="46">
        <v>26.66</v>
      </c>
      <c r="AK22" s="46">
        <v>30.9</v>
      </c>
      <c r="AL22" s="46">
        <v>40.92</v>
      </c>
      <c r="AM22" s="46">
        <v>14.84</v>
      </c>
      <c r="AN22" s="46">
        <v>0</v>
      </c>
      <c r="AO22" s="46">
        <f t="shared" si="1"/>
        <v>28.527000000000005</v>
      </c>
      <c r="AP22" s="67">
        <f t="shared" si="0"/>
        <v>28.527000000000005</v>
      </c>
    </row>
    <row r="23" spans="1:42" x14ac:dyDescent="0.3">
      <c r="A23" s="5">
        <v>22</v>
      </c>
      <c r="B23" s="6" t="s">
        <v>9</v>
      </c>
      <c r="C23" s="12" t="s">
        <v>271</v>
      </c>
      <c r="D23" s="6" t="s">
        <v>128</v>
      </c>
      <c r="E23" s="6" t="s">
        <v>12</v>
      </c>
      <c r="F23" s="6" t="s">
        <v>290</v>
      </c>
      <c r="G23" s="6" t="s">
        <v>80</v>
      </c>
      <c r="H23" s="5">
        <v>1</v>
      </c>
      <c r="I23" s="67" t="s">
        <v>160</v>
      </c>
      <c r="J23" s="46">
        <v>113.151</v>
      </c>
      <c r="K23" s="46">
        <v>173.42400000000004</v>
      </c>
      <c r="L23" s="46">
        <v>40.725000000000001</v>
      </c>
      <c r="M23" s="46">
        <v>8.6489999999999991</v>
      </c>
      <c r="N23" s="46">
        <v>155.02600000000001</v>
      </c>
      <c r="O23" s="46">
        <v>218.65</v>
      </c>
      <c r="P23" s="46">
        <v>115.425</v>
      </c>
      <c r="Q23" s="46">
        <v>207.20000000000002</v>
      </c>
      <c r="R23" s="46">
        <v>134.57500000000002</v>
      </c>
      <c r="S23" s="46">
        <v>92.199999999999989</v>
      </c>
      <c r="T23" s="46">
        <v>155.57499999999999</v>
      </c>
      <c r="U23" s="46">
        <v>71.7</v>
      </c>
      <c r="V23" s="46">
        <v>177.77499999999998</v>
      </c>
      <c r="W23" s="46">
        <v>219.72500000000002</v>
      </c>
      <c r="X23" s="46">
        <v>197.52500000000001</v>
      </c>
      <c r="Y23" s="46">
        <v>186.24999999999997</v>
      </c>
      <c r="Z23" s="46">
        <v>101.27499999999998</v>
      </c>
      <c r="AA23" s="46">
        <v>64.900000000000006</v>
      </c>
      <c r="AB23" s="46">
        <v>172.1</v>
      </c>
      <c r="AC23" s="46">
        <v>122.825</v>
      </c>
      <c r="AD23" s="46">
        <v>123.37500000000001</v>
      </c>
      <c r="AE23" s="46">
        <v>65.849000000000004</v>
      </c>
      <c r="AF23" s="46">
        <v>82.676000000000002</v>
      </c>
      <c r="AG23" s="46">
        <v>38.5</v>
      </c>
      <c r="AH23" s="46">
        <v>17.600000000000001</v>
      </c>
      <c r="AI23" s="46">
        <v>69.599000000000004</v>
      </c>
      <c r="AJ23" s="46">
        <v>87.850999999999985</v>
      </c>
      <c r="AK23" s="46">
        <v>70.024999999999991</v>
      </c>
      <c r="AL23" s="46">
        <v>129.69899999999998</v>
      </c>
      <c r="AM23" s="46">
        <v>36.400000000000006</v>
      </c>
      <c r="AN23" s="46">
        <v>8.8759999999999994</v>
      </c>
      <c r="AO23" s="46">
        <f t="shared" si="1"/>
        <v>111.58467741935486</v>
      </c>
      <c r="AP23" s="67">
        <f t="shared" si="0"/>
        <v>111.58467741935486</v>
      </c>
    </row>
    <row r="24" spans="1:42" x14ac:dyDescent="0.3">
      <c r="A24" s="5">
        <v>23</v>
      </c>
      <c r="B24" s="6" t="s">
        <v>9</v>
      </c>
      <c r="C24" s="12" t="s">
        <v>271</v>
      </c>
      <c r="D24" s="6" t="s">
        <v>128</v>
      </c>
      <c r="E24" s="6" t="s">
        <v>12</v>
      </c>
      <c r="F24" s="6" t="s">
        <v>409</v>
      </c>
      <c r="G24" s="6" t="s">
        <v>80</v>
      </c>
      <c r="H24" s="5">
        <v>1</v>
      </c>
      <c r="I24" s="67" t="s">
        <v>160</v>
      </c>
      <c r="J24" s="46">
        <v>250.54000000000002</v>
      </c>
      <c r="K24" s="46">
        <v>227.57999999999996</v>
      </c>
      <c r="L24" s="46">
        <v>111.16</v>
      </c>
      <c r="M24" s="46">
        <v>211.06</v>
      </c>
      <c r="N24" s="46">
        <v>212.94</v>
      </c>
      <c r="O24" s="46">
        <v>313.96000000000004</v>
      </c>
      <c r="P24" s="46">
        <v>217.75</v>
      </c>
      <c r="Q24" s="46">
        <v>241.64</v>
      </c>
      <c r="R24" s="46">
        <v>168.21</v>
      </c>
      <c r="S24" s="46">
        <v>180.46000000000004</v>
      </c>
      <c r="T24" s="46">
        <v>131.89999999999998</v>
      </c>
      <c r="U24" s="46">
        <v>232.39000000000004</v>
      </c>
      <c r="V24" s="46">
        <v>226.44000000000003</v>
      </c>
      <c r="W24" s="46">
        <v>275.22000000000008</v>
      </c>
      <c r="X24" s="46">
        <v>221.49</v>
      </c>
      <c r="Y24" s="46">
        <v>194.76</v>
      </c>
      <c r="Z24" s="46">
        <v>83.240000000000009</v>
      </c>
      <c r="AA24" s="46">
        <v>163.18</v>
      </c>
      <c r="AB24" s="46">
        <v>178.07000000000002</v>
      </c>
      <c r="AC24" s="46">
        <v>166.77</v>
      </c>
      <c r="AD24" s="46">
        <v>226.98999999999998</v>
      </c>
      <c r="AE24" s="46">
        <v>178.88999999999996</v>
      </c>
      <c r="AF24" s="46">
        <v>173.75000000000003</v>
      </c>
      <c r="AG24" s="46">
        <v>141.95999999999998</v>
      </c>
      <c r="AH24" s="46">
        <v>118.44000000000001</v>
      </c>
      <c r="AI24" s="46">
        <v>181.73</v>
      </c>
      <c r="AJ24" s="46">
        <v>192.19</v>
      </c>
      <c r="AK24" s="46">
        <v>259.80999999999995</v>
      </c>
      <c r="AL24" s="46">
        <v>168.73000000000002</v>
      </c>
      <c r="AM24" s="46">
        <v>307.05999999999995</v>
      </c>
      <c r="AN24" s="46">
        <v>151.63</v>
      </c>
      <c r="AO24" s="46">
        <f t="shared" si="1"/>
        <v>197.09483870967742</v>
      </c>
      <c r="AP24" s="67">
        <f t="shared" si="0"/>
        <v>197.09483870967742</v>
      </c>
    </row>
    <row r="25" spans="1:42" ht="15.6" x14ac:dyDescent="0.3">
      <c r="A25" s="5">
        <v>24</v>
      </c>
      <c r="B25" s="6" t="s">
        <v>9</v>
      </c>
      <c r="C25" s="12" t="s">
        <v>269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7</v>
      </c>
      <c r="I25" s="74" t="s">
        <v>273</v>
      </c>
      <c r="J25" s="46">
        <v>113.72099999999999</v>
      </c>
      <c r="K25" s="46">
        <v>68.704000000000008</v>
      </c>
      <c r="L25" s="46">
        <v>98.248999999999981</v>
      </c>
      <c r="M25" s="46">
        <v>72.69</v>
      </c>
      <c r="N25" s="46">
        <v>148.41999999999999</v>
      </c>
      <c r="O25" s="46">
        <v>60.747</v>
      </c>
      <c r="P25" s="46">
        <v>65.007999999999996</v>
      </c>
      <c r="Q25" s="46">
        <v>102.53</v>
      </c>
      <c r="R25" s="46">
        <v>142.35399999999996</v>
      </c>
      <c r="S25" s="46">
        <v>146.97900000000001</v>
      </c>
      <c r="T25" s="46">
        <v>81.569000000000003</v>
      </c>
      <c r="U25" s="46">
        <v>111.71</v>
      </c>
      <c r="V25" s="46">
        <v>51.127000000000002</v>
      </c>
      <c r="W25" s="46">
        <v>84.5</v>
      </c>
      <c r="X25" s="46">
        <v>112.27800000000001</v>
      </c>
      <c r="Y25" s="46">
        <v>58.033000000000001</v>
      </c>
      <c r="Z25" s="46">
        <v>149.74699999999999</v>
      </c>
      <c r="AA25" s="46">
        <v>87.59</v>
      </c>
      <c r="AB25" s="46">
        <v>113.73100000000002</v>
      </c>
      <c r="AC25" s="46">
        <v>85.777000000000015</v>
      </c>
      <c r="AD25" s="46">
        <v>106.199</v>
      </c>
      <c r="AE25" s="46">
        <v>159.58399999999997</v>
      </c>
      <c r="AF25" s="46">
        <v>158.33200000000002</v>
      </c>
      <c r="AG25" s="46">
        <v>86.704000000000008</v>
      </c>
      <c r="AH25" s="46">
        <v>98.197999999999993</v>
      </c>
      <c r="AI25" s="46">
        <v>125.33299999999998</v>
      </c>
      <c r="AJ25" s="46">
        <v>128.059</v>
      </c>
      <c r="AK25" s="46">
        <v>153.93599999999998</v>
      </c>
      <c r="AL25" s="46">
        <v>119.64599999999999</v>
      </c>
      <c r="AM25" s="46">
        <v>165.96799999999999</v>
      </c>
      <c r="AN25" s="46">
        <v>138.76500000000001</v>
      </c>
      <c r="AO25" s="46">
        <f t="shared" si="1"/>
        <v>109.55445161290324</v>
      </c>
      <c r="AP25" s="67">
        <f t="shared" si="0"/>
        <v>15.650635944700463</v>
      </c>
    </row>
    <row r="26" spans="1:42" x14ac:dyDescent="0.3">
      <c r="A26" s="5">
        <v>25</v>
      </c>
      <c r="B26" s="6" t="s">
        <v>9</v>
      </c>
      <c r="C26" s="12" t="s">
        <v>270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1</v>
      </c>
      <c r="I26" s="67" t="s">
        <v>160</v>
      </c>
      <c r="J26" s="46">
        <v>17.928000000000001</v>
      </c>
      <c r="K26" s="46">
        <v>13.046000000000001</v>
      </c>
      <c r="L26" s="46">
        <v>11.972</v>
      </c>
      <c r="M26" s="46">
        <v>18.885000000000002</v>
      </c>
      <c r="N26" s="46">
        <v>18.812000000000001</v>
      </c>
      <c r="O26" s="46">
        <v>5.7869999999999999</v>
      </c>
      <c r="P26" s="46">
        <v>12.953999999999999</v>
      </c>
      <c r="Q26" s="46">
        <v>11.010000000000002</v>
      </c>
      <c r="R26" s="46">
        <v>30.136999999999997</v>
      </c>
      <c r="S26" s="46">
        <v>21.027999999999999</v>
      </c>
      <c r="T26" s="46">
        <v>30.091999999999999</v>
      </c>
      <c r="U26" s="46">
        <v>8.8229999999999986</v>
      </c>
      <c r="V26" s="46">
        <v>17.128</v>
      </c>
      <c r="W26" s="46">
        <v>6.0110000000000001</v>
      </c>
      <c r="X26" s="46">
        <v>12.939</v>
      </c>
      <c r="Y26" s="46">
        <v>2.7040000000000002</v>
      </c>
      <c r="Z26" s="46">
        <v>0</v>
      </c>
      <c r="AA26" s="46">
        <v>0</v>
      </c>
      <c r="AB26" s="46">
        <v>6</v>
      </c>
      <c r="AC26" s="46">
        <v>8.4570000000000007</v>
      </c>
      <c r="AD26" s="46">
        <v>1.0569999999999999</v>
      </c>
      <c r="AE26" s="46">
        <v>7.1920000000000002</v>
      </c>
      <c r="AF26" s="46">
        <v>3.6949999999999998</v>
      </c>
      <c r="AG26" s="46">
        <v>10.021999999999998</v>
      </c>
      <c r="AH26" s="46">
        <v>10.531000000000001</v>
      </c>
      <c r="AI26" s="46">
        <v>7.0760000000000005</v>
      </c>
      <c r="AJ26" s="46">
        <v>12.373999999999999</v>
      </c>
      <c r="AK26" s="46">
        <v>26.815000000000001</v>
      </c>
      <c r="AL26" s="46">
        <v>4.5839999999999996</v>
      </c>
      <c r="AM26" s="46">
        <v>11.092000000000001</v>
      </c>
      <c r="AN26" s="46">
        <v>6.1479999999999997</v>
      </c>
      <c r="AO26" s="46">
        <f t="shared" si="1"/>
        <v>11.429</v>
      </c>
      <c r="AP26" s="67">
        <f t="shared" si="0"/>
        <v>11.429</v>
      </c>
    </row>
    <row r="27" spans="1:42" x14ac:dyDescent="0.3">
      <c r="A27" s="5">
        <v>26</v>
      </c>
      <c r="B27" s="6" t="s">
        <v>9</v>
      </c>
      <c r="C27" s="12" t="s">
        <v>270</v>
      </c>
      <c r="D27" s="6" t="s">
        <v>128</v>
      </c>
      <c r="E27" s="6" t="s">
        <v>12</v>
      </c>
      <c r="F27" s="6" t="s">
        <v>40</v>
      </c>
      <c r="G27" s="6" t="s">
        <v>35</v>
      </c>
      <c r="H27" s="5">
        <v>1</v>
      </c>
      <c r="I27" s="67" t="s">
        <v>160</v>
      </c>
      <c r="J27" s="46">
        <v>12.763999999999999</v>
      </c>
      <c r="K27" s="46">
        <v>26.746000000000002</v>
      </c>
      <c r="L27" s="46">
        <v>14.173</v>
      </c>
      <c r="M27" s="46">
        <v>18.007999999999999</v>
      </c>
      <c r="N27" s="45">
        <v>0</v>
      </c>
      <c r="O27" s="46">
        <v>10.385</v>
      </c>
      <c r="P27" s="46">
        <v>1.982</v>
      </c>
      <c r="Q27" s="46">
        <v>13.606</v>
      </c>
      <c r="R27" s="45">
        <v>0</v>
      </c>
      <c r="S27" s="45">
        <v>0</v>
      </c>
      <c r="T27" s="45">
        <v>0</v>
      </c>
      <c r="U27" s="46">
        <v>0.56800000000000006</v>
      </c>
      <c r="V27" s="46">
        <v>11.888</v>
      </c>
      <c r="W27" s="46">
        <v>24.678999999999998</v>
      </c>
      <c r="X27" s="46">
        <v>13.911</v>
      </c>
      <c r="Y27" s="46">
        <v>27.462</v>
      </c>
      <c r="Z27" s="46">
        <v>13.502000000000001</v>
      </c>
      <c r="AA27" s="46">
        <v>13.802</v>
      </c>
      <c r="AB27" s="46">
        <v>1.6639999999999999</v>
      </c>
      <c r="AC27" s="46">
        <v>7.5609999999999999</v>
      </c>
      <c r="AD27" s="46">
        <v>0</v>
      </c>
      <c r="AE27" s="46">
        <v>15.619</v>
      </c>
      <c r="AF27" s="46">
        <v>15.686</v>
      </c>
      <c r="AG27" s="46">
        <v>2.714</v>
      </c>
      <c r="AH27" s="46">
        <v>9.2230000000000008</v>
      </c>
      <c r="AI27" s="46">
        <v>0</v>
      </c>
      <c r="AJ27" s="46">
        <v>0</v>
      </c>
      <c r="AK27" s="46">
        <v>10.438000000000001</v>
      </c>
      <c r="AL27" s="46">
        <v>0</v>
      </c>
      <c r="AM27" s="46">
        <v>13.076000000000001</v>
      </c>
      <c r="AN27" s="46">
        <v>0</v>
      </c>
      <c r="AO27" s="46">
        <f t="shared" si="1"/>
        <v>9.0147419354838725</v>
      </c>
      <c r="AP27" s="67">
        <f t="shared" si="0"/>
        <v>9.0147419354838725</v>
      </c>
    </row>
    <row r="28" spans="1:42" x14ac:dyDescent="0.3">
      <c r="A28" s="5">
        <v>27</v>
      </c>
      <c r="B28" s="6" t="s">
        <v>9</v>
      </c>
      <c r="C28" s="12" t="s">
        <v>270</v>
      </c>
      <c r="D28" s="6" t="s">
        <v>128</v>
      </c>
      <c r="E28" s="6" t="s">
        <v>12</v>
      </c>
      <c r="F28" s="6" t="s">
        <v>124</v>
      </c>
      <c r="G28" s="6" t="s">
        <v>80</v>
      </c>
      <c r="H28" s="5">
        <v>1</v>
      </c>
      <c r="I28" s="67" t="s">
        <v>160</v>
      </c>
      <c r="J28" s="46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6">
        <v>16.259999999999998</v>
      </c>
      <c r="S28" s="46">
        <v>9.26</v>
      </c>
      <c r="T28" s="46">
        <v>0</v>
      </c>
      <c r="U28" s="46">
        <v>34.300000000000004</v>
      </c>
      <c r="V28" s="46">
        <v>8.49</v>
      </c>
      <c r="W28" s="46">
        <v>19.78</v>
      </c>
      <c r="X28" s="46">
        <v>11.27</v>
      </c>
      <c r="Y28" s="46">
        <v>30.4</v>
      </c>
      <c r="Z28" s="46">
        <v>45.959999999999994</v>
      </c>
      <c r="AA28" s="46">
        <v>25.43</v>
      </c>
      <c r="AB28" s="46">
        <v>22.57</v>
      </c>
      <c r="AC28" s="46">
        <v>74.309999999999988</v>
      </c>
      <c r="AD28" s="46">
        <v>13.08</v>
      </c>
      <c r="AE28" s="46">
        <v>26.02</v>
      </c>
      <c r="AF28" s="46">
        <v>56.579999999999991</v>
      </c>
      <c r="AG28" s="46">
        <v>60.629999999999995</v>
      </c>
      <c r="AH28" s="46">
        <v>57.35</v>
      </c>
      <c r="AI28" s="46">
        <v>6.0000000000000005E-2</v>
      </c>
      <c r="AJ28" s="46">
        <v>0</v>
      </c>
      <c r="AK28" s="46">
        <v>0</v>
      </c>
      <c r="AL28" s="46">
        <v>0</v>
      </c>
      <c r="AM28" s="46">
        <v>0</v>
      </c>
      <c r="AN28" s="46">
        <v>0</v>
      </c>
      <c r="AO28" s="46">
        <f t="shared" si="1"/>
        <v>16.508064516129032</v>
      </c>
      <c r="AP28" s="67">
        <f t="shared" si="0"/>
        <v>16.508064516129032</v>
      </c>
    </row>
    <row r="29" spans="1:42" x14ac:dyDescent="0.3">
      <c r="A29" s="5">
        <v>28</v>
      </c>
      <c r="B29" s="6" t="s">
        <v>9</v>
      </c>
      <c r="C29" s="12" t="s">
        <v>270</v>
      </c>
      <c r="D29" s="6" t="s">
        <v>128</v>
      </c>
      <c r="E29" s="6" t="s">
        <v>12</v>
      </c>
      <c r="F29" s="6" t="s">
        <v>251</v>
      </c>
      <c r="G29" s="6" t="s">
        <v>80</v>
      </c>
      <c r="H29" s="5">
        <v>1</v>
      </c>
      <c r="I29" s="67" t="s">
        <v>160</v>
      </c>
      <c r="J29" s="46">
        <v>135.87799999999999</v>
      </c>
      <c r="K29" s="46">
        <v>86.037999999999997</v>
      </c>
      <c r="L29" s="46">
        <v>77.784999999999997</v>
      </c>
      <c r="M29" s="46">
        <v>17.945</v>
      </c>
      <c r="N29" s="46">
        <v>40.533000000000001</v>
      </c>
      <c r="O29" s="46">
        <v>49.999000000000002</v>
      </c>
      <c r="P29" s="46">
        <v>143.55799999999999</v>
      </c>
      <c r="Q29" s="46">
        <v>83.373999999999995</v>
      </c>
      <c r="R29" s="46">
        <v>97.675999999999988</v>
      </c>
      <c r="S29" s="46">
        <v>72.715000000000003</v>
      </c>
      <c r="T29" s="46">
        <v>41.253999999999998</v>
      </c>
      <c r="U29" s="46">
        <v>94.696000000000012</v>
      </c>
      <c r="V29" s="46">
        <v>78.73899999999999</v>
      </c>
      <c r="W29" s="46">
        <v>81.194000000000003</v>
      </c>
      <c r="X29" s="46">
        <v>64.170999999999992</v>
      </c>
      <c r="Y29" s="46">
        <v>72.567999999999998</v>
      </c>
      <c r="Z29" s="46">
        <v>63.805000000000007</v>
      </c>
      <c r="AA29" s="46">
        <v>54.587999999999994</v>
      </c>
      <c r="AB29" s="46">
        <v>56.935000000000002</v>
      </c>
      <c r="AC29" s="46">
        <v>57.820000000000007</v>
      </c>
      <c r="AD29" s="46">
        <v>60.914000000000001</v>
      </c>
      <c r="AE29" s="46">
        <v>30.071999999999999</v>
      </c>
      <c r="AF29" s="46">
        <v>95.572999999999993</v>
      </c>
      <c r="AG29" s="46">
        <v>77.665999999999997</v>
      </c>
      <c r="AH29" s="46">
        <v>14.888</v>
      </c>
      <c r="AI29" s="46">
        <v>5.2409999999999997</v>
      </c>
      <c r="AJ29" s="46">
        <v>46.234999999999999</v>
      </c>
      <c r="AK29" s="46">
        <v>7.5449999999999999</v>
      </c>
      <c r="AL29" s="46">
        <v>55.319000000000003</v>
      </c>
      <c r="AM29" s="46">
        <v>107.77799999999999</v>
      </c>
      <c r="AN29" s="46">
        <v>40.427999999999997</v>
      </c>
      <c r="AO29" s="46">
        <f t="shared" si="1"/>
        <v>64.933225806451603</v>
      </c>
      <c r="AP29" s="67">
        <f t="shared" si="0"/>
        <v>64.933225806451603</v>
      </c>
    </row>
    <row r="30" spans="1:42" x14ac:dyDescent="0.3">
      <c r="A30" s="5">
        <v>29</v>
      </c>
      <c r="B30" s="6" t="s">
        <v>9</v>
      </c>
      <c r="C30" s="12" t="s">
        <v>243</v>
      </c>
      <c r="D30" s="6" t="s">
        <v>128</v>
      </c>
      <c r="E30" s="6" t="s">
        <v>12</v>
      </c>
      <c r="F30" s="6" t="s">
        <v>124</v>
      </c>
      <c r="G30" s="6" t="s">
        <v>80</v>
      </c>
      <c r="H30" s="5">
        <v>1</v>
      </c>
      <c r="I30" s="67" t="s">
        <v>160</v>
      </c>
      <c r="J30" s="46">
        <v>0</v>
      </c>
      <c r="K30" s="46">
        <v>0</v>
      </c>
      <c r="L30" s="46">
        <v>0</v>
      </c>
      <c r="M30" s="46">
        <v>0</v>
      </c>
      <c r="N30" s="46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f t="shared" si="1"/>
        <v>0</v>
      </c>
      <c r="AP30" s="67">
        <f t="shared" si="0"/>
        <v>0</v>
      </c>
    </row>
    <row r="31" spans="1:42" ht="15.6" x14ac:dyDescent="0.3">
      <c r="A31" s="5">
        <v>30</v>
      </c>
      <c r="B31" s="6" t="s">
        <v>9</v>
      </c>
      <c r="C31" s="12" t="s">
        <v>260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9</v>
      </c>
      <c r="I31" s="74" t="s">
        <v>273</v>
      </c>
      <c r="J31" s="46">
        <v>126.873</v>
      </c>
      <c r="K31" s="46">
        <v>93.89200000000001</v>
      </c>
      <c r="L31" s="46">
        <v>113.47600000000001</v>
      </c>
      <c r="M31" s="46">
        <v>161.38300000000001</v>
      </c>
      <c r="N31" s="46">
        <v>76.968000000000032</v>
      </c>
      <c r="O31" s="46">
        <v>161.52599999999998</v>
      </c>
      <c r="P31" s="46">
        <v>147.46500000000006</v>
      </c>
      <c r="Q31" s="46">
        <v>148.55300000000003</v>
      </c>
      <c r="R31" s="46">
        <v>129.88899999999998</v>
      </c>
      <c r="S31" s="46">
        <v>168.58799999999999</v>
      </c>
      <c r="T31" s="46">
        <v>104.98400000000002</v>
      </c>
      <c r="U31" s="46">
        <v>106.55400000000003</v>
      </c>
      <c r="V31" s="46">
        <v>111.20700000000002</v>
      </c>
      <c r="W31" s="46">
        <v>109.283</v>
      </c>
      <c r="X31" s="46">
        <v>123.911</v>
      </c>
      <c r="Y31" s="46">
        <v>98.764999999999986</v>
      </c>
      <c r="Z31" s="46">
        <v>133.29299999999998</v>
      </c>
      <c r="AA31" s="46">
        <v>123.96000000000004</v>
      </c>
      <c r="AB31" s="46">
        <v>138.464</v>
      </c>
      <c r="AC31" s="46">
        <v>66.708999999999989</v>
      </c>
      <c r="AD31" s="46">
        <v>87.274999999999991</v>
      </c>
      <c r="AE31" s="46">
        <v>93.633000000000024</v>
      </c>
      <c r="AF31" s="46">
        <v>80.341000000000008</v>
      </c>
      <c r="AG31" s="46">
        <v>115.00700000000001</v>
      </c>
      <c r="AH31" s="46">
        <v>121.07700000000001</v>
      </c>
      <c r="AI31" s="46">
        <v>123.11500000000002</v>
      </c>
      <c r="AJ31" s="46">
        <v>118.07400000000003</v>
      </c>
      <c r="AK31" s="46">
        <v>122.71700000000003</v>
      </c>
      <c r="AL31" s="46">
        <v>112.47400000000005</v>
      </c>
      <c r="AM31" s="46">
        <v>138.42700000000011</v>
      </c>
      <c r="AN31" s="46">
        <v>122.59600000000002</v>
      </c>
      <c r="AO31" s="46">
        <f t="shared" si="1"/>
        <v>118.72512903225808</v>
      </c>
      <c r="AP31" s="67">
        <f t="shared" si="0"/>
        <v>13.191681003584231</v>
      </c>
    </row>
    <row r="32" spans="1:42" ht="15.6" x14ac:dyDescent="0.3">
      <c r="A32" s="5">
        <v>31</v>
      </c>
      <c r="B32" s="6" t="s">
        <v>9</v>
      </c>
      <c r="C32" s="12" t="s">
        <v>260</v>
      </c>
      <c r="D32" s="6" t="s">
        <v>128</v>
      </c>
      <c r="E32" s="6" t="s">
        <v>12</v>
      </c>
      <c r="F32" s="6" t="s">
        <v>309</v>
      </c>
      <c r="G32" s="6" t="s">
        <v>80</v>
      </c>
      <c r="H32" s="5">
        <v>1</v>
      </c>
      <c r="I32" s="74" t="s">
        <v>273</v>
      </c>
      <c r="J32" s="46">
        <v>44.6</v>
      </c>
      <c r="K32" s="46">
        <v>40.699999999999996</v>
      </c>
      <c r="L32" s="46">
        <v>26.729999999999997</v>
      </c>
      <c r="M32" s="46">
        <v>43.209999999999994</v>
      </c>
      <c r="N32" s="46">
        <v>46.470000000000013</v>
      </c>
      <c r="O32" s="46">
        <v>39.340000000000003</v>
      </c>
      <c r="P32" s="46">
        <v>37.69</v>
      </c>
      <c r="Q32" s="46">
        <v>36.08</v>
      </c>
      <c r="R32" s="46">
        <v>37.630000000000003</v>
      </c>
      <c r="S32" s="46">
        <v>40.269999999999996</v>
      </c>
      <c r="T32" s="46">
        <v>42.89</v>
      </c>
      <c r="U32" s="46">
        <v>31.54</v>
      </c>
      <c r="V32" s="46">
        <v>40.940000000000005</v>
      </c>
      <c r="W32" s="46">
        <v>36.159999999999997</v>
      </c>
      <c r="X32" s="46">
        <v>35.67</v>
      </c>
      <c r="Y32" s="46">
        <v>41.949999999999996</v>
      </c>
      <c r="Z32" s="46">
        <v>48.269999999999996</v>
      </c>
      <c r="AA32" s="46">
        <v>31.979999999999997</v>
      </c>
      <c r="AB32" s="46">
        <v>35.279999999999994</v>
      </c>
      <c r="AC32" s="46">
        <v>47.180000000000007</v>
      </c>
      <c r="AD32" s="46">
        <v>32.15</v>
      </c>
      <c r="AE32" s="46">
        <v>29.810000000000002</v>
      </c>
      <c r="AF32" s="46">
        <v>26.540000000000003</v>
      </c>
      <c r="AG32" s="46">
        <v>34.82</v>
      </c>
      <c r="AH32" s="46">
        <v>30.549999999999997</v>
      </c>
      <c r="AI32" s="46">
        <v>25.300000000000004</v>
      </c>
      <c r="AJ32" s="46">
        <v>33.200000000000003</v>
      </c>
      <c r="AK32" s="46">
        <v>37.64</v>
      </c>
      <c r="AL32" s="46">
        <v>43.65</v>
      </c>
      <c r="AM32" s="46">
        <v>29.45</v>
      </c>
      <c r="AN32" s="46">
        <v>28.91</v>
      </c>
      <c r="AO32" s="46">
        <f t="shared" si="1"/>
        <v>36.664516129032265</v>
      </c>
      <c r="AP32" s="67">
        <f t="shared" si="0"/>
        <v>36.664516129032265</v>
      </c>
    </row>
    <row r="33" spans="1:42" ht="15.6" x14ac:dyDescent="0.3">
      <c r="A33" s="5">
        <v>32</v>
      </c>
      <c r="B33" s="6" t="s">
        <v>9</v>
      </c>
      <c r="C33" s="12" t="s">
        <v>352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8</v>
      </c>
      <c r="I33" s="74" t="s">
        <v>273</v>
      </c>
      <c r="J33" s="46">
        <v>129.14000000000004</v>
      </c>
      <c r="K33" s="46">
        <v>145.17400000000001</v>
      </c>
      <c r="L33" s="46">
        <v>156.79500000000002</v>
      </c>
      <c r="M33" s="46">
        <v>125.268</v>
      </c>
      <c r="N33" s="46">
        <v>148.05399999999997</v>
      </c>
      <c r="O33" s="46">
        <v>143.02200000000005</v>
      </c>
      <c r="P33" s="46">
        <v>182.36199999999994</v>
      </c>
      <c r="Q33" s="46">
        <v>168.36700000000002</v>
      </c>
      <c r="R33" s="46">
        <v>146.34800000000001</v>
      </c>
      <c r="S33" s="46">
        <v>149.78600000000003</v>
      </c>
      <c r="T33" s="46">
        <v>131.51800000000003</v>
      </c>
      <c r="U33" s="46">
        <v>86.552000000000021</v>
      </c>
      <c r="V33" s="46">
        <v>151.691</v>
      </c>
      <c r="W33" s="46">
        <v>151.95599999999999</v>
      </c>
      <c r="X33" s="46">
        <v>146.95700000000002</v>
      </c>
      <c r="Y33" s="46">
        <v>143.81099999999998</v>
      </c>
      <c r="Z33" s="46">
        <v>138.31000000000003</v>
      </c>
      <c r="AA33" s="46">
        <v>142.84</v>
      </c>
      <c r="AB33" s="46">
        <v>101.40599999999999</v>
      </c>
      <c r="AC33" s="46">
        <v>71.34</v>
      </c>
      <c r="AD33" s="46">
        <v>129.76500000000004</v>
      </c>
      <c r="AE33" s="46">
        <v>137.70300000000003</v>
      </c>
      <c r="AF33" s="46">
        <v>89.170999999999964</v>
      </c>
      <c r="AG33" s="46">
        <v>139.43699999999998</v>
      </c>
      <c r="AH33" s="46">
        <v>80.616000000000014</v>
      </c>
      <c r="AI33" s="46">
        <v>143.155</v>
      </c>
      <c r="AJ33" s="46">
        <v>133.02199999999999</v>
      </c>
      <c r="AK33" s="46">
        <v>141.07099999999994</v>
      </c>
      <c r="AL33" s="46">
        <v>120.50299999999996</v>
      </c>
      <c r="AM33" s="46">
        <v>165.33199999999999</v>
      </c>
      <c r="AN33" s="46">
        <v>127.33799999999998</v>
      </c>
      <c r="AO33" s="46">
        <f t="shared" si="1"/>
        <v>134.44548387096773</v>
      </c>
      <c r="AP33" s="67">
        <f t="shared" si="0"/>
        <v>16.805685483870967</v>
      </c>
    </row>
    <row r="34" spans="1:42" ht="15.6" x14ac:dyDescent="0.3">
      <c r="A34" s="5">
        <v>33</v>
      </c>
      <c r="B34" s="6" t="s">
        <v>9</v>
      </c>
      <c r="C34" s="12" t="s">
        <v>352</v>
      </c>
      <c r="D34" s="6" t="s">
        <v>128</v>
      </c>
      <c r="E34" s="6" t="s">
        <v>12</v>
      </c>
      <c r="F34" s="6" t="s">
        <v>40</v>
      </c>
      <c r="G34" s="6" t="s">
        <v>35</v>
      </c>
      <c r="H34" s="5">
        <v>2</v>
      </c>
      <c r="I34" s="74" t="s">
        <v>273</v>
      </c>
      <c r="J34" s="46">
        <v>48.323</v>
      </c>
      <c r="K34" s="46">
        <v>62.79</v>
      </c>
      <c r="L34" s="46">
        <v>39.837000000000003</v>
      </c>
      <c r="M34" s="46">
        <v>72.88600000000001</v>
      </c>
      <c r="N34" s="46">
        <v>37.722000000000001</v>
      </c>
      <c r="O34" s="46">
        <v>44.496000000000002</v>
      </c>
      <c r="P34" s="46">
        <v>52.314999999999998</v>
      </c>
      <c r="Q34" s="46">
        <v>63.186999999999998</v>
      </c>
      <c r="R34" s="46">
        <v>52.771999999999991</v>
      </c>
      <c r="S34" s="46">
        <v>83.575000000000003</v>
      </c>
      <c r="T34" s="46">
        <v>69.966999999999999</v>
      </c>
      <c r="U34" s="46">
        <v>52.657000000000004</v>
      </c>
      <c r="V34" s="46">
        <v>64.573999999999998</v>
      </c>
      <c r="W34" s="46">
        <v>49.232999999999997</v>
      </c>
      <c r="X34" s="46">
        <v>33.579000000000001</v>
      </c>
      <c r="Y34" s="46">
        <v>47.918999999999997</v>
      </c>
      <c r="Z34" s="46">
        <v>54.325000000000003</v>
      </c>
      <c r="AA34" s="46">
        <v>41.875</v>
      </c>
      <c r="AB34" s="46">
        <v>81.14100000000002</v>
      </c>
      <c r="AC34" s="46">
        <v>44.108999999999995</v>
      </c>
      <c r="AD34" s="46">
        <v>37.935000000000002</v>
      </c>
      <c r="AE34" s="46">
        <v>53.896000000000001</v>
      </c>
      <c r="AF34" s="46">
        <v>21.541</v>
      </c>
      <c r="AG34" s="46">
        <v>28.942999999999998</v>
      </c>
      <c r="AH34" s="46">
        <v>41.887999999999998</v>
      </c>
      <c r="AI34" s="46">
        <v>44.716999999999999</v>
      </c>
      <c r="AJ34" s="46">
        <v>46.606999999999999</v>
      </c>
      <c r="AK34" s="46">
        <v>36.957000000000001</v>
      </c>
      <c r="AL34" s="46">
        <v>36.401000000000003</v>
      </c>
      <c r="AM34" s="46">
        <v>21.722000000000001</v>
      </c>
      <c r="AN34" s="46">
        <v>33.947000000000003</v>
      </c>
      <c r="AO34" s="46">
        <f t="shared" si="1"/>
        <v>48.446322580645152</v>
      </c>
      <c r="AP34" s="67">
        <f t="shared" ref="AP34:AP65" si="2">AO34/H34</f>
        <v>24.223161290322576</v>
      </c>
    </row>
    <row r="35" spans="1:42" ht="15.6" x14ac:dyDescent="0.3">
      <c r="A35" s="5">
        <v>34</v>
      </c>
      <c r="B35" s="6" t="s">
        <v>9</v>
      </c>
      <c r="C35" s="12" t="s">
        <v>370</v>
      </c>
      <c r="D35" s="6" t="s">
        <v>128</v>
      </c>
      <c r="E35" s="6" t="s">
        <v>12</v>
      </c>
      <c r="F35" s="6" t="s">
        <v>13</v>
      </c>
      <c r="G35" s="6" t="s">
        <v>35</v>
      </c>
      <c r="H35" s="5">
        <v>1</v>
      </c>
      <c r="I35" s="74" t="s">
        <v>273</v>
      </c>
      <c r="J35" s="46">
        <v>18.850000000000001</v>
      </c>
      <c r="K35" s="46">
        <v>14.950999999999999</v>
      </c>
      <c r="L35" s="46">
        <v>20.706</v>
      </c>
      <c r="M35" s="46">
        <v>16.904999999999998</v>
      </c>
      <c r="N35" s="46">
        <v>12.135</v>
      </c>
      <c r="O35" s="46">
        <v>20.397999999999996</v>
      </c>
      <c r="P35" s="46">
        <v>17.515999999999998</v>
      </c>
      <c r="Q35" s="46">
        <v>14.339000000000002</v>
      </c>
      <c r="R35" s="46">
        <v>10.614000000000001</v>
      </c>
      <c r="S35" s="46">
        <v>22.875</v>
      </c>
      <c r="T35" s="46">
        <v>9.6460000000000008</v>
      </c>
      <c r="U35" s="46">
        <v>17.513000000000002</v>
      </c>
      <c r="V35" s="46">
        <v>16.399999999999999</v>
      </c>
      <c r="W35" s="46">
        <v>18.350000000000001</v>
      </c>
      <c r="X35" s="46">
        <v>16.246000000000002</v>
      </c>
      <c r="Y35" s="46">
        <v>4.7220000000000004</v>
      </c>
      <c r="Z35" s="46">
        <v>10.182</v>
      </c>
      <c r="AA35" s="46">
        <v>15.145</v>
      </c>
      <c r="AB35" s="46">
        <v>14.196000000000002</v>
      </c>
      <c r="AC35" s="46">
        <v>6.415</v>
      </c>
      <c r="AD35" s="46">
        <v>14.16</v>
      </c>
      <c r="AE35" s="46">
        <v>23.082000000000001</v>
      </c>
      <c r="AF35" s="46">
        <v>14.518000000000001</v>
      </c>
      <c r="AG35" s="46">
        <v>13.166</v>
      </c>
      <c r="AH35" s="46">
        <v>7.069</v>
      </c>
      <c r="AI35" s="46">
        <v>9.6260000000000012</v>
      </c>
      <c r="AJ35" s="46">
        <v>9.6649999999999991</v>
      </c>
      <c r="AK35" s="46">
        <v>9.39</v>
      </c>
      <c r="AL35" s="46">
        <v>8.8330000000000002</v>
      </c>
      <c r="AM35" s="46">
        <v>9.9559999999999995</v>
      </c>
      <c r="AN35" s="46">
        <v>6.5019999999999998</v>
      </c>
      <c r="AO35" s="46">
        <f t="shared" si="1"/>
        <v>13.679709677419357</v>
      </c>
      <c r="AP35" s="67">
        <f t="shared" si="2"/>
        <v>13.679709677419357</v>
      </c>
    </row>
    <row r="36" spans="1:42" ht="15.6" x14ac:dyDescent="0.3">
      <c r="A36" s="5">
        <v>35</v>
      </c>
      <c r="B36" s="6" t="s">
        <v>9</v>
      </c>
      <c r="C36" s="12" t="s">
        <v>283</v>
      </c>
      <c r="D36" s="6" t="s">
        <v>128</v>
      </c>
      <c r="E36" s="6" t="s">
        <v>12</v>
      </c>
      <c r="F36" s="6" t="s">
        <v>13</v>
      </c>
      <c r="G36" s="6" t="s">
        <v>35</v>
      </c>
      <c r="H36" s="5">
        <v>5</v>
      </c>
      <c r="I36" s="74" t="s">
        <v>273</v>
      </c>
      <c r="J36" s="46">
        <v>60.671999999999997</v>
      </c>
      <c r="K36" s="46">
        <v>39.970000000000006</v>
      </c>
      <c r="L36" s="46">
        <v>56.047999999999988</v>
      </c>
      <c r="M36" s="46">
        <v>61.298000000000002</v>
      </c>
      <c r="N36" s="46">
        <v>46.282000000000004</v>
      </c>
      <c r="O36" s="46">
        <v>69.421999999999997</v>
      </c>
      <c r="P36" s="46">
        <v>64.606999999999999</v>
      </c>
      <c r="Q36" s="46">
        <v>53.023000000000003</v>
      </c>
      <c r="R36" s="46">
        <v>74.500999999999991</v>
      </c>
      <c r="S36" s="46">
        <v>73.297000000000011</v>
      </c>
      <c r="T36" s="46">
        <v>46.905000000000001</v>
      </c>
      <c r="U36" s="46">
        <v>32.078000000000003</v>
      </c>
      <c r="V36" s="46">
        <v>60.762</v>
      </c>
      <c r="W36" s="46">
        <v>68.612999999999985</v>
      </c>
      <c r="X36" s="46">
        <v>43.522000000000006</v>
      </c>
      <c r="Y36" s="46">
        <v>51.567999999999998</v>
      </c>
      <c r="Z36" s="46">
        <v>65.695999999999984</v>
      </c>
      <c r="AA36" s="46">
        <v>83.201999999999998</v>
      </c>
      <c r="AB36" s="46">
        <v>42.067</v>
      </c>
      <c r="AC36" s="46">
        <v>54.619</v>
      </c>
      <c r="AD36" s="46">
        <v>72.930999999999997</v>
      </c>
      <c r="AE36" s="46">
        <v>41.870999999999995</v>
      </c>
      <c r="AF36" s="46">
        <v>45.84</v>
      </c>
      <c r="AG36" s="46">
        <v>74.644999999999996</v>
      </c>
      <c r="AH36" s="46">
        <v>60.19400000000001</v>
      </c>
      <c r="AI36" s="46">
        <v>43.561999999999998</v>
      </c>
      <c r="AJ36" s="46">
        <v>66.808000000000007</v>
      </c>
      <c r="AK36" s="46">
        <v>59.862000000000002</v>
      </c>
      <c r="AL36" s="46">
        <v>92.7</v>
      </c>
      <c r="AM36" s="46">
        <v>53.235999999999997</v>
      </c>
      <c r="AN36" s="46">
        <v>74.295000000000002</v>
      </c>
      <c r="AO36" s="46">
        <f t="shared" si="1"/>
        <v>59.164387096774192</v>
      </c>
      <c r="AP36" s="67">
        <f t="shared" si="2"/>
        <v>11.832877419354839</v>
      </c>
    </row>
    <row r="37" spans="1:42" ht="15.6" x14ac:dyDescent="0.3">
      <c r="A37" s="5">
        <v>36</v>
      </c>
      <c r="B37" s="6" t="s">
        <v>9</v>
      </c>
      <c r="C37" s="12" t="s">
        <v>318</v>
      </c>
      <c r="D37" s="6" t="s">
        <v>128</v>
      </c>
      <c r="E37" s="6" t="s">
        <v>12</v>
      </c>
      <c r="F37" s="6" t="s">
        <v>13</v>
      </c>
      <c r="G37" s="6" t="s">
        <v>35</v>
      </c>
      <c r="H37" s="5">
        <v>1</v>
      </c>
      <c r="I37" s="74" t="s">
        <v>272</v>
      </c>
      <c r="J37" s="46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51">
        <v>0</v>
      </c>
      <c r="S37" s="45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1.794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f t="shared" si="1"/>
        <v>5.7870967741935488E-2</v>
      </c>
      <c r="AP37" s="67">
        <f t="shared" si="2"/>
        <v>5.7870967741935488E-2</v>
      </c>
    </row>
    <row r="38" spans="1:42" ht="15.6" x14ac:dyDescent="0.3">
      <c r="A38" s="5">
        <v>37</v>
      </c>
      <c r="B38" s="6" t="s">
        <v>9</v>
      </c>
      <c r="C38" s="12" t="s">
        <v>323</v>
      </c>
      <c r="D38" s="6" t="s">
        <v>128</v>
      </c>
      <c r="E38" s="6" t="s">
        <v>12</v>
      </c>
      <c r="F38" s="6" t="s">
        <v>13</v>
      </c>
      <c r="G38" s="6" t="s">
        <v>35</v>
      </c>
      <c r="H38" s="5">
        <v>3</v>
      </c>
      <c r="I38" s="74" t="s">
        <v>273</v>
      </c>
      <c r="J38" s="46">
        <v>25.157</v>
      </c>
      <c r="K38" s="46">
        <v>20.056000000000001</v>
      </c>
      <c r="L38" s="46">
        <v>15.948</v>
      </c>
      <c r="M38" s="46">
        <v>27.279</v>
      </c>
      <c r="N38" s="46">
        <v>11.346</v>
      </c>
      <c r="O38" s="46">
        <v>16.695999999999998</v>
      </c>
      <c r="P38" s="46">
        <v>19.777999999999999</v>
      </c>
      <c r="Q38" s="46">
        <v>15.223999999999998</v>
      </c>
      <c r="R38" s="46">
        <v>32.012</v>
      </c>
      <c r="S38" s="46">
        <v>20.007000000000001</v>
      </c>
      <c r="T38" s="46">
        <v>23.338000000000001</v>
      </c>
      <c r="U38" s="46">
        <v>18.212</v>
      </c>
      <c r="V38" s="46">
        <v>55.145999999999987</v>
      </c>
      <c r="W38" s="46">
        <v>9.4559999999999995</v>
      </c>
      <c r="X38" s="46">
        <v>16.033000000000001</v>
      </c>
      <c r="Y38" s="46">
        <v>12.898999999999999</v>
      </c>
      <c r="Z38" s="46">
        <v>21.326000000000001</v>
      </c>
      <c r="AA38" s="46">
        <v>20.067</v>
      </c>
      <c r="AB38" s="46">
        <v>4.5670000000000002</v>
      </c>
      <c r="AC38" s="46">
        <v>20.978999999999999</v>
      </c>
      <c r="AD38" s="46">
        <v>0</v>
      </c>
      <c r="AE38" s="46">
        <v>22.599999999999998</v>
      </c>
      <c r="AF38" s="46">
        <v>6.4039999999999999</v>
      </c>
      <c r="AG38" s="46">
        <v>11.441000000000001</v>
      </c>
      <c r="AH38" s="46">
        <v>9.57</v>
      </c>
      <c r="AI38" s="46">
        <v>17.434000000000001</v>
      </c>
      <c r="AJ38" s="46">
        <v>18.786000000000001</v>
      </c>
      <c r="AK38" s="46">
        <v>17.175999999999998</v>
      </c>
      <c r="AL38" s="46">
        <v>21.681000000000001</v>
      </c>
      <c r="AM38" s="46">
        <v>15.305999999999999</v>
      </c>
      <c r="AN38" s="46">
        <v>23.402000000000001</v>
      </c>
      <c r="AO38" s="46">
        <f t="shared" si="1"/>
        <v>18.365354838709681</v>
      </c>
      <c r="AP38" s="67">
        <f t="shared" si="2"/>
        <v>6.1217849462365601</v>
      </c>
    </row>
    <row r="39" spans="1:42" ht="15.6" x14ac:dyDescent="0.3">
      <c r="A39" s="5">
        <v>38</v>
      </c>
      <c r="B39" s="6" t="s">
        <v>9</v>
      </c>
      <c r="C39" s="12" t="s">
        <v>354</v>
      </c>
      <c r="D39" s="6" t="s">
        <v>128</v>
      </c>
      <c r="E39" s="6" t="s">
        <v>12</v>
      </c>
      <c r="F39" s="6" t="s">
        <v>13</v>
      </c>
      <c r="G39" s="6" t="s">
        <v>35</v>
      </c>
      <c r="H39" s="5">
        <v>11</v>
      </c>
      <c r="I39" s="74" t="s">
        <v>273</v>
      </c>
      <c r="J39" s="46">
        <v>74.899999999999991</v>
      </c>
      <c r="K39" s="46">
        <v>105.53699999999998</v>
      </c>
      <c r="L39" s="46">
        <v>131.47600000000003</v>
      </c>
      <c r="M39" s="46">
        <v>101.93200000000002</v>
      </c>
      <c r="N39" s="46">
        <v>117.06800000000001</v>
      </c>
      <c r="O39" s="46">
        <v>131.39400000000001</v>
      </c>
      <c r="P39" s="46">
        <v>86.619000000000014</v>
      </c>
      <c r="Q39" s="46">
        <v>112.52200000000005</v>
      </c>
      <c r="R39" s="46">
        <v>115.56499999999997</v>
      </c>
      <c r="S39" s="46">
        <v>93.513999999999996</v>
      </c>
      <c r="T39" s="46">
        <v>98.786999999999992</v>
      </c>
      <c r="U39" s="46">
        <v>79.610000000000014</v>
      </c>
      <c r="V39" s="46">
        <v>95.080999999999989</v>
      </c>
      <c r="W39" s="46">
        <v>83.402000000000001</v>
      </c>
      <c r="X39" s="46">
        <v>92.518000000000029</v>
      </c>
      <c r="Y39" s="46">
        <v>103.54600000000001</v>
      </c>
      <c r="Z39" s="46">
        <v>126.10400000000003</v>
      </c>
      <c r="AA39" s="46">
        <v>77.873000000000019</v>
      </c>
      <c r="AB39" s="46">
        <v>91.418000000000021</v>
      </c>
      <c r="AC39" s="46">
        <v>116.73699999999998</v>
      </c>
      <c r="AD39" s="46">
        <v>99.417000000000002</v>
      </c>
      <c r="AE39" s="46">
        <v>84.985000000000014</v>
      </c>
      <c r="AF39" s="46">
        <v>56.288999999999987</v>
      </c>
      <c r="AG39" s="46">
        <v>124.39800000000001</v>
      </c>
      <c r="AH39" s="46">
        <v>89.659000000000006</v>
      </c>
      <c r="AI39" s="46">
        <v>116.679</v>
      </c>
      <c r="AJ39" s="46">
        <v>121.88599999999998</v>
      </c>
      <c r="AK39" s="46">
        <v>84.327999999999989</v>
      </c>
      <c r="AL39" s="46">
        <v>131.36000000000001</v>
      </c>
      <c r="AM39" s="46">
        <v>107.87900000000002</v>
      </c>
      <c r="AN39" s="46">
        <v>116.31400000000001</v>
      </c>
      <c r="AO39" s="46">
        <f t="shared" si="1"/>
        <v>102.21925806451615</v>
      </c>
      <c r="AP39" s="67">
        <f t="shared" si="2"/>
        <v>9.2926598240469236</v>
      </c>
    </row>
    <row r="40" spans="1:42" ht="15.6" x14ac:dyDescent="0.3">
      <c r="A40" s="5">
        <v>39</v>
      </c>
      <c r="B40" s="6" t="s">
        <v>9</v>
      </c>
      <c r="C40" s="12" t="s">
        <v>357</v>
      </c>
      <c r="D40" s="6" t="s">
        <v>128</v>
      </c>
      <c r="E40" s="6" t="s">
        <v>12</v>
      </c>
      <c r="F40" s="6" t="s">
        <v>353</v>
      </c>
      <c r="G40" s="6" t="s">
        <v>35</v>
      </c>
      <c r="H40" s="5">
        <v>1</v>
      </c>
      <c r="I40" s="74" t="s">
        <v>272</v>
      </c>
      <c r="J40" s="46">
        <v>0</v>
      </c>
      <c r="K40" s="46">
        <v>0</v>
      </c>
      <c r="L40" s="46">
        <v>0</v>
      </c>
      <c r="M40" s="46">
        <v>0</v>
      </c>
      <c r="N40" s="46">
        <v>10.846</v>
      </c>
      <c r="O40" s="46">
        <v>0</v>
      </c>
      <c r="P40" s="46">
        <v>0</v>
      </c>
      <c r="Q40" s="46">
        <v>0</v>
      </c>
      <c r="R40" s="51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46">
        <v>0.41199999999999998</v>
      </c>
      <c r="AN40" s="46">
        <v>13.542</v>
      </c>
      <c r="AO40" s="46">
        <f t="shared" si="1"/>
        <v>0.8</v>
      </c>
      <c r="AP40" s="67">
        <f t="shared" si="2"/>
        <v>0.8</v>
      </c>
    </row>
    <row r="41" spans="1:42" ht="15.6" x14ac:dyDescent="0.3">
      <c r="A41" s="5">
        <v>40</v>
      </c>
      <c r="B41" s="6" t="s">
        <v>9</v>
      </c>
      <c r="C41" s="39" t="s">
        <v>366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5</v>
      </c>
      <c r="I41" s="74" t="s">
        <v>273</v>
      </c>
      <c r="J41" s="46">
        <v>24.706</v>
      </c>
      <c r="K41" s="46">
        <v>21.910000000000004</v>
      </c>
      <c r="L41" s="46">
        <v>24.043000000000003</v>
      </c>
      <c r="M41" s="46">
        <v>10.874000000000002</v>
      </c>
      <c r="N41" s="46">
        <v>22.189999999999998</v>
      </c>
      <c r="O41" s="46">
        <v>26.282</v>
      </c>
      <c r="P41" s="46">
        <v>22.916000000000004</v>
      </c>
      <c r="Q41" s="46">
        <v>10.206999999999999</v>
      </c>
      <c r="R41" s="46">
        <v>15.911</v>
      </c>
      <c r="S41" s="46">
        <v>27.175000000000004</v>
      </c>
      <c r="T41" s="46">
        <v>19.844000000000001</v>
      </c>
      <c r="U41" s="46">
        <v>23.617999999999999</v>
      </c>
      <c r="V41" s="46">
        <v>19.027999999999999</v>
      </c>
      <c r="W41" s="46">
        <v>15.709999999999999</v>
      </c>
      <c r="X41" s="46">
        <v>9.4480000000000004</v>
      </c>
      <c r="Y41" s="46">
        <v>11.164</v>
      </c>
      <c r="Z41" s="46">
        <v>20.704000000000004</v>
      </c>
      <c r="AA41" s="46">
        <v>15.423999999999999</v>
      </c>
      <c r="AB41" s="46">
        <v>17.742000000000001</v>
      </c>
      <c r="AC41" s="46">
        <v>14.864000000000001</v>
      </c>
      <c r="AD41" s="46">
        <v>15.614000000000001</v>
      </c>
      <c r="AE41" s="46">
        <v>20.169</v>
      </c>
      <c r="AF41" s="46">
        <v>18.634</v>
      </c>
      <c r="AG41" s="46">
        <v>21.204999999999998</v>
      </c>
      <c r="AH41" s="46">
        <v>48.775999999999989</v>
      </c>
      <c r="AI41" s="46">
        <v>30.006999999999998</v>
      </c>
      <c r="AJ41" s="46">
        <v>55.120999999999995</v>
      </c>
      <c r="AK41" s="46">
        <v>19.671999999999997</v>
      </c>
      <c r="AL41" s="46">
        <v>26.500000000000004</v>
      </c>
      <c r="AM41" s="46">
        <v>11.375</v>
      </c>
      <c r="AN41" s="46">
        <v>52.764999999999993</v>
      </c>
      <c r="AO41" s="46">
        <f t="shared" si="1"/>
        <v>22.374129032258061</v>
      </c>
      <c r="AP41" s="67">
        <f t="shared" si="2"/>
        <v>4.4748258064516122</v>
      </c>
    </row>
    <row r="42" spans="1:42" ht="15.6" x14ac:dyDescent="0.3">
      <c r="A42" s="5">
        <v>41</v>
      </c>
      <c r="B42" s="6" t="s">
        <v>9</v>
      </c>
      <c r="C42" s="12" t="s">
        <v>403</v>
      </c>
      <c r="D42" s="6" t="s">
        <v>30</v>
      </c>
      <c r="E42" s="6" t="s">
        <v>12</v>
      </c>
      <c r="F42" s="6" t="s">
        <v>13</v>
      </c>
      <c r="G42" s="6" t="s">
        <v>35</v>
      </c>
      <c r="H42" s="5">
        <v>1</v>
      </c>
      <c r="I42" s="74" t="s">
        <v>273</v>
      </c>
      <c r="J42" s="46">
        <v>4.9290000000000003</v>
      </c>
      <c r="K42" s="46">
        <v>5.1189999999999998</v>
      </c>
      <c r="L42" s="46">
        <v>1.6850000000000001</v>
      </c>
      <c r="M42" s="46">
        <v>2.7650000000000001</v>
      </c>
      <c r="N42" s="46">
        <v>0</v>
      </c>
      <c r="O42" s="46">
        <v>0</v>
      </c>
      <c r="P42" s="46">
        <v>0</v>
      </c>
      <c r="Q42" s="46">
        <v>0</v>
      </c>
      <c r="R42" s="51">
        <v>0</v>
      </c>
      <c r="S42" s="46">
        <v>1.8009999999999999</v>
      </c>
      <c r="T42" s="46">
        <v>0</v>
      </c>
      <c r="U42" s="46">
        <v>2.9849999999999999</v>
      </c>
      <c r="V42" s="46">
        <v>9.1669999999999998</v>
      </c>
      <c r="W42" s="46">
        <v>2.7709999999999999</v>
      </c>
      <c r="X42" s="46">
        <v>2E-3</v>
      </c>
      <c r="Y42" s="46">
        <v>2E-3</v>
      </c>
      <c r="Z42" s="46">
        <v>0</v>
      </c>
      <c r="AA42" s="46">
        <v>0.36799999999999999</v>
      </c>
      <c r="AB42" s="46">
        <v>7.2309999999999999</v>
      </c>
      <c r="AC42" s="46">
        <v>6.5609999999999999</v>
      </c>
      <c r="AD42" s="46">
        <v>3.444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f t="shared" si="1"/>
        <v>1.5751612903225807</v>
      </c>
      <c r="AP42" s="67">
        <f t="shared" si="2"/>
        <v>1.5751612903225807</v>
      </c>
    </row>
    <row r="43" spans="1:42" x14ac:dyDescent="0.3">
      <c r="A43" s="5">
        <v>42</v>
      </c>
      <c r="B43" s="6" t="s">
        <v>9</v>
      </c>
      <c r="C43" s="12" t="s">
        <v>404</v>
      </c>
      <c r="D43" s="6" t="s">
        <v>128</v>
      </c>
      <c r="E43" s="6" t="s">
        <v>12</v>
      </c>
      <c r="F43" s="6" t="s">
        <v>13</v>
      </c>
      <c r="G43" s="6" t="s">
        <v>35</v>
      </c>
      <c r="H43" s="5">
        <v>1</v>
      </c>
      <c r="I43" s="67" t="s">
        <v>160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1.1599999999999999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1.7149999999999999</v>
      </c>
      <c r="Y43" s="46">
        <v>5.4399999999999995</v>
      </c>
      <c r="Z43" s="46">
        <v>4.4859999999999998</v>
      </c>
      <c r="AA43" s="46">
        <v>6.7629999999999999</v>
      </c>
      <c r="AB43" s="46">
        <v>3.327</v>
      </c>
      <c r="AC43" s="46">
        <v>2.2799999999999998</v>
      </c>
      <c r="AD43" s="46">
        <v>0</v>
      </c>
      <c r="AE43" s="46">
        <v>0</v>
      </c>
      <c r="AF43" s="46">
        <v>0</v>
      </c>
      <c r="AG43" s="46">
        <v>3.2789999999999999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2.8620000000000001</v>
      </c>
      <c r="AN43" s="46">
        <v>0.86099999999999999</v>
      </c>
      <c r="AO43" s="46">
        <f t="shared" si="1"/>
        <v>1.0378387096774191</v>
      </c>
      <c r="AP43" s="67">
        <f t="shared" si="2"/>
        <v>1.0378387096774191</v>
      </c>
    </row>
    <row r="44" spans="1:42" ht="15.6" x14ac:dyDescent="0.3">
      <c r="A44" s="5">
        <v>43</v>
      </c>
      <c r="B44" s="6" t="s">
        <v>9</v>
      </c>
      <c r="C44" s="12" t="s">
        <v>433</v>
      </c>
      <c r="D44" s="6" t="s">
        <v>30</v>
      </c>
      <c r="E44" s="6" t="s">
        <v>12</v>
      </c>
      <c r="F44" s="6" t="s">
        <v>13</v>
      </c>
      <c r="G44" s="6" t="s">
        <v>35</v>
      </c>
      <c r="H44" s="5">
        <v>1</v>
      </c>
      <c r="I44" s="74" t="s">
        <v>273</v>
      </c>
      <c r="J44" s="46"/>
      <c r="K44" s="46"/>
      <c r="L44" s="46"/>
      <c r="M44" s="46"/>
      <c r="N44" s="46"/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1.492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 t="shared" si="1"/>
        <v>5.7384615384615381E-2</v>
      </c>
      <c r="AP44" s="67">
        <f t="shared" si="2"/>
        <v>5.7384615384615381E-2</v>
      </c>
    </row>
    <row r="45" spans="1:42" ht="15.6" x14ac:dyDescent="0.3">
      <c r="A45" s="5">
        <v>44</v>
      </c>
      <c r="B45" s="6" t="s">
        <v>9</v>
      </c>
      <c r="C45" s="12" t="s">
        <v>434</v>
      </c>
      <c r="D45" s="6" t="s">
        <v>30</v>
      </c>
      <c r="E45" s="6" t="s">
        <v>12</v>
      </c>
      <c r="F45" s="6" t="s">
        <v>13</v>
      </c>
      <c r="G45" s="6" t="s">
        <v>35</v>
      </c>
      <c r="H45" s="5">
        <v>1</v>
      </c>
      <c r="I45" s="74" t="s">
        <v>273</v>
      </c>
      <c r="J45" s="46"/>
      <c r="K45" s="46"/>
      <c r="L45" s="46"/>
      <c r="M45" s="46"/>
      <c r="N45" s="46"/>
      <c r="O45" s="46"/>
      <c r="P45" s="46"/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2.7170000000000001</v>
      </c>
      <c r="AE45" s="46">
        <v>0</v>
      </c>
      <c r="AF45" s="46">
        <v>0</v>
      </c>
      <c r="AG45" s="46">
        <v>4.468</v>
      </c>
      <c r="AH45" s="46">
        <v>0</v>
      </c>
      <c r="AI45" s="46">
        <v>8.5410000000000004</v>
      </c>
      <c r="AJ45" s="46">
        <v>0</v>
      </c>
      <c r="AK45" s="46">
        <v>6.306</v>
      </c>
      <c r="AL45" s="46">
        <v>0</v>
      </c>
      <c r="AM45" s="46">
        <v>2.556</v>
      </c>
      <c r="AN45" s="46">
        <v>0</v>
      </c>
      <c r="AO45" s="46">
        <f t="shared" si="1"/>
        <v>1.0245</v>
      </c>
      <c r="AP45" s="67">
        <f t="shared" si="2"/>
        <v>1.0245</v>
      </c>
    </row>
    <row r="46" spans="1:42" x14ac:dyDescent="0.3">
      <c r="A46" s="5">
        <v>45</v>
      </c>
      <c r="B46" s="6" t="s">
        <v>9</v>
      </c>
      <c r="C46" t="s">
        <v>440</v>
      </c>
      <c r="D46" s="6" t="s">
        <v>128</v>
      </c>
      <c r="E46" s="6" t="s">
        <v>12</v>
      </c>
      <c r="F46" s="6" t="s">
        <v>441</v>
      </c>
      <c r="G46" s="6" t="s">
        <v>80</v>
      </c>
      <c r="H46" s="5">
        <v>2</v>
      </c>
      <c r="I46" s="67" t="s">
        <v>160</v>
      </c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>
        <v>12.85</v>
      </c>
      <c r="Y46" s="46">
        <v>23.46</v>
      </c>
      <c r="Z46" s="46">
        <v>6.3650000000000002</v>
      </c>
      <c r="AA46" s="46">
        <v>13.439</v>
      </c>
      <c r="AB46" s="46">
        <v>31.288000000000004</v>
      </c>
      <c r="AC46" s="46">
        <v>90.582000000000008</v>
      </c>
      <c r="AD46" s="46">
        <v>83.385000000000005</v>
      </c>
      <c r="AE46" s="46">
        <v>56.26</v>
      </c>
      <c r="AF46" s="46">
        <v>62.417999999999999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f t="shared" si="1"/>
        <v>22.355705882352943</v>
      </c>
      <c r="AP46" s="67">
        <f t="shared" si="2"/>
        <v>11.177852941176472</v>
      </c>
    </row>
    <row r="47" spans="1:42" x14ac:dyDescent="0.3">
      <c r="A47" s="5">
        <v>46</v>
      </c>
      <c r="B47" s="6" t="s">
        <v>9</v>
      </c>
      <c r="C47" s="12" t="s">
        <v>455</v>
      </c>
      <c r="D47" s="6" t="s">
        <v>128</v>
      </c>
      <c r="E47" s="6" t="s">
        <v>12</v>
      </c>
      <c r="F47" s="6" t="s">
        <v>13</v>
      </c>
      <c r="G47" s="6" t="s">
        <v>35</v>
      </c>
      <c r="H47" s="5">
        <v>5</v>
      </c>
      <c r="I47" s="67" t="s">
        <v>160</v>
      </c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0.75</v>
      </c>
      <c r="AL47" s="46">
        <v>0</v>
      </c>
      <c r="AM47" s="46">
        <v>0</v>
      </c>
      <c r="AN47" s="46">
        <v>0</v>
      </c>
      <c r="AO47" s="46">
        <f t="shared" si="1"/>
        <v>6.8181818181818177E-2</v>
      </c>
      <c r="AP47" s="67">
        <f t="shared" si="2"/>
        <v>1.3636363636363636E-2</v>
      </c>
    </row>
    <row r="48" spans="1:42" x14ac:dyDescent="0.3">
      <c r="A48" s="5">
        <v>47</v>
      </c>
      <c r="B48" s="6" t="s">
        <v>9</v>
      </c>
      <c r="C48" t="s">
        <v>456</v>
      </c>
      <c r="D48" s="6" t="s">
        <v>128</v>
      </c>
      <c r="E48" s="6" t="s">
        <v>12</v>
      </c>
      <c r="F48" s="6" t="s">
        <v>353</v>
      </c>
      <c r="G48" s="6" t="s">
        <v>35</v>
      </c>
      <c r="H48" s="5">
        <v>2</v>
      </c>
      <c r="I48" s="67" t="s">
        <v>160</v>
      </c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>
        <v>0</v>
      </c>
      <c r="AG48" s="46">
        <v>0</v>
      </c>
      <c r="AH48" s="46">
        <v>0</v>
      </c>
      <c r="AI48" s="46">
        <v>1.01</v>
      </c>
      <c r="AJ48" s="46">
        <v>0</v>
      </c>
      <c r="AK48" s="46">
        <v>0</v>
      </c>
      <c r="AL48" s="46">
        <v>0</v>
      </c>
      <c r="AM48" s="46">
        <v>0</v>
      </c>
      <c r="AN48" s="46">
        <v>0</v>
      </c>
      <c r="AO48" s="46">
        <f t="shared" si="1"/>
        <v>0.11222222222222222</v>
      </c>
      <c r="AP48" s="67">
        <f t="shared" si="2"/>
        <v>5.6111111111111112E-2</v>
      </c>
    </row>
    <row r="49" spans="1:42" x14ac:dyDescent="0.3">
      <c r="A49" s="5">
        <v>48</v>
      </c>
      <c r="B49" s="6" t="s">
        <v>9</v>
      </c>
      <c r="C49" s="6" t="s">
        <v>93</v>
      </c>
      <c r="D49" s="6" t="s">
        <v>26</v>
      </c>
      <c r="E49" s="6" t="s">
        <v>19</v>
      </c>
      <c r="F49" s="6" t="s">
        <v>13</v>
      </c>
      <c r="G49" s="6" t="s">
        <v>14</v>
      </c>
      <c r="H49" s="5">
        <v>1</v>
      </c>
      <c r="I49" s="67" t="s">
        <v>160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f t="shared" si="1"/>
        <v>0</v>
      </c>
      <c r="AP49" s="67">
        <f t="shared" si="2"/>
        <v>0</v>
      </c>
    </row>
    <row r="50" spans="1:42" x14ac:dyDescent="0.3">
      <c r="A50" s="5">
        <v>49</v>
      </c>
      <c r="B50" s="6" t="s">
        <v>9</v>
      </c>
      <c r="C50" s="6" t="s">
        <v>27</v>
      </c>
      <c r="D50" s="6" t="s">
        <v>28</v>
      </c>
      <c r="E50" s="6" t="s">
        <v>19</v>
      </c>
      <c r="F50" s="6" t="s">
        <v>13</v>
      </c>
      <c r="G50" s="6" t="s">
        <v>14</v>
      </c>
      <c r="H50" s="5">
        <v>4</v>
      </c>
      <c r="I50" s="67" t="s">
        <v>160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46">
        <f t="shared" si="1"/>
        <v>0</v>
      </c>
      <c r="AP50" s="67">
        <f t="shared" si="2"/>
        <v>0</v>
      </c>
    </row>
    <row r="51" spans="1:42" x14ac:dyDescent="0.3">
      <c r="A51" s="5">
        <v>50</v>
      </c>
      <c r="B51" s="6" t="s">
        <v>9</v>
      </c>
      <c r="C51" s="6" t="s">
        <v>94</v>
      </c>
      <c r="D51" s="6" t="s">
        <v>32</v>
      </c>
      <c r="E51" s="6" t="s">
        <v>19</v>
      </c>
      <c r="F51" s="6" t="s">
        <v>13</v>
      </c>
      <c r="G51" s="6" t="s">
        <v>14</v>
      </c>
      <c r="H51" s="5">
        <v>2</v>
      </c>
      <c r="I51" s="67" t="s">
        <v>160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46">
        <f t="shared" si="1"/>
        <v>0</v>
      </c>
      <c r="AP51" s="67">
        <f t="shared" si="2"/>
        <v>0</v>
      </c>
    </row>
    <row r="52" spans="1:42" ht="15.6" x14ac:dyDescent="0.3">
      <c r="A52" s="5">
        <v>51</v>
      </c>
      <c r="B52" s="6" t="s">
        <v>49</v>
      </c>
      <c r="C52" s="12" t="s">
        <v>388</v>
      </c>
      <c r="D52" s="6" t="s">
        <v>128</v>
      </c>
      <c r="E52" s="6" t="s">
        <v>12</v>
      </c>
      <c r="F52" s="6" t="s">
        <v>13</v>
      </c>
      <c r="G52" s="6" t="s">
        <v>35</v>
      </c>
      <c r="H52" s="5">
        <v>5</v>
      </c>
      <c r="I52" s="74" t="s">
        <v>273</v>
      </c>
      <c r="J52" s="46">
        <v>9.5350000000000001</v>
      </c>
      <c r="K52" s="46">
        <v>11.525</v>
      </c>
      <c r="L52" s="46">
        <v>15.099</v>
      </c>
      <c r="M52" s="46">
        <v>0</v>
      </c>
      <c r="N52" s="46">
        <v>10.928999999999998</v>
      </c>
      <c r="O52" s="46">
        <v>22.344000000000001</v>
      </c>
      <c r="P52" s="46">
        <v>8.0190000000000001</v>
      </c>
      <c r="Q52" s="46">
        <v>12.455</v>
      </c>
      <c r="R52" s="46">
        <v>20.701000000000001</v>
      </c>
      <c r="S52" s="46">
        <v>19.649000000000001</v>
      </c>
      <c r="T52" s="46">
        <v>0</v>
      </c>
      <c r="U52" s="46">
        <v>10.606000000000002</v>
      </c>
      <c r="V52" s="46">
        <v>6.0990000000000002</v>
      </c>
      <c r="W52" s="46">
        <v>17.051000000000002</v>
      </c>
      <c r="X52" s="46">
        <v>0</v>
      </c>
      <c r="Y52" s="46">
        <v>19.879000000000001</v>
      </c>
      <c r="Z52" s="46">
        <v>13.776999999999999</v>
      </c>
      <c r="AA52" s="46">
        <v>0</v>
      </c>
      <c r="AB52" s="46">
        <v>14.956999999999999</v>
      </c>
      <c r="AC52" s="46">
        <v>12.215999999999999</v>
      </c>
      <c r="AD52" s="46">
        <v>10.879000000000001</v>
      </c>
      <c r="AE52" s="46">
        <v>17.498999999999999</v>
      </c>
      <c r="AF52" s="46">
        <v>8.7259999999999991</v>
      </c>
      <c r="AG52" s="46">
        <v>5.7799999999999994</v>
      </c>
      <c r="AH52" s="46">
        <v>0</v>
      </c>
      <c r="AI52" s="46">
        <v>16.094000000000001</v>
      </c>
      <c r="AJ52" s="46">
        <v>18.097000000000001</v>
      </c>
      <c r="AK52" s="46">
        <v>5.5670000000000002</v>
      </c>
      <c r="AL52" s="46">
        <v>11.096</v>
      </c>
      <c r="AM52" s="46">
        <v>17.835000000000001</v>
      </c>
      <c r="AN52" s="46">
        <v>0</v>
      </c>
      <c r="AO52" s="46">
        <f t="shared" si="1"/>
        <v>10.852064516129028</v>
      </c>
      <c r="AP52" s="67">
        <f t="shared" si="2"/>
        <v>2.1704129032258055</v>
      </c>
    </row>
    <row r="53" spans="1:42" ht="15.6" x14ac:dyDescent="0.3">
      <c r="A53" s="5">
        <v>52</v>
      </c>
      <c r="B53" s="6" t="s">
        <v>49</v>
      </c>
      <c r="C53" s="12" t="s">
        <v>389</v>
      </c>
      <c r="D53" s="6" t="s">
        <v>128</v>
      </c>
      <c r="E53" s="6" t="s">
        <v>12</v>
      </c>
      <c r="F53" s="6" t="s">
        <v>13</v>
      </c>
      <c r="G53" s="6" t="s">
        <v>35</v>
      </c>
      <c r="H53" s="5">
        <v>10</v>
      </c>
      <c r="I53" s="74" t="s">
        <v>273</v>
      </c>
      <c r="J53" s="46">
        <v>92.644000000000005</v>
      </c>
      <c r="K53" s="46">
        <v>88.615999999999985</v>
      </c>
      <c r="L53" s="46">
        <v>76.156999999999996</v>
      </c>
      <c r="M53" s="46">
        <v>98.017999999999986</v>
      </c>
      <c r="N53" s="46">
        <v>98.942999999999998</v>
      </c>
      <c r="O53" s="46">
        <v>90.25800000000001</v>
      </c>
      <c r="P53" s="46">
        <v>123.88399999999997</v>
      </c>
      <c r="Q53" s="46">
        <v>95.145999999999987</v>
      </c>
      <c r="R53" s="46">
        <v>120.666</v>
      </c>
      <c r="S53" s="46">
        <v>100.13799999999999</v>
      </c>
      <c r="T53" s="46">
        <v>74.830000000000027</v>
      </c>
      <c r="U53" s="46">
        <v>46.927000000000007</v>
      </c>
      <c r="V53" s="46">
        <v>73.646999999999991</v>
      </c>
      <c r="W53" s="46">
        <v>63.213999999999999</v>
      </c>
      <c r="X53" s="46">
        <v>55.381</v>
      </c>
      <c r="Y53" s="46">
        <v>60.143999999999998</v>
      </c>
      <c r="Z53" s="46">
        <v>54.336000000000006</v>
      </c>
      <c r="AA53" s="46">
        <v>67.00500000000001</v>
      </c>
      <c r="AB53" s="46">
        <v>62.393999999999998</v>
      </c>
      <c r="AC53" s="46">
        <v>62.505999999999993</v>
      </c>
      <c r="AD53" s="46">
        <v>7.8979999999999997</v>
      </c>
      <c r="AE53" s="46">
        <v>84.88600000000001</v>
      </c>
      <c r="AF53" s="46">
        <v>65.525999999999996</v>
      </c>
      <c r="AG53" s="46">
        <v>67.683000000000007</v>
      </c>
      <c r="AH53" s="46">
        <v>61.152999999999999</v>
      </c>
      <c r="AI53" s="46">
        <v>57.439999999999991</v>
      </c>
      <c r="AJ53" s="46">
        <v>61.455999999999996</v>
      </c>
      <c r="AK53" s="46">
        <v>64.945999999999998</v>
      </c>
      <c r="AL53" s="46">
        <v>56.560999999999993</v>
      </c>
      <c r="AM53" s="46">
        <v>72.274999999999991</v>
      </c>
      <c r="AN53" s="46">
        <v>50.507999999999996</v>
      </c>
      <c r="AO53" s="46">
        <f t="shared" si="1"/>
        <v>72.747935483870975</v>
      </c>
      <c r="AP53" s="67">
        <f t="shared" si="2"/>
        <v>7.2747935483870974</v>
      </c>
    </row>
    <row r="54" spans="1:42" ht="15.6" x14ac:dyDescent="0.3">
      <c r="A54" s="5">
        <v>53</v>
      </c>
      <c r="B54" s="6" t="s">
        <v>52</v>
      </c>
      <c r="C54" s="12" t="s">
        <v>390</v>
      </c>
      <c r="D54" s="6" t="s">
        <v>128</v>
      </c>
      <c r="E54" s="6" t="s">
        <v>12</v>
      </c>
      <c r="F54" s="6" t="s">
        <v>13</v>
      </c>
      <c r="G54" s="6" t="s">
        <v>35</v>
      </c>
      <c r="H54" s="5">
        <v>3</v>
      </c>
      <c r="I54" s="74" t="s">
        <v>273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1.0609999999999999</v>
      </c>
      <c r="P54" s="46">
        <v>3.2050000000000001</v>
      </c>
      <c r="Q54" s="46">
        <v>0</v>
      </c>
      <c r="R54" s="51">
        <v>0</v>
      </c>
      <c r="S54" s="46">
        <v>4.4710000000000001</v>
      </c>
      <c r="T54" s="46">
        <v>0</v>
      </c>
      <c r="U54" s="46">
        <v>5.15</v>
      </c>
      <c r="V54" s="46">
        <v>0.05</v>
      </c>
      <c r="W54" s="46">
        <v>2.3380000000000001</v>
      </c>
      <c r="X54" s="46">
        <v>0</v>
      </c>
      <c r="Y54" s="46">
        <v>3.9369999999999998</v>
      </c>
      <c r="Z54" s="46">
        <v>2.5300000000000002</v>
      </c>
      <c r="AA54" s="46">
        <v>0</v>
      </c>
      <c r="AB54" s="46">
        <v>7.0519999999999996</v>
      </c>
      <c r="AC54" s="46">
        <v>5.8490000000000002</v>
      </c>
      <c r="AD54" s="46">
        <v>0</v>
      </c>
      <c r="AE54" s="46">
        <v>9.0749999999999993</v>
      </c>
      <c r="AF54" s="46">
        <v>9.1890000000000001</v>
      </c>
      <c r="AG54" s="46">
        <v>11.334</v>
      </c>
      <c r="AH54" s="46">
        <v>6.9640000000000004</v>
      </c>
      <c r="AI54" s="46">
        <v>1E-3</v>
      </c>
      <c r="AJ54" s="46">
        <v>2.1189999999999998</v>
      </c>
      <c r="AK54" s="46">
        <v>7.7210000000000001</v>
      </c>
      <c r="AL54" s="46">
        <v>0</v>
      </c>
      <c r="AM54" s="46">
        <v>7.2329999999999997</v>
      </c>
      <c r="AN54" s="46">
        <v>0</v>
      </c>
      <c r="AO54" s="46">
        <f t="shared" si="1"/>
        <v>2.8799677419354843</v>
      </c>
      <c r="AP54" s="67">
        <f t="shared" si="2"/>
        <v>0.95998924731182811</v>
      </c>
    </row>
    <row r="55" spans="1:42" ht="15.6" x14ac:dyDescent="0.3">
      <c r="A55" s="5">
        <v>54</v>
      </c>
      <c r="B55" s="6" t="s">
        <v>52</v>
      </c>
      <c r="C55" s="12" t="s">
        <v>212</v>
      </c>
      <c r="D55" s="6" t="s">
        <v>128</v>
      </c>
      <c r="E55" s="6" t="s">
        <v>12</v>
      </c>
      <c r="F55" s="6" t="s">
        <v>13</v>
      </c>
      <c r="G55" s="6" t="s">
        <v>35</v>
      </c>
      <c r="H55" s="5">
        <v>7</v>
      </c>
      <c r="I55" s="74" t="s">
        <v>273</v>
      </c>
      <c r="J55" s="46">
        <v>144.76399999999998</v>
      </c>
      <c r="K55" s="46">
        <v>102.636</v>
      </c>
      <c r="L55" s="46">
        <v>129.11500000000001</v>
      </c>
      <c r="M55" s="46">
        <v>96.344999999999985</v>
      </c>
      <c r="N55" s="46">
        <v>123.063</v>
      </c>
      <c r="O55" s="46">
        <v>119.59400000000002</v>
      </c>
      <c r="P55" s="46">
        <v>136.077</v>
      </c>
      <c r="Q55" s="46">
        <v>111.35399999999998</v>
      </c>
      <c r="R55" s="46">
        <v>85.22</v>
      </c>
      <c r="S55" s="46">
        <v>135.97200000000001</v>
      </c>
      <c r="T55" s="46">
        <v>119.82599999999999</v>
      </c>
      <c r="U55" s="46">
        <v>124.499</v>
      </c>
      <c r="V55" s="46">
        <v>110.26900000000001</v>
      </c>
      <c r="W55" s="46">
        <v>114.94299999999998</v>
      </c>
      <c r="X55" s="46">
        <v>105.29199999999999</v>
      </c>
      <c r="Y55" s="46">
        <v>130.49800000000002</v>
      </c>
      <c r="Z55" s="46">
        <v>117.834</v>
      </c>
      <c r="AA55" s="46">
        <v>84.143000000000001</v>
      </c>
      <c r="AB55" s="46">
        <v>138.12499999999994</v>
      </c>
      <c r="AC55" s="46">
        <v>152.00800000000001</v>
      </c>
      <c r="AD55" s="46">
        <v>88.424000000000007</v>
      </c>
      <c r="AE55" s="46">
        <v>154.84599999999998</v>
      </c>
      <c r="AF55" s="46">
        <v>105.392</v>
      </c>
      <c r="AG55" s="46">
        <v>104.56399999999999</v>
      </c>
      <c r="AH55" s="46">
        <v>75.274000000000001</v>
      </c>
      <c r="AI55" s="46">
        <v>142.56799999999998</v>
      </c>
      <c r="AJ55" s="46">
        <v>112.15100000000002</v>
      </c>
      <c r="AK55" s="46">
        <v>87.418999999999997</v>
      </c>
      <c r="AL55" s="46">
        <v>148.69499999999996</v>
      </c>
      <c r="AM55" s="46">
        <v>138.92200000000003</v>
      </c>
      <c r="AN55" s="46">
        <v>100.741</v>
      </c>
      <c r="AO55" s="46">
        <f t="shared" si="1"/>
        <v>117.43783870967739</v>
      </c>
      <c r="AP55" s="67">
        <f t="shared" si="2"/>
        <v>16.776834101382484</v>
      </c>
    </row>
    <row r="56" spans="1:42" ht="15.6" x14ac:dyDescent="0.3">
      <c r="A56" s="5">
        <v>55</v>
      </c>
      <c r="B56" s="6" t="s">
        <v>134</v>
      </c>
      <c r="C56" s="6" t="s">
        <v>391</v>
      </c>
      <c r="D56" s="6" t="s">
        <v>128</v>
      </c>
      <c r="E56" s="6" t="s">
        <v>12</v>
      </c>
      <c r="F56" s="6" t="s">
        <v>13</v>
      </c>
      <c r="G56" s="6" t="s">
        <v>35</v>
      </c>
      <c r="H56" s="5">
        <v>7</v>
      </c>
      <c r="I56" s="74" t="s">
        <v>273</v>
      </c>
      <c r="J56" s="46">
        <v>35.177</v>
      </c>
      <c r="K56" s="46">
        <v>38.345999999999997</v>
      </c>
      <c r="L56" s="46">
        <v>36.516999999999996</v>
      </c>
      <c r="M56" s="46">
        <v>60.861000000000004</v>
      </c>
      <c r="N56" s="46">
        <v>59.561999999999991</v>
      </c>
      <c r="O56" s="46">
        <v>64.585999999999984</v>
      </c>
      <c r="P56" s="46">
        <v>45.600999999999999</v>
      </c>
      <c r="Q56" s="46">
        <v>41.819000000000003</v>
      </c>
      <c r="R56" s="46">
        <v>47.211999999999996</v>
      </c>
      <c r="S56" s="46">
        <v>54.986999999999995</v>
      </c>
      <c r="T56" s="46">
        <v>41.596000000000004</v>
      </c>
      <c r="U56" s="46">
        <v>42.855999999999995</v>
      </c>
      <c r="V56" s="46">
        <v>46.579000000000001</v>
      </c>
      <c r="W56" s="46">
        <v>49.238</v>
      </c>
      <c r="X56" s="46">
        <v>61.342000000000006</v>
      </c>
      <c r="Y56" s="46">
        <v>41.117000000000004</v>
      </c>
      <c r="Z56" s="46">
        <v>71.191000000000003</v>
      </c>
      <c r="AA56" s="46">
        <v>27.116</v>
      </c>
      <c r="AB56" s="46">
        <v>58.966999999999999</v>
      </c>
      <c r="AC56" s="46">
        <v>32.49</v>
      </c>
      <c r="AD56" s="46">
        <v>25.012999999999998</v>
      </c>
      <c r="AE56" s="46">
        <v>35.055999999999997</v>
      </c>
      <c r="AF56" s="46">
        <v>74.47399999999999</v>
      </c>
      <c r="AG56" s="46">
        <v>39.896999999999998</v>
      </c>
      <c r="AH56" s="46">
        <v>20.783999999999999</v>
      </c>
      <c r="AI56" s="46">
        <v>52.638999999999996</v>
      </c>
      <c r="AJ56" s="46">
        <v>57.324000000000005</v>
      </c>
      <c r="AK56" s="46">
        <v>61.163999999999987</v>
      </c>
      <c r="AL56" s="46">
        <v>39.232000000000006</v>
      </c>
      <c r="AM56" s="46">
        <v>60.659999999999989</v>
      </c>
      <c r="AN56" s="46">
        <v>2.6309999999999998</v>
      </c>
      <c r="AO56" s="46">
        <f t="shared" si="1"/>
        <v>46.001096774193549</v>
      </c>
      <c r="AP56" s="67">
        <f t="shared" si="2"/>
        <v>6.5715852534562211</v>
      </c>
    </row>
    <row r="57" spans="1:42" ht="15.6" x14ac:dyDescent="0.3">
      <c r="A57" s="5">
        <v>56</v>
      </c>
      <c r="B57" s="12" t="s">
        <v>246</v>
      </c>
      <c r="C57" s="12" t="s">
        <v>247</v>
      </c>
      <c r="D57" s="6" t="s">
        <v>128</v>
      </c>
      <c r="E57" s="6" t="s">
        <v>12</v>
      </c>
      <c r="F57" s="6" t="s">
        <v>13</v>
      </c>
      <c r="G57" s="6" t="s">
        <v>35</v>
      </c>
      <c r="H57" s="5">
        <v>5</v>
      </c>
      <c r="I57" s="74" t="s">
        <v>273</v>
      </c>
      <c r="J57" s="46">
        <v>28.851999999999997</v>
      </c>
      <c r="K57" s="46">
        <v>20.751999999999999</v>
      </c>
      <c r="L57" s="46">
        <v>16.683</v>
      </c>
      <c r="M57" s="46">
        <v>43.680999999999997</v>
      </c>
      <c r="N57" s="46">
        <v>27.59</v>
      </c>
      <c r="O57" s="46">
        <v>38.302999999999997</v>
      </c>
      <c r="P57" s="46">
        <v>30.808999999999997</v>
      </c>
      <c r="Q57" s="46">
        <v>27.558</v>
      </c>
      <c r="R57" s="46">
        <v>26.532999999999998</v>
      </c>
      <c r="S57" s="46">
        <v>35.908000000000001</v>
      </c>
      <c r="T57" s="46">
        <v>33.748000000000005</v>
      </c>
      <c r="U57" s="46">
        <v>24.808999999999997</v>
      </c>
      <c r="V57" s="46">
        <v>37.335999999999999</v>
      </c>
      <c r="W57" s="46">
        <v>28.702000000000002</v>
      </c>
      <c r="X57" s="46">
        <v>24.895999999999997</v>
      </c>
      <c r="Y57" s="46">
        <v>31.277000000000001</v>
      </c>
      <c r="Z57" s="46">
        <v>27.134</v>
      </c>
      <c r="AA57" s="46">
        <v>24.948000000000004</v>
      </c>
      <c r="AB57" s="46">
        <v>28.247000000000003</v>
      </c>
      <c r="AC57" s="46">
        <v>23.738</v>
      </c>
      <c r="AD57" s="46">
        <v>15.199</v>
      </c>
      <c r="AE57" s="46">
        <v>33.588000000000001</v>
      </c>
      <c r="AF57" s="46">
        <v>27.001000000000001</v>
      </c>
      <c r="AG57" s="46">
        <v>20.573</v>
      </c>
      <c r="AH57" s="46">
        <v>37.356999999999999</v>
      </c>
      <c r="AI57" s="46">
        <v>26.093999999999998</v>
      </c>
      <c r="AJ57" s="46">
        <v>33.558999999999997</v>
      </c>
      <c r="AK57" s="46">
        <v>28.030999999999999</v>
      </c>
      <c r="AL57" s="46">
        <v>26.341999999999999</v>
      </c>
      <c r="AM57" s="46">
        <v>22.263000000000002</v>
      </c>
      <c r="AN57" s="46">
        <v>37.823</v>
      </c>
      <c r="AO57" s="46">
        <f t="shared" si="1"/>
        <v>28.688193548387087</v>
      </c>
      <c r="AP57" s="67">
        <f t="shared" si="2"/>
        <v>5.7376387096774177</v>
      </c>
    </row>
    <row r="58" spans="1:42" ht="15.6" x14ac:dyDescent="0.3">
      <c r="A58" s="5">
        <v>57</v>
      </c>
      <c r="B58" s="6" t="s">
        <v>58</v>
      </c>
      <c r="C58" s="12" t="s">
        <v>213</v>
      </c>
      <c r="D58" s="6" t="s">
        <v>61</v>
      </c>
      <c r="E58" s="6" t="s">
        <v>12</v>
      </c>
      <c r="F58" s="6" t="s">
        <v>13</v>
      </c>
      <c r="G58" s="6" t="s">
        <v>35</v>
      </c>
      <c r="H58" s="5">
        <v>4</v>
      </c>
      <c r="I58" s="74" t="s">
        <v>273</v>
      </c>
      <c r="J58" s="46">
        <v>80.861999999999995</v>
      </c>
      <c r="K58" s="46">
        <v>97.768000000000015</v>
      </c>
      <c r="L58" s="46">
        <v>84.93</v>
      </c>
      <c r="M58" s="46">
        <v>96.205000000000013</v>
      </c>
      <c r="N58" s="46">
        <v>76.11999999999999</v>
      </c>
      <c r="O58" s="46">
        <v>97.555000000000007</v>
      </c>
      <c r="P58" s="46">
        <v>91.1</v>
      </c>
      <c r="Q58" s="46">
        <v>77.814000000000007</v>
      </c>
      <c r="R58" s="46">
        <v>87.923999999999992</v>
      </c>
      <c r="S58" s="46">
        <v>97.759000000000029</v>
      </c>
      <c r="T58" s="46">
        <v>100.574</v>
      </c>
      <c r="U58" s="46">
        <v>83.115000000000009</v>
      </c>
      <c r="V58" s="46">
        <v>79.290999999999997</v>
      </c>
      <c r="W58" s="46">
        <v>79.955000000000013</v>
      </c>
      <c r="X58" s="46">
        <v>73.610000000000014</v>
      </c>
      <c r="Y58" s="46">
        <v>94.870000000000019</v>
      </c>
      <c r="Z58" s="46">
        <v>85.130999999999986</v>
      </c>
      <c r="AA58" s="46">
        <v>74.094999999999999</v>
      </c>
      <c r="AB58" s="46">
        <v>79.898000000000025</v>
      </c>
      <c r="AC58" s="46">
        <v>94.391999999999996</v>
      </c>
      <c r="AD58" s="46">
        <v>51.768999999999998</v>
      </c>
      <c r="AE58" s="46">
        <v>72.500999999999991</v>
      </c>
      <c r="AF58" s="46">
        <v>76.727000000000004</v>
      </c>
      <c r="AG58" s="46">
        <v>71.923000000000016</v>
      </c>
      <c r="AH58" s="46">
        <v>96.587999999999994</v>
      </c>
      <c r="AI58" s="46">
        <v>78.176999999999992</v>
      </c>
      <c r="AJ58" s="46">
        <v>84.186000000000007</v>
      </c>
      <c r="AK58" s="46">
        <v>93.775999999999982</v>
      </c>
      <c r="AL58" s="46">
        <v>79.016000000000005</v>
      </c>
      <c r="AM58" s="46">
        <v>96.506999999999991</v>
      </c>
      <c r="AN58" s="46">
        <v>82.153999999999996</v>
      </c>
      <c r="AO58" s="46">
        <f t="shared" si="1"/>
        <v>84.396516129032264</v>
      </c>
      <c r="AP58" s="67">
        <f t="shared" si="2"/>
        <v>21.099129032258066</v>
      </c>
    </row>
    <row r="59" spans="1:42" ht="15.6" x14ac:dyDescent="0.3">
      <c r="A59" s="5">
        <v>58</v>
      </c>
      <c r="B59" s="6" t="s">
        <v>58</v>
      </c>
      <c r="C59" s="12" t="s">
        <v>214</v>
      </c>
      <c r="D59" s="6" t="s">
        <v>61</v>
      </c>
      <c r="E59" s="6" t="s">
        <v>12</v>
      </c>
      <c r="F59" s="6" t="s">
        <v>13</v>
      </c>
      <c r="G59" s="6" t="s">
        <v>35</v>
      </c>
      <c r="H59" s="5">
        <v>9</v>
      </c>
      <c r="I59" s="74" t="s">
        <v>273</v>
      </c>
      <c r="J59" s="46">
        <v>161.65200000000002</v>
      </c>
      <c r="K59" s="46">
        <v>188.60900000000004</v>
      </c>
      <c r="L59" s="46">
        <v>197.09800000000001</v>
      </c>
      <c r="M59" s="46">
        <v>224.55199999999994</v>
      </c>
      <c r="N59" s="46">
        <v>183.71800000000005</v>
      </c>
      <c r="O59" s="46">
        <v>211.523</v>
      </c>
      <c r="P59" s="46">
        <v>182.637</v>
      </c>
      <c r="Q59" s="46">
        <v>187.62199999999999</v>
      </c>
      <c r="R59" s="46">
        <v>185.58599999999996</v>
      </c>
      <c r="S59" s="46">
        <v>204.45900000000003</v>
      </c>
      <c r="T59" s="46">
        <v>213.50399999999996</v>
      </c>
      <c r="U59" s="46">
        <v>174.107</v>
      </c>
      <c r="V59" s="46">
        <v>117.84900000000009</v>
      </c>
      <c r="W59" s="46">
        <v>179.55600000000004</v>
      </c>
      <c r="X59" s="46">
        <v>166.19800000000006</v>
      </c>
      <c r="Y59" s="46">
        <v>128.44500000000002</v>
      </c>
      <c r="Z59" s="46">
        <v>151.61799999999999</v>
      </c>
      <c r="AA59" s="46">
        <v>163.76700000000002</v>
      </c>
      <c r="AB59" s="46">
        <v>143.44500000000002</v>
      </c>
      <c r="AC59" s="46">
        <v>129.30999999999997</v>
      </c>
      <c r="AD59" s="46">
        <v>111.99499999999999</v>
      </c>
      <c r="AE59" s="46">
        <v>134.494</v>
      </c>
      <c r="AF59" s="46">
        <v>193.41899999999998</v>
      </c>
      <c r="AG59" s="46">
        <v>140.42500000000001</v>
      </c>
      <c r="AH59" s="46">
        <v>191.52200000000002</v>
      </c>
      <c r="AI59" s="46">
        <v>168.40199999999999</v>
      </c>
      <c r="AJ59" s="46">
        <v>155.90600000000001</v>
      </c>
      <c r="AK59" s="46">
        <v>155.77300000000002</v>
      </c>
      <c r="AL59" s="46">
        <v>135.339</v>
      </c>
      <c r="AM59" s="46">
        <v>114.717</v>
      </c>
      <c r="AN59" s="46">
        <v>182.81100000000001</v>
      </c>
      <c r="AO59" s="46">
        <f t="shared" si="1"/>
        <v>167.09864516129034</v>
      </c>
      <c r="AP59" s="67">
        <f t="shared" si="2"/>
        <v>18.566516129032259</v>
      </c>
    </row>
    <row r="60" spans="1:42" ht="15.6" x14ac:dyDescent="0.3">
      <c r="A60" s="5">
        <v>59</v>
      </c>
      <c r="B60" s="6" t="s">
        <v>58</v>
      </c>
      <c r="C60" s="12" t="s">
        <v>392</v>
      </c>
      <c r="D60" s="6" t="s">
        <v>63</v>
      </c>
      <c r="E60" s="6" t="s">
        <v>19</v>
      </c>
      <c r="F60" s="6" t="s">
        <v>13</v>
      </c>
      <c r="G60" s="12" t="s">
        <v>35</v>
      </c>
      <c r="H60" s="5">
        <v>8</v>
      </c>
      <c r="I60" s="74" t="s">
        <v>273</v>
      </c>
      <c r="J60" s="46">
        <v>39.07500000000001</v>
      </c>
      <c r="K60" s="46">
        <v>63.381</v>
      </c>
      <c r="L60" s="46">
        <v>77.685000000000016</v>
      </c>
      <c r="M60" s="46">
        <v>74.768000000000001</v>
      </c>
      <c r="N60" s="46">
        <v>41.610999999999997</v>
      </c>
      <c r="O60" s="46">
        <v>79.761000000000024</v>
      </c>
      <c r="P60" s="46">
        <v>52.855999999999987</v>
      </c>
      <c r="Q60" s="46">
        <v>89.582000000000008</v>
      </c>
      <c r="R60" s="46">
        <v>42.473999999999997</v>
      </c>
      <c r="S60" s="46">
        <v>60.786000000000001</v>
      </c>
      <c r="T60" s="46">
        <v>79.910000000000011</v>
      </c>
      <c r="U60" s="46">
        <v>88.742999999999995</v>
      </c>
      <c r="V60" s="46">
        <v>59.399999999999991</v>
      </c>
      <c r="W60" s="46">
        <v>91.114000000000019</v>
      </c>
      <c r="X60" s="46">
        <v>87.269999999999982</v>
      </c>
      <c r="Y60" s="46">
        <v>90.637999999999977</v>
      </c>
      <c r="Z60" s="46">
        <v>66.814999999999998</v>
      </c>
      <c r="AA60" s="46">
        <v>77.341000000000008</v>
      </c>
      <c r="AB60" s="46">
        <v>54.836999999999996</v>
      </c>
      <c r="AC60" s="46">
        <v>43.868000000000002</v>
      </c>
      <c r="AD60" s="46">
        <v>7.4980000000000002</v>
      </c>
      <c r="AE60" s="46">
        <v>26.615000000000009</v>
      </c>
      <c r="AF60" s="46">
        <v>59.331999999999994</v>
      </c>
      <c r="AG60" s="46">
        <v>65.722000000000008</v>
      </c>
      <c r="AH60" s="46">
        <v>49.04999999999999</v>
      </c>
      <c r="AI60" s="46">
        <v>61.449000000000005</v>
      </c>
      <c r="AJ60" s="46">
        <v>69.766000000000005</v>
      </c>
      <c r="AK60" s="46">
        <v>44.767000000000003</v>
      </c>
      <c r="AL60" s="46">
        <v>45.234000000000002</v>
      </c>
      <c r="AM60" s="46">
        <v>59.589999999999989</v>
      </c>
      <c r="AN60" s="46">
        <v>59.103999999999985</v>
      </c>
      <c r="AO60" s="46">
        <f t="shared" si="1"/>
        <v>61.614258064516136</v>
      </c>
      <c r="AP60" s="67">
        <f t="shared" si="2"/>
        <v>7.701782258064517</v>
      </c>
    </row>
    <row r="61" spans="1:42" ht="15.6" x14ac:dyDescent="0.3">
      <c r="A61" s="5">
        <v>60</v>
      </c>
      <c r="B61" s="6" t="s">
        <v>58</v>
      </c>
      <c r="C61" s="12" t="s">
        <v>392</v>
      </c>
      <c r="D61" s="6" t="s">
        <v>63</v>
      </c>
      <c r="E61" s="6" t="s">
        <v>19</v>
      </c>
      <c r="F61" s="6" t="s">
        <v>64</v>
      </c>
      <c r="G61" s="6" t="s">
        <v>80</v>
      </c>
      <c r="H61" s="5">
        <v>1</v>
      </c>
      <c r="I61" s="74" t="s">
        <v>273</v>
      </c>
      <c r="J61" s="46">
        <v>0</v>
      </c>
      <c r="K61" s="45">
        <v>0</v>
      </c>
      <c r="L61" s="45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0</v>
      </c>
      <c r="AE61" s="60">
        <v>0</v>
      </c>
      <c r="AF61" s="60">
        <v>0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46">
        <v>0</v>
      </c>
      <c r="AM61" s="46">
        <v>0</v>
      </c>
      <c r="AN61" s="46">
        <v>0</v>
      </c>
      <c r="AO61" s="46">
        <f t="shared" si="1"/>
        <v>0</v>
      </c>
      <c r="AP61" s="67">
        <f t="shared" si="2"/>
        <v>0</v>
      </c>
    </row>
    <row r="62" spans="1:42" ht="15.6" x14ac:dyDescent="0.3">
      <c r="A62" s="5">
        <v>61</v>
      </c>
      <c r="B62" s="6" t="s">
        <v>58</v>
      </c>
      <c r="C62" s="12" t="s">
        <v>216</v>
      </c>
      <c r="D62" s="6" t="s">
        <v>128</v>
      </c>
      <c r="E62" s="6" t="s">
        <v>12</v>
      </c>
      <c r="F62" s="6" t="s">
        <v>13</v>
      </c>
      <c r="G62" s="12" t="s">
        <v>35</v>
      </c>
      <c r="H62" s="5">
        <v>7</v>
      </c>
      <c r="I62" s="74" t="s">
        <v>273</v>
      </c>
      <c r="J62" s="46">
        <v>161.88900000000004</v>
      </c>
      <c r="K62" s="46">
        <v>164.59799999999998</v>
      </c>
      <c r="L62" s="46">
        <v>202.32300000000004</v>
      </c>
      <c r="M62" s="46">
        <v>239.72</v>
      </c>
      <c r="N62" s="46">
        <v>175.39099999999996</v>
      </c>
      <c r="O62" s="46">
        <v>213.34000000000003</v>
      </c>
      <c r="P62" s="46">
        <v>222.58799999999999</v>
      </c>
      <c r="Q62" s="46">
        <v>206.51300000000006</v>
      </c>
      <c r="R62" s="46">
        <v>193.78400000000002</v>
      </c>
      <c r="S62" s="46">
        <v>161.62799999999999</v>
      </c>
      <c r="T62" s="46">
        <v>192.36299999999997</v>
      </c>
      <c r="U62" s="46">
        <v>113.749</v>
      </c>
      <c r="V62" s="46">
        <v>256.714</v>
      </c>
      <c r="W62" s="46">
        <v>228.94999999999996</v>
      </c>
      <c r="X62" s="46">
        <v>223.00100000000003</v>
      </c>
      <c r="Y62" s="46">
        <v>174.58</v>
      </c>
      <c r="Z62" s="46">
        <v>156.05400000000003</v>
      </c>
      <c r="AA62" s="46">
        <v>133.17900000000003</v>
      </c>
      <c r="AB62" s="46">
        <v>158.654</v>
      </c>
      <c r="AC62" s="46">
        <v>153.57299999999998</v>
      </c>
      <c r="AD62" s="46">
        <v>104.22799999999999</v>
      </c>
      <c r="AE62" s="46">
        <v>142.40299999999999</v>
      </c>
      <c r="AF62" s="46">
        <v>177.77100000000004</v>
      </c>
      <c r="AG62" s="46">
        <v>171.40099999999998</v>
      </c>
      <c r="AH62" s="46">
        <v>191.35</v>
      </c>
      <c r="AI62" s="46">
        <v>185.09900000000002</v>
      </c>
      <c r="AJ62" s="46">
        <v>217.57300000000001</v>
      </c>
      <c r="AK62" s="46">
        <v>166.125</v>
      </c>
      <c r="AL62" s="46">
        <v>200.27800000000005</v>
      </c>
      <c r="AM62" s="46">
        <v>166.29400000000004</v>
      </c>
      <c r="AN62" s="46">
        <v>188.08600000000004</v>
      </c>
      <c r="AO62" s="46">
        <f t="shared" si="1"/>
        <v>182.03867741935485</v>
      </c>
      <c r="AP62" s="67">
        <f t="shared" si="2"/>
        <v>26.005525345622122</v>
      </c>
    </row>
    <row r="63" spans="1:42" ht="15.6" x14ac:dyDescent="0.3">
      <c r="A63" s="5">
        <v>62</v>
      </c>
      <c r="B63" s="6" t="s">
        <v>58</v>
      </c>
      <c r="C63" s="12" t="s">
        <v>355</v>
      </c>
      <c r="D63" s="6" t="s">
        <v>128</v>
      </c>
      <c r="E63" s="6" t="s">
        <v>12</v>
      </c>
      <c r="F63" s="6" t="s">
        <v>13</v>
      </c>
      <c r="G63" s="12" t="s">
        <v>35</v>
      </c>
      <c r="H63" s="5">
        <v>10</v>
      </c>
      <c r="I63" s="74" t="s">
        <v>273</v>
      </c>
      <c r="J63" s="46">
        <v>193.74699999999993</v>
      </c>
      <c r="K63" s="46">
        <v>226.82099999999991</v>
      </c>
      <c r="L63" s="46">
        <v>142.19999999999996</v>
      </c>
      <c r="M63" s="46">
        <v>255.99000000000004</v>
      </c>
      <c r="N63" s="46">
        <v>199.26600000000005</v>
      </c>
      <c r="O63" s="46">
        <v>204.19100000000003</v>
      </c>
      <c r="P63" s="46">
        <v>140.148</v>
      </c>
      <c r="Q63" s="46">
        <v>282.07700000000006</v>
      </c>
      <c r="R63" s="46">
        <v>227.35100000000003</v>
      </c>
      <c r="S63" s="46">
        <v>255.06</v>
      </c>
      <c r="T63" s="46">
        <v>205.36000000000004</v>
      </c>
      <c r="U63" s="46">
        <v>209.578</v>
      </c>
      <c r="V63" s="46">
        <v>188.745</v>
      </c>
      <c r="W63" s="46">
        <v>226.24300000000002</v>
      </c>
      <c r="X63" s="46">
        <v>207.69899999999996</v>
      </c>
      <c r="Y63" s="46">
        <v>168.25900000000004</v>
      </c>
      <c r="Z63" s="46">
        <v>153.70000000000005</v>
      </c>
      <c r="AA63" s="46">
        <v>178.37699999999998</v>
      </c>
      <c r="AB63" s="46">
        <v>195.24000000000007</v>
      </c>
      <c r="AC63" s="46">
        <v>203.86799999999997</v>
      </c>
      <c r="AD63" s="46">
        <v>153.15299999999999</v>
      </c>
      <c r="AE63" s="46">
        <v>212.78700000000003</v>
      </c>
      <c r="AF63" s="46">
        <v>161.941</v>
      </c>
      <c r="AG63" s="46">
        <v>199.53599999999994</v>
      </c>
      <c r="AH63" s="46">
        <v>154.489</v>
      </c>
      <c r="AI63" s="46">
        <v>189.88699999999997</v>
      </c>
      <c r="AJ63" s="46">
        <v>235.12700000000001</v>
      </c>
      <c r="AK63" s="46">
        <v>155.41999999999999</v>
      </c>
      <c r="AL63" s="46">
        <v>222.91200000000003</v>
      </c>
      <c r="AM63" s="46">
        <v>211.25199999999998</v>
      </c>
      <c r="AN63" s="46">
        <v>190.38799999999998</v>
      </c>
      <c r="AO63" s="46">
        <f t="shared" si="1"/>
        <v>198.41329032258068</v>
      </c>
      <c r="AP63" s="67">
        <f t="shared" si="2"/>
        <v>19.841329032258066</v>
      </c>
    </row>
    <row r="64" spans="1:42" ht="15.6" x14ac:dyDescent="0.3">
      <c r="A64" s="5">
        <v>63</v>
      </c>
      <c r="B64" s="6" t="s">
        <v>58</v>
      </c>
      <c r="C64" s="12" t="s">
        <v>249</v>
      </c>
      <c r="D64" s="6" t="s">
        <v>128</v>
      </c>
      <c r="E64" s="6" t="s">
        <v>12</v>
      </c>
      <c r="F64" s="6" t="s">
        <v>13</v>
      </c>
      <c r="G64" s="12" t="s">
        <v>35</v>
      </c>
      <c r="H64" s="5">
        <v>8</v>
      </c>
      <c r="I64" s="74" t="s">
        <v>273</v>
      </c>
      <c r="J64" s="46">
        <v>94.674000000000007</v>
      </c>
      <c r="K64" s="46">
        <v>105.26500000000001</v>
      </c>
      <c r="L64" s="46">
        <v>115.58399999999999</v>
      </c>
      <c r="M64" s="46">
        <v>112.761</v>
      </c>
      <c r="N64" s="46">
        <v>88.843999999999994</v>
      </c>
      <c r="O64" s="46">
        <v>94.466000000000008</v>
      </c>
      <c r="P64" s="46">
        <v>123.71500000000003</v>
      </c>
      <c r="Q64" s="46">
        <v>119.151</v>
      </c>
      <c r="R64" s="46">
        <v>98.585999999999984</v>
      </c>
      <c r="S64" s="46">
        <v>123.254</v>
      </c>
      <c r="T64" s="46">
        <v>116.90600000000001</v>
      </c>
      <c r="U64" s="46">
        <v>94.904999999999987</v>
      </c>
      <c r="V64" s="46">
        <v>47.997999999999998</v>
      </c>
      <c r="W64" s="46">
        <v>115.215</v>
      </c>
      <c r="X64" s="46">
        <v>72.656999999999996</v>
      </c>
      <c r="Y64" s="46">
        <v>76.907000000000011</v>
      </c>
      <c r="Z64" s="46">
        <v>60.830000000000005</v>
      </c>
      <c r="AA64" s="46">
        <v>63.472999999999985</v>
      </c>
      <c r="AB64" s="46">
        <v>105.74600000000004</v>
      </c>
      <c r="AC64" s="46">
        <v>91.132000000000005</v>
      </c>
      <c r="AD64" s="46">
        <v>67.091999999999999</v>
      </c>
      <c r="AE64" s="46">
        <v>45.59</v>
      </c>
      <c r="AF64" s="46">
        <v>46.055</v>
      </c>
      <c r="AG64" s="46">
        <v>42.029000000000003</v>
      </c>
      <c r="AH64" s="46">
        <v>45.501000000000005</v>
      </c>
      <c r="AI64" s="46">
        <v>55.725000000000009</v>
      </c>
      <c r="AJ64" s="46">
        <v>78.206000000000003</v>
      </c>
      <c r="AK64" s="46">
        <v>67.524999999999991</v>
      </c>
      <c r="AL64" s="46">
        <v>55.122000000000007</v>
      </c>
      <c r="AM64" s="46">
        <v>68.89400000000002</v>
      </c>
      <c r="AN64" s="46">
        <v>60.764000000000003</v>
      </c>
      <c r="AO64" s="46">
        <f t="shared" si="1"/>
        <v>82.405548387096772</v>
      </c>
      <c r="AP64" s="67">
        <f t="shared" si="2"/>
        <v>10.300693548387096</v>
      </c>
    </row>
    <row r="65" spans="1:42" ht="15.6" x14ac:dyDescent="0.3">
      <c r="A65" s="5">
        <v>64</v>
      </c>
      <c r="B65" s="6" t="s">
        <v>58</v>
      </c>
      <c r="C65" s="12" t="s">
        <v>256</v>
      </c>
      <c r="D65" s="6" t="s">
        <v>128</v>
      </c>
      <c r="E65" s="6" t="s">
        <v>12</v>
      </c>
      <c r="F65" s="6" t="s">
        <v>13</v>
      </c>
      <c r="G65" s="12" t="s">
        <v>35</v>
      </c>
      <c r="H65" s="5">
        <v>6</v>
      </c>
      <c r="I65" s="74" t="s">
        <v>273</v>
      </c>
      <c r="J65" s="46">
        <v>5.1479999999999997</v>
      </c>
      <c r="K65" s="46">
        <v>2.58</v>
      </c>
      <c r="L65" s="46">
        <v>10.597</v>
      </c>
      <c r="M65" s="46">
        <v>0</v>
      </c>
      <c r="N65" s="46">
        <v>8.2159999999999993</v>
      </c>
      <c r="O65" s="46">
        <v>2.7610000000000001</v>
      </c>
      <c r="P65" s="46">
        <v>9.713000000000001</v>
      </c>
      <c r="Q65" s="46">
        <v>5.0389999999999997</v>
      </c>
      <c r="R65" s="46">
        <v>10.949</v>
      </c>
      <c r="S65" s="46">
        <v>5.5449999999999999</v>
      </c>
      <c r="T65" s="46">
        <v>5.5009999999999994</v>
      </c>
      <c r="U65" s="46">
        <v>1.718</v>
      </c>
      <c r="V65" s="46">
        <v>0</v>
      </c>
      <c r="W65" s="46">
        <v>0</v>
      </c>
      <c r="X65" s="46">
        <v>5.4889999999999999</v>
      </c>
      <c r="Y65" s="46">
        <v>0</v>
      </c>
      <c r="Z65" s="46">
        <v>2.698</v>
      </c>
      <c r="AA65" s="46">
        <v>5.2859999999999996</v>
      </c>
      <c r="AB65" s="46">
        <v>3.3260000000000001</v>
      </c>
      <c r="AC65" s="46">
        <v>6.2229999999999999</v>
      </c>
      <c r="AD65" s="46">
        <v>6.157</v>
      </c>
      <c r="AE65" s="46">
        <v>0</v>
      </c>
      <c r="AF65" s="46">
        <v>0</v>
      </c>
      <c r="AG65" s="46">
        <v>0</v>
      </c>
      <c r="AH65" s="46">
        <v>0</v>
      </c>
      <c r="AI65" s="46">
        <v>1.718</v>
      </c>
      <c r="AJ65" s="46">
        <v>0</v>
      </c>
      <c r="AK65" s="46">
        <v>0</v>
      </c>
      <c r="AL65" s="46">
        <v>9.9550000000000001</v>
      </c>
      <c r="AM65" s="46">
        <v>0</v>
      </c>
      <c r="AN65" s="46">
        <v>0</v>
      </c>
      <c r="AO65" s="46">
        <f t="shared" si="1"/>
        <v>3.5038387096774195</v>
      </c>
      <c r="AP65" s="67">
        <f t="shared" si="2"/>
        <v>0.58397311827956988</v>
      </c>
    </row>
    <row r="66" spans="1:42" ht="15.6" x14ac:dyDescent="0.3">
      <c r="A66" s="5">
        <v>65</v>
      </c>
      <c r="B66" s="6" t="s">
        <v>58</v>
      </c>
      <c r="C66" s="12" t="s">
        <v>417</v>
      </c>
      <c r="D66" s="6" t="s">
        <v>128</v>
      </c>
      <c r="E66" s="6" t="s">
        <v>12</v>
      </c>
      <c r="F66" s="6" t="s">
        <v>13</v>
      </c>
      <c r="G66" s="12" t="s">
        <v>35</v>
      </c>
      <c r="H66" s="5">
        <v>2</v>
      </c>
      <c r="I66" s="74" t="s">
        <v>273</v>
      </c>
      <c r="J66" s="46">
        <v>0</v>
      </c>
      <c r="K66" s="46">
        <v>3.3640000000000003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1.9610000000000001</v>
      </c>
      <c r="S66" s="46">
        <v>0</v>
      </c>
      <c r="T66" s="46">
        <v>0</v>
      </c>
      <c r="U66" s="46">
        <v>0</v>
      </c>
      <c r="V66" s="46">
        <v>0</v>
      </c>
      <c r="W66" s="46">
        <v>0.10600000000000001</v>
      </c>
      <c r="X66" s="46">
        <v>0</v>
      </c>
      <c r="Y66" s="46">
        <v>10.432</v>
      </c>
      <c r="Z66" s="46">
        <v>0</v>
      </c>
      <c r="AA66" s="46">
        <v>0</v>
      </c>
      <c r="AB66" s="46">
        <v>21.702999999999999</v>
      </c>
      <c r="AC66" s="46">
        <v>4.3229999999999995</v>
      </c>
      <c r="AD66" s="46">
        <v>12.311</v>
      </c>
      <c r="AE66" s="46">
        <v>10.168999999999999</v>
      </c>
      <c r="AF66" s="46">
        <v>12.159000000000001</v>
      </c>
      <c r="AG66" s="46">
        <v>22.164999999999999</v>
      </c>
      <c r="AH66" s="46">
        <v>19.806000000000001</v>
      </c>
      <c r="AI66" s="46">
        <v>9.48</v>
      </c>
      <c r="AJ66" s="46">
        <v>30.045999999999999</v>
      </c>
      <c r="AK66" s="46">
        <v>14.478000000000002</v>
      </c>
      <c r="AL66" s="46">
        <v>47.668999999999997</v>
      </c>
      <c r="AM66" s="46">
        <v>30.855</v>
      </c>
      <c r="AN66" s="46">
        <v>26.255999999999997</v>
      </c>
      <c r="AO66" s="46">
        <f t="shared" si="1"/>
        <v>8.9446129032258064</v>
      </c>
      <c r="AP66" s="67">
        <f t="shared" ref="AP66:AP97" si="3">AO66/H66</f>
        <v>4.4723064516129032</v>
      </c>
    </row>
    <row r="67" spans="1:42" ht="15.6" x14ac:dyDescent="0.3">
      <c r="A67" s="5">
        <v>66</v>
      </c>
      <c r="B67" s="6" t="s">
        <v>119</v>
      </c>
      <c r="C67" s="12" t="s">
        <v>217</v>
      </c>
      <c r="D67" s="6" t="s">
        <v>30</v>
      </c>
      <c r="E67" s="6" t="s">
        <v>12</v>
      </c>
      <c r="F67" s="6" t="s">
        <v>121</v>
      </c>
      <c r="G67" s="6" t="s">
        <v>35</v>
      </c>
      <c r="H67" s="5">
        <v>20</v>
      </c>
      <c r="I67" s="74" t="s">
        <v>273</v>
      </c>
      <c r="J67" s="46">
        <v>23.722000000000001</v>
      </c>
      <c r="K67" s="46">
        <v>18.992000000000004</v>
      </c>
      <c r="L67" s="46">
        <v>22.082999999999998</v>
      </c>
      <c r="M67" s="46">
        <v>2E-3</v>
      </c>
      <c r="N67" s="46">
        <v>25.652000000000001</v>
      </c>
      <c r="O67" s="46">
        <v>33.563000000000002</v>
      </c>
      <c r="P67" s="46">
        <v>58.843999999999994</v>
      </c>
      <c r="Q67" s="46">
        <v>55.304999999999993</v>
      </c>
      <c r="R67" s="46">
        <v>41.871000000000016</v>
      </c>
      <c r="S67" s="46">
        <v>34.314</v>
      </c>
      <c r="T67" s="46">
        <v>28.918000000000006</v>
      </c>
      <c r="U67" s="46">
        <v>24.250000000000004</v>
      </c>
      <c r="V67" s="46">
        <v>42.873999999999981</v>
      </c>
      <c r="W67" s="46">
        <v>24.837000000000003</v>
      </c>
      <c r="X67" s="46">
        <v>0.65700000000000003</v>
      </c>
      <c r="Y67" s="46">
        <v>31.404</v>
      </c>
      <c r="Z67" s="46">
        <v>24.006999999999998</v>
      </c>
      <c r="AA67" s="46">
        <v>8.3129999999999988</v>
      </c>
      <c r="AB67" s="46">
        <v>8.1389999999999993</v>
      </c>
      <c r="AC67" s="46">
        <v>13.872999999999998</v>
      </c>
      <c r="AD67" s="46">
        <v>2.359</v>
      </c>
      <c r="AE67" s="46">
        <v>0</v>
      </c>
      <c r="AF67" s="46">
        <v>3.9950000000000001</v>
      </c>
      <c r="AG67" s="46">
        <v>1.996</v>
      </c>
      <c r="AH67" s="46">
        <v>0</v>
      </c>
      <c r="AI67" s="46">
        <v>0</v>
      </c>
      <c r="AJ67" s="46">
        <v>9.907</v>
      </c>
      <c r="AK67" s="46">
        <v>2.073</v>
      </c>
      <c r="AL67" s="46">
        <v>3.26</v>
      </c>
      <c r="AM67" s="46">
        <v>7.1319999999999997</v>
      </c>
      <c r="AN67" s="46">
        <v>3.5590000000000002</v>
      </c>
      <c r="AO67" s="46">
        <f t="shared" ref="AO67:AO114" si="4">AVERAGE(J67:AN67)</f>
        <v>17.932290322580645</v>
      </c>
      <c r="AP67" s="67">
        <f t="shared" si="3"/>
        <v>0.8966145161290322</v>
      </c>
    </row>
    <row r="68" spans="1:42" ht="15.6" x14ac:dyDescent="0.3">
      <c r="A68" s="5">
        <v>67</v>
      </c>
      <c r="B68" s="6" t="s">
        <v>119</v>
      </c>
      <c r="C68" s="12" t="s">
        <v>218</v>
      </c>
      <c r="D68" s="6" t="s">
        <v>128</v>
      </c>
      <c r="E68" s="6" t="s">
        <v>12</v>
      </c>
      <c r="F68" s="6" t="s">
        <v>121</v>
      </c>
      <c r="G68" s="6" t="s">
        <v>35</v>
      </c>
      <c r="H68" s="5">
        <v>3</v>
      </c>
      <c r="I68" s="74" t="s">
        <v>273</v>
      </c>
      <c r="J68" s="46">
        <v>0</v>
      </c>
      <c r="K68" s="45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51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0</v>
      </c>
      <c r="AL68" s="46">
        <v>0</v>
      </c>
      <c r="AM68" s="46">
        <v>0</v>
      </c>
      <c r="AN68" s="46">
        <v>0</v>
      </c>
      <c r="AO68" s="46">
        <f t="shared" si="4"/>
        <v>0</v>
      </c>
      <c r="AP68" s="67">
        <f t="shared" si="3"/>
        <v>0</v>
      </c>
    </row>
    <row r="69" spans="1:42" ht="15.6" x14ac:dyDescent="0.3">
      <c r="A69" s="5">
        <v>68</v>
      </c>
      <c r="B69" s="6" t="s">
        <v>119</v>
      </c>
      <c r="C69" s="12" t="s">
        <v>457</v>
      </c>
      <c r="D69" s="6" t="s">
        <v>30</v>
      </c>
      <c r="E69" s="6" t="s">
        <v>12</v>
      </c>
      <c r="F69" s="6" t="s">
        <v>121</v>
      </c>
      <c r="G69" s="6" t="s">
        <v>35</v>
      </c>
      <c r="H69" s="5">
        <v>3</v>
      </c>
      <c r="I69" s="74" t="s">
        <v>273</v>
      </c>
      <c r="J69" s="46"/>
      <c r="K69" s="45"/>
      <c r="L69" s="46"/>
      <c r="M69" s="46"/>
      <c r="N69" s="46"/>
      <c r="O69" s="46"/>
      <c r="P69" s="46"/>
      <c r="Q69" s="46"/>
      <c r="R69" s="51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>
        <v>31.574999999999999</v>
      </c>
      <c r="AM69" s="46">
        <v>43.064999999999998</v>
      </c>
      <c r="AN69" s="46">
        <v>44.242999999999995</v>
      </c>
      <c r="AO69" s="46">
        <f t="shared" si="4"/>
        <v>39.627666666666663</v>
      </c>
      <c r="AP69" s="67">
        <f t="shared" si="3"/>
        <v>13.209222222222222</v>
      </c>
    </row>
    <row r="70" spans="1:42" ht="15.6" x14ac:dyDescent="0.3">
      <c r="A70" s="5">
        <v>69</v>
      </c>
      <c r="B70" s="6" t="s">
        <v>55</v>
      </c>
      <c r="C70" s="12" t="s">
        <v>393</v>
      </c>
      <c r="D70" s="6" t="s">
        <v>57</v>
      </c>
      <c r="E70" s="6" t="s">
        <v>12</v>
      </c>
      <c r="F70" s="6" t="s">
        <v>13</v>
      </c>
      <c r="G70" s="6" t="s">
        <v>35</v>
      </c>
      <c r="H70" s="5">
        <v>40</v>
      </c>
      <c r="I70" s="74" t="s">
        <v>273</v>
      </c>
      <c r="J70" s="46">
        <v>169.96299999999997</v>
      </c>
      <c r="K70" s="46">
        <v>162.99899999999997</v>
      </c>
      <c r="L70" s="46">
        <v>264.69500000000011</v>
      </c>
      <c r="M70" s="46">
        <v>520.58799999999997</v>
      </c>
      <c r="N70" s="46">
        <v>366.59599999999995</v>
      </c>
      <c r="O70" s="46">
        <v>216.22899999999998</v>
      </c>
      <c r="P70" s="46">
        <v>208.68800000000002</v>
      </c>
      <c r="Q70" s="46">
        <v>227.59299999999999</v>
      </c>
      <c r="R70" s="46">
        <v>104.155</v>
      </c>
      <c r="S70" s="46">
        <v>138.71099999999998</v>
      </c>
      <c r="T70" s="46">
        <v>416.49199999999996</v>
      </c>
      <c r="U70" s="46">
        <v>383.53600000000012</v>
      </c>
      <c r="V70" s="46">
        <v>158.34400000000002</v>
      </c>
      <c r="W70" s="46">
        <v>391.57400000000007</v>
      </c>
      <c r="X70" s="46">
        <v>474.73700000000002</v>
      </c>
      <c r="Y70" s="46">
        <v>652.55500000000018</v>
      </c>
      <c r="Z70" s="46">
        <v>664.64300000000026</v>
      </c>
      <c r="AA70" s="46">
        <v>750.19699999999955</v>
      </c>
      <c r="AB70" s="46">
        <v>552.73399999999992</v>
      </c>
      <c r="AC70" s="46">
        <v>243.80400000000006</v>
      </c>
      <c r="AD70" s="46">
        <v>221.08199999999997</v>
      </c>
      <c r="AE70" s="46">
        <v>424.01199999999977</v>
      </c>
      <c r="AF70" s="46">
        <v>322.43399999999991</v>
      </c>
      <c r="AG70" s="46">
        <v>318.97399999999999</v>
      </c>
      <c r="AH70" s="46">
        <v>595.3159999999998</v>
      </c>
      <c r="AI70" s="46">
        <v>558.25399999999991</v>
      </c>
      <c r="AJ70" s="46">
        <v>347.36100000000005</v>
      </c>
      <c r="AK70" s="46">
        <v>212.68099999999995</v>
      </c>
      <c r="AL70" s="46">
        <v>250.14</v>
      </c>
      <c r="AM70" s="46">
        <v>195.35599999999999</v>
      </c>
      <c r="AN70" s="46">
        <v>217.47200000000007</v>
      </c>
      <c r="AO70" s="46">
        <f t="shared" si="4"/>
        <v>346.1908064516129</v>
      </c>
      <c r="AP70" s="67">
        <f t="shared" si="3"/>
        <v>8.6547701612903225</v>
      </c>
    </row>
    <row r="71" spans="1:42" ht="15.6" x14ac:dyDescent="0.3">
      <c r="A71" s="5">
        <v>70</v>
      </c>
      <c r="B71" s="12" t="s">
        <v>221</v>
      </c>
      <c r="C71" s="12" t="s">
        <v>220</v>
      </c>
      <c r="D71" s="6" t="s">
        <v>30</v>
      </c>
      <c r="E71" s="6" t="s">
        <v>12</v>
      </c>
      <c r="F71" s="6" t="s">
        <v>13</v>
      </c>
      <c r="G71" s="6" t="s">
        <v>35</v>
      </c>
      <c r="H71" s="5">
        <v>19</v>
      </c>
      <c r="I71" s="74" t="s">
        <v>273</v>
      </c>
      <c r="J71" s="46">
        <v>4.1669999999999998</v>
      </c>
      <c r="K71" s="46">
        <v>5.4580000000000002</v>
      </c>
      <c r="L71" s="46">
        <v>5.3109999999999999</v>
      </c>
      <c r="M71" s="46">
        <v>3.9020000000000001</v>
      </c>
      <c r="N71" s="46">
        <v>3.9640000000000004</v>
      </c>
      <c r="O71" s="46">
        <v>3.8639999999999999</v>
      </c>
      <c r="P71" s="46">
        <v>5.1419999999999995</v>
      </c>
      <c r="Q71" s="46">
        <v>4.8889999999999993</v>
      </c>
      <c r="R71" s="46">
        <v>3.9570000000000003</v>
      </c>
      <c r="S71" s="46">
        <v>5.5670000000000002</v>
      </c>
      <c r="T71" s="46">
        <v>3.5179999999999998</v>
      </c>
      <c r="U71" s="46">
        <v>5.5519999999999996</v>
      </c>
      <c r="V71" s="46">
        <v>4.3419999999999996</v>
      </c>
      <c r="W71" s="46">
        <v>5.5180000000000007</v>
      </c>
      <c r="X71" s="46">
        <v>4.5540000000000003</v>
      </c>
      <c r="Y71" s="46">
        <v>5.8469999999999995</v>
      </c>
      <c r="Z71" s="46">
        <v>5.476</v>
      </c>
      <c r="AA71" s="46">
        <v>5.8679999999999994</v>
      </c>
      <c r="AB71" s="46">
        <v>4.6630000000000003</v>
      </c>
      <c r="AC71" s="46">
        <v>4.5</v>
      </c>
      <c r="AD71" s="46">
        <v>2.262</v>
      </c>
      <c r="AE71" s="46">
        <v>5.2430000000000003</v>
      </c>
      <c r="AF71" s="46">
        <v>5.3250000000000002</v>
      </c>
      <c r="AG71" s="46">
        <v>6.827</v>
      </c>
      <c r="AH71" s="46">
        <v>4.2439999999999998</v>
      </c>
      <c r="AI71" s="46">
        <v>5.6720000000000006</v>
      </c>
      <c r="AJ71" s="46">
        <v>5.0310000000000006</v>
      </c>
      <c r="AK71" s="46">
        <v>4.4640000000000004</v>
      </c>
      <c r="AL71" s="46">
        <v>3.7290000000000001</v>
      </c>
      <c r="AM71" s="46">
        <v>5.4239999999999995</v>
      </c>
      <c r="AN71" s="46">
        <v>5.3719999999999999</v>
      </c>
      <c r="AO71" s="46">
        <f t="shared" si="4"/>
        <v>4.8274838709677415</v>
      </c>
      <c r="AP71" s="67">
        <f t="shared" si="3"/>
        <v>0.25407809847198637</v>
      </c>
    </row>
    <row r="72" spans="1:42" x14ac:dyDescent="0.3">
      <c r="A72" s="5">
        <v>71</v>
      </c>
      <c r="B72" s="12" t="s">
        <v>222</v>
      </c>
      <c r="C72" s="12" t="s">
        <v>223</v>
      </c>
      <c r="D72" s="6" t="s">
        <v>69</v>
      </c>
      <c r="E72" s="6" t="s">
        <v>12</v>
      </c>
      <c r="F72" s="6" t="s">
        <v>40</v>
      </c>
      <c r="G72" s="6" t="s">
        <v>35</v>
      </c>
      <c r="H72" s="5">
        <v>2</v>
      </c>
      <c r="I72" s="67" t="s">
        <v>272</v>
      </c>
      <c r="J72" s="46">
        <v>0</v>
      </c>
      <c r="K72" s="45">
        <v>0</v>
      </c>
      <c r="L72" s="45">
        <v>0</v>
      </c>
      <c r="M72" s="46">
        <v>0</v>
      </c>
      <c r="N72" s="46">
        <v>0</v>
      </c>
      <c r="O72" s="46">
        <v>0</v>
      </c>
      <c r="P72" s="46">
        <v>0</v>
      </c>
      <c r="Q72" s="46">
        <v>0</v>
      </c>
      <c r="R72" s="51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0</v>
      </c>
      <c r="AL72" s="46">
        <v>0</v>
      </c>
      <c r="AM72" s="46">
        <v>0</v>
      </c>
      <c r="AN72" s="46">
        <v>0</v>
      </c>
      <c r="AO72" s="46">
        <f t="shared" si="4"/>
        <v>0</v>
      </c>
      <c r="AP72" s="67">
        <f t="shared" si="3"/>
        <v>0</v>
      </c>
    </row>
    <row r="73" spans="1:42" ht="15.6" x14ac:dyDescent="0.3">
      <c r="A73" s="5">
        <v>72</v>
      </c>
      <c r="B73" s="12" t="s">
        <v>175</v>
      </c>
      <c r="C73" s="12" t="s">
        <v>174</v>
      </c>
      <c r="D73" s="6" t="s">
        <v>128</v>
      </c>
      <c r="E73" s="6" t="s">
        <v>12</v>
      </c>
      <c r="F73" s="6" t="s">
        <v>121</v>
      </c>
      <c r="G73" s="6" t="s">
        <v>35</v>
      </c>
      <c r="H73" s="5">
        <v>10</v>
      </c>
      <c r="I73" s="74" t="s">
        <v>273</v>
      </c>
      <c r="J73" s="46">
        <v>43.003999999999991</v>
      </c>
      <c r="K73" s="46">
        <v>80.775000000000006</v>
      </c>
      <c r="L73" s="46">
        <v>86.82000000000005</v>
      </c>
      <c r="M73" s="46">
        <v>138.21799999999999</v>
      </c>
      <c r="N73" s="46">
        <v>96.683999999999997</v>
      </c>
      <c r="O73" s="46">
        <v>96.661000000000016</v>
      </c>
      <c r="P73" s="46">
        <v>18.471</v>
      </c>
      <c r="Q73" s="46">
        <v>48.530999999999999</v>
      </c>
      <c r="R73" s="46">
        <v>85.417999999999992</v>
      </c>
      <c r="S73" s="46">
        <v>66.493000000000009</v>
      </c>
      <c r="T73" s="46">
        <v>83.703000000000017</v>
      </c>
      <c r="U73" s="46">
        <v>82.183000000000007</v>
      </c>
      <c r="V73" s="46">
        <v>27.302999999999994</v>
      </c>
      <c r="W73" s="46">
        <v>84.323999999999984</v>
      </c>
      <c r="X73" s="46">
        <v>133.87800000000001</v>
      </c>
      <c r="Y73" s="46">
        <v>80.349999999999994</v>
      </c>
      <c r="Z73" s="46">
        <v>127.01700000000002</v>
      </c>
      <c r="AA73" s="46">
        <v>153.70399999999992</v>
      </c>
      <c r="AB73" s="46">
        <v>32.659999999999997</v>
      </c>
      <c r="AC73" s="46">
        <v>42.631999999999998</v>
      </c>
      <c r="AD73" s="46">
        <v>37.758000000000003</v>
      </c>
      <c r="AE73" s="46">
        <v>103.58399999999999</v>
      </c>
      <c r="AF73" s="46">
        <v>52.38</v>
      </c>
      <c r="AG73" s="46">
        <v>78.294000000000011</v>
      </c>
      <c r="AH73" s="46">
        <v>107.36100000000003</v>
      </c>
      <c r="AI73" s="46">
        <v>164.95200000000006</v>
      </c>
      <c r="AJ73" s="46">
        <v>104.773</v>
      </c>
      <c r="AK73" s="46">
        <v>112.616</v>
      </c>
      <c r="AL73" s="46">
        <v>101.20999999999998</v>
      </c>
      <c r="AM73" s="46">
        <v>102.059</v>
      </c>
      <c r="AN73" s="46">
        <v>94.038999999999987</v>
      </c>
      <c r="AO73" s="46">
        <f t="shared" si="4"/>
        <v>86.059838709677436</v>
      </c>
      <c r="AP73" s="67">
        <f t="shared" si="3"/>
        <v>8.6059838709677443</v>
      </c>
    </row>
    <row r="74" spans="1:42" ht="15.6" x14ac:dyDescent="0.3">
      <c r="A74" s="5">
        <v>73</v>
      </c>
      <c r="B74" s="12" t="s">
        <v>175</v>
      </c>
      <c r="C74" s="12" t="s">
        <v>174</v>
      </c>
      <c r="D74" s="6" t="s">
        <v>128</v>
      </c>
      <c r="E74" s="6" t="s">
        <v>12</v>
      </c>
      <c r="F74" s="6" t="s">
        <v>40</v>
      </c>
      <c r="G74" s="6" t="s">
        <v>35</v>
      </c>
      <c r="H74" s="5">
        <v>1</v>
      </c>
      <c r="I74" s="74" t="s">
        <v>273</v>
      </c>
      <c r="J74" s="46">
        <v>13.571999999999999</v>
      </c>
      <c r="K74" s="46">
        <v>23.170999999999999</v>
      </c>
      <c r="L74" s="46">
        <v>33.191999999999993</v>
      </c>
      <c r="M74" s="46">
        <v>0</v>
      </c>
      <c r="N74" s="46">
        <v>38.364000000000004</v>
      </c>
      <c r="O74" s="46">
        <v>0</v>
      </c>
      <c r="P74" s="46">
        <v>14.984999999999999</v>
      </c>
      <c r="Q74" s="46">
        <v>45.975999999999992</v>
      </c>
      <c r="R74" s="46">
        <v>10.178000000000001</v>
      </c>
      <c r="S74" s="46">
        <v>7.1340000000000003</v>
      </c>
      <c r="T74" s="46">
        <v>0</v>
      </c>
      <c r="U74" s="46">
        <v>25.001000000000001</v>
      </c>
      <c r="V74" s="46">
        <v>28.860999999999997</v>
      </c>
      <c r="W74" s="46">
        <v>0</v>
      </c>
      <c r="X74" s="46">
        <v>28.471999999999998</v>
      </c>
      <c r="Y74" s="46">
        <v>29.361000000000001</v>
      </c>
      <c r="Z74" s="46">
        <v>22.61</v>
      </c>
      <c r="AA74" s="46">
        <v>41.230000000000004</v>
      </c>
      <c r="AB74" s="46">
        <v>17.692</v>
      </c>
      <c r="AC74" s="46">
        <v>0</v>
      </c>
      <c r="AD74" s="46">
        <v>0</v>
      </c>
      <c r="AE74" s="46">
        <v>30.234000000000002</v>
      </c>
      <c r="AF74" s="46">
        <v>9.5780000000000012</v>
      </c>
      <c r="AG74" s="46">
        <v>1E-3</v>
      </c>
      <c r="AH74" s="46">
        <v>0</v>
      </c>
      <c r="AI74" s="46">
        <v>3.9370000000000012</v>
      </c>
      <c r="AJ74" s="46">
        <v>16.773</v>
      </c>
      <c r="AK74" s="46">
        <v>33.197000000000003</v>
      </c>
      <c r="AL74" s="46">
        <v>6.7620000000000005</v>
      </c>
      <c r="AM74" s="46">
        <v>7.2720000000000002</v>
      </c>
      <c r="AN74" s="46">
        <v>34.521000000000001</v>
      </c>
      <c r="AO74" s="46">
        <f t="shared" si="4"/>
        <v>16.841096774193549</v>
      </c>
      <c r="AP74" s="67">
        <f t="shared" si="3"/>
        <v>16.841096774193549</v>
      </c>
    </row>
    <row r="75" spans="1:42" x14ac:dyDescent="0.3">
      <c r="A75" s="5">
        <v>74</v>
      </c>
      <c r="B75" s="12" t="s">
        <v>175</v>
      </c>
      <c r="C75" s="12" t="s">
        <v>241</v>
      </c>
      <c r="D75" s="6" t="s">
        <v>128</v>
      </c>
      <c r="E75" s="6" t="s">
        <v>12</v>
      </c>
      <c r="F75" s="6" t="s">
        <v>124</v>
      </c>
      <c r="G75" s="6" t="s">
        <v>80</v>
      </c>
      <c r="H75" s="5">
        <v>1</v>
      </c>
      <c r="I75" s="67" t="s">
        <v>160</v>
      </c>
      <c r="J75" s="46">
        <v>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0</v>
      </c>
      <c r="AL75" s="46">
        <v>0</v>
      </c>
      <c r="AM75" s="46">
        <v>0</v>
      </c>
      <c r="AN75" s="46">
        <v>0</v>
      </c>
      <c r="AO75" s="46">
        <f t="shared" si="4"/>
        <v>0</v>
      </c>
      <c r="AP75" s="67">
        <f t="shared" si="3"/>
        <v>0</v>
      </c>
    </row>
    <row r="76" spans="1:42" x14ac:dyDescent="0.3">
      <c r="A76" s="5">
        <v>75</v>
      </c>
      <c r="B76" s="12" t="s">
        <v>175</v>
      </c>
      <c r="C76" s="12" t="s">
        <v>240</v>
      </c>
      <c r="D76" s="6" t="s">
        <v>128</v>
      </c>
      <c r="E76" s="6" t="s">
        <v>12</v>
      </c>
      <c r="F76" s="6" t="s">
        <v>124</v>
      </c>
      <c r="G76" s="6" t="s">
        <v>80</v>
      </c>
      <c r="H76" s="5">
        <v>1</v>
      </c>
      <c r="I76" s="67" t="s">
        <v>160</v>
      </c>
      <c r="J76" s="46">
        <v>0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0</v>
      </c>
      <c r="AL76" s="46">
        <v>0</v>
      </c>
      <c r="AM76" s="46">
        <v>0</v>
      </c>
      <c r="AN76" s="46">
        <v>0</v>
      </c>
      <c r="AO76" s="46">
        <f t="shared" si="4"/>
        <v>0</v>
      </c>
      <c r="AP76" s="67">
        <f t="shared" si="3"/>
        <v>0</v>
      </c>
    </row>
    <row r="77" spans="1:42" x14ac:dyDescent="0.3">
      <c r="A77" s="5">
        <v>76</v>
      </c>
      <c r="B77" s="12" t="s">
        <v>175</v>
      </c>
      <c r="C77" s="12" t="s">
        <v>242</v>
      </c>
      <c r="D77" s="6" t="s">
        <v>128</v>
      </c>
      <c r="E77" s="6" t="s">
        <v>12</v>
      </c>
      <c r="F77" s="6" t="s">
        <v>124</v>
      </c>
      <c r="G77" s="6" t="s">
        <v>80</v>
      </c>
      <c r="H77" s="5">
        <v>1</v>
      </c>
      <c r="I77" s="67" t="s">
        <v>160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0</v>
      </c>
      <c r="AL77" s="46">
        <v>0</v>
      </c>
      <c r="AM77" s="46">
        <v>0</v>
      </c>
      <c r="AN77" s="46">
        <v>0</v>
      </c>
      <c r="AO77" s="46">
        <f t="shared" si="4"/>
        <v>0</v>
      </c>
      <c r="AP77" s="67">
        <f t="shared" si="3"/>
        <v>0</v>
      </c>
    </row>
    <row r="78" spans="1:42" ht="15.6" x14ac:dyDescent="0.3">
      <c r="A78" s="5">
        <v>77</v>
      </c>
      <c r="B78" s="6" t="s">
        <v>65</v>
      </c>
      <c r="C78" s="12" t="s">
        <v>224</v>
      </c>
      <c r="D78" s="6" t="s">
        <v>30</v>
      </c>
      <c r="E78" s="6" t="s">
        <v>12</v>
      </c>
      <c r="F78" s="6" t="s">
        <v>13</v>
      </c>
      <c r="G78" s="6" t="s">
        <v>35</v>
      </c>
      <c r="H78" s="5">
        <v>5</v>
      </c>
      <c r="I78" s="74" t="s">
        <v>273</v>
      </c>
      <c r="J78" s="46">
        <v>29.698999999999998</v>
      </c>
      <c r="K78" s="46">
        <v>12.620999999999997</v>
      </c>
      <c r="L78" s="46">
        <v>7.7030000000000003</v>
      </c>
      <c r="M78" s="46">
        <v>44.436999999999998</v>
      </c>
      <c r="N78" s="46">
        <v>33.47</v>
      </c>
      <c r="O78" s="46">
        <v>31.998999999999999</v>
      </c>
      <c r="P78" s="46">
        <v>55.501000000000005</v>
      </c>
      <c r="Q78" s="46">
        <v>27.053000000000001</v>
      </c>
      <c r="R78" s="46">
        <v>57.093000000000004</v>
      </c>
      <c r="S78" s="46">
        <v>41.988</v>
      </c>
      <c r="T78" s="46">
        <v>28.55</v>
      </c>
      <c r="U78" s="46">
        <v>39.426000000000002</v>
      </c>
      <c r="V78" s="46">
        <v>42.141000000000005</v>
      </c>
      <c r="W78" s="46">
        <v>47.022000000000006</v>
      </c>
      <c r="X78" s="46">
        <v>16.859000000000002</v>
      </c>
      <c r="Y78" s="46">
        <v>22.95</v>
      </c>
      <c r="Z78" s="46">
        <v>52.714999999999996</v>
      </c>
      <c r="AA78" s="46">
        <v>37.463999999999999</v>
      </c>
      <c r="AB78" s="46">
        <v>39.919999999999995</v>
      </c>
      <c r="AC78" s="46">
        <v>30.541999999999998</v>
      </c>
      <c r="AD78" s="46">
        <v>17.391000000000002</v>
      </c>
      <c r="AE78" s="46">
        <v>34.665999999999997</v>
      </c>
      <c r="AF78" s="46">
        <v>43.904000000000003</v>
      </c>
      <c r="AG78" s="46">
        <v>26.344000000000001</v>
      </c>
      <c r="AH78" s="46">
        <v>43.869</v>
      </c>
      <c r="AI78" s="46">
        <v>33.4</v>
      </c>
      <c r="AJ78" s="46">
        <v>30.52</v>
      </c>
      <c r="AK78" s="46">
        <v>29.103000000000002</v>
      </c>
      <c r="AL78" s="46">
        <v>36.417999999999999</v>
      </c>
      <c r="AM78" s="46">
        <v>36.775999999999996</v>
      </c>
      <c r="AN78" s="46">
        <v>32.410000000000004</v>
      </c>
      <c r="AO78" s="46">
        <f t="shared" si="4"/>
        <v>34.321096774193556</v>
      </c>
      <c r="AP78" s="67">
        <f t="shared" si="3"/>
        <v>6.8642193548387116</v>
      </c>
    </row>
    <row r="79" spans="1:42" ht="15.6" x14ac:dyDescent="0.3">
      <c r="A79" s="5">
        <v>78</v>
      </c>
      <c r="B79" s="6" t="s">
        <v>65</v>
      </c>
      <c r="C79" s="12" t="s">
        <v>225</v>
      </c>
      <c r="D79" s="6" t="s">
        <v>30</v>
      </c>
      <c r="E79" s="6" t="s">
        <v>12</v>
      </c>
      <c r="F79" s="6" t="s">
        <v>13</v>
      </c>
      <c r="G79" s="6" t="s">
        <v>35</v>
      </c>
      <c r="H79" s="5">
        <v>16</v>
      </c>
      <c r="I79" s="74" t="s">
        <v>273</v>
      </c>
      <c r="J79" s="46">
        <v>2.5910000000000002</v>
      </c>
      <c r="K79" s="46">
        <v>0</v>
      </c>
      <c r="L79" s="46">
        <v>1.204</v>
      </c>
      <c r="M79" s="46">
        <v>19.154</v>
      </c>
      <c r="N79" s="46">
        <v>6.3049999999999997</v>
      </c>
      <c r="O79" s="46">
        <v>10.760999999999999</v>
      </c>
      <c r="P79" s="46">
        <v>1.9410000000000001</v>
      </c>
      <c r="Q79" s="46">
        <v>8.9340000000000011</v>
      </c>
      <c r="R79" s="46">
        <v>13.428000000000001</v>
      </c>
      <c r="S79" s="46">
        <v>5.4340000000000002</v>
      </c>
      <c r="T79" s="46">
        <v>4.51</v>
      </c>
      <c r="U79" s="46">
        <v>0</v>
      </c>
      <c r="V79" s="46">
        <v>19.978999999999999</v>
      </c>
      <c r="W79" s="46">
        <v>18.487000000000002</v>
      </c>
      <c r="X79" s="46">
        <v>15.691000000000001</v>
      </c>
      <c r="Y79" s="46">
        <v>9.6259999999999994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1.2669999999999999</v>
      </c>
      <c r="AH79" s="46">
        <v>0</v>
      </c>
      <c r="AI79" s="46">
        <v>1.7799999999999996</v>
      </c>
      <c r="AJ79" s="46">
        <v>0.33200000000000002</v>
      </c>
      <c r="AK79" s="46">
        <v>6.0000000000000001E-3</v>
      </c>
      <c r="AL79" s="46">
        <v>0.93899999999999995</v>
      </c>
      <c r="AM79" s="46">
        <v>4.6470000000000002</v>
      </c>
      <c r="AN79" s="46">
        <v>1.111</v>
      </c>
      <c r="AO79" s="46">
        <f t="shared" si="4"/>
        <v>4.7782903225806441</v>
      </c>
      <c r="AP79" s="67">
        <f t="shared" si="3"/>
        <v>0.29864314516129026</v>
      </c>
    </row>
    <row r="80" spans="1:42" ht="15.6" x14ac:dyDescent="0.3">
      <c r="A80" s="5">
        <v>79</v>
      </c>
      <c r="B80" s="6" t="s">
        <v>65</v>
      </c>
      <c r="C80" s="12" t="s">
        <v>226</v>
      </c>
      <c r="D80" s="6" t="s">
        <v>30</v>
      </c>
      <c r="E80" s="6" t="s">
        <v>12</v>
      </c>
      <c r="F80" s="6" t="s">
        <v>13</v>
      </c>
      <c r="G80" s="6" t="s">
        <v>35</v>
      </c>
      <c r="H80" s="5">
        <v>10</v>
      </c>
      <c r="I80" s="74" t="s">
        <v>273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51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60">
        <v>0</v>
      </c>
      <c r="AF80" s="60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f t="shared" si="4"/>
        <v>0</v>
      </c>
      <c r="AP80" s="67">
        <f t="shared" si="3"/>
        <v>0</v>
      </c>
    </row>
    <row r="81" spans="1:42" ht="15.6" x14ac:dyDescent="0.3">
      <c r="A81" s="5">
        <v>80</v>
      </c>
      <c r="B81" s="6" t="s">
        <v>65</v>
      </c>
      <c r="C81" s="12" t="s">
        <v>227</v>
      </c>
      <c r="D81" s="6" t="s">
        <v>30</v>
      </c>
      <c r="E81" s="6" t="s">
        <v>12</v>
      </c>
      <c r="F81" s="6" t="s">
        <v>13</v>
      </c>
      <c r="G81" s="6" t="s">
        <v>35</v>
      </c>
      <c r="H81" s="5">
        <v>13</v>
      </c>
      <c r="I81" s="74" t="s">
        <v>273</v>
      </c>
      <c r="J81" s="46">
        <v>36.524000000000001</v>
      </c>
      <c r="K81" s="46">
        <v>63.019999999999996</v>
      </c>
      <c r="L81" s="46">
        <v>34.134</v>
      </c>
      <c r="M81" s="46">
        <v>33.650999999999996</v>
      </c>
      <c r="N81" s="46">
        <v>45.888999999999996</v>
      </c>
      <c r="O81" s="46">
        <v>38.591000000000001</v>
      </c>
      <c r="P81" s="46">
        <v>42.489000000000004</v>
      </c>
      <c r="Q81" s="46">
        <v>36.54</v>
      </c>
      <c r="R81" s="46">
        <v>59.216999999999999</v>
      </c>
      <c r="S81" s="46">
        <v>51.306999999999995</v>
      </c>
      <c r="T81" s="46">
        <v>8.4759999999999991</v>
      </c>
      <c r="U81" s="46">
        <v>28.724</v>
      </c>
      <c r="V81" s="46">
        <v>55.122</v>
      </c>
      <c r="W81" s="46">
        <v>45.967000000000006</v>
      </c>
      <c r="X81" s="46">
        <v>24.006</v>
      </c>
      <c r="Y81" s="46">
        <v>39.116999999999997</v>
      </c>
      <c r="Z81" s="46">
        <v>53.818000000000005</v>
      </c>
      <c r="AA81" s="46">
        <v>23.076000000000001</v>
      </c>
      <c r="AB81" s="46">
        <v>53.772999999999996</v>
      </c>
      <c r="AC81" s="46">
        <v>22.050999999999998</v>
      </c>
      <c r="AD81" s="46">
        <v>11.526999999999999</v>
      </c>
      <c r="AE81" s="46">
        <v>26.492000000000001</v>
      </c>
      <c r="AF81" s="46">
        <v>10.481</v>
      </c>
      <c r="AG81" s="46">
        <v>28.168000000000003</v>
      </c>
      <c r="AH81" s="46">
        <v>38.784999999999997</v>
      </c>
      <c r="AI81" s="46">
        <v>40.613</v>
      </c>
      <c r="AJ81" s="46">
        <v>24.228999999999999</v>
      </c>
      <c r="AK81" s="46">
        <v>47.865000000000002</v>
      </c>
      <c r="AL81" s="46">
        <v>35.29</v>
      </c>
      <c r="AM81" s="46">
        <v>57.324999999999989</v>
      </c>
      <c r="AN81" s="46">
        <v>50.757000000000005</v>
      </c>
      <c r="AO81" s="46">
        <f t="shared" si="4"/>
        <v>37.645935483870971</v>
      </c>
      <c r="AP81" s="67">
        <f t="shared" si="3"/>
        <v>2.8958411910669977</v>
      </c>
    </row>
    <row r="82" spans="1:42" ht="15.6" x14ac:dyDescent="0.3">
      <c r="A82" s="5">
        <v>81</v>
      </c>
      <c r="B82" s="6" t="s">
        <v>65</v>
      </c>
      <c r="C82" s="12" t="s">
        <v>356</v>
      </c>
      <c r="D82" s="6" t="s">
        <v>30</v>
      </c>
      <c r="E82" s="6" t="s">
        <v>12</v>
      </c>
      <c r="F82" s="6" t="s">
        <v>13</v>
      </c>
      <c r="G82" s="6" t="s">
        <v>35</v>
      </c>
      <c r="H82" s="5">
        <v>20</v>
      </c>
      <c r="I82" s="74" t="s">
        <v>273</v>
      </c>
      <c r="J82" s="46">
        <v>294.55700000000002</v>
      </c>
      <c r="K82" s="46">
        <v>325.64700000000005</v>
      </c>
      <c r="L82" s="46">
        <v>302.72300000000001</v>
      </c>
      <c r="M82" s="46">
        <v>358.64000000000004</v>
      </c>
      <c r="N82" s="46">
        <v>295.07599999999996</v>
      </c>
      <c r="O82" s="46">
        <v>273.17599999999999</v>
      </c>
      <c r="P82" s="46">
        <v>366.24899999999991</v>
      </c>
      <c r="Q82" s="46">
        <v>281.0080000000001</v>
      </c>
      <c r="R82" s="46">
        <v>355.16899999999993</v>
      </c>
      <c r="S82" s="46">
        <v>333.15100000000001</v>
      </c>
      <c r="T82" s="46">
        <v>358.38900000000001</v>
      </c>
      <c r="U82" s="46">
        <v>234.70800000000006</v>
      </c>
      <c r="V82" s="46">
        <v>284.76799999999992</v>
      </c>
      <c r="W82" s="46">
        <v>300.22399999999999</v>
      </c>
      <c r="X82" s="46">
        <v>336.53600000000006</v>
      </c>
      <c r="Y82" s="46">
        <v>329.87400000000002</v>
      </c>
      <c r="Z82" s="46">
        <v>319.17900000000009</v>
      </c>
      <c r="AA82" s="46">
        <v>332.98599999999999</v>
      </c>
      <c r="AB82" s="46">
        <v>326.15800000000007</v>
      </c>
      <c r="AC82" s="46">
        <v>236.65300000000002</v>
      </c>
      <c r="AD82" s="46">
        <v>192.90799999999996</v>
      </c>
      <c r="AE82" s="46">
        <v>160.64599999999999</v>
      </c>
      <c r="AF82" s="46">
        <v>134.696</v>
      </c>
      <c r="AG82" s="46">
        <v>240.13100000000006</v>
      </c>
      <c r="AH82" s="46">
        <v>359.84399999999994</v>
      </c>
      <c r="AI82" s="46">
        <v>325.5379999999999</v>
      </c>
      <c r="AJ82" s="46">
        <v>353.12599999999998</v>
      </c>
      <c r="AK82" s="46">
        <v>278.46100000000007</v>
      </c>
      <c r="AL82" s="46">
        <v>315.22100000000006</v>
      </c>
      <c r="AM82" s="46">
        <v>291.94200000000012</v>
      </c>
      <c r="AN82" s="46">
        <v>347.20800000000014</v>
      </c>
      <c r="AO82" s="46">
        <f t="shared" si="4"/>
        <v>298.21264516129042</v>
      </c>
      <c r="AP82" s="67">
        <f t="shared" si="3"/>
        <v>14.910632258064521</v>
      </c>
    </row>
    <row r="83" spans="1:42" x14ac:dyDescent="0.3">
      <c r="A83" s="5">
        <v>82</v>
      </c>
      <c r="B83" s="6" t="s">
        <v>65</v>
      </c>
      <c r="C83" s="12" t="s">
        <v>228</v>
      </c>
      <c r="D83" s="6" t="s">
        <v>30</v>
      </c>
      <c r="E83" s="6" t="s">
        <v>12</v>
      </c>
      <c r="F83" s="6" t="s">
        <v>13</v>
      </c>
      <c r="G83" s="6" t="s">
        <v>35</v>
      </c>
      <c r="H83" s="5">
        <v>1</v>
      </c>
      <c r="I83" s="67" t="s">
        <v>272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51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6">
        <f t="shared" si="4"/>
        <v>0</v>
      </c>
      <c r="AP83" s="67">
        <f t="shared" si="3"/>
        <v>0</v>
      </c>
    </row>
    <row r="84" spans="1:42" x14ac:dyDescent="0.3">
      <c r="A84" s="5">
        <v>83</v>
      </c>
      <c r="B84" s="6" t="s">
        <v>65</v>
      </c>
      <c r="C84" s="12" t="s">
        <v>110</v>
      </c>
      <c r="D84" s="6" t="s">
        <v>30</v>
      </c>
      <c r="E84" s="6" t="s">
        <v>12</v>
      </c>
      <c r="F84" s="6" t="s">
        <v>13</v>
      </c>
      <c r="G84" s="6" t="s">
        <v>35</v>
      </c>
      <c r="H84" s="5">
        <v>1</v>
      </c>
      <c r="I84" s="67" t="s">
        <v>272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51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46">
        <v>0</v>
      </c>
      <c r="AH84" s="46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>
        <v>0</v>
      </c>
      <c r="AO84" s="46">
        <f t="shared" si="4"/>
        <v>0</v>
      </c>
      <c r="AP84" s="67">
        <f t="shared" si="3"/>
        <v>0</v>
      </c>
    </row>
    <row r="85" spans="1:42" x14ac:dyDescent="0.3">
      <c r="A85" s="5">
        <v>84</v>
      </c>
      <c r="B85" s="6" t="s">
        <v>65</v>
      </c>
      <c r="C85" s="12" t="s">
        <v>229</v>
      </c>
      <c r="D85" s="6" t="s">
        <v>128</v>
      </c>
      <c r="E85" s="6" t="s">
        <v>12</v>
      </c>
      <c r="F85" s="6" t="s">
        <v>40</v>
      </c>
      <c r="G85" s="6" t="s">
        <v>35</v>
      </c>
      <c r="H85" s="5">
        <v>2</v>
      </c>
      <c r="I85" s="67" t="s">
        <v>160</v>
      </c>
      <c r="J85" s="46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6">
        <v>5.19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0</v>
      </c>
      <c r="Z85" s="45">
        <v>0</v>
      </c>
      <c r="AA85" s="45">
        <v>0</v>
      </c>
      <c r="AB85" s="46">
        <v>0</v>
      </c>
      <c r="AC85" s="46">
        <v>0</v>
      </c>
      <c r="AD85" s="46">
        <v>0</v>
      </c>
      <c r="AE85" s="46">
        <v>4.1399999999999997</v>
      </c>
      <c r="AF85" s="46">
        <v>0</v>
      </c>
      <c r="AG85" s="46">
        <v>0</v>
      </c>
      <c r="AH85" s="46">
        <v>0</v>
      </c>
      <c r="AI85" s="46">
        <v>0</v>
      </c>
      <c r="AJ85" s="46">
        <v>2.37</v>
      </c>
      <c r="AK85" s="46">
        <v>0</v>
      </c>
      <c r="AL85" s="46">
        <v>0</v>
      </c>
      <c r="AM85" s="46">
        <v>0</v>
      </c>
      <c r="AN85" s="46">
        <v>0</v>
      </c>
      <c r="AO85" s="46">
        <f t="shared" si="4"/>
        <v>0.37741935483870964</v>
      </c>
      <c r="AP85" s="67">
        <f t="shared" si="3"/>
        <v>0.18870967741935482</v>
      </c>
    </row>
    <row r="86" spans="1:42" x14ac:dyDescent="0.3">
      <c r="A86" s="5">
        <v>85</v>
      </c>
      <c r="B86" s="6" t="s">
        <v>65</v>
      </c>
      <c r="C86" s="12" t="s">
        <v>230</v>
      </c>
      <c r="D86" s="6"/>
      <c r="E86" s="6" t="s">
        <v>130</v>
      </c>
      <c r="F86" s="6" t="s">
        <v>121</v>
      </c>
      <c r="G86" s="6" t="s">
        <v>35</v>
      </c>
      <c r="H86" s="5">
        <v>2</v>
      </c>
      <c r="I86" s="67" t="s">
        <v>160</v>
      </c>
      <c r="J86" s="46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0</v>
      </c>
      <c r="V86" s="51">
        <v>0</v>
      </c>
      <c r="W86" s="51">
        <v>0</v>
      </c>
      <c r="X86" s="51">
        <v>0</v>
      </c>
      <c r="Y86" s="51">
        <v>0</v>
      </c>
      <c r="Z86" s="51">
        <v>0</v>
      </c>
      <c r="AA86" s="51">
        <v>0</v>
      </c>
      <c r="AB86" s="51">
        <v>0</v>
      </c>
      <c r="AC86" s="51">
        <v>0</v>
      </c>
      <c r="AD86" s="51">
        <v>0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46">
        <v>0</v>
      </c>
      <c r="AL86" s="46">
        <v>0</v>
      </c>
      <c r="AM86" s="46">
        <v>0</v>
      </c>
      <c r="AN86" s="46">
        <v>0</v>
      </c>
      <c r="AO86" s="46">
        <f t="shared" si="4"/>
        <v>0</v>
      </c>
      <c r="AP86" s="67">
        <f t="shared" si="3"/>
        <v>0</v>
      </c>
    </row>
    <row r="87" spans="1:42" x14ac:dyDescent="0.3">
      <c r="A87" s="5">
        <v>86</v>
      </c>
      <c r="B87" s="6" t="s">
        <v>65</v>
      </c>
      <c r="C87" s="12" t="s">
        <v>231</v>
      </c>
      <c r="D87" s="6" t="s">
        <v>128</v>
      </c>
      <c r="E87" s="6" t="s">
        <v>19</v>
      </c>
      <c r="F87" s="6" t="s">
        <v>13</v>
      </c>
      <c r="G87" s="6" t="s">
        <v>35</v>
      </c>
      <c r="H87" s="5">
        <v>6</v>
      </c>
      <c r="I87" s="67" t="s">
        <v>160</v>
      </c>
      <c r="J87" s="46">
        <v>60.611999999999995</v>
      </c>
      <c r="K87" s="46">
        <v>74.741</v>
      </c>
      <c r="L87" s="46">
        <v>0</v>
      </c>
      <c r="M87" s="46">
        <v>0</v>
      </c>
      <c r="N87" s="46">
        <v>58.492000000000004</v>
      </c>
      <c r="O87" s="46">
        <v>68.081000000000003</v>
      </c>
      <c r="P87" s="46">
        <v>70.99499999999999</v>
      </c>
      <c r="Q87" s="46">
        <v>54.987000000000002</v>
      </c>
      <c r="R87" s="46">
        <v>50.97</v>
      </c>
      <c r="S87" s="46">
        <v>0</v>
      </c>
      <c r="T87" s="46">
        <v>15.349</v>
      </c>
      <c r="U87" s="46">
        <v>0</v>
      </c>
      <c r="V87" s="46">
        <v>46.370999999999995</v>
      </c>
      <c r="W87" s="46">
        <v>55.181000000000004</v>
      </c>
      <c r="X87" s="46">
        <v>5.2149999999999999</v>
      </c>
      <c r="Y87" s="46">
        <v>24.422000000000001</v>
      </c>
      <c r="Z87" s="46">
        <v>0</v>
      </c>
      <c r="AA87" s="46">
        <v>0</v>
      </c>
      <c r="AB87" s="46">
        <v>33.982999999999997</v>
      </c>
      <c r="AC87" s="46">
        <v>45.573000000000008</v>
      </c>
      <c r="AD87" s="46">
        <v>17.82</v>
      </c>
      <c r="AE87" s="46">
        <v>35.464999999999996</v>
      </c>
      <c r="AF87" s="46">
        <v>34.039000000000001</v>
      </c>
      <c r="AG87" s="46">
        <v>14.917999999999999</v>
      </c>
      <c r="AH87" s="46">
        <v>5.972999999999999</v>
      </c>
      <c r="AI87" s="46">
        <v>23.524000000000001</v>
      </c>
      <c r="AJ87" s="46">
        <v>64.819999999999993</v>
      </c>
      <c r="AK87" s="46">
        <v>59.730999999999995</v>
      </c>
      <c r="AL87" s="46">
        <v>53.934000000000005</v>
      </c>
      <c r="AM87" s="46">
        <v>72.465999999999994</v>
      </c>
      <c r="AN87" s="46">
        <v>23.393999999999998</v>
      </c>
      <c r="AO87" s="46">
        <f t="shared" si="4"/>
        <v>34.550193548387092</v>
      </c>
      <c r="AP87" s="67">
        <f t="shared" si="3"/>
        <v>5.7583655913978484</v>
      </c>
    </row>
    <row r="88" spans="1:42" x14ac:dyDescent="0.3">
      <c r="A88" s="5">
        <v>87</v>
      </c>
      <c r="B88" s="6" t="s">
        <v>65</v>
      </c>
      <c r="C88" s="12" t="s">
        <v>231</v>
      </c>
      <c r="D88" s="6" t="s">
        <v>128</v>
      </c>
      <c r="E88" s="6" t="s">
        <v>19</v>
      </c>
      <c r="F88" s="6" t="s">
        <v>40</v>
      </c>
      <c r="G88" s="6" t="s">
        <v>35</v>
      </c>
      <c r="H88" s="5">
        <v>1</v>
      </c>
      <c r="I88" s="67" t="s">
        <v>160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  <c r="AC88" s="51">
        <v>0</v>
      </c>
      <c r="AD88" s="51">
        <v>0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0</v>
      </c>
      <c r="AL88" s="51">
        <v>0</v>
      </c>
      <c r="AM88" s="51">
        <v>0</v>
      </c>
      <c r="AN88" s="51">
        <v>0</v>
      </c>
      <c r="AO88" s="46">
        <f t="shared" si="4"/>
        <v>0</v>
      </c>
      <c r="AP88" s="67">
        <f t="shared" si="3"/>
        <v>0</v>
      </c>
    </row>
    <row r="89" spans="1:42" ht="15.6" x14ac:dyDescent="0.3">
      <c r="A89" s="5">
        <v>88</v>
      </c>
      <c r="B89" s="6" t="s">
        <v>65</v>
      </c>
      <c r="C89" s="12" t="s">
        <v>232</v>
      </c>
      <c r="D89" s="6" t="s">
        <v>128</v>
      </c>
      <c r="E89" s="6" t="s">
        <v>12</v>
      </c>
      <c r="F89" s="6" t="s">
        <v>121</v>
      </c>
      <c r="G89" s="6" t="s">
        <v>35</v>
      </c>
      <c r="H89" s="5">
        <v>20</v>
      </c>
      <c r="I89" s="74" t="s">
        <v>273</v>
      </c>
      <c r="J89" s="46">
        <v>148.44400000000002</v>
      </c>
      <c r="K89" s="46">
        <v>210.69200000000001</v>
      </c>
      <c r="L89" s="46">
        <v>226.78900000000002</v>
      </c>
      <c r="M89" s="46">
        <v>189.63300000000001</v>
      </c>
      <c r="N89" s="46">
        <v>231.81999999999991</v>
      </c>
      <c r="O89" s="46">
        <v>213.54599999999999</v>
      </c>
      <c r="P89" s="46">
        <v>226.25900000000007</v>
      </c>
      <c r="Q89" s="46">
        <v>201.16999999999996</v>
      </c>
      <c r="R89" s="46">
        <v>224.12200000000004</v>
      </c>
      <c r="S89" s="46">
        <v>257.64499999999998</v>
      </c>
      <c r="T89" s="46">
        <v>150.44899999999998</v>
      </c>
      <c r="U89" s="46">
        <v>126.72399999999999</v>
      </c>
      <c r="V89" s="46">
        <v>202.16200000000001</v>
      </c>
      <c r="W89" s="46">
        <v>217.57200000000003</v>
      </c>
      <c r="X89" s="46">
        <v>197.16300000000001</v>
      </c>
      <c r="Y89" s="46">
        <v>212.98</v>
      </c>
      <c r="Z89" s="46">
        <v>193.17399999999992</v>
      </c>
      <c r="AA89" s="46">
        <v>203.37899999999999</v>
      </c>
      <c r="AB89" s="46">
        <v>230.15200000000004</v>
      </c>
      <c r="AC89" s="46">
        <v>199.95299999999997</v>
      </c>
      <c r="AD89" s="46">
        <v>209.46500000000003</v>
      </c>
      <c r="AE89" s="46">
        <v>244.94299999999998</v>
      </c>
      <c r="AF89" s="46">
        <v>111.878</v>
      </c>
      <c r="AG89" s="46">
        <v>119.81800000000001</v>
      </c>
      <c r="AH89" s="46">
        <v>175.62000000000006</v>
      </c>
      <c r="AI89" s="46">
        <v>182.059</v>
      </c>
      <c r="AJ89" s="46">
        <v>167.90700000000001</v>
      </c>
      <c r="AK89" s="46">
        <v>145.17800000000003</v>
      </c>
      <c r="AL89" s="46">
        <v>209.18900000000005</v>
      </c>
      <c r="AM89" s="46">
        <v>162.43899999999996</v>
      </c>
      <c r="AN89" s="46">
        <v>182.51600000000005</v>
      </c>
      <c r="AO89" s="46">
        <f t="shared" si="4"/>
        <v>192.7367741935484</v>
      </c>
      <c r="AP89" s="67">
        <f t="shared" si="3"/>
        <v>9.63683870967742</v>
      </c>
    </row>
    <row r="90" spans="1:42" ht="15.6" x14ac:dyDescent="0.3">
      <c r="A90" s="5">
        <v>89</v>
      </c>
      <c r="B90" s="6" t="s">
        <v>65</v>
      </c>
      <c r="C90" s="12" t="s">
        <v>254</v>
      </c>
      <c r="D90" s="6" t="s">
        <v>128</v>
      </c>
      <c r="E90" s="6" t="s">
        <v>12</v>
      </c>
      <c r="F90" s="6" t="s">
        <v>121</v>
      </c>
      <c r="G90" s="6" t="s">
        <v>35</v>
      </c>
      <c r="H90" s="5">
        <v>10</v>
      </c>
      <c r="I90" s="74" t="s">
        <v>273</v>
      </c>
      <c r="J90" s="46">
        <v>181.12900000000002</v>
      </c>
      <c r="K90" s="46">
        <v>207.95200000000006</v>
      </c>
      <c r="L90" s="46">
        <v>198.88499999999999</v>
      </c>
      <c r="M90" s="46">
        <v>197.84799999999993</v>
      </c>
      <c r="N90" s="46">
        <v>210.39600000000002</v>
      </c>
      <c r="O90" s="46">
        <v>179.33600000000001</v>
      </c>
      <c r="P90" s="46">
        <v>215.24599999999998</v>
      </c>
      <c r="Q90" s="46">
        <v>161.67599999999999</v>
      </c>
      <c r="R90" s="46">
        <v>199.31699999999998</v>
      </c>
      <c r="S90" s="46">
        <v>193.66399999999996</v>
      </c>
      <c r="T90" s="46">
        <v>212.67299999999997</v>
      </c>
      <c r="U90" s="46">
        <v>208.02599999999998</v>
      </c>
      <c r="V90" s="46">
        <v>194.04900000000006</v>
      </c>
      <c r="W90" s="46">
        <v>191.86099999999999</v>
      </c>
      <c r="X90" s="46">
        <v>140.82499999999999</v>
      </c>
      <c r="Y90" s="46">
        <v>200.48100000000005</v>
      </c>
      <c r="Z90" s="46">
        <v>189.65099999999998</v>
      </c>
      <c r="AA90" s="46">
        <v>226.37399999999997</v>
      </c>
      <c r="AB90" s="46">
        <v>246.44700000000003</v>
      </c>
      <c r="AC90" s="46">
        <v>273.86700000000002</v>
      </c>
      <c r="AD90" s="46">
        <v>247.79999999999995</v>
      </c>
      <c r="AE90" s="46">
        <v>240.65199999999999</v>
      </c>
      <c r="AF90" s="46">
        <v>163.54999999999998</v>
      </c>
      <c r="AG90" s="46">
        <v>160.33700000000002</v>
      </c>
      <c r="AH90" s="46">
        <v>246.94300000000001</v>
      </c>
      <c r="AI90" s="46">
        <v>256.964</v>
      </c>
      <c r="AJ90" s="46">
        <v>258.16599999999994</v>
      </c>
      <c r="AK90" s="46">
        <v>212.57</v>
      </c>
      <c r="AL90" s="46">
        <v>253.17100000000002</v>
      </c>
      <c r="AM90" s="46">
        <v>245.47300000000004</v>
      </c>
      <c r="AN90" s="46">
        <v>188.65599999999998</v>
      </c>
      <c r="AO90" s="46">
        <f t="shared" si="4"/>
        <v>209.80596774193549</v>
      </c>
      <c r="AP90" s="67">
        <f t="shared" si="3"/>
        <v>20.98059677419355</v>
      </c>
    </row>
    <row r="91" spans="1:42" x14ac:dyDescent="0.3">
      <c r="A91" s="5">
        <v>90</v>
      </c>
      <c r="B91" s="6" t="s">
        <v>65</v>
      </c>
      <c r="C91" s="12" t="s">
        <v>233</v>
      </c>
      <c r="D91" s="6" t="s">
        <v>128</v>
      </c>
      <c r="E91" s="6" t="s">
        <v>12</v>
      </c>
      <c r="F91" s="6" t="s">
        <v>121</v>
      </c>
      <c r="G91" s="6" t="s">
        <v>35</v>
      </c>
      <c r="H91" s="5">
        <v>2</v>
      </c>
      <c r="I91" s="67" t="s">
        <v>272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0</v>
      </c>
      <c r="AL91" s="46">
        <v>0</v>
      </c>
      <c r="AM91" s="46">
        <v>0</v>
      </c>
      <c r="AN91" s="46">
        <v>0</v>
      </c>
      <c r="AO91" s="46">
        <f t="shared" si="4"/>
        <v>0</v>
      </c>
      <c r="AP91" s="67">
        <f t="shared" si="3"/>
        <v>0</v>
      </c>
    </row>
    <row r="92" spans="1:42" x14ac:dyDescent="0.3">
      <c r="A92" s="5">
        <v>91</v>
      </c>
      <c r="B92" s="6" t="s">
        <v>65</v>
      </c>
      <c r="C92" s="12" t="s">
        <v>233</v>
      </c>
      <c r="D92" s="6" t="s">
        <v>128</v>
      </c>
      <c r="E92" s="6" t="s">
        <v>12</v>
      </c>
      <c r="F92" s="6" t="s">
        <v>40</v>
      </c>
      <c r="G92" s="6" t="s">
        <v>35</v>
      </c>
      <c r="H92" s="5">
        <v>2</v>
      </c>
      <c r="I92" s="67" t="s">
        <v>272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f t="shared" si="4"/>
        <v>0</v>
      </c>
      <c r="AP92" s="67">
        <f t="shared" si="3"/>
        <v>0</v>
      </c>
    </row>
    <row r="93" spans="1:42" x14ac:dyDescent="0.3">
      <c r="A93" s="5">
        <v>92</v>
      </c>
      <c r="B93" s="6" t="s">
        <v>65</v>
      </c>
      <c r="C93" s="12" t="s">
        <v>442</v>
      </c>
      <c r="D93" s="6" t="s">
        <v>236</v>
      </c>
      <c r="E93" s="6" t="s">
        <v>12</v>
      </c>
      <c r="F93" s="6" t="s">
        <v>121</v>
      </c>
      <c r="G93" s="6" t="s">
        <v>35</v>
      </c>
      <c r="H93" s="5">
        <v>2</v>
      </c>
      <c r="I93" s="67" t="s">
        <v>160</v>
      </c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>
        <v>0</v>
      </c>
      <c r="Z93" s="46">
        <v>5.5449999999999999</v>
      </c>
      <c r="AA93" s="46">
        <v>7.3480000000000008</v>
      </c>
      <c r="AB93" s="46">
        <v>7.2690000000000001</v>
      </c>
      <c r="AC93" s="46">
        <v>3.67</v>
      </c>
      <c r="AD93" s="46">
        <v>8.2469999999999999</v>
      </c>
      <c r="AE93" s="46">
        <v>7.0720000000000001</v>
      </c>
      <c r="AF93" s="46">
        <v>10.069999999999999</v>
      </c>
      <c r="AG93" s="46">
        <v>10.407999999999999</v>
      </c>
      <c r="AH93" s="46">
        <v>11.718</v>
      </c>
      <c r="AI93" s="46">
        <v>15.358000000000001</v>
      </c>
      <c r="AJ93" s="46">
        <v>0</v>
      </c>
      <c r="AK93" s="46">
        <v>0</v>
      </c>
      <c r="AL93" s="46">
        <v>0</v>
      </c>
      <c r="AM93" s="46">
        <v>0</v>
      </c>
      <c r="AN93" s="46">
        <v>13.05</v>
      </c>
      <c r="AO93" s="46">
        <f t="shared" si="4"/>
        <v>6.2346875000000006</v>
      </c>
      <c r="AP93" s="67">
        <f t="shared" si="3"/>
        <v>3.1173437500000003</v>
      </c>
    </row>
    <row r="94" spans="1:42" x14ac:dyDescent="0.3">
      <c r="A94" s="5">
        <v>93</v>
      </c>
      <c r="B94" s="6" t="s">
        <v>65</v>
      </c>
      <c r="C94" s="12" t="s">
        <v>252</v>
      </c>
      <c r="D94" s="6" t="s">
        <v>236</v>
      </c>
      <c r="E94" s="6" t="s">
        <v>12</v>
      </c>
      <c r="F94" s="6" t="s">
        <v>121</v>
      </c>
      <c r="G94" s="6" t="s">
        <v>35</v>
      </c>
      <c r="H94" s="5">
        <v>3</v>
      </c>
      <c r="I94" s="67" t="s">
        <v>160</v>
      </c>
      <c r="J94" s="46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6">
        <v>2.2810000000000001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0</v>
      </c>
      <c r="AL94" s="46">
        <v>0</v>
      </c>
      <c r="AM94" s="46">
        <v>0</v>
      </c>
      <c r="AN94" s="46">
        <v>0</v>
      </c>
      <c r="AO94" s="46">
        <f t="shared" si="4"/>
        <v>7.3580645161290328E-2</v>
      </c>
      <c r="AP94" s="67">
        <f t="shared" si="3"/>
        <v>2.4526881720430108E-2</v>
      </c>
    </row>
    <row r="95" spans="1:42" x14ac:dyDescent="0.3">
      <c r="A95" s="5">
        <v>94</v>
      </c>
      <c r="B95" s="6" t="s">
        <v>65</v>
      </c>
      <c r="C95" s="12" t="s">
        <v>238</v>
      </c>
      <c r="D95" s="6" t="s">
        <v>236</v>
      </c>
      <c r="E95" s="6" t="s">
        <v>12</v>
      </c>
      <c r="F95" s="6" t="s">
        <v>121</v>
      </c>
      <c r="G95" s="6" t="s">
        <v>35</v>
      </c>
      <c r="H95" s="5">
        <v>3</v>
      </c>
      <c r="I95" s="67" t="s">
        <v>160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5">
        <v>0</v>
      </c>
      <c r="R95" s="45">
        <v>0</v>
      </c>
      <c r="S95" s="45">
        <v>0</v>
      </c>
      <c r="T95" s="45">
        <v>0</v>
      </c>
      <c r="U95" s="45">
        <v>0</v>
      </c>
      <c r="V95" s="45">
        <v>0</v>
      </c>
      <c r="W95" s="45">
        <v>0</v>
      </c>
      <c r="X95" s="45">
        <v>0</v>
      </c>
      <c r="Y95" s="45">
        <v>0</v>
      </c>
      <c r="Z95" s="45">
        <v>0</v>
      </c>
      <c r="AA95" s="45">
        <v>0</v>
      </c>
      <c r="AB95" s="45">
        <v>0</v>
      </c>
      <c r="AC95" s="45">
        <v>0</v>
      </c>
      <c r="AD95" s="45">
        <v>0</v>
      </c>
      <c r="AE95" s="45">
        <v>0</v>
      </c>
      <c r="AF95" s="45">
        <v>0</v>
      </c>
      <c r="AG95" s="45">
        <v>0</v>
      </c>
      <c r="AH95" s="45">
        <v>0</v>
      </c>
      <c r="AI95" s="45">
        <v>0</v>
      </c>
      <c r="AJ95" s="45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f t="shared" si="4"/>
        <v>0</v>
      </c>
      <c r="AP95" s="67">
        <f t="shared" si="3"/>
        <v>0</v>
      </c>
    </row>
    <row r="96" spans="1:42" x14ac:dyDescent="0.3">
      <c r="A96" s="5">
        <v>95</v>
      </c>
      <c r="B96" s="6" t="s">
        <v>65</v>
      </c>
      <c r="C96" s="12" t="s">
        <v>238</v>
      </c>
      <c r="D96" s="6" t="s">
        <v>236</v>
      </c>
      <c r="E96" s="6" t="s">
        <v>12</v>
      </c>
      <c r="F96" s="6" t="s">
        <v>95</v>
      </c>
      <c r="G96" s="6" t="s">
        <v>80</v>
      </c>
      <c r="H96" s="5">
        <v>1</v>
      </c>
      <c r="I96" s="67" t="s">
        <v>160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Q96" s="45">
        <v>0</v>
      </c>
      <c r="R96" s="45">
        <v>0</v>
      </c>
      <c r="S96" s="45">
        <v>0</v>
      </c>
      <c r="T96" s="45">
        <v>0</v>
      </c>
      <c r="U96" s="45">
        <v>0</v>
      </c>
      <c r="V96" s="45">
        <v>0</v>
      </c>
      <c r="W96" s="45">
        <v>0</v>
      </c>
      <c r="X96" s="45">
        <v>0</v>
      </c>
      <c r="Y96" s="45">
        <v>0</v>
      </c>
      <c r="Z96" s="45">
        <v>0</v>
      </c>
      <c r="AA96" s="45">
        <v>0</v>
      </c>
      <c r="AB96" s="45">
        <v>0</v>
      </c>
      <c r="AC96" s="45">
        <v>0</v>
      </c>
      <c r="AD96" s="45">
        <v>0</v>
      </c>
      <c r="AE96" s="45">
        <v>0</v>
      </c>
      <c r="AF96" s="45">
        <v>0</v>
      </c>
      <c r="AG96" s="45">
        <v>0</v>
      </c>
      <c r="AH96" s="45">
        <v>0</v>
      </c>
      <c r="AI96" s="45">
        <v>0</v>
      </c>
      <c r="AJ96" s="45">
        <v>0</v>
      </c>
      <c r="AK96" s="46">
        <v>0</v>
      </c>
      <c r="AL96" s="46">
        <v>0</v>
      </c>
      <c r="AM96" s="46">
        <v>0</v>
      </c>
      <c r="AN96" s="46">
        <v>0</v>
      </c>
      <c r="AO96" s="46">
        <f t="shared" si="4"/>
        <v>0</v>
      </c>
      <c r="AP96" s="67">
        <f t="shared" si="3"/>
        <v>0</v>
      </c>
    </row>
    <row r="97" spans="1:42" x14ac:dyDescent="0.3">
      <c r="A97" s="5">
        <v>96</v>
      </c>
      <c r="B97" s="6" t="s">
        <v>65</v>
      </c>
      <c r="C97" s="12" t="s">
        <v>235</v>
      </c>
      <c r="D97" s="6" t="s">
        <v>236</v>
      </c>
      <c r="E97" s="6" t="s">
        <v>12</v>
      </c>
      <c r="F97" s="6" t="s">
        <v>121</v>
      </c>
      <c r="G97" s="6" t="s">
        <v>35</v>
      </c>
      <c r="H97" s="5">
        <v>3</v>
      </c>
      <c r="I97" s="67" t="s">
        <v>160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6.4580000000000002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0</v>
      </c>
      <c r="AL97" s="46">
        <v>0</v>
      </c>
      <c r="AM97" s="46">
        <v>0</v>
      </c>
      <c r="AN97" s="46">
        <v>0</v>
      </c>
      <c r="AO97" s="46">
        <f t="shared" si="4"/>
        <v>0.20832258064516129</v>
      </c>
      <c r="AP97" s="67">
        <f t="shared" si="3"/>
        <v>6.944086021505376E-2</v>
      </c>
    </row>
    <row r="98" spans="1:42" x14ac:dyDescent="0.3">
      <c r="A98" s="5">
        <v>97</v>
      </c>
      <c r="B98" s="6" t="s">
        <v>65</v>
      </c>
      <c r="C98" s="12" t="s">
        <v>237</v>
      </c>
      <c r="D98" s="6" t="s">
        <v>236</v>
      </c>
      <c r="E98" s="6" t="s">
        <v>12</v>
      </c>
      <c r="F98" s="6" t="s">
        <v>121</v>
      </c>
      <c r="G98" s="6" t="s">
        <v>35</v>
      </c>
      <c r="H98" s="5">
        <v>3</v>
      </c>
      <c r="I98" s="67" t="s">
        <v>160</v>
      </c>
      <c r="J98" s="46">
        <v>3.0750000000000002</v>
      </c>
      <c r="K98" s="46">
        <v>6.08</v>
      </c>
      <c r="L98" s="46">
        <v>8.2330000000000005</v>
      </c>
      <c r="M98" s="46">
        <v>9.5079999999999991</v>
      </c>
      <c r="N98" s="46">
        <v>3.1669999999999998</v>
      </c>
      <c r="O98" s="46">
        <v>8.9600000000000009</v>
      </c>
      <c r="P98" s="46">
        <v>7.149</v>
      </c>
      <c r="Q98" s="46">
        <v>9.0259999999999998</v>
      </c>
      <c r="R98" s="46">
        <v>10.583</v>
      </c>
      <c r="S98" s="46">
        <v>11.204999999999998</v>
      </c>
      <c r="T98" s="46">
        <v>11.186999999999999</v>
      </c>
      <c r="U98" s="46">
        <v>2.7119999999999997</v>
      </c>
      <c r="V98" s="46">
        <v>3.4210000000000003</v>
      </c>
      <c r="W98" s="46">
        <v>1.89</v>
      </c>
      <c r="X98" s="46">
        <v>5.7960000000000003</v>
      </c>
      <c r="Y98" s="46">
        <v>0</v>
      </c>
      <c r="Z98" s="46">
        <v>6.4530000000000003</v>
      </c>
      <c r="AA98" s="46">
        <v>10.984999999999999</v>
      </c>
      <c r="AB98" s="46">
        <v>0</v>
      </c>
      <c r="AC98" s="46">
        <v>1.4330000000000001</v>
      </c>
      <c r="AD98" s="46">
        <v>12.952999999999999</v>
      </c>
      <c r="AE98" s="46">
        <v>7.593</v>
      </c>
      <c r="AF98" s="46">
        <v>9.52</v>
      </c>
      <c r="AG98" s="46">
        <v>0</v>
      </c>
      <c r="AH98" s="46">
        <v>7.4160000000000004</v>
      </c>
      <c r="AI98" s="46">
        <v>6.98</v>
      </c>
      <c r="AJ98" s="46">
        <v>3.2759999999999998</v>
      </c>
      <c r="AK98" s="46">
        <v>11.052</v>
      </c>
      <c r="AL98" s="46">
        <v>9.9530000000000012</v>
      </c>
      <c r="AM98" s="46">
        <v>11.715</v>
      </c>
      <c r="AN98" s="46">
        <v>10.305</v>
      </c>
      <c r="AO98" s="46">
        <f t="shared" si="4"/>
        <v>6.8266451612903234</v>
      </c>
      <c r="AP98" s="67">
        <f t="shared" ref="AP98:AP114" si="5">AO98/H98</f>
        <v>2.2755483870967743</v>
      </c>
    </row>
    <row r="99" spans="1:42" x14ac:dyDescent="0.3">
      <c r="A99" s="5">
        <v>98</v>
      </c>
      <c r="B99" s="6" t="s">
        <v>65</v>
      </c>
      <c r="C99" s="12" t="s">
        <v>245</v>
      </c>
      <c r="D99" s="6" t="s">
        <v>236</v>
      </c>
      <c r="E99" s="6" t="s">
        <v>12</v>
      </c>
      <c r="F99" s="6" t="s">
        <v>121</v>
      </c>
      <c r="G99" s="6" t="s">
        <v>35</v>
      </c>
      <c r="H99" s="5">
        <v>3</v>
      </c>
      <c r="I99" s="67" t="s">
        <v>160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f t="shared" si="4"/>
        <v>0</v>
      </c>
      <c r="AP99" s="67">
        <f t="shared" si="5"/>
        <v>0</v>
      </c>
    </row>
    <row r="100" spans="1:42" x14ac:dyDescent="0.3">
      <c r="A100" s="5">
        <v>99</v>
      </c>
      <c r="B100" s="6" t="s">
        <v>65</v>
      </c>
      <c r="C100" s="12" t="s">
        <v>253</v>
      </c>
      <c r="D100" s="6" t="s">
        <v>236</v>
      </c>
      <c r="E100" s="6" t="s">
        <v>12</v>
      </c>
      <c r="F100" s="6" t="s">
        <v>121</v>
      </c>
      <c r="G100" s="6" t="s">
        <v>35</v>
      </c>
      <c r="H100" s="5">
        <v>3</v>
      </c>
      <c r="I100" s="67" t="s">
        <v>160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0</v>
      </c>
      <c r="AN100" s="46">
        <v>0</v>
      </c>
      <c r="AO100" s="46">
        <f t="shared" si="4"/>
        <v>0</v>
      </c>
      <c r="AP100" s="67">
        <f t="shared" si="5"/>
        <v>0</v>
      </c>
    </row>
    <row r="101" spans="1:42" x14ac:dyDescent="0.3">
      <c r="A101" s="5">
        <v>100</v>
      </c>
      <c r="B101" s="6" t="s">
        <v>65</v>
      </c>
      <c r="C101" s="12" t="s">
        <v>261</v>
      </c>
      <c r="D101" s="6" t="s">
        <v>236</v>
      </c>
      <c r="E101" s="6" t="s">
        <v>12</v>
      </c>
      <c r="F101" s="6" t="s">
        <v>121</v>
      </c>
      <c r="G101" s="6" t="s">
        <v>35</v>
      </c>
      <c r="H101" s="5">
        <v>16</v>
      </c>
      <c r="I101" s="67" t="s">
        <v>160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v>0</v>
      </c>
      <c r="AO101" s="46">
        <f t="shared" si="4"/>
        <v>0</v>
      </c>
      <c r="AP101" s="67">
        <f t="shared" si="5"/>
        <v>0</v>
      </c>
    </row>
    <row r="102" spans="1:42" ht="15.6" x14ac:dyDescent="0.3">
      <c r="A102" s="5">
        <v>101</v>
      </c>
      <c r="B102" s="6" t="s">
        <v>65</v>
      </c>
      <c r="C102" s="12" t="s">
        <v>298</v>
      </c>
      <c r="D102" s="6" t="s">
        <v>30</v>
      </c>
      <c r="E102" s="6" t="s">
        <v>12</v>
      </c>
      <c r="F102" s="6" t="s">
        <v>121</v>
      </c>
      <c r="G102" s="6" t="s">
        <v>35</v>
      </c>
      <c r="H102" s="5">
        <v>4</v>
      </c>
      <c r="I102" s="74" t="s">
        <v>273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0</v>
      </c>
      <c r="AN102" s="46">
        <v>0</v>
      </c>
      <c r="AO102" s="46">
        <f t="shared" si="4"/>
        <v>0</v>
      </c>
      <c r="AP102" s="67">
        <f t="shared" si="5"/>
        <v>0</v>
      </c>
    </row>
    <row r="103" spans="1:42" ht="15.6" x14ac:dyDescent="0.3">
      <c r="A103" s="5">
        <v>102</v>
      </c>
      <c r="B103" s="6" t="s">
        <v>65</v>
      </c>
      <c r="C103" s="12" t="s">
        <v>405</v>
      </c>
      <c r="D103" s="6" t="s">
        <v>128</v>
      </c>
      <c r="E103" s="6" t="s">
        <v>12</v>
      </c>
      <c r="F103" s="6" t="s">
        <v>121</v>
      </c>
      <c r="G103" s="6" t="s">
        <v>35</v>
      </c>
      <c r="H103" s="5">
        <v>4</v>
      </c>
      <c r="I103" s="74" t="s">
        <v>273</v>
      </c>
      <c r="J103" s="46">
        <v>5.8109999999999999</v>
      </c>
      <c r="K103" s="46">
        <v>7.6639999999999997</v>
      </c>
      <c r="L103" s="46">
        <v>12.134</v>
      </c>
      <c r="M103" s="46">
        <v>19.151</v>
      </c>
      <c r="N103" s="46">
        <v>23.501999999999999</v>
      </c>
      <c r="O103" s="46">
        <v>37.327999999999996</v>
      </c>
      <c r="P103" s="46">
        <v>23.042999999999999</v>
      </c>
      <c r="Q103" s="46">
        <v>22.272000000000002</v>
      </c>
      <c r="R103" s="46">
        <v>8.3290000000000006</v>
      </c>
      <c r="S103" s="46">
        <v>7.1369999999999996</v>
      </c>
      <c r="T103" s="46">
        <v>37.451999999999998</v>
      </c>
      <c r="U103" s="46">
        <v>8.3049999999999997</v>
      </c>
      <c r="V103" s="46">
        <v>9.9480000000000004</v>
      </c>
      <c r="W103" s="46">
        <v>0.70799999999999996</v>
      </c>
      <c r="X103" s="46">
        <v>20.88</v>
      </c>
      <c r="Y103" s="46">
        <v>10.105</v>
      </c>
      <c r="Z103" s="46">
        <v>20.826000000000001</v>
      </c>
      <c r="AA103" s="46">
        <v>25.779</v>
      </c>
      <c r="AB103" s="46">
        <v>11.706</v>
      </c>
      <c r="AC103" s="46">
        <v>8.3239999999999998</v>
      </c>
      <c r="AD103" s="46">
        <v>29.085000000000001</v>
      </c>
      <c r="AE103" s="46">
        <v>45.162999999999997</v>
      </c>
      <c r="AF103" s="46">
        <v>56.882999999999996</v>
      </c>
      <c r="AG103" s="46">
        <v>54.181000000000004</v>
      </c>
      <c r="AH103" s="46">
        <v>24.122</v>
      </c>
      <c r="AI103" s="46">
        <v>19.459999999999997</v>
      </c>
      <c r="AJ103" s="46">
        <v>30.488999999999997</v>
      </c>
      <c r="AK103" s="46">
        <v>26.655000000000001</v>
      </c>
      <c r="AL103" s="46">
        <v>49.770999999999994</v>
      </c>
      <c r="AM103" s="46">
        <v>44.391999999999996</v>
      </c>
      <c r="AN103" s="46">
        <v>37.048999999999999</v>
      </c>
      <c r="AO103" s="46">
        <f t="shared" si="4"/>
        <v>23.795290322580644</v>
      </c>
      <c r="AP103" s="67">
        <f t="shared" si="5"/>
        <v>5.9488225806451611</v>
      </c>
    </row>
    <row r="104" spans="1:42" x14ac:dyDescent="0.3">
      <c r="A104" s="5">
        <v>103</v>
      </c>
      <c r="B104" s="6" t="s">
        <v>65</v>
      </c>
      <c r="C104" s="12" t="s">
        <v>406</v>
      </c>
      <c r="D104" s="6" t="s">
        <v>407</v>
      </c>
      <c r="E104" s="6" t="s">
        <v>19</v>
      </c>
      <c r="F104" s="6" t="s">
        <v>121</v>
      </c>
      <c r="G104" s="6" t="s">
        <v>35</v>
      </c>
      <c r="H104" s="5">
        <v>2</v>
      </c>
      <c r="I104" s="67" t="s">
        <v>160</v>
      </c>
      <c r="J104" s="46">
        <v>19.859000000000002</v>
      </c>
      <c r="K104" s="46">
        <v>8.9649999999999999</v>
      </c>
      <c r="L104" s="46">
        <v>0</v>
      </c>
      <c r="M104" s="46">
        <v>0</v>
      </c>
      <c r="N104" s="46">
        <v>14.769</v>
      </c>
      <c r="O104" s="46">
        <v>0</v>
      </c>
      <c r="P104" s="46">
        <v>3.266</v>
      </c>
      <c r="Q104" s="46">
        <v>15.188000000000001</v>
      </c>
      <c r="R104" s="46">
        <v>2.7930000000000001</v>
      </c>
      <c r="S104" s="46">
        <v>19.454999999999998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v>0</v>
      </c>
      <c r="AO104" s="46">
        <f t="shared" si="4"/>
        <v>2.7191935483870968</v>
      </c>
      <c r="AP104" s="67">
        <f t="shared" si="5"/>
        <v>1.3595967741935484</v>
      </c>
    </row>
    <row r="105" spans="1:42" x14ac:dyDescent="0.3">
      <c r="A105" s="5">
        <v>104</v>
      </c>
      <c r="B105" s="6" t="s">
        <v>65</v>
      </c>
      <c r="C105" s="12" t="s">
        <v>431</v>
      </c>
      <c r="D105" s="6" t="s">
        <v>432</v>
      </c>
      <c r="E105" s="6" t="s">
        <v>19</v>
      </c>
      <c r="F105" s="6" t="s">
        <v>121</v>
      </c>
      <c r="G105" s="6" t="s">
        <v>35</v>
      </c>
      <c r="H105" s="5">
        <v>2</v>
      </c>
      <c r="I105" s="67" t="s">
        <v>160</v>
      </c>
      <c r="J105" s="46"/>
      <c r="K105" s="46"/>
      <c r="L105" s="46">
        <v>0</v>
      </c>
      <c r="M105" s="46">
        <v>0</v>
      </c>
      <c r="N105" s="46">
        <v>10.528</v>
      </c>
      <c r="O105" s="46">
        <v>6.6609999999999996</v>
      </c>
      <c r="P105" s="46">
        <v>2.5139999999999998</v>
      </c>
      <c r="Q105" s="46">
        <v>0</v>
      </c>
      <c r="R105" s="46">
        <v>16.521999999999998</v>
      </c>
      <c r="S105" s="46">
        <v>0</v>
      </c>
      <c r="T105" s="46">
        <v>0</v>
      </c>
      <c r="U105" s="46">
        <v>15.512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22.594999999999999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28.760999999999999</v>
      </c>
      <c r="AL105" s="46">
        <v>0</v>
      </c>
      <c r="AM105" s="46">
        <v>0</v>
      </c>
      <c r="AN105" s="46">
        <v>0</v>
      </c>
      <c r="AO105" s="46">
        <f t="shared" si="4"/>
        <v>3.5549310344827583</v>
      </c>
      <c r="AP105" s="67">
        <f t="shared" si="5"/>
        <v>1.7774655172413791</v>
      </c>
    </row>
    <row r="106" spans="1:42" x14ac:dyDescent="0.3">
      <c r="A106" s="5">
        <v>105</v>
      </c>
      <c r="B106" s="6" t="s">
        <v>65</v>
      </c>
      <c r="C106" s="12" t="s">
        <v>435</v>
      </c>
      <c r="D106" s="6" t="s">
        <v>407</v>
      </c>
      <c r="E106" s="6" t="s">
        <v>19</v>
      </c>
      <c r="F106" s="6" t="s">
        <v>121</v>
      </c>
      <c r="G106" s="6" t="s">
        <v>35</v>
      </c>
      <c r="H106" s="5">
        <v>1</v>
      </c>
      <c r="I106" s="67" t="s">
        <v>160</v>
      </c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>
        <v>6.3880000000000008</v>
      </c>
      <c r="X106" s="46">
        <v>0</v>
      </c>
      <c r="Y106" s="46">
        <v>2.37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v>0</v>
      </c>
      <c r="AN106" s="46">
        <v>0</v>
      </c>
      <c r="AO106" s="46">
        <f t="shared" si="4"/>
        <v>0.48655555555555563</v>
      </c>
      <c r="AP106" s="67">
        <f t="shared" si="5"/>
        <v>0.48655555555555563</v>
      </c>
    </row>
    <row r="107" spans="1:42" x14ac:dyDescent="0.3">
      <c r="A107" s="5">
        <v>106</v>
      </c>
      <c r="B107" s="6" t="s">
        <v>65</v>
      </c>
      <c r="C107" s="12" t="s">
        <v>458</v>
      </c>
      <c r="D107" s="6" t="s">
        <v>432</v>
      </c>
      <c r="E107" s="6" t="s">
        <v>19</v>
      </c>
      <c r="F107" s="6" t="s">
        <v>121</v>
      </c>
      <c r="G107" s="6" t="s">
        <v>35</v>
      </c>
      <c r="H107" s="5">
        <v>2</v>
      </c>
      <c r="I107" s="67" t="s">
        <v>160</v>
      </c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>
        <v>0</v>
      </c>
      <c r="AM107" s="46">
        <v>0</v>
      </c>
      <c r="AN107" s="46">
        <v>0</v>
      </c>
      <c r="AO107" s="46">
        <f t="shared" si="4"/>
        <v>0</v>
      </c>
      <c r="AP107" s="67">
        <f t="shared" si="5"/>
        <v>0</v>
      </c>
    </row>
    <row r="108" spans="1:42" x14ac:dyDescent="0.3">
      <c r="A108" s="5">
        <v>107</v>
      </c>
      <c r="B108" s="6" t="s">
        <v>65</v>
      </c>
      <c r="C108" s="39" t="s">
        <v>115</v>
      </c>
      <c r="D108" s="6" t="s">
        <v>113</v>
      </c>
      <c r="E108" s="6" t="s">
        <v>19</v>
      </c>
      <c r="F108" s="6" t="s">
        <v>116</v>
      </c>
      <c r="G108" s="6" t="s">
        <v>80</v>
      </c>
      <c r="H108" s="5">
        <v>1</v>
      </c>
      <c r="I108" s="67" t="s">
        <v>160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5">
        <v>0</v>
      </c>
      <c r="R108" s="45">
        <v>0</v>
      </c>
      <c r="S108" s="51">
        <v>0</v>
      </c>
      <c r="T108" s="51">
        <v>0</v>
      </c>
      <c r="U108" s="51">
        <v>0</v>
      </c>
      <c r="V108" s="51">
        <v>0</v>
      </c>
      <c r="W108" s="51">
        <v>0</v>
      </c>
      <c r="X108" s="51">
        <v>0</v>
      </c>
      <c r="Y108" s="51">
        <v>0</v>
      </c>
      <c r="Z108" s="51">
        <v>0</v>
      </c>
      <c r="AA108" s="51">
        <v>0</v>
      </c>
      <c r="AB108" s="51">
        <v>0</v>
      </c>
      <c r="AC108" s="51">
        <v>0</v>
      </c>
      <c r="AD108" s="51">
        <v>0</v>
      </c>
      <c r="AE108" s="51">
        <v>0</v>
      </c>
      <c r="AF108" s="51">
        <v>0</v>
      </c>
      <c r="AG108" s="51">
        <v>0</v>
      </c>
      <c r="AH108" s="51">
        <v>0</v>
      </c>
      <c r="AI108" s="51">
        <v>0</v>
      </c>
      <c r="AJ108" s="51">
        <v>0</v>
      </c>
      <c r="AK108" s="51">
        <v>0</v>
      </c>
      <c r="AL108" s="51">
        <v>0</v>
      </c>
      <c r="AM108" s="51">
        <v>0</v>
      </c>
      <c r="AN108" s="51">
        <v>0</v>
      </c>
      <c r="AO108" s="46">
        <f t="shared" si="4"/>
        <v>0</v>
      </c>
      <c r="AP108" s="67">
        <f t="shared" si="5"/>
        <v>0</v>
      </c>
    </row>
    <row r="109" spans="1:42" x14ac:dyDescent="0.3">
      <c r="A109" s="5">
        <v>108</v>
      </c>
      <c r="B109" s="6" t="s">
        <v>65</v>
      </c>
      <c r="C109" s="39" t="s">
        <v>117</v>
      </c>
      <c r="D109" s="6" t="s">
        <v>113</v>
      </c>
      <c r="E109" s="6" t="s">
        <v>19</v>
      </c>
      <c r="F109" s="6" t="s">
        <v>116</v>
      </c>
      <c r="G109" s="6" t="s">
        <v>80</v>
      </c>
      <c r="H109" s="5">
        <v>1</v>
      </c>
      <c r="I109" s="67" t="s">
        <v>160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46">
        <v>0</v>
      </c>
      <c r="Q109" s="45">
        <v>0</v>
      </c>
      <c r="R109" s="45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  <c r="AC109" s="51">
        <v>0</v>
      </c>
      <c r="AD109" s="51">
        <v>0</v>
      </c>
      <c r="AE109" s="51">
        <v>0</v>
      </c>
      <c r="AF109" s="51">
        <v>0</v>
      </c>
      <c r="AG109" s="51">
        <v>0</v>
      </c>
      <c r="AH109" s="51">
        <v>0</v>
      </c>
      <c r="AI109" s="51">
        <v>0</v>
      </c>
      <c r="AJ109" s="51">
        <v>0</v>
      </c>
      <c r="AK109" s="51">
        <v>0</v>
      </c>
      <c r="AL109" s="51">
        <v>0</v>
      </c>
      <c r="AM109" s="51">
        <v>0</v>
      </c>
      <c r="AN109" s="51">
        <v>0</v>
      </c>
      <c r="AO109" s="46">
        <f t="shared" si="4"/>
        <v>0</v>
      </c>
      <c r="AP109" s="67">
        <f t="shared" si="5"/>
        <v>0</v>
      </c>
    </row>
    <row r="110" spans="1:42" x14ac:dyDescent="0.3">
      <c r="A110" s="5">
        <v>109</v>
      </c>
      <c r="B110" s="6" t="s">
        <v>65</v>
      </c>
      <c r="C110" s="6" t="s">
        <v>66</v>
      </c>
      <c r="D110" s="6" t="s">
        <v>67</v>
      </c>
      <c r="E110" s="6" t="s">
        <v>12</v>
      </c>
      <c r="F110" s="6" t="s">
        <v>13</v>
      </c>
      <c r="G110" s="6" t="s">
        <v>14</v>
      </c>
      <c r="H110" s="5">
        <v>87</v>
      </c>
      <c r="I110" s="67" t="s">
        <v>160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46">
        <f t="shared" si="4"/>
        <v>0</v>
      </c>
      <c r="AP110" s="67">
        <f t="shared" si="5"/>
        <v>0</v>
      </c>
    </row>
    <row r="111" spans="1:42" x14ac:dyDescent="0.3">
      <c r="A111" s="5">
        <v>110</v>
      </c>
      <c r="B111" s="6" t="s">
        <v>65</v>
      </c>
      <c r="C111" s="6" t="s">
        <v>70</v>
      </c>
      <c r="D111" s="6"/>
      <c r="E111" s="6" t="s">
        <v>12</v>
      </c>
      <c r="F111" s="6" t="s">
        <v>13</v>
      </c>
      <c r="G111" s="6" t="s">
        <v>14</v>
      </c>
      <c r="H111" s="5">
        <v>82</v>
      </c>
      <c r="I111" s="67" t="s">
        <v>160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46">
        <f t="shared" si="4"/>
        <v>0</v>
      </c>
      <c r="AP111" s="67">
        <f t="shared" si="5"/>
        <v>0</v>
      </c>
    </row>
    <row r="112" spans="1:42" x14ac:dyDescent="0.3">
      <c r="A112" s="5">
        <v>111</v>
      </c>
      <c r="B112" s="6" t="s">
        <v>65</v>
      </c>
      <c r="C112" s="6" t="s">
        <v>74</v>
      </c>
      <c r="D112" s="6" t="s">
        <v>30</v>
      </c>
      <c r="E112" s="6" t="s">
        <v>19</v>
      </c>
      <c r="F112" s="6" t="s">
        <v>13</v>
      </c>
      <c r="G112" s="6" t="s">
        <v>14</v>
      </c>
      <c r="H112" s="5">
        <v>2</v>
      </c>
      <c r="I112" s="67" t="s">
        <v>160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46">
        <f t="shared" si="4"/>
        <v>0</v>
      </c>
      <c r="AP112" s="67">
        <f t="shared" si="5"/>
        <v>0</v>
      </c>
    </row>
    <row r="113" spans="1:42" x14ac:dyDescent="0.3">
      <c r="A113" s="5">
        <v>112</v>
      </c>
      <c r="B113" s="6" t="s">
        <v>65</v>
      </c>
      <c r="C113" s="39" t="s">
        <v>122</v>
      </c>
      <c r="D113" s="6" t="s">
        <v>30</v>
      </c>
      <c r="E113" s="6" t="s">
        <v>19</v>
      </c>
      <c r="F113" s="6" t="s">
        <v>13</v>
      </c>
      <c r="G113" s="6" t="s">
        <v>14</v>
      </c>
      <c r="H113" s="5">
        <v>3</v>
      </c>
      <c r="I113" s="67" t="s">
        <v>160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46">
        <f t="shared" si="4"/>
        <v>0</v>
      </c>
      <c r="AP113" s="67">
        <f t="shared" si="5"/>
        <v>0</v>
      </c>
    </row>
    <row r="114" spans="1:42" x14ac:dyDescent="0.3">
      <c r="A114" s="5">
        <v>113</v>
      </c>
      <c r="B114" s="6" t="s">
        <v>65</v>
      </c>
      <c r="C114" s="39" t="s">
        <v>143</v>
      </c>
      <c r="D114" s="6" t="s">
        <v>128</v>
      </c>
      <c r="E114" s="6" t="s">
        <v>12</v>
      </c>
      <c r="F114" s="6" t="s">
        <v>121</v>
      </c>
      <c r="G114" s="6" t="s">
        <v>14</v>
      </c>
      <c r="H114" s="5">
        <v>2</v>
      </c>
      <c r="I114" s="67" t="s">
        <v>272</v>
      </c>
      <c r="J114" s="46">
        <v>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0</v>
      </c>
      <c r="AM114" s="60">
        <v>0</v>
      </c>
      <c r="AN114" s="60">
        <v>0</v>
      </c>
      <c r="AO114" s="46">
        <f t="shared" si="4"/>
        <v>0</v>
      </c>
      <c r="AP114" s="67">
        <f t="shared" si="5"/>
        <v>0</v>
      </c>
    </row>
    <row r="115" spans="1:42" x14ac:dyDescent="0.3">
      <c r="A115" s="5"/>
      <c r="B115" s="6"/>
      <c r="C115" s="39"/>
      <c r="D115" s="6"/>
      <c r="E115" s="6"/>
      <c r="F115" s="6"/>
      <c r="G115" s="6"/>
      <c r="H115" s="5"/>
      <c r="I115" s="67"/>
      <c r="J115" s="45"/>
      <c r="K115" s="45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67"/>
    </row>
    <row r="116" spans="1:42" x14ac:dyDescent="0.3">
      <c r="A116" s="5"/>
      <c r="B116" s="6"/>
      <c r="C116" s="14"/>
      <c r="D116" s="14"/>
      <c r="E116" s="13"/>
      <c r="F116" s="13"/>
      <c r="G116" s="13" t="s">
        <v>79</v>
      </c>
      <c r="H116" s="52">
        <f>SUM(H2:H114)</f>
        <v>728</v>
      </c>
      <c r="I116" s="52"/>
      <c r="J116" s="44">
        <f>SUM(J2:J114)</f>
        <v>4880.9939999999997</v>
      </c>
      <c r="K116" s="44">
        <f t="shared" ref="K116:AN116" si="6">SUM(K2:K114)</f>
        <v>5005.1219999999985</v>
      </c>
      <c r="L116" s="44">
        <f t="shared" si="6"/>
        <v>4765.2960000000003</v>
      </c>
      <c r="M116" s="44">
        <f t="shared" si="6"/>
        <v>5296.9269999999988</v>
      </c>
      <c r="N116" s="44">
        <f t="shared" si="6"/>
        <v>5399.6620000000021</v>
      </c>
      <c r="O116" s="44">
        <f t="shared" si="6"/>
        <v>5547.8600000000024</v>
      </c>
      <c r="P116" s="44">
        <f t="shared" si="6"/>
        <v>5545.8149999999987</v>
      </c>
      <c r="Q116" s="44">
        <f t="shared" si="6"/>
        <v>5620.5479999999989</v>
      </c>
      <c r="R116" s="44">
        <f t="shared" si="6"/>
        <v>5473.3489999999983</v>
      </c>
      <c r="S116" s="44">
        <f t="shared" si="6"/>
        <v>5395.4930000000004</v>
      </c>
      <c r="T116" s="44">
        <f t="shared" si="6"/>
        <v>5404.3050000000003</v>
      </c>
      <c r="U116" s="44">
        <f t="shared" si="6"/>
        <v>4694.2230000000018</v>
      </c>
      <c r="V116" s="44">
        <f t="shared" si="6"/>
        <v>5291.2040000000006</v>
      </c>
      <c r="W116" s="44">
        <f t="shared" si="6"/>
        <v>5662.683</v>
      </c>
      <c r="X116" s="44">
        <f t="shared" si="6"/>
        <v>5348.3469999999998</v>
      </c>
      <c r="Y116" s="44">
        <f t="shared" si="6"/>
        <v>5781.8009999999986</v>
      </c>
      <c r="Z116" s="44">
        <f t="shared" si="6"/>
        <v>5348.3489999999983</v>
      </c>
      <c r="AA116" s="44">
        <f t="shared" si="6"/>
        <v>5649.4319999999989</v>
      </c>
      <c r="AB116" s="44">
        <f t="shared" si="6"/>
        <v>5471.4710000000032</v>
      </c>
      <c r="AC116" s="44">
        <f t="shared" si="6"/>
        <v>4839.7099999999991</v>
      </c>
      <c r="AD116" s="44">
        <f t="shared" si="6"/>
        <v>4684.0340000000015</v>
      </c>
      <c r="AE116" s="44">
        <f t="shared" si="6"/>
        <v>5097.1060000000007</v>
      </c>
      <c r="AF116" s="44">
        <f t="shared" si="6"/>
        <v>4838.4819999999991</v>
      </c>
      <c r="AG116" s="44">
        <f t="shared" si="6"/>
        <v>4786.2830000000013</v>
      </c>
      <c r="AH116" s="44">
        <f t="shared" si="6"/>
        <v>5506.0069999999996</v>
      </c>
      <c r="AI116" s="44">
        <f t="shared" si="6"/>
        <v>5535.6370000000006</v>
      </c>
      <c r="AJ116" s="44">
        <f t="shared" si="6"/>
        <v>5416.0800000000017</v>
      </c>
      <c r="AK116" s="44">
        <f t="shared" si="6"/>
        <v>5514.9929999999995</v>
      </c>
      <c r="AL116" s="44">
        <f t="shared" si="6"/>
        <v>5561.314000000003</v>
      </c>
      <c r="AM116" s="44">
        <f t="shared" si="6"/>
        <v>5315.9970000000003</v>
      </c>
      <c r="AN116" s="44">
        <f t="shared" si="6"/>
        <v>5069.293999999999</v>
      </c>
      <c r="AO116" s="46">
        <f>AVERAGE(J116:AN116)</f>
        <v>5282.1876774193543</v>
      </c>
      <c r="AP116" s="67">
        <f>AO116/H116</f>
        <v>7.2557523041474647</v>
      </c>
    </row>
    <row r="117" spans="1:42" x14ac:dyDescent="0.3">
      <c r="I117" s="28"/>
      <c r="J117" s="27"/>
      <c r="K117" s="28"/>
      <c r="L117"/>
      <c r="AL117" s="50"/>
      <c r="AM117" s="50"/>
      <c r="AN117" s="50"/>
    </row>
    <row r="118" spans="1:42" x14ac:dyDescent="0.3">
      <c r="AO118" s="50"/>
    </row>
  </sheetData>
  <autoFilter ref="A1:I114" xr:uid="{00000000-0009-0000-0000-000027000000}"/>
  <pageMargins left="0.7" right="0.7" top="0.75" bottom="0.75" header="0.3" footer="0.3"/>
  <pageSetup scale="1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N34"/>
  <sheetViews>
    <sheetView topLeftCell="A28" workbookViewId="0">
      <selection activeCell="F29" sqref="F29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9.44140625" bestFit="1" customWidth="1"/>
    <col min="4" max="4" width="9" customWidth="1"/>
    <col min="5" max="5" width="9.77734375" bestFit="1" customWidth="1"/>
    <col min="6" max="6" width="7" bestFit="1" customWidth="1"/>
    <col min="7" max="7" width="10.21875" bestFit="1" customWidth="1"/>
    <col min="8" max="8" width="8.6640625" bestFit="1" customWidth="1"/>
    <col min="9" max="9" width="7.21875" bestFit="1" customWidth="1"/>
    <col min="10" max="10" width="6" bestFit="1" customWidth="1"/>
    <col min="11" max="11" width="12.44140625" bestFit="1" customWidth="1"/>
    <col min="12" max="12" width="10.77734375" bestFit="1" customWidth="1"/>
    <col min="13" max="13" width="14.21875" bestFit="1" customWidth="1"/>
    <col min="14" max="14" width="10.77734375" bestFit="1" customWidth="1"/>
    <col min="15" max="24" width="17.33203125" bestFit="1" customWidth="1"/>
    <col min="25" max="26" width="17.33203125" customWidth="1"/>
    <col min="27" max="36" width="17.33203125" bestFit="1" customWidth="1"/>
    <col min="37" max="39" width="17.33203125" customWidth="1"/>
    <col min="40" max="48" width="17.33203125" bestFit="1" customWidth="1"/>
    <col min="49" max="52" width="22.33203125" bestFit="1" customWidth="1"/>
  </cols>
  <sheetData>
    <row r="2" spans="1:14" x14ac:dyDescent="0.3">
      <c r="B2" s="29" t="s">
        <v>144</v>
      </c>
    </row>
    <row r="3" spans="1:14" x14ac:dyDescent="0.3">
      <c r="A3" s="29" t="s">
        <v>131</v>
      </c>
      <c r="B3" t="s">
        <v>175</v>
      </c>
      <c r="C3" t="s">
        <v>58</v>
      </c>
      <c r="D3" t="s">
        <v>65</v>
      </c>
      <c r="E3" t="s">
        <v>222</v>
      </c>
      <c r="F3" t="s">
        <v>134</v>
      </c>
      <c r="G3" t="s">
        <v>9</v>
      </c>
      <c r="H3" t="s">
        <v>55</v>
      </c>
      <c r="I3" t="s">
        <v>119</v>
      </c>
      <c r="J3" t="s">
        <v>221</v>
      </c>
      <c r="K3" t="s">
        <v>246</v>
      </c>
      <c r="L3" t="s">
        <v>49</v>
      </c>
      <c r="M3" t="s">
        <v>52</v>
      </c>
      <c r="N3" t="s">
        <v>83</v>
      </c>
    </row>
    <row r="4" spans="1:14" x14ac:dyDescent="0.3">
      <c r="A4" s="26" t="s">
        <v>418</v>
      </c>
      <c r="B4" s="136">
        <v>56.575999999999993</v>
      </c>
      <c r="C4" s="136">
        <v>737.04700000000003</v>
      </c>
      <c r="D4" s="136">
        <v>782.30100000000004</v>
      </c>
      <c r="E4" s="136">
        <v>0</v>
      </c>
      <c r="F4" s="136">
        <v>35.177</v>
      </c>
      <c r="G4" s="136">
        <v>2796.2459999999996</v>
      </c>
      <c r="H4" s="136">
        <v>169.96299999999997</v>
      </c>
      <c r="I4" s="136">
        <v>23.722000000000001</v>
      </c>
      <c r="J4" s="136">
        <v>4.1669999999999998</v>
      </c>
      <c r="K4" s="136">
        <v>28.851999999999997</v>
      </c>
      <c r="L4" s="136">
        <v>102.179</v>
      </c>
      <c r="M4" s="136">
        <v>144.76399999999998</v>
      </c>
      <c r="N4" s="136">
        <v>4880.9939999999997</v>
      </c>
    </row>
    <row r="5" spans="1:14" x14ac:dyDescent="0.3">
      <c r="A5" s="26" t="s">
        <v>419</v>
      </c>
      <c r="B5" s="136">
        <v>103.946</v>
      </c>
      <c r="C5" s="136">
        <v>852.38599999999997</v>
      </c>
      <c r="D5" s="136">
        <v>917.38200000000006</v>
      </c>
      <c r="E5" s="136">
        <v>0</v>
      </c>
      <c r="F5" s="136">
        <v>38.345999999999997</v>
      </c>
      <c r="G5" s="136">
        <v>2682.0839999999989</v>
      </c>
      <c r="H5" s="136">
        <v>162.99899999999997</v>
      </c>
      <c r="I5" s="136">
        <v>18.992000000000004</v>
      </c>
      <c r="J5" s="136">
        <v>5.4580000000000002</v>
      </c>
      <c r="K5" s="136">
        <v>20.751999999999999</v>
      </c>
      <c r="L5" s="136">
        <v>100.14099999999999</v>
      </c>
      <c r="M5" s="136">
        <v>102.636</v>
      </c>
      <c r="N5" s="136">
        <v>5005.1219999999985</v>
      </c>
    </row>
    <row r="6" spans="1:14" x14ac:dyDescent="0.3">
      <c r="A6" s="26" t="s">
        <v>420</v>
      </c>
      <c r="B6" s="136">
        <v>120.01200000000004</v>
      </c>
      <c r="C6" s="136">
        <v>830.41699999999992</v>
      </c>
      <c r="D6" s="136">
        <v>791.80499999999995</v>
      </c>
      <c r="E6" s="136">
        <v>0</v>
      </c>
      <c r="F6" s="136">
        <v>36.516999999999996</v>
      </c>
      <c r="G6" s="136">
        <v>2457.402</v>
      </c>
      <c r="H6" s="136">
        <v>264.69500000000011</v>
      </c>
      <c r="I6" s="136">
        <v>22.082999999999998</v>
      </c>
      <c r="J6" s="136">
        <v>5.3109999999999999</v>
      </c>
      <c r="K6" s="136">
        <v>16.683</v>
      </c>
      <c r="L6" s="136">
        <v>91.256</v>
      </c>
      <c r="M6" s="136">
        <v>129.11500000000001</v>
      </c>
      <c r="N6" s="136">
        <v>4765.2959999999994</v>
      </c>
    </row>
    <row r="7" spans="1:14" x14ac:dyDescent="0.3">
      <c r="A7" s="26" t="s">
        <v>421</v>
      </c>
      <c r="B7" s="136">
        <v>138.21799999999999</v>
      </c>
      <c r="C7" s="136">
        <v>1003.996</v>
      </c>
      <c r="D7" s="136">
        <v>872.02200000000005</v>
      </c>
      <c r="E7" s="136">
        <v>0</v>
      </c>
      <c r="F7" s="136">
        <v>60.861000000000004</v>
      </c>
      <c r="G7" s="136">
        <v>2459.2939999999994</v>
      </c>
      <c r="H7" s="136">
        <v>520.58799999999997</v>
      </c>
      <c r="I7" s="136">
        <v>2E-3</v>
      </c>
      <c r="J7" s="136">
        <v>3.9020000000000001</v>
      </c>
      <c r="K7" s="136">
        <v>43.680999999999997</v>
      </c>
      <c r="L7" s="136">
        <v>98.017999999999986</v>
      </c>
      <c r="M7" s="136">
        <v>96.344999999999985</v>
      </c>
      <c r="N7" s="136">
        <v>5296.9269999999997</v>
      </c>
    </row>
    <row r="8" spans="1:14" x14ac:dyDescent="0.3">
      <c r="A8" s="26" t="s">
        <v>422</v>
      </c>
      <c r="B8" s="136">
        <v>135.048</v>
      </c>
      <c r="C8" s="136">
        <v>773.16600000000005</v>
      </c>
      <c r="D8" s="136">
        <v>933.41399999999987</v>
      </c>
      <c r="E8" s="136">
        <v>0</v>
      </c>
      <c r="F8" s="136">
        <v>59.561999999999991</v>
      </c>
      <c r="G8" s="136">
        <v>2841.7350000000006</v>
      </c>
      <c r="H8" s="136">
        <v>366.59599999999995</v>
      </c>
      <c r="I8" s="136">
        <v>25.652000000000001</v>
      </c>
      <c r="J8" s="136">
        <v>3.9640000000000004</v>
      </c>
      <c r="K8" s="136">
        <v>27.59</v>
      </c>
      <c r="L8" s="136">
        <v>109.872</v>
      </c>
      <c r="M8" s="136">
        <v>123.063</v>
      </c>
      <c r="N8" s="136">
        <v>5399.6620000000003</v>
      </c>
    </row>
    <row r="9" spans="1:14" x14ac:dyDescent="0.3">
      <c r="A9" s="26" t="s">
        <v>423</v>
      </c>
      <c r="B9" s="136">
        <v>96.661000000000016</v>
      </c>
      <c r="C9" s="136">
        <v>903.59700000000009</v>
      </c>
      <c r="D9" s="136">
        <v>868.43899999999996</v>
      </c>
      <c r="E9" s="136">
        <v>0</v>
      </c>
      <c r="F9" s="136">
        <v>64.585999999999984</v>
      </c>
      <c r="G9" s="136">
        <v>3089.3609999999999</v>
      </c>
      <c r="H9" s="136">
        <v>216.22899999999998</v>
      </c>
      <c r="I9" s="136">
        <v>33.563000000000002</v>
      </c>
      <c r="J9" s="136">
        <v>3.8639999999999999</v>
      </c>
      <c r="K9" s="136">
        <v>38.302999999999997</v>
      </c>
      <c r="L9" s="136">
        <v>112.602</v>
      </c>
      <c r="M9" s="136">
        <v>120.65500000000003</v>
      </c>
      <c r="N9" s="136">
        <v>5547.86</v>
      </c>
    </row>
    <row r="10" spans="1:14" x14ac:dyDescent="0.3">
      <c r="A10" s="26" t="s">
        <v>424</v>
      </c>
      <c r="B10" s="136">
        <v>33.456000000000003</v>
      </c>
      <c r="C10" s="136">
        <v>822.75699999999995</v>
      </c>
      <c r="D10" s="136">
        <v>1014.6519999999999</v>
      </c>
      <c r="E10" s="136">
        <v>0</v>
      </c>
      <c r="F10" s="136">
        <v>45.600999999999999</v>
      </c>
      <c r="G10" s="136">
        <v>3054.6810000000005</v>
      </c>
      <c r="H10" s="136">
        <v>208.68800000000002</v>
      </c>
      <c r="I10" s="136">
        <v>58.843999999999994</v>
      </c>
      <c r="J10" s="136">
        <v>5.1419999999999995</v>
      </c>
      <c r="K10" s="136">
        <v>30.808999999999997</v>
      </c>
      <c r="L10" s="136">
        <v>131.90299999999996</v>
      </c>
      <c r="M10" s="136">
        <v>139.28200000000001</v>
      </c>
      <c r="N10" s="136">
        <v>5545.8150000000014</v>
      </c>
    </row>
    <row r="11" spans="1:14" x14ac:dyDescent="0.3">
      <c r="A11" s="26" t="s">
        <v>425</v>
      </c>
      <c r="B11" s="136">
        <v>94.506999999999991</v>
      </c>
      <c r="C11" s="136">
        <v>967.79800000000012</v>
      </c>
      <c r="D11" s="136">
        <v>820.13499999999988</v>
      </c>
      <c r="E11" s="136">
        <v>0</v>
      </c>
      <c r="F11" s="136">
        <v>41.819000000000003</v>
      </c>
      <c r="G11" s="136">
        <v>3161.989</v>
      </c>
      <c r="H11" s="136">
        <v>227.59299999999999</v>
      </c>
      <c r="I11" s="136">
        <v>55.304999999999993</v>
      </c>
      <c r="J11" s="136">
        <v>4.8889999999999993</v>
      </c>
      <c r="K11" s="136">
        <v>27.558</v>
      </c>
      <c r="L11" s="136">
        <v>107.60099999999998</v>
      </c>
      <c r="M11" s="136">
        <v>111.35399999999998</v>
      </c>
      <c r="N11" s="136">
        <v>5620.5479999999998</v>
      </c>
    </row>
    <row r="12" spans="1:14" x14ac:dyDescent="0.3">
      <c r="A12" s="26" t="s">
        <v>426</v>
      </c>
      <c r="B12" s="136">
        <v>95.595999999999989</v>
      </c>
      <c r="C12" s="136">
        <v>848.6149999999999</v>
      </c>
      <c r="D12" s="136">
        <v>1002.7329999999999</v>
      </c>
      <c r="E12" s="136">
        <v>0</v>
      </c>
      <c r="F12" s="136">
        <v>47.211999999999996</v>
      </c>
      <c r="G12" s="136">
        <v>3076.0900000000006</v>
      </c>
      <c r="H12" s="136">
        <v>104.155</v>
      </c>
      <c r="I12" s="136">
        <v>41.871000000000016</v>
      </c>
      <c r="J12" s="136">
        <v>3.9570000000000003</v>
      </c>
      <c r="K12" s="136">
        <v>26.532999999999998</v>
      </c>
      <c r="L12" s="136">
        <v>141.36699999999999</v>
      </c>
      <c r="M12" s="136">
        <v>85.22</v>
      </c>
      <c r="N12" s="136">
        <v>5473.349000000002</v>
      </c>
    </row>
    <row r="13" spans="1:14" x14ac:dyDescent="0.3">
      <c r="A13" s="26" t="s">
        <v>427</v>
      </c>
      <c r="B13" s="136">
        <v>73.62700000000001</v>
      </c>
      <c r="C13" s="136">
        <v>908.49099999999999</v>
      </c>
      <c r="D13" s="136">
        <v>920.98599999999999</v>
      </c>
      <c r="E13" s="136">
        <v>0</v>
      </c>
      <c r="F13" s="136">
        <v>54.986999999999995</v>
      </c>
      <c r="G13" s="136">
        <v>2962.6720000000005</v>
      </c>
      <c r="H13" s="136">
        <v>138.71099999999998</v>
      </c>
      <c r="I13" s="136">
        <v>34.314</v>
      </c>
      <c r="J13" s="136">
        <v>5.5670000000000002</v>
      </c>
      <c r="K13" s="136">
        <v>35.908000000000001</v>
      </c>
      <c r="L13" s="136">
        <v>119.78699999999999</v>
      </c>
      <c r="M13" s="136">
        <v>140.44300000000001</v>
      </c>
      <c r="N13" s="136">
        <v>5395.4930000000022</v>
      </c>
    </row>
    <row r="14" spans="1:14" x14ac:dyDescent="0.3">
      <c r="A14" s="26" t="s">
        <v>428</v>
      </c>
      <c r="B14" s="136">
        <v>83.703000000000017</v>
      </c>
      <c r="C14" s="136">
        <v>914.11799999999994</v>
      </c>
      <c r="D14" s="136">
        <v>827.03499999999997</v>
      </c>
      <c r="E14" s="136">
        <v>0</v>
      </c>
      <c r="F14" s="136">
        <v>41.596000000000004</v>
      </c>
      <c r="G14" s="136">
        <v>2860.5210000000002</v>
      </c>
      <c r="H14" s="136">
        <v>416.49199999999996</v>
      </c>
      <c r="I14" s="136">
        <v>28.918000000000006</v>
      </c>
      <c r="J14" s="136">
        <v>3.5179999999999998</v>
      </c>
      <c r="K14" s="136">
        <v>33.748000000000005</v>
      </c>
      <c r="L14" s="136">
        <v>74.830000000000027</v>
      </c>
      <c r="M14" s="136">
        <v>119.82599999999999</v>
      </c>
      <c r="N14" s="136">
        <v>5404.3049999999994</v>
      </c>
    </row>
    <row r="15" spans="1:14" x14ac:dyDescent="0.3">
      <c r="A15" s="26" t="s">
        <v>429</v>
      </c>
      <c r="B15" s="136">
        <v>107.18400000000001</v>
      </c>
      <c r="C15" s="136">
        <v>765.91499999999985</v>
      </c>
      <c r="D15" s="136">
        <v>670.59500000000003</v>
      </c>
      <c r="E15" s="136">
        <v>0</v>
      </c>
      <c r="F15" s="136">
        <v>42.855999999999995</v>
      </c>
      <c r="G15" s="136">
        <v>2482.3440000000014</v>
      </c>
      <c r="H15" s="136">
        <v>383.53600000000012</v>
      </c>
      <c r="I15" s="136">
        <v>24.250000000000004</v>
      </c>
      <c r="J15" s="136">
        <v>5.5519999999999996</v>
      </c>
      <c r="K15" s="136">
        <v>24.808999999999997</v>
      </c>
      <c r="L15" s="136">
        <v>57.533000000000008</v>
      </c>
      <c r="M15" s="136">
        <v>129.649</v>
      </c>
      <c r="N15" s="136">
        <v>4694.2230000000018</v>
      </c>
    </row>
    <row r="16" spans="1:14" x14ac:dyDescent="0.3">
      <c r="A16" s="26" t="s">
        <v>430</v>
      </c>
      <c r="B16" s="136">
        <v>56.163999999999987</v>
      </c>
      <c r="C16" s="136">
        <v>749.99700000000018</v>
      </c>
      <c r="D16" s="136">
        <v>857.96100000000001</v>
      </c>
      <c r="E16" s="136">
        <v>0</v>
      </c>
      <c r="F16" s="136">
        <v>46.579000000000001</v>
      </c>
      <c r="G16" s="136">
        <v>3147.5419999999995</v>
      </c>
      <c r="H16" s="136">
        <v>158.34400000000002</v>
      </c>
      <c r="I16" s="136">
        <v>42.873999999999981</v>
      </c>
      <c r="J16" s="136">
        <v>4.3419999999999996</v>
      </c>
      <c r="K16" s="136">
        <v>37.335999999999999</v>
      </c>
      <c r="L16" s="136">
        <v>79.745999999999995</v>
      </c>
      <c r="M16" s="136">
        <v>110.319</v>
      </c>
      <c r="N16" s="136">
        <v>5291.2039999999997</v>
      </c>
    </row>
    <row r="17" spans="1:14" x14ac:dyDescent="0.3">
      <c r="A17" s="26" t="s">
        <v>436</v>
      </c>
      <c r="B17" s="136">
        <v>84.323999999999984</v>
      </c>
      <c r="C17" s="136">
        <v>921.13900000000012</v>
      </c>
      <c r="D17" s="136">
        <v>885.30000000000007</v>
      </c>
      <c r="E17" s="136">
        <v>0</v>
      </c>
      <c r="F17" s="136">
        <v>49.238</v>
      </c>
      <c r="G17" s="136">
        <v>3074.505000000001</v>
      </c>
      <c r="H17" s="136">
        <v>391.57400000000007</v>
      </c>
      <c r="I17" s="136">
        <v>24.837000000000003</v>
      </c>
      <c r="J17" s="136">
        <v>5.5180000000000007</v>
      </c>
      <c r="K17" s="136">
        <v>28.702000000000002</v>
      </c>
      <c r="L17" s="136">
        <v>80.265000000000001</v>
      </c>
      <c r="M17" s="136">
        <v>117.28099999999998</v>
      </c>
      <c r="N17" s="136">
        <v>5662.6830000000027</v>
      </c>
    </row>
    <row r="18" spans="1:14" x14ac:dyDescent="0.3">
      <c r="A18" s="26" t="s">
        <v>437</v>
      </c>
      <c r="B18" s="136">
        <v>162.35000000000002</v>
      </c>
      <c r="C18" s="136">
        <v>835.92400000000021</v>
      </c>
      <c r="D18" s="136">
        <v>762.97100000000012</v>
      </c>
      <c r="E18" s="136">
        <v>0</v>
      </c>
      <c r="F18" s="136">
        <v>61.342000000000006</v>
      </c>
      <c r="G18" s="136">
        <v>2860.2429999999995</v>
      </c>
      <c r="H18" s="136">
        <v>474.73700000000002</v>
      </c>
      <c r="I18" s="136">
        <v>0.65700000000000003</v>
      </c>
      <c r="J18" s="136">
        <v>4.5540000000000003</v>
      </c>
      <c r="K18" s="136">
        <v>24.895999999999997</v>
      </c>
      <c r="L18" s="136">
        <v>55.381</v>
      </c>
      <c r="M18" s="136">
        <v>105.29199999999999</v>
      </c>
      <c r="N18" s="136">
        <v>5348.3470000000007</v>
      </c>
    </row>
    <row r="19" spans="1:14" x14ac:dyDescent="0.3">
      <c r="A19" s="26" t="s">
        <v>439</v>
      </c>
      <c r="B19" s="136">
        <v>109.711</v>
      </c>
      <c r="C19" s="136">
        <v>744.13100000000009</v>
      </c>
      <c r="D19" s="136">
        <v>851.92500000000007</v>
      </c>
      <c r="E19" s="136">
        <v>0</v>
      </c>
      <c r="F19" s="136">
        <v>41.117000000000004</v>
      </c>
      <c r="G19" s="136">
        <v>3099.3760000000002</v>
      </c>
      <c r="H19" s="136">
        <v>652.55500000000018</v>
      </c>
      <c r="I19" s="136">
        <v>31.404</v>
      </c>
      <c r="J19" s="136">
        <v>5.8469999999999995</v>
      </c>
      <c r="K19" s="136">
        <v>31.277000000000001</v>
      </c>
      <c r="L19" s="136">
        <v>80.022999999999996</v>
      </c>
      <c r="M19" s="136">
        <v>134.43500000000003</v>
      </c>
      <c r="N19" s="136">
        <v>5781.8010000000013</v>
      </c>
    </row>
    <row r="20" spans="1:14" x14ac:dyDescent="0.3">
      <c r="A20" s="26" t="s">
        <v>443</v>
      </c>
      <c r="B20" s="136">
        <v>149.62700000000001</v>
      </c>
      <c r="C20" s="136">
        <v>676.846</v>
      </c>
      <c r="D20" s="136">
        <v>841.36099999999988</v>
      </c>
      <c r="E20" s="136">
        <v>0</v>
      </c>
      <c r="F20" s="136">
        <v>71.191000000000003</v>
      </c>
      <c r="G20" s="136">
        <v>2699.5869999999991</v>
      </c>
      <c r="H20" s="136">
        <v>664.64300000000026</v>
      </c>
      <c r="I20" s="136">
        <v>24.006999999999998</v>
      </c>
      <c r="J20" s="136">
        <v>5.476</v>
      </c>
      <c r="K20" s="136">
        <v>27.134</v>
      </c>
      <c r="L20" s="136">
        <v>68.113</v>
      </c>
      <c r="M20" s="136">
        <v>120.364</v>
      </c>
      <c r="N20" s="136">
        <v>5348.3489999999983</v>
      </c>
    </row>
    <row r="21" spans="1:14" x14ac:dyDescent="0.3">
      <c r="A21" s="26" t="s">
        <v>444</v>
      </c>
      <c r="B21" s="136">
        <v>194.93399999999991</v>
      </c>
      <c r="C21" s="136">
        <v>695.51799999999992</v>
      </c>
      <c r="D21" s="136">
        <v>867.39099999999996</v>
      </c>
      <c r="E21" s="136">
        <v>0</v>
      </c>
      <c r="F21" s="136">
        <v>27.116</v>
      </c>
      <c r="G21" s="136">
        <v>2923.9990000000003</v>
      </c>
      <c r="H21" s="136">
        <v>750.19699999999955</v>
      </c>
      <c r="I21" s="136">
        <v>8.3129999999999988</v>
      </c>
      <c r="J21" s="136">
        <v>5.8679999999999994</v>
      </c>
      <c r="K21" s="136">
        <v>24.948000000000004</v>
      </c>
      <c r="L21" s="136">
        <v>67.00500000000001</v>
      </c>
      <c r="M21" s="136">
        <v>84.143000000000001</v>
      </c>
      <c r="N21" s="136">
        <v>5649.4320000000007</v>
      </c>
    </row>
    <row r="22" spans="1:14" x14ac:dyDescent="0.3">
      <c r="A22" s="26" t="s">
        <v>445</v>
      </c>
      <c r="B22" s="136">
        <v>50.351999999999997</v>
      </c>
      <c r="C22" s="136">
        <v>762.84900000000016</v>
      </c>
      <c r="D22" s="136">
        <v>949.40800000000013</v>
      </c>
      <c r="E22" s="136">
        <v>0</v>
      </c>
      <c r="F22" s="136">
        <v>58.966999999999999</v>
      </c>
      <c r="G22" s="136">
        <v>2833.5840000000017</v>
      </c>
      <c r="H22" s="136">
        <v>552.73399999999992</v>
      </c>
      <c r="I22" s="136">
        <v>8.1389999999999993</v>
      </c>
      <c r="J22" s="136">
        <v>4.6630000000000003</v>
      </c>
      <c r="K22" s="136">
        <v>28.247000000000003</v>
      </c>
      <c r="L22" s="136">
        <v>77.350999999999999</v>
      </c>
      <c r="M22" s="136">
        <v>145.17699999999994</v>
      </c>
      <c r="N22" s="136">
        <v>5471.4710000000014</v>
      </c>
    </row>
    <row r="23" spans="1:14" x14ac:dyDescent="0.3">
      <c r="A23" s="26" t="s">
        <v>446</v>
      </c>
      <c r="B23" s="136">
        <v>42.631999999999998</v>
      </c>
      <c r="C23" s="136">
        <v>726.68899999999996</v>
      </c>
      <c r="D23" s="136">
        <v>822.06600000000003</v>
      </c>
      <c r="E23" s="136">
        <v>0</v>
      </c>
      <c r="F23" s="136">
        <v>32.49</v>
      </c>
      <c r="G23" s="136">
        <v>2697.3390000000004</v>
      </c>
      <c r="H23" s="136">
        <v>243.80400000000006</v>
      </c>
      <c r="I23" s="136">
        <v>13.872999999999998</v>
      </c>
      <c r="J23" s="136">
        <v>4.5</v>
      </c>
      <c r="K23" s="136">
        <v>23.738</v>
      </c>
      <c r="L23" s="136">
        <v>74.721999999999994</v>
      </c>
      <c r="M23" s="136">
        <v>157.857</v>
      </c>
      <c r="N23" s="136">
        <v>4839.71</v>
      </c>
    </row>
    <row r="24" spans="1:14" x14ac:dyDescent="0.3">
      <c r="A24" s="26" t="s">
        <v>447</v>
      </c>
      <c r="B24" s="136">
        <v>37.758000000000003</v>
      </c>
      <c r="C24" s="136">
        <v>514.20299999999986</v>
      </c>
      <c r="D24" s="136">
        <v>747.19599999999991</v>
      </c>
      <c r="E24" s="136">
        <v>0</v>
      </c>
      <c r="F24" s="136">
        <v>25.012999999999998</v>
      </c>
      <c r="G24" s="136">
        <v>3011.7610000000004</v>
      </c>
      <c r="H24" s="136">
        <v>221.08199999999997</v>
      </c>
      <c r="I24" s="136">
        <v>2.359</v>
      </c>
      <c r="J24" s="136">
        <v>2.262</v>
      </c>
      <c r="K24" s="136">
        <v>15.199</v>
      </c>
      <c r="L24" s="136">
        <v>18.777000000000001</v>
      </c>
      <c r="M24" s="136">
        <v>88.424000000000007</v>
      </c>
      <c r="N24" s="136">
        <v>4684.0340000000006</v>
      </c>
    </row>
    <row r="25" spans="1:14" x14ac:dyDescent="0.3">
      <c r="A25" s="26" t="s">
        <v>448</v>
      </c>
      <c r="B25" s="136">
        <v>61.958000000000006</v>
      </c>
      <c r="C25" s="136">
        <v>727.404</v>
      </c>
      <c r="D25" s="136">
        <v>575.02100000000007</v>
      </c>
      <c r="E25" s="136">
        <v>0</v>
      </c>
      <c r="F25" s="136">
        <v>74.47399999999999</v>
      </c>
      <c r="G25" s="136">
        <v>2852.0369999999998</v>
      </c>
      <c r="H25" s="136">
        <v>322.43399999999991</v>
      </c>
      <c r="I25" s="136">
        <v>3.9950000000000001</v>
      </c>
      <c r="J25" s="136">
        <v>5.3250000000000002</v>
      </c>
      <c r="K25" s="136">
        <v>27.001000000000001</v>
      </c>
      <c r="L25" s="136">
        <v>74.251999999999995</v>
      </c>
      <c r="M25" s="136">
        <v>114.58099999999999</v>
      </c>
      <c r="N25" s="136">
        <v>4838.4820000000009</v>
      </c>
    </row>
    <row r="26" spans="1:14" x14ac:dyDescent="0.3">
      <c r="A26" s="26" t="s">
        <v>449</v>
      </c>
      <c r="B26" s="136">
        <v>133.81799999999998</v>
      </c>
      <c r="C26" s="136">
        <v>644.55900000000008</v>
      </c>
      <c r="D26" s="136">
        <v>829.42699999999991</v>
      </c>
      <c r="E26" s="136">
        <v>0</v>
      </c>
      <c r="F26" s="136">
        <v>35.055999999999997</v>
      </c>
      <c r="G26" s="136">
        <v>2725.0970000000002</v>
      </c>
      <c r="H26" s="136">
        <v>424.01199999999977</v>
      </c>
      <c r="I26" s="136">
        <v>0</v>
      </c>
      <c r="J26" s="136">
        <v>5.2430000000000003</v>
      </c>
      <c r="K26" s="136">
        <v>33.588000000000001</v>
      </c>
      <c r="L26" s="136">
        <v>102.38500000000001</v>
      </c>
      <c r="M26" s="136">
        <v>163.92099999999996</v>
      </c>
      <c r="N26" s="136">
        <v>5097.1060000000007</v>
      </c>
    </row>
    <row r="27" spans="1:14" x14ac:dyDescent="0.3">
      <c r="A27" s="26" t="s">
        <v>450</v>
      </c>
      <c r="B27" s="136">
        <v>78.295000000000016</v>
      </c>
      <c r="C27" s="136">
        <v>713.20099999999991</v>
      </c>
      <c r="D27" s="136">
        <v>655.57200000000012</v>
      </c>
      <c r="E27" s="136">
        <v>0</v>
      </c>
      <c r="F27" s="136">
        <v>39.896999999999998</v>
      </c>
      <c r="G27" s="136">
        <v>2761.587</v>
      </c>
      <c r="H27" s="136">
        <v>318.97399999999999</v>
      </c>
      <c r="I27" s="136">
        <v>1.996</v>
      </c>
      <c r="J27" s="136">
        <v>6.827</v>
      </c>
      <c r="K27" s="136">
        <v>20.573</v>
      </c>
      <c r="L27" s="136">
        <v>73.463000000000008</v>
      </c>
      <c r="M27" s="136">
        <v>115.898</v>
      </c>
      <c r="N27" s="136">
        <v>4786.2830000000004</v>
      </c>
    </row>
    <row r="28" spans="1:14" x14ac:dyDescent="0.3">
      <c r="A28" s="26" t="s">
        <v>451</v>
      </c>
      <c r="B28" s="136">
        <v>107.36100000000003</v>
      </c>
      <c r="C28" s="136">
        <v>748.30600000000004</v>
      </c>
      <c r="D28" s="136">
        <v>914.29</v>
      </c>
      <c r="E28" s="136">
        <v>0</v>
      </c>
      <c r="F28" s="136">
        <v>20.783999999999999</v>
      </c>
      <c r="G28" s="136">
        <v>2934.9580000000001</v>
      </c>
      <c r="H28" s="136">
        <v>595.3159999999998</v>
      </c>
      <c r="I28" s="136">
        <v>0</v>
      </c>
      <c r="J28" s="136">
        <v>4.2439999999999998</v>
      </c>
      <c r="K28" s="136">
        <v>37.356999999999999</v>
      </c>
      <c r="L28" s="136">
        <v>61.152999999999999</v>
      </c>
      <c r="M28" s="136">
        <v>82.238</v>
      </c>
      <c r="N28" s="136">
        <v>5506.0070000000005</v>
      </c>
    </row>
    <row r="29" spans="1:14" x14ac:dyDescent="0.3">
      <c r="A29" s="26" t="s">
        <v>452</v>
      </c>
      <c r="B29" s="136">
        <v>168.88900000000007</v>
      </c>
      <c r="C29" s="136">
        <v>749.9369999999999</v>
      </c>
      <c r="D29" s="136">
        <v>905.67599999999993</v>
      </c>
      <c r="E29" s="136">
        <v>0</v>
      </c>
      <c r="F29" s="136">
        <v>52.638999999999996</v>
      </c>
      <c r="G29" s="136">
        <v>2852.3730000000014</v>
      </c>
      <c r="H29" s="136">
        <v>558.25399999999991</v>
      </c>
      <c r="I29" s="136">
        <v>0</v>
      </c>
      <c r="J29" s="136">
        <v>5.6720000000000006</v>
      </c>
      <c r="K29" s="136">
        <v>26.093999999999998</v>
      </c>
      <c r="L29" s="136">
        <v>73.533999999999992</v>
      </c>
      <c r="M29" s="136">
        <v>142.56899999999999</v>
      </c>
      <c r="N29" s="136">
        <v>5535.6370000000006</v>
      </c>
    </row>
    <row r="30" spans="1:14" x14ac:dyDescent="0.3">
      <c r="A30" s="26" t="s">
        <v>453</v>
      </c>
      <c r="B30" s="136">
        <v>121.54599999999999</v>
      </c>
      <c r="C30" s="136">
        <v>870.81000000000006</v>
      </c>
      <c r="D30" s="136">
        <v>935.2349999999999</v>
      </c>
      <c r="E30" s="136">
        <v>0</v>
      </c>
      <c r="F30" s="136">
        <v>57.324000000000005</v>
      </c>
      <c r="G30" s="136">
        <v>2841.4839999999999</v>
      </c>
      <c r="H30" s="136">
        <v>347.36100000000005</v>
      </c>
      <c r="I30" s="136">
        <v>9.907</v>
      </c>
      <c r="J30" s="136">
        <v>5.0310000000000006</v>
      </c>
      <c r="K30" s="136">
        <v>33.558999999999997</v>
      </c>
      <c r="L30" s="136">
        <v>79.552999999999997</v>
      </c>
      <c r="M30" s="136">
        <v>114.27000000000002</v>
      </c>
      <c r="N30" s="136">
        <v>5416.08</v>
      </c>
    </row>
    <row r="31" spans="1:14" x14ac:dyDescent="0.3">
      <c r="A31" s="26" t="s">
        <v>454</v>
      </c>
      <c r="B31" s="136">
        <v>145.81299999999999</v>
      </c>
      <c r="C31" s="136">
        <v>697.86399999999992</v>
      </c>
      <c r="D31" s="136">
        <v>839.38199999999995</v>
      </c>
      <c r="E31" s="136">
        <v>0</v>
      </c>
      <c r="F31" s="136">
        <v>61.163999999999987</v>
      </c>
      <c r="G31" s="136">
        <v>3357.8680000000008</v>
      </c>
      <c r="H31" s="136">
        <v>212.68099999999995</v>
      </c>
      <c r="I31" s="136">
        <v>2.073</v>
      </c>
      <c r="J31" s="136">
        <v>4.4640000000000004</v>
      </c>
      <c r="K31" s="136">
        <v>28.030999999999999</v>
      </c>
      <c r="L31" s="136">
        <v>70.513000000000005</v>
      </c>
      <c r="M31" s="136">
        <v>95.14</v>
      </c>
      <c r="N31" s="136">
        <v>5514.9930000000004</v>
      </c>
    </row>
    <row r="32" spans="1:14" x14ac:dyDescent="0.3">
      <c r="A32" s="26" t="s">
        <v>459</v>
      </c>
      <c r="B32" s="136">
        <v>107.97199999999998</v>
      </c>
      <c r="C32" s="136">
        <v>795.52500000000009</v>
      </c>
      <c r="D32" s="136">
        <v>963.88600000000008</v>
      </c>
      <c r="E32" s="136">
        <v>0</v>
      </c>
      <c r="F32" s="136">
        <v>39.232000000000006</v>
      </c>
      <c r="G32" s="136">
        <v>3123.3010000000004</v>
      </c>
      <c r="H32" s="136">
        <v>250.14</v>
      </c>
      <c r="I32" s="136">
        <v>34.835000000000001</v>
      </c>
      <c r="J32" s="136">
        <v>3.7290000000000001</v>
      </c>
      <c r="K32" s="136">
        <v>26.341999999999999</v>
      </c>
      <c r="L32" s="136">
        <v>67.656999999999996</v>
      </c>
      <c r="M32" s="136">
        <v>148.69499999999996</v>
      </c>
      <c r="N32" s="136">
        <v>5561.3140000000012</v>
      </c>
    </row>
    <row r="33" spans="1:14" x14ac:dyDescent="0.3">
      <c r="A33" s="26" t="s">
        <v>460</v>
      </c>
      <c r="B33" s="136">
        <v>109.331</v>
      </c>
      <c r="C33" s="136">
        <v>748.10900000000004</v>
      </c>
      <c r="D33" s="136">
        <v>927.17500000000018</v>
      </c>
      <c r="E33" s="136">
        <v>0</v>
      </c>
      <c r="F33" s="136">
        <v>60.659999999999989</v>
      </c>
      <c r="G33" s="136">
        <v>2961.2169999999996</v>
      </c>
      <c r="H33" s="136">
        <v>195.35599999999999</v>
      </c>
      <c r="I33" s="136">
        <v>50.196999999999996</v>
      </c>
      <c r="J33" s="136">
        <v>5.4239999999999995</v>
      </c>
      <c r="K33" s="136">
        <v>22.263000000000002</v>
      </c>
      <c r="L33" s="136">
        <v>90.109999999999985</v>
      </c>
      <c r="M33" s="136">
        <v>146.15500000000003</v>
      </c>
      <c r="N33" s="136">
        <v>5315.9969999999994</v>
      </c>
    </row>
    <row r="34" spans="1:14" x14ac:dyDescent="0.3">
      <c r="A34" s="26" t="s">
        <v>461</v>
      </c>
      <c r="B34" s="136">
        <v>128.56</v>
      </c>
      <c r="C34" s="136">
        <v>789.5630000000001</v>
      </c>
      <c r="D34" s="136">
        <v>886.45600000000002</v>
      </c>
      <c r="E34" s="136">
        <v>0</v>
      </c>
      <c r="F34" s="136">
        <v>2.6309999999999998</v>
      </c>
      <c r="G34" s="136">
        <v>2802.3659999999995</v>
      </c>
      <c r="H34" s="136">
        <v>217.47200000000007</v>
      </c>
      <c r="I34" s="136">
        <v>47.801999999999992</v>
      </c>
      <c r="J34" s="136">
        <v>5.3719999999999999</v>
      </c>
      <c r="K34" s="136">
        <v>37.823</v>
      </c>
      <c r="L34" s="136">
        <v>50.507999999999996</v>
      </c>
      <c r="M34" s="136">
        <v>100.741</v>
      </c>
      <c r="N34" s="136">
        <v>5069.2939999999999</v>
      </c>
    </row>
  </sheetData>
  <pageMargins left="0.7" right="0.7" top="0.75" bottom="0.75" header="0.3" footer="0.3"/>
  <pageSetup orientation="portrait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24"/>
  <sheetViews>
    <sheetView topLeftCell="A85" workbookViewId="0">
      <selection activeCell="F29" sqref="F29"/>
    </sheetView>
  </sheetViews>
  <sheetFormatPr defaultRowHeight="14.4" x14ac:dyDescent="0.3"/>
  <cols>
    <col min="1" max="1" width="60.77734375" bestFit="1" customWidth="1"/>
    <col min="2" max="2" width="20.6640625" bestFit="1" customWidth="1"/>
    <col min="3" max="3" width="16.88671875" bestFit="1" customWidth="1"/>
    <col min="4" max="5" width="18.33203125" bestFit="1" customWidth="1"/>
    <col min="6" max="12" width="16.88671875" bestFit="1" customWidth="1"/>
    <col min="13" max="13" width="18.33203125" bestFit="1" customWidth="1"/>
    <col min="14" max="15" width="16.88671875" bestFit="1" customWidth="1"/>
    <col min="16" max="20" width="18.33203125" bestFit="1" customWidth="1"/>
    <col min="21" max="21" width="16.88671875" bestFit="1" customWidth="1"/>
    <col min="22" max="22" width="18.33203125" bestFit="1" customWidth="1"/>
    <col min="23" max="24" width="16.88671875" bestFit="1" customWidth="1"/>
    <col min="25" max="28" width="18.33203125" bestFit="1" customWidth="1"/>
    <col min="29" max="32" width="16.88671875" bestFit="1" customWidth="1"/>
    <col min="33" max="33" width="14.44140625" bestFit="1" customWidth="1"/>
  </cols>
  <sheetData>
    <row r="1" spans="1:33" x14ac:dyDescent="0.3">
      <c r="A1" s="30" t="s">
        <v>1</v>
      </c>
      <c r="B1" s="12" t="s">
        <v>82</v>
      </c>
    </row>
    <row r="2" spans="1:33" x14ac:dyDescent="0.3">
      <c r="A2" s="30" t="s">
        <v>158</v>
      </c>
      <c r="B2" s="12" t="s">
        <v>82</v>
      </c>
    </row>
    <row r="4" spans="1:33" x14ac:dyDescent="0.3">
      <c r="A4" s="30" t="s">
        <v>394</v>
      </c>
      <c r="B4" s="12" t="s">
        <v>84</v>
      </c>
      <c r="C4" s="12" t="s">
        <v>462</v>
      </c>
      <c r="D4" s="31" t="s">
        <v>463</v>
      </c>
      <c r="E4" s="31" t="s">
        <v>464</v>
      </c>
      <c r="F4" s="12" t="s">
        <v>465</v>
      </c>
      <c r="G4" s="12" t="s">
        <v>466</v>
      </c>
      <c r="H4" s="12" t="s">
        <v>467</v>
      </c>
      <c r="I4" s="12" t="s">
        <v>468</v>
      </c>
      <c r="J4" s="12" t="s">
        <v>469</v>
      </c>
      <c r="K4" s="12" t="s">
        <v>470</v>
      </c>
      <c r="L4" s="12" t="s">
        <v>471</v>
      </c>
      <c r="M4" s="31" t="s">
        <v>472</v>
      </c>
      <c r="N4" s="12" t="s">
        <v>478</v>
      </c>
      <c r="O4" s="12" t="s">
        <v>479</v>
      </c>
      <c r="P4" s="31" t="s">
        <v>480</v>
      </c>
      <c r="Q4" s="31" t="s">
        <v>481</v>
      </c>
      <c r="R4" s="31" t="s">
        <v>482</v>
      </c>
      <c r="S4" s="31" t="s">
        <v>483</v>
      </c>
      <c r="T4" s="31" t="s">
        <v>485</v>
      </c>
      <c r="U4" s="12" t="s">
        <v>486</v>
      </c>
      <c r="V4" s="31" t="s">
        <v>487</v>
      </c>
      <c r="W4" s="12" t="s">
        <v>488</v>
      </c>
      <c r="X4" s="12" t="s">
        <v>489</v>
      </c>
      <c r="Y4" s="31" t="s">
        <v>490</v>
      </c>
      <c r="Z4" s="31" t="s">
        <v>491</v>
      </c>
      <c r="AA4" s="31" t="s">
        <v>492</v>
      </c>
      <c r="AB4" s="31" t="s">
        <v>493</v>
      </c>
      <c r="AC4" s="12" t="s">
        <v>494</v>
      </c>
      <c r="AD4" s="12" t="s">
        <v>495</v>
      </c>
      <c r="AE4" s="12" t="s">
        <v>496</v>
      </c>
      <c r="AF4" s="12" t="s">
        <v>497</v>
      </c>
      <c r="AG4" s="12" t="s">
        <v>85</v>
      </c>
    </row>
    <row r="5" spans="1:33" x14ac:dyDescent="0.3">
      <c r="A5" s="12" t="s">
        <v>242</v>
      </c>
      <c r="B5" s="137">
        <v>1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</row>
    <row r="6" spans="1:33" x14ac:dyDescent="0.3">
      <c r="A6" s="12" t="s">
        <v>241</v>
      </c>
      <c r="B6" s="137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</row>
    <row r="7" spans="1:33" x14ac:dyDescent="0.3">
      <c r="A7" s="12" t="s">
        <v>240</v>
      </c>
      <c r="B7" s="137">
        <v>1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</row>
    <row r="8" spans="1:33" x14ac:dyDescent="0.3">
      <c r="A8" s="12" t="s">
        <v>70</v>
      </c>
      <c r="B8" s="137">
        <v>82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</row>
    <row r="9" spans="1:33" x14ac:dyDescent="0.3">
      <c r="A9" s="12" t="s">
        <v>252</v>
      </c>
      <c r="B9" s="137">
        <v>3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</row>
    <row r="10" spans="1:33" x14ac:dyDescent="0.3">
      <c r="A10" s="12" t="s">
        <v>442</v>
      </c>
      <c r="B10" s="137">
        <v>2</v>
      </c>
      <c r="C10" s="31">
        <v>0</v>
      </c>
      <c r="D10" s="31">
        <v>8.6630000000000003</v>
      </c>
      <c r="E10" s="31">
        <v>11.092000000000001</v>
      </c>
      <c r="F10" s="31">
        <v>8.2279999999999998</v>
      </c>
      <c r="G10" s="31">
        <v>10.676</v>
      </c>
      <c r="H10" s="31">
        <v>8.9480000000000004</v>
      </c>
      <c r="I10" s="31">
        <v>11.771000000000001</v>
      </c>
      <c r="J10" s="31">
        <v>16.64</v>
      </c>
      <c r="K10" s="31">
        <v>0</v>
      </c>
      <c r="L10" s="31">
        <v>20.195</v>
      </c>
      <c r="M10" s="31">
        <v>0</v>
      </c>
      <c r="N10" s="31">
        <v>8.9359999999999999</v>
      </c>
      <c r="O10" s="31">
        <v>9.2919999999999998</v>
      </c>
      <c r="P10" s="31">
        <v>9.9710000000000001</v>
      </c>
      <c r="Q10" s="31">
        <v>10.917</v>
      </c>
      <c r="R10" s="31">
        <v>9.3249999999999993</v>
      </c>
      <c r="S10" s="31">
        <v>11.878</v>
      </c>
      <c r="T10" s="31">
        <v>0.122</v>
      </c>
      <c r="U10" s="31">
        <v>19.675000000000001</v>
      </c>
      <c r="V10" s="31">
        <v>0</v>
      </c>
      <c r="W10" s="31">
        <v>8.5500000000000007</v>
      </c>
      <c r="X10" s="31">
        <v>10.363</v>
      </c>
      <c r="Y10" s="31">
        <v>0</v>
      </c>
      <c r="Z10" s="31">
        <v>10.08</v>
      </c>
      <c r="AA10" s="31">
        <v>19.545000000000002</v>
      </c>
      <c r="AB10" s="31">
        <v>4.6189999999999998</v>
      </c>
      <c r="AC10" s="31">
        <v>0</v>
      </c>
      <c r="AD10" s="31">
        <v>11.898999999999999</v>
      </c>
      <c r="AE10" s="31">
        <v>12.368</v>
      </c>
      <c r="AF10" s="31">
        <v>8.6560000000000006</v>
      </c>
      <c r="AG10" s="31">
        <v>8.7469666666666672</v>
      </c>
    </row>
    <row r="11" spans="1:33" x14ac:dyDescent="0.3">
      <c r="A11" s="12" t="s">
        <v>261</v>
      </c>
      <c r="B11" s="137">
        <v>16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</row>
    <row r="12" spans="1:33" x14ac:dyDescent="0.3">
      <c r="A12" s="12" t="s">
        <v>245</v>
      </c>
      <c r="B12" s="137">
        <v>3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</row>
    <row r="13" spans="1:33" x14ac:dyDescent="0.3">
      <c r="A13" s="12" t="s">
        <v>237</v>
      </c>
      <c r="B13" s="137">
        <v>3</v>
      </c>
      <c r="C13" s="31">
        <v>13.009999999999998</v>
      </c>
      <c r="D13" s="31">
        <v>4.8970000000000002</v>
      </c>
      <c r="E13" s="31">
        <v>5.85</v>
      </c>
      <c r="F13" s="31">
        <v>13.92</v>
      </c>
      <c r="G13" s="31">
        <v>11.186</v>
      </c>
      <c r="H13" s="31">
        <v>12.585999999999999</v>
      </c>
      <c r="I13" s="31">
        <v>9.7899999999999991</v>
      </c>
      <c r="J13" s="31">
        <v>2.7119999999999997</v>
      </c>
      <c r="K13" s="31">
        <v>2.5230000000000001</v>
      </c>
      <c r="L13" s="31">
        <v>18.768000000000001</v>
      </c>
      <c r="M13" s="31">
        <v>18.402000000000001</v>
      </c>
      <c r="N13" s="31">
        <v>7.2060000000000004</v>
      </c>
      <c r="O13" s="31">
        <v>7.45</v>
      </c>
      <c r="P13" s="31">
        <v>10.321</v>
      </c>
      <c r="Q13" s="31">
        <v>14.873000000000001</v>
      </c>
      <c r="R13" s="31">
        <v>0</v>
      </c>
      <c r="S13" s="31">
        <v>16.98</v>
      </c>
      <c r="T13" s="31">
        <v>5.7389999999999999</v>
      </c>
      <c r="U13" s="31">
        <v>12.91</v>
      </c>
      <c r="V13" s="31">
        <v>8.3390000000000004</v>
      </c>
      <c r="W13" s="31">
        <v>16.070999999999998</v>
      </c>
      <c r="X13" s="31">
        <v>0</v>
      </c>
      <c r="Y13" s="31">
        <v>13.984</v>
      </c>
      <c r="Z13" s="31">
        <v>10.667999999999999</v>
      </c>
      <c r="AA13" s="31">
        <v>6.6070000000000002</v>
      </c>
      <c r="AB13" s="31">
        <v>11.411000000000001</v>
      </c>
      <c r="AC13" s="31">
        <v>8.4540000000000006</v>
      </c>
      <c r="AD13" s="31">
        <v>0</v>
      </c>
      <c r="AE13" s="31">
        <v>5.8490000000000002</v>
      </c>
      <c r="AF13" s="31">
        <v>1.4379999999999999</v>
      </c>
      <c r="AG13" s="31">
        <v>9.0647999999999982</v>
      </c>
    </row>
    <row r="14" spans="1:33" x14ac:dyDescent="0.3">
      <c r="A14" s="12" t="s">
        <v>253</v>
      </c>
      <c r="B14" s="137">
        <v>3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</row>
    <row r="15" spans="1:33" x14ac:dyDescent="0.3">
      <c r="A15" s="12" t="s">
        <v>235</v>
      </c>
      <c r="B15" s="137">
        <v>3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</row>
    <row r="16" spans="1:33" x14ac:dyDescent="0.3">
      <c r="A16" s="12" t="s">
        <v>238</v>
      </c>
      <c r="B16" s="137">
        <v>4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</row>
    <row r="17" spans="1:33" x14ac:dyDescent="0.3">
      <c r="A17" s="12" t="s">
        <v>93</v>
      </c>
      <c r="B17" s="137">
        <v>1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</row>
    <row r="18" spans="1:33" x14ac:dyDescent="0.3">
      <c r="A18" s="12" t="s">
        <v>66</v>
      </c>
      <c r="B18" s="137">
        <v>87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</row>
    <row r="19" spans="1:33" x14ac:dyDescent="0.3">
      <c r="A19" s="12" t="s">
        <v>74</v>
      </c>
      <c r="B19" s="137">
        <v>2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</row>
    <row r="20" spans="1:33" x14ac:dyDescent="0.3">
      <c r="A20" s="12" t="s">
        <v>27</v>
      </c>
      <c r="B20" s="137">
        <v>4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</row>
    <row r="21" spans="1:33" x14ac:dyDescent="0.3">
      <c r="A21" s="12" t="s">
        <v>226</v>
      </c>
      <c r="B21" s="137">
        <v>10</v>
      </c>
      <c r="C21" s="31"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</row>
    <row r="22" spans="1:33" x14ac:dyDescent="0.3">
      <c r="A22" s="12" t="s">
        <v>217</v>
      </c>
      <c r="B22" s="137">
        <v>20</v>
      </c>
      <c r="C22" s="31">
        <v>3.2770000000000001</v>
      </c>
      <c r="D22" s="31">
        <v>0</v>
      </c>
      <c r="E22" s="31">
        <v>0</v>
      </c>
      <c r="F22" s="31">
        <v>0</v>
      </c>
      <c r="G22" s="31">
        <v>18.665000000000003</v>
      </c>
      <c r="H22" s="31">
        <v>31.435000000000006</v>
      </c>
      <c r="I22" s="31">
        <v>16.600000000000001</v>
      </c>
      <c r="J22" s="31">
        <v>10.561</v>
      </c>
      <c r="K22" s="31">
        <v>20.7</v>
      </c>
      <c r="L22" s="31">
        <v>30.031000000000006</v>
      </c>
      <c r="M22" s="31">
        <v>21.95</v>
      </c>
      <c r="N22" s="31">
        <v>23.521999999999998</v>
      </c>
      <c r="O22" s="31">
        <v>21.322999999999993</v>
      </c>
      <c r="P22" s="31">
        <v>11.637</v>
      </c>
      <c r="Q22" s="31">
        <v>10.731999999999999</v>
      </c>
      <c r="R22" s="31">
        <v>10.079000000000001</v>
      </c>
      <c r="S22" s="31">
        <v>12.663999999999998</v>
      </c>
      <c r="T22" s="31">
        <v>22.567999999999998</v>
      </c>
      <c r="U22" s="31">
        <v>9.3659999999999997</v>
      </c>
      <c r="V22" s="31">
        <v>16.568999999999999</v>
      </c>
      <c r="W22" s="31">
        <v>12.701000000000002</v>
      </c>
      <c r="X22" s="31">
        <v>14.896000000000001</v>
      </c>
      <c r="Y22" s="31">
        <v>25.548000000000002</v>
      </c>
      <c r="Z22" s="31">
        <v>15.112</v>
      </c>
      <c r="AA22" s="31">
        <v>19.116</v>
      </c>
      <c r="AB22" s="31">
        <v>12.111999999999998</v>
      </c>
      <c r="AC22" s="31">
        <v>0.57499999999999996</v>
      </c>
      <c r="AD22" s="31">
        <v>0</v>
      </c>
      <c r="AE22" s="31">
        <v>0</v>
      </c>
      <c r="AF22" s="31">
        <v>4.2409999999999997</v>
      </c>
      <c r="AG22" s="31">
        <v>13.199333333333334</v>
      </c>
    </row>
    <row r="23" spans="1:33" x14ac:dyDescent="0.3">
      <c r="A23" s="12" t="s">
        <v>199</v>
      </c>
      <c r="B23" s="137">
        <v>6</v>
      </c>
      <c r="C23" s="31">
        <v>0</v>
      </c>
      <c r="D23" s="31">
        <v>0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  <c r="AC23" s="31">
        <v>12.329000000000001</v>
      </c>
      <c r="AD23" s="31">
        <v>47.629999999999995</v>
      </c>
      <c r="AE23" s="31">
        <v>88.439000000000007</v>
      </c>
      <c r="AF23" s="31">
        <v>75.812999999999988</v>
      </c>
      <c r="AG23" s="31">
        <v>7.4736999999999991</v>
      </c>
    </row>
    <row r="24" spans="1:33" x14ac:dyDescent="0.3">
      <c r="A24" s="12" t="s">
        <v>200</v>
      </c>
      <c r="B24" s="137">
        <v>9</v>
      </c>
      <c r="C24" s="31">
        <v>82.861999999999995</v>
      </c>
      <c r="D24" s="31">
        <v>78.40100000000001</v>
      </c>
      <c r="E24" s="31">
        <v>137.48400000000001</v>
      </c>
      <c r="F24" s="31">
        <v>98.559000000000012</v>
      </c>
      <c r="G24" s="31">
        <v>110.47200000000002</v>
      </c>
      <c r="H24" s="31">
        <v>110.02700000000002</v>
      </c>
      <c r="I24" s="31">
        <v>141.27500000000003</v>
      </c>
      <c r="J24" s="31">
        <v>92.790999999999983</v>
      </c>
      <c r="K24" s="31">
        <v>121.93000000000004</v>
      </c>
      <c r="L24" s="31">
        <v>106.16800000000001</v>
      </c>
      <c r="M24" s="31">
        <v>123.88499999999999</v>
      </c>
      <c r="N24" s="31">
        <v>98.313000000000002</v>
      </c>
      <c r="O24" s="31">
        <v>115.44199999999999</v>
      </c>
      <c r="P24" s="31">
        <v>108.94400000000002</v>
      </c>
      <c r="Q24" s="31">
        <v>118.26099999999998</v>
      </c>
      <c r="R24" s="31">
        <v>51.86</v>
      </c>
      <c r="S24" s="31">
        <v>135.76899999999998</v>
      </c>
      <c r="T24" s="31">
        <v>112.05599999999998</v>
      </c>
      <c r="U24" s="31">
        <v>131.67599999999999</v>
      </c>
      <c r="V24" s="31">
        <v>122.53100000000001</v>
      </c>
      <c r="W24" s="31">
        <v>141.03</v>
      </c>
      <c r="X24" s="31">
        <v>134.56800000000001</v>
      </c>
      <c r="Y24" s="31">
        <v>123.71000000000001</v>
      </c>
      <c r="Z24" s="31">
        <v>113.39599999999999</v>
      </c>
      <c r="AA24" s="31">
        <v>175.61200000000002</v>
      </c>
      <c r="AB24" s="31">
        <v>159.51300000000001</v>
      </c>
      <c r="AC24" s="31">
        <v>165.89400000000003</v>
      </c>
      <c r="AD24" s="31">
        <v>209.77899999999991</v>
      </c>
      <c r="AE24" s="31">
        <v>195.42800000000003</v>
      </c>
      <c r="AF24" s="31">
        <v>206.78199999999995</v>
      </c>
      <c r="AG24" s="31">
        <v>127.48060000000004</v>
      </c>
    </row>
    <row r="25" spans="1:33" x14ac:dyDescent="0.3">
      <c r="A25" s="12" t="s">
        <v>201</v>
      </c>
      <c r="B25" s="137">
        <v>3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</row>
    <row r="26" spans="1:33" x14ac:dyDescent="0.3">
      <c r="A26" s="12" t="s">
        <v>391</v>
      </c>
      <c r="B26" s="137">
        <v>7</v>
      </c>
      <c r="C26" s="31">
        <v>38.216000000000001</v>
      </c>
      <c r="D26" s="31">
        <v>25.319999999999997</v>
      </c>
      <c r="E26" s="31">
        <v>2.6539999999999999</v>
      </c>
      <c r="F26" s="31">
        <v>4.694</v>
      </c>
      <c r="G26" s="31">
        <v>1.8240000000000001</v>
      </c>
      <c r="H26" s="31">
        <v>27.497000000000003</v>
      </c>
      <c r="I26" s="31">
        <v>49.672999999999995</v>
      </c>
      <c r="J26" s="31">
        <v>73.219000000000023</v>
      </c>
      <c r="K26" s="31">
        <v>45.094000000000001</v>
      </c>
      <c r="L26" s="31">
        <v>34.132000000000005</v>
      </c>
      <c r="M26" s="31">
        <v>58.843000000000004</v>
      </c>
      <c r="N26" s="31">
        <v>41.577000000000005</v>
      </c>
      <c r="O26" s="31">
        <v>57.538000000000004</v>
      </c>
      <c r="P26" s="31">
        <v>66.326000000000008</v>
      </c>
      <c r="Q26" s="31">
        <v>47.468000000000004</v>
      </c>
      <c r="R26" s="31">
        <v>53.64</v>
      </c>
      <c r="S26" s="31">
        <v>29.548999999999999</v>
      </c>
      <c r="T26" s="31">
        <v>64.621000000000009</v>
      </c>
      <c r="U26" s="31">
        <v>35.346000000000004</v>
      </c>
      <c r="V26" s="31">
        <v>42.185999999999993</v>
      </c>
      <c r="W26" s="31">
        <v>55.088999999999999</v>
      </c>
      <c r="X26" s="31">
        <v>20.936</v>
      </c>
      <c r="Y26" s="31">
        <v>54.813000000000002</v>
      </c>
      <c r="Z26" s="31">
        <v>33.042999999999992</v>
      </c>
      <c r="AA26" s="31">
        <v>46.564</v>
      </c>
      <c r="AB26" s="31">
        <v>51.296999999999997</v>
      </c>
      <c r="AC26" s="31">
        <v>42.781999999999996</v>
      </c>
      <c r="AD26" s="31">
        <v>42.706000000000003</v>
      </c>
      <c r="AE26" s="31">
        <v>43.325000000000003</v>
      </c>
      <c r="AF26" s="31">
        <v>47.078999999999994</v>
      </c>
      <c r="AG26" s="31">
        <v>41.235033333333334</v>
      </c>
    </row>
    <row r="27" spans="1:33" x14ac:dyDescent="0.3">
      <c r="A27" s="12" t="s">
        <v>388</v>
      </c>
      <c r="B27" s="137">
        <v>5</v>
      </c>
      <c r="C27" s="31">
        <v>0</v>
      </c>
      <c r="D27" s="31">
        <v>12.437999999999999</v>
      </c>
      <c r="E27" s="31">
        <v>31.055999999999997</v>
      </c>
      <c r="F27" s="31">
        <v>12.18</v>
      </c>
      <c r="G27" s="31">
        <v>20.922000000000001</v>
      </c>
      <c r="H27" s="31">
        <v>113.43300000000002</v>
      </c>
      <c r="I27" s="31">
        <v>38.649000000000001</v>
      </c>
      <c r="J27" s="31">
        <v>7.0310000000000006</v>
      </c>
      <c r="K27" s="31">
        <v>17.109999999999996</v>
      </c>
      <c r="L27" s="31">
        <v>12.818</v>
      </c>
      <c r="M27" s="31">
        <v>12.481</v>
      </c>
      <c r="N27" s="31">
        <v>6.0640000000000001</v>
      </c>
      <c r="O27" s="31">
        <v>20.067</v>
      </c>
      <c r="P27" s="31">
        <v>12.831</v>
      </c>
      <c r="Q27" s="31">
        <v>0</v>
      </c>
      <c r="R27" s="31">
        <v>11.333</v>
      </c>
      <c r="S27" s="31">
        <v>20.344999999999999</v>
      </c>
      <c r="T27" s="31">
        <v>14.511000000000001</v>
      </c>
      <c r="U27" s="31">
        <v>18.645</v>
      </c>
      <c r="V27" s="31">
        <v>7.2919999999999998</v>
      </c>
      <c r="W27" s="31">
        <v>12.894</v>
      </c>
      <c r="X27" s="31">
        <v>0</v>
      </c>
      <c r="Y27" s="31">
        <v>3.7440000000000002</v>
      </c>
      <c r="Z27" s="31">
        <v>9.7390000000000008</v>
      </c>
      <c r="AA27" s="31">
        <v>12.935</v>
      </c>
      <c r="AB27" s="31">
        <v>10.951000000000001</v>
      </c>
      <c r="AC27" s="31">
        <v>8.3530000000000015</v>
      </c>
      <c r="AD27" s="31">
        <v>12.885999999999999</v>
      </c>
      <c r="AE27" s="31">
        <v>11.593</v>
      </c>
      <c r="AF27" s="31">
        <v>6.7119999999999997</v>
      </c>
      <c r="AG27" s="31">
        <v>15.967100000000004</v>
      </c>
    </row>
    <row r="28" spans="1:33" x14ac:dyDescent="0.3">
      <c r="A28" s="12" t="s">
        <v>212</v>
      </c>
      <c r="B28" s="137">
        <v>7</v>
      </c>
      <c r="C28" s="31">
        <v>100.71299999999999</v>
      </c>
      <c r="D28" s="31">
        <v>154.161</v>
      </c>
      <c r="E28" s="31">
        <v>68.349999999999994</v>
      </c>
      <c r="F28" s="31">
        <v>104.36500000000002</v>
      </c>
      <c r="G28" s="31">
        <v>111.878</v>
      </c>
      <c r="H28" s="31">
        <v>114.718</v>
      </c>
      <c r="I28" s="31">
        <v>28.515000000000001</v>
      </c>
      <c r="J28" s="31">
        <v>93.00200000000001</v>
      </c>
      <c r="K28" s="31">
        <v>126.297</v>
      </c>
      <c r="L28" s="31">
        <v>114.96299999999997</v>
      </c>
      <c r="M28" s="31">
        <v>118.77300000000001</v>
      </c>
      <c r="N28" s="31">
        <v>94.278000000000006</v>
      </c>
      <c r="O28" s="31">
        <v>143.03300000000004</v>
      </c>
      <c r="P28" s="31">
        <v>98.27</v>
      </c>
      <c r="Q28" s="31">
        <v>107.86799999999999</v>
      </c>
      <c r="R28" s="31">
        <v>127.96599999999999</v>
      </c>
      <c r="S28" s="31">
        <v>95.968000000000018</v>
      </c>
      <c r="T28" s="31">
        <v>128.19900000000001</v>
      </c>
      <c r="U28" s="31">
        <v>104.59099999999999</v>
      </c>
      <c r="V28" s="31">
        <v>106.595</v>
      </c>
      <c r="W28" s="31">
        <v>107.37</v>
      </c>
      <c r="X28" s="31">
        <v>106.401</v>
      </c>
      <c r="Y28" s="31">
        <v>116.18799999999999</v>
      </c>
      <c r="Z28" s="31">
        <v>89.939000000000007</v>
      </c>
      <c r="AA28" s="31">
        <v>105.23000000000003</v>
      </c>
      <c r="AB28" s="31">
        <v>100.23599999999999</v>
      </c>
      <c r="AC28" s="31">
        <v>124.02499999999999</v>
      </c>
      <c r="AD28" s="31">
        <v>93.331000000000003</v>
      </c>
      <c r="AE28" s="31">
        <v>110.39800000000004</v>
      </c>
      <c r="AF28" s="31">
        <v>106.449</v>
      </c>
      <c r="AG28" s="31">
        <v>106.73566666666666</v>
      </c>
    </row>
    <row r="29" spans="1:33" x14ac:dyDescent="0.3">
      <c r="A29" s="12" t="s">
        <v>227</v>
      </c>
      <c r="B29" s="137">
        <v>13</v>
      </c>
      <c r="C29" s="31">
        <v>20.572999999999997</v>
      </c>
      <c r="D29" s="31">
        <v>56.558999999999997</v>
      </c>
      <c r="E29" s="31">
        <v>48.378999999999998</v>
      </c>
      <c r="F29" s="31">
        <v>42.726000000000006</v>
      </c>
      <c r="G29" s="31">
        <v>57.416000000000004</v>
      </c>
      <c r="H29" s="31">
        <v>57.662999999999997</v>
      </c>
      <c r="I29" s="31">
        <v>63.867000000000012</v>
      </c>
      <c r="J29" s="31">
        <v>32.118000000000002</v>
      </c>
      <c r="K29" s="31">
        <v>12.16</v>
      </c>
      <c r="L29" s="31">
        <v>67.94</v>
      </c>
      <c r="M29" s="31">
        <v>54.077999999999996</v>
      </c>
      <c r="N29" s="31">
        <v>18.102000000000004</v>
      </c>
      <c r="O29" s="31">
        <v>56.79</v>
      </c>
      <c r="P29" s="31">
        <v>46.958000000000006</v>
      </c>
      <c r="Q29" s="31">
        <v>22.63</v>
      </c>
      <c r="R29" s="31">
        <v>29.305</v>
      </c>
      <c r="S29" s="31">
        <v>19.962999999999997</v>
      </c>
      <c r="T29" s="31">
        <v>58.604000000000006</v>
      </c>
      <c r="U29" s="31">
        <v>29.411000000000001</v>
      </c>
      <c r="V29" s="31">
        <v>49.164999999999999</v>
      </c>
      <c r="W29" s="31">
        <v>61.378999999999991</v>
      </c>
      <c r="X29" s="31">
        <v>30.355999999999998</v>
      </c>
      <c r="Y29" s="31">
        <v>52.985999999999997</v>
      </c>
      <c r="Z29" s="31">
        <v>58.290999999999997</v>
      </c>
      <c r="AA29" s="31">
        <v>41.533000000000008</v>
      </c>
      <c r="AB29" s="31">
        <v>37.606000000000002</v>
      </c>
      <c r="AC29" s="31">
        <v>55.851000000000006</v>
      </c>
      <c r="AD29" s="31">
        <v>39.861000000000004</v>
      </c>
      <c r="AE29" s="31">
        <v>29.294999999999998</v>
      </c>
      <c r="AF29" s="31">
        <v>41.610999999999997</v>
      </c>
      <c r="AG29" s="31">
        <v>43.105866666666671</v>
      </c>
    </row>
    <row r="30" spans="1:33" x14ac:dyDescent="0.3">
      <c r="A30" s="12" t="s">
        <v>403</v>
      </c>
      <c r="B30" s="137">
        <v>1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31">
        <v>0</v>
      </c>
    </row>
    <row r="31" spans="1:33" x14ac:dyDescent="0.3">
      <c r="A31" s="12" t="s">
        <v>218</v>
      </c>
      <c r="B31" s="137">
        <v>3</v>
      </c>
      <c r="C31" s="31">
        <v>0.35099999999999998</v>
      </c>
      <c r="D31" s="31">
        <v>0.8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8.4429999999999996</v>
      </c>
      <c r="R31" s="31">
        <v>15.386999999999999</v>
      </c>
      <c r="S31" s="31">
        <v>2.4129999999999998</v>
      </c>
      <c r="T31" s="31">
        <v>4.484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2.2050000000000001</v>
      </c>
      <c r="AB31" s="31">
        <v>0</v>
      </c>
      <c r="AC31" s="31">
        <v>0</v>
      </c>
      <c r="AD31" s="31">
        <v>0</v>
      </c>
      <c r="AE31" s="31">
        <v>0</v>
      </c>
      <c r="AF31" s="31">
        <v>0</v>
      </c>
      <c r="AG31" s="31">
        <v>1.1360999999999999</v>
      </c>
    </row>
    <row r="32" spans="1:33" x14ac:dyDescent="0.3">
      <c r="A32" s="12" t="s">
        <v>370</v>
      </c>
      <c r="B32" s="137">
        <v>1</v>
      </c>
      <c r="C32" s="31">
        <v>5.1319999999999997</v>
      </c>
      <c r="D32" s="31">
        <v>16.789000000000001</v>
      </c>
      <c r="E32" s="31">
        <v>12.795999999999999</v>
      </c>
      <c r="F32" s="31">
        <v>20.312000000000001</v>
      </c>
      <c r="G32" s="31">
        <v>4.4889999999999999</v>
      </c>
      <c r="H32" s="31">
        <v>19.715</v>
      </c>
      <c r="I32" s="31">
        <v>17.866</v>
      </c>
      <c r="J32" s="31">
        <v>5.2910000000000004</v>
      </c>
      <c r="K32" s="31">
        <v>21.555999999999997</v>
      </c>
      <c r="L32" s="31">
        <v>8.1829999999999998</v>
      </c>
      <c r="M32" s="31">
        <v>14.565</v>
      </c>
      <c r="N32" s="31">
        <v>6.3520000000000003</v>
      </c>
      <c r="O32" s="31">
        <v>4.1680000000000001</v>
      </c>
      <c r="P32" s="31">
        <v>19.916999999999998</v>
      </c>
      <c r="Q32" s="31">
        <v>18.306999999999999</v>
      </c>
      <c r="R32" s="31">
        <v>11.907</v>
      </c>
      <c r="S32" s="31">
        <v>8.9169999999999998</v>
      </c>
      <c r="T32" s="31">
        <v>15.326000000000001</v>
      </c>
      <c r="U32" s="31">
        <v>23.895999999999997</v>
      </c>
      <c r="V32" s="31">
        <v>10.871</v>
      </c>
      <c r="W32" s="31">
        <v>15.235999999999999</v>
      </c>
      <c r="X32" s="31">
        <v>13.137</v>
      </c>
      <c r="Y32" s="31">
        <v>15.762</v>
      </c>
      <c r="Z32" s="31">
        <v>19.887999999999998</v>
      </c>
      <c r="AA32" s="31">
        <v>17.634</v>
      </c>
      <c r="AB32" s="31">
        <v>10.573</v>
      </c>
      <c r="AC32" s="31">
        <v>16.829999999999998</v>
      </c>
      <c r="AD32" s="31">
        <v>12.231999999999999</v>
      </c>
      <c r="AE32" s="31">
        <v>2.2000000000000002E-2</v>
      </c>
      <c r="AF32" s="31">
        <v>19.853999999999999</v>
      </c>
      <c r="AG32" s="31">
        <v>13.584099999999998</v>
      </c>
    </row>
    <row r="33" spans="1:33" x14ac:dyDescent="0.3">
      <c r="A33" s="12" t="s">
        <v>406</v>
      </c>
      <c r="B33" s="137">
        <v>2</v>
      </c>
      <c r="C33" s="31">
        <v>0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31">
        <v>0</v>
      </c>
      <c r="AD33" s="31">
        <v>0</v>
      </c>
      <c r="AE33" s="31">
        <v>0</v>
      </c>
      <c r="AF33" s="31">
        <v>14.619000000000002</v>
      </c>
      <c r="AG33" s="31">
        <v>0.48730000000000007</v>
      </c>
    </row>
    <row r="34" spans="1:33" x14ac:dyDescent="0.3">
      <c r="A34" s="12" t="s">
        <v>435</v>
      </c>
      <c r="B34" s="137">
        <v>1</v>
      </c>
      <c r="C34" s="31">
        <v>0</v>
      </c>
      <c r="D34" s="31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</row>
    <row r="35" spans="1:33" x14ac:dyDescent="0.3">
      <c r="A35" s="12" t="s">
        <v>225</v>
      </c>
      <c r="B35" s="137">
        <v>16</v>
      </c>
      <c r="C35" s="31">
        <v>1.252</v>
      </c>
      <c r="D35" s="31">
        <v>1.573</v>
      </c>
      <c r="E35" s="31">
        <v>12.280999999999999</v>
      </c>
      <c r="F35" s="31">
        <v>9.0310000000000006</v>
      </c>
      <c r="G35" s="31">
        <v>14.837000000000002</v>
      </c>
      <c r="H35" s="31">
        <v>6.2530000000000001</v>
      </c>
      <c r="I35" s="31">
        <v>5.5469999999999997</v>
      </c>
      <c r="J35" s="31">
        <v>6.0540000000000003</v>
      </c>
      <c r="K35" s="31">
        <v>9.7059999999999995</v>
      </c>
      <c r="L35" s="31">
        <v>5.056</v>
      </c>
      <c r="M35" s="31">
        <v>4.9710000000000001</v>
      </c>
      <c r="N35" s="31">
        <v>0</v>
      </c>
      <c r="O35" s="31">
        <v>0.40600000000000003</v>
      </c>
      <c r="P35" s="31">
        <v>8.8420000000000005</v>
      </c>
      <c r="Q35" s="31">
        <v>6.7330000000000005</v>
      </c>
      <c r="R35" s="31">
        <v>4.49</v>
      </c>
      <c r="S35" s="31">
        <v>0</v>
      </c>
      <c r="T35" s="31">
        <v>4.34</v>
      </c>
      <c r="U35" s="31">
        <v>5.4539999999999997</v>
      </c>
      <c r="V35" s="31">
        <v>9.375</v>
      </c>
      <c r="W35" s="31">
        <v>1.427</v>
      </c>
      <c r="X35" s="31">
        <v>0</v>
      </c>
      <c r="Y35" s="31">
        <v>5.7139999999999995</v>
      </c>
      <c r="Z35" s="31">
        <v>5.6379999999999999</v>
      </c>
      <c r="AA35" s="31">
        <v>1.306</v>
      </c>
      <c r="AB35" s="31">
        <v>0</v>
      </c>
      <c r="AC35" s="31">
        <v>8.6890000000000001</v>
      </c>
      <c r="AD35" s="31">
        <v>22.022000000000002</v>
      </c>
      <c r="AE35" s="31">
        <v>11.007999999999999</v>
      </c>
      <c r="AF35" s="31">
        <v>5.0650000000000004</v>
      </c>
      <c r="AG35" s="31">
        <v>5.9023333333333339</v>
      </c>
    </row>
    <row r="36" spans="1:33" x14ac:dyDescent="0.3">
      <c r="A36" s="12" t="s">
        <v>248</v>
      </c>
      <c r="B36" s="137">
        <v>1</v>
      </c>
      <c r="C36" s="31">
        <v>0</v>
      </c>
      <c r="D36" s="31">
        <v>0</v>
      </c>
      <c r="E36" s="31">
        <v>1.671</v>
      </c>
      <c r="F36" s="31">
        <v>4.5209999999999999</v>
      </c>
      <c r="G36" s="31">
        <v>0</v>
      </c>
      <c r="H36" s="31">
        <v>0</v>
      </c>
      <c r="I36" s="31">
        <v>0</v>
      </c>
      <c r="J36" s="31">
        <v>0</v>
      </c>
      <c r="K36" s="31">
        <v>3.3940000000000001</v>
      </c>
      <c r="L36" s="31">
        <v>0</v>
      </c>
      <c r="M36" s="31">
        <v>0</v>
      </c>
      <c r="N36" s="31">
        <v>0</v>
      </c>
      <c r="O36" s="31">
        <v>0</v>
      </c>
      <c r="P36" s="31">
        <v>3.39</v>
      </c>
      <c r="Q36" s="31">
        <v>0</v>
      </c>
      <c r="R36" s="31">
        <v>3.407</v>
      </c>
      <c r="S36" s="31">
        <v>0</v>
      </c>
      <c r="T36" s="31">
        <v>0</v>
      </c>
      <c r="U36" s="31">
        <v>0</v>
      </c>
      <c r="V36" s="31">
        <v>3.363</v>
      </c>
      <c r="W36" s="31">
        <v>0</v>
      </c>
      <c r="X36" s="31">
        <v>0</v>
      </c>
      <c r="Y36" s="31">
        <v>0</v>
      </c>
      <c r="Z36" s="31">
        <v>3.3969999999999998</v>
      </c>
      <c r="AA36" s="31">
        <v>0</v>
      </c>
      <c r="AB36" s="31">
        <v>0</v>
      </c>
      <c r="AC36" s="31">
        <v>0</v>
      </c>
      <c r="AD36" s="31">
        <v>0</v>
      </c>
      <c r="AE36" s="31">
        <v>0</v>
      </c>
      <c r="AF36" s="31">
        <v>0</v>
      </c>
      <c r="AG36" s="31">
        <v>0.7714333333333333</v>
      </c>
    </row>
    <row r="37" spans="1:33" x14ac:dyDescent="0.3">
      <c r="A37" s="12" t="s">
        <v>220</v>
      </c>
      <c r="B37" s="137">
        <v>19</v>
      </c>
      <c r="C37" s="31">
        <v>5.2789999999999999</v>
      </c>
      <c r="D37" s="31">
        <v>5.0139999999999993</v>
      </c>
      <c r="E37" s="31">
        <v>5.2990000000000004</v>
      </c>
      <c r="F37" s="31">
        <v>3.1740000000000004</v>
      </c>
      <c r="G37" s="31">
        <v>5.4209999999999994</v>
      </c>
      <c r="H37" s="31">
        <v>3.3159999999999998</v>
      </c>
      <c r="I37" s="31">
        <v>4.5590000000000002</v>
      </c>
      <c r="J37" s="31">
        <v>4.6840000000000002</v>
      </c>
      <c r="K37" s="31">
        <v>5.2880000000000003</v>
      </c>
      <c r="L37" s="31">
        <v>4.056</v>
      </c>
      <c r="M37" s="31">
        <v>4.8549999999999995</v>
      </c>
      <c r="N37" s="31">
        <v>1.897</v>
      </c>
      <c r="O37" s="31">
        <v>0.876</v>
      </c>
      <c r="P37" s="31">
        <v>3.5780000000000003</v>
      </c>
      <c r="Q37" s="31">
        <v>4.7119999999999997</v>
      </c>
      <c r="R37" s="31">
        <v>3.1880000000000002</v>
      </c>
      <c r="S37" s="31">
        <v>4.6590000000000007</v>
      </c>
      <c r="T37" s="31">
        <v>2.0110000000000001</v>
      </c>
      <c r="U37" s="31">
        <v>2.6670000000000003</v>
      </c>
      <c r="V37" s="31">
        <v>4.524</v>
      </c>
      <c r="W37" s="31">
        <v>5.0749999999999993</v>
      </c>
      <c r="X37" s="31">
        <v>5.2059999999999995</v>
      </c>
      <c r="Y37" s="31">
        <v>5.1910000000000007</v>
      </c>
      <c r="Z37" s="31">
        <v>5.2650000000000006</v>
      </c>
      <c r="AA37" s="31">
        <v>4.4770000000000003</v>
      </c>
      <c r="AB37" s="31">
        <v>4.6959999999999997</v>
      </c>
      <c r="AC37" s="31">
        <v>4.3059999999999992</v>
      </c>
      <c r="AD37" s="31">
        <v>3.4620000000000002</v>
      </c>
      <c r="AE37" s="31">
        <v>3.4529999999999998</v>
      </c>
      <c r="AF37" s="31">
        <v>3.7699999999999996</v>
      </c>
      <c r="AG37" s="31">
        <v>4.1319333333333335</v>
      </c>
    </row>
    <row r="38" spans="1:33" x14ac:dyDescent="0.3">
      <c r="A38" s="12" t="s">
        <v>389</v>
      </c>
      <c r="B38" s="137">
        <v>10</v>
      </c>
      <c r="C38" s="31">
        <v>15.172000000000001</v>
      </c>
      <c r="D38" s="31">
        <v>0</v>
      </c>
      <c r="E38" s="31">
        <v>0</v>
      </c>
      <c r="F38" s="31">
        <v>0</v>
      </c>
      <c r="G38" s="31">
        <v>2.3769999999999998</v>
      </c>
      <c r="H38" s="31">
        <v>0</v>
      </c>
      <c r="I38" s="31">
        <v>0</v>
      </c>
      <c r="J38" s="31">
        <v>0</v>
      </c>
      <c r="K38" s="31">
        <v>15.893000000000002</v>
      </c>
      <c r="L38" s="31">
        <v>22.872</v>
      </c>
      <c r="M38" s="31">
        <v>77.350999999999985</v>
      </c>
      <c r="N38" s="31">
        <v>38.503</v>
      </c>
      <c r="O38" s="31">
        <v>91.099000000000004</v>
      </c>
      <c r="P38" s="31">
        <v>73.093999999999994</v>
      </c>
      <c r="Q38" s="31">
        <v>76.615999999999985</v>
      </c>
      <c r="R38" s="31">
        <v>80.387999999999991</v>
      </c>
      <c r="S38" s="31">
        <v>83.939999999999984</v>
      </c>
      <c r="T38" s="31">
        <v>78.435999999999993</v>
      </c>
      <c r="U38" s="31">
        <v>84.179000000000002</v>
      </c>
      <c r="V38" s="31">
        <v>76.728000000000009</v>
      </c>
      <c r="W38" s="31">
        <v>51.780999999999999</v>
      </c>
      <c r="X38" s="31">
        <v>70.874999999999986</v>
      </c>
      <c r="Y38" s="31">
        <v>63.113</v>
      </c>
      <c r="Z38" s="31">
        <v>56.045000000000002</v>
      </c>
      <c r="AA38" s="31">
        <v>83.305999999999997</v>
      </c>
      <c r="AB38" s="31">
        <v>59.445</v>
      </c>
      <c r="AC38" s="31">
        <v>60.041000000000004</v>
      </c>
      <c r="AD38" s="31">
        <v>79.629000000000005</v>
      </c>
      <c r="AE38" s="31">
        <v>66.567000000000007</v>
      </c>
      <c r="AF38" s="31">
        <v>105.77500000000002</v>
      </c>
      <c r="AG38" s="31">
        <v>50.44083333333333</v>
      </c>
    </row>
    <row r="39" spans="1:33" x14ac:dyDescent="0.3">
      <c r="A39" s="12" t="s">
        <v>390</v>
      </c>
      <c r="B39" s="137">
        <v>3</v>
      </c>
      <c r="C39" s="31">
        <v>0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31">
        <v>0</v>
      </c>
    </row>
    <row r="40" spans="1:33" x14ac:dyDescent="0.3">
      <c r="A40" s="12" t="s">
        <v>205</v>
      </c>
      <c r="B40" s="137">
        <v>3</v>
      </c>
      <c r="C40" s="31">
        <v>70.894000000000005</v>
      </c>
      <c r="D40" s="31">
        <v>66.03</v>
      </c>
      <c r="E40" s="31">
        <v>81.38</v>
      </c>
      <c r="F40" s="31">
        <v>81.305000000000007</v>
      </c>
      <c r="G40" s="31">
        <v>103.61599999999999</v>
      </c>
      <c r="H40" s="31">
        <v>65.518999999999991</v>
      </c>
      <c r="I40" s="31">
        <v>87.97</v>
      </c>
      <c r="J40" s="31">
        <v>67.511999999999986</v>
      </c>
      <c r="K40" s="31">
        <v>98.179000000000002</v>
      </c>
      <c r="L40" s="31">
        <v>92.665000000000006</v>
      </c>
      <c r="M40" s="31">
        <v>82.147999999999996</v>
      </c>
      <c r="N40" s="31">
        <v>92.034999999999997</v>
      </c>
      <c r="O40" s="31">
        <v>87.423000000000016</v>
      </c>
      <c r="P40" s="31">
        <v>87.950999999999993</v>
      </c>
      <c r="Q40" s="31">
        <v>85.415999999999997</v>
      </c>
      <c r="R40" s="31">
        <v>87.556000000000012</v>
      </c>
      <c r="S40" s="31">
        <v>57.101999999999997</v>
      </c>
      <c r="T40" s="31">
        <v>67.992000000000004</v>
      </c>
      <c r="U40" s="31">
        <v>97.128</v>
      </c>
      <c r="V40" s="31">
        <v>54.677000000000007</v>
      </c>
      <c r="W40" s="31">
        <v>95.718000000000018</v>
      </c>
      <c r="X40" s="31">
        <v>52.926000000000002</v>
      </c>
      <c r="Y40" s="31">
        <v>59.43</v>
      </c>
      <c r="Z40" s="31">
        <v>99.557999999999993</v>
      </c>
      <c r="AA40" s="31">
        <v>83.951999999999998</v>
      </c>
      <c r="AB40" s="31">
        <v>97.887999999999991</v>
      </c>
      <c r="AC40" s="31">
        <v>77.483000000000004</v>
      </c>
      <c r="AD40" s="31">
        <v>80.336000000000013</v>
      </c>
      <c r="AE40" s="31">
        <v>79.322999999999993</v>
      </c>
      <c r="AF40" s="31">
        <v>58.675000000000004</v>
      </c>
      <c r="AG40" s="31">
        <v>79.992899999999992</v>
      </c>
    </row>
    <row r="41" spans="1:33" x14ac:dyDescent="0.3">
      <c r="A41" s="12" t="s">
        <v>434</v>
      </c>
      <c r="B41" s="137">
        <v>1</v>
      </c>
      <c r="C41" s="31">
        <v>0</v>
      </c>
      <c r="D41" s="31">
        <v>6.3659999999999997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7.5209999999999999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4.7030000000000003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0</v>
      </c>
      <c r="AE41" s="31">
        <v>0</v>
      </c>
      <c r="AF41" s="31">
        <v>0</v>
      </c>
      <c r="AG41" s="31">
        <v>0.6196666666666667</v>
      </c>
    </row>
    <row r="42" spans="1:33" x14ac:dyDescent="0.3">
      <c r="A42" s="12" t="s">
        <v>213</v>
      </c>
      <c r="B42" s="137">
        <v>4</v>
      </c>
      <c r="C42" s="31">
        <v>82.23299999999999</v>
      </c>
      <c r="D42" s="31">
        <v>97.47199999999998</v>
      </c>
      <c r="E42" s="31">
        <v>88.346999999999994</v>
      </c>
      <c r="F42" s="31">
        <v>93.628999999999991</v>
      </c>
      <c r="G42" s="31">
        <v>109.36799999999999</v>
      </c>
      <c r="H42" s="31">
        <v>95.358000000000004</v>
      </c>
      <c r="I42" s="31">
        <v>4.8780000000000001</v>
      </c>
      <c r="J42" s="31">
        <v>97.873999999999995</v>
      </c>
      <c r="K42" s="31">
        <v>82.882000000000005</v>
      </c>
      <c r="L42" s="31">
        <v>86.721999999999994</v>
      </c>
      <c r="M42" s="31">
        <v>95.518000000000001</v>
      </c>
      <c r="N42" s="31">
        <v>92.292000000000016</v>
      </c>
      <c r="O42" s="31">
        <v>85.476000000000013</v>
      </c>
      <c r="P42" s="31">
        <v>96.62</v>
      </c>
      <c r="Q42" s="31">
        <v>78.495000000000005</v>
      </c>
      <c r="R42" s="31">
        <v>84.093999999999994</v>
      </c>
      <c r="S42" s="31">
        <v>71.135999999999996</v>
      </c>
      <c r="T42" s="31">
        <v>97.423000000000016</v>
      </c>
      <c r="U42" s="31">
        <v>81.840999999999994</v>
      </c>
      <c r="V42" s="31">
        <v>70.489999999999995</v>
      </c>
      <c r="W42" s="31">
        <v>84.140999999999991</v>
      </c>
      <c r="X42" s="31">
        <v>97.561999999999983</v>
      </c>
      <c r="Y42" s="31">
        <v>75.471000000000004</v>
      </c>
      <c r="Z42" s="31">
        <v>79.418999999999997</v>
      </c>
      <c r="AA42" s="31">
        <v>87.402000000000001</v>
      </c>
      <c r="AB42" s="31">
        <v>68.50800000000001</v>
      </c>
      <c r="AC42" s="31">
        <v>86.094000000000008</v>
      </c>
      <c r="AD42" s="31">
        <v>100.77599999999995</v>
      </c>
      <c r="AE42" s="31">
        <v>78.400000000000006</v>
      </c>
      <c r="AF42" s="31">
        <v>81.726000000000013</v>
      </c>
      <c r="AG42" s="31">
        <v>84.388233333333318</v>
      </c>
    </row>
    <row r="43" spans="1:33" x14ac:dyDescent="0.3">
      <c r="A43" s="12" t="s">
        <v>298</v>
      </c>
      <c r="B43" s="137">
        <v>4</v>
      </c>
      <c r="C43" s="31">
        <v>0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1E-3</v>
      </c>
      <c r="M43" s="31">
        <v>1E-3</v>
      </c>
      <c r="N43" s="31">
        <v>1E-3</v>
      </c>
      <c r="O43" s="31">
        <v>1E-3</v>
      </c>
      <c r="P43" s="31">
        <v>1E-3</v>
      </c>
      <c r="Q43" s="31">
        <v>1E-3</v>
      </c>
      <c r="R43" s="31">
        <v>9.0640000000000001</v>
      </c>
      <c r="S43" s="31">
        <v>12.048</v>
      </c>
      <c r="T43" s="31">
        <v>0</v>
      </c>
      <c r="U43" s="31">
        <v>0</v>
      </c>
      <c r="V43" s="31">
        <v>1.804</v>
      </c>
      <c r="W43" s="31">
        <v>1.512</v>
      </c>
      <c r="X43" s="31">
        <v>0</v>
      </c>
      <c r="Y43" s="31">
        <v>3.0000000000000001E-3</v>
      </c>
      <c r="Z43" s="31">
        <v>1.8139999999999998</v>
      </c>
      <c r="AA43" s="31">
        <v>0</v>
      </c>
      <c r="AB43" s="31">
        <v>0</v>
      </c>
      <c r="AC43" s="31">
        <v>0</v>
      </c>
      <c r="AD43" s="31">
        <v>0</v>
      </c>
      <c r="AE43" s="31">
        <v>0</v>
      </c>
      <c r="AF43" s="31">
        <v>0</v>
      </c>
      <c r="AG43" s="31">
        <v>0.87503333333333333</v>
      </c>
    </row>
    <row r="44" spans="1:33" x14ac:dyDescent="0.3">
      <c r="A44" s="12" t="s">
        <v>202</v>
      </c>
      <c r="B44" s="137">
        <v>8</v>
      </c>
      <c r="C44" s="31">
        <v>105.88600000000002</v>
      </c>
      <c r="D44" s="31">
        <v>71.031999999999996</v>
      </c>
      <c r="E44" s="31">
        <v>101.642</v>
      </c>
      <c r="F44" s="31">
        <v>116.98000000000002</v>
      </c>
      <c r="G44" s="31">
        <v>70.117999999999995</v>
      </c>
      <c r="H44" s="31">
        <v>89.394000000000005</v>
      </c>
      <c r="I44" s="31">
        <v>112.349</v>
      </c>
      <c r="J44" s="31">
        <v>53.173999999999999</v>
      </c>
      <c r="K44" s="31">
        <v>63.512</v>
      </c>
      <c r="L44" s="31">
        <v>111.345</v>
      </c>
      <c r="M44" s="31">
        <v>111.63500000000001</v>
      </c>
      <c r="N44" s="31">
        <v>126.438</v>
      </c>
      <c r="O44" s="31">
        <v>68.08</v>
      </c>
      <c r="P44" s="31">
        <v>67.572999999999993</v>
      </c>
      <c r="Q44" s="31">
        <v>73.364999999999995</v>
      </c>
      <c r="R44" s="31">
        <v>77.538000000000011</v>
      </c>
      <c r="S44" s="31">
        <v>88.927999999999997</v>
      </c>
      <c r="T44" s="31">
        <v>64.706999999999994</v>
      </c>
      <c r="U44" s="31">
        <v>94.528000000000006</v>
      </c>
      <c r="V44" s="31">
        <v>83.897000000000006</v>
      </c>
      <c r="W44" s="31">
        <v>85.278000000000006</v>
      </c>
      <c r="X44" s="31">
        <v>73.37299999999999</v>
      </c>
      <c r="Y44" s="31">
        <v>76.323999999999998</v>
      </c>
      <c r="Z44" s="31">
        <v>72.707999999999998</v>
      </c>
      <c r="AA44" s="31">
        <v>79.814999999999998</v>
      </c>
      <c r="AB44" s="31">
        <v>107.34399999999999</v>
      </c>
      <c r="AC44" s="31">
        <v>50.237000000000002</v>
      </c>
      <c r="AD44" s="31">
        <v>107.85400000000001</v>
      </c>
      <c r="AE44" s="31">
        <v>91.044000000000011</v>
      </c>
      <c r="AF44" s="31">
        <v>54.093000000000004</v>
      </c>
      <c r="AG44" s="31">
        <v>85.006366666666665</v>
      </c>
    </row>
    <row r="45" spans="1:33" x14ac:dyDescent="0.3">
      <c r="A45" s="12" t="s">
        <v>356</v>
      </c>
      <c r="B45" s="137">
        <v>20</v>
      </c>
      <c r="C45" s="31">
        <v>345.58500000000004</v>
      </c>
      <c r="D45" s="31">
        <v>294.12599999999998</v>
      </c>
      <c r="E45" s="31">
        <v>276.16000000000003</v>
      </c>
      <c r="F45" s="31">
        <v>334.21900000000005</v>
      </c>
      <c r="G45" s="31">
        <v>374.8159999999998</v>
      </c>
      <c r="H45" s="31">
        <v>350.60499999999985</v>
      </c>
      <c r="I45" s="31">
        <v>314.53400000000005</v>
      </c>
      <c r="J45" s="31">
        <v>322.35599999999988</v>
      </c>
      <c r="K45" s="31">
        <v>261.56300000000005</v>
      </c>
      <c r="L45" s="31">
        <v>313.27000000000004</v>
      </c>
      <c r="M45" s="31">
        <v>345.31599999999997</v>
      </c>
      <c r="N45" s="31">
        <v>297.13299999999998</v>
      </c>
      <c r="O45" s="31">
        <v>281.55199999999996</v>
      </c>
      <c r="P45" s="31">
        <v>321.00800000000015</v>
      </c>
      <c r="Q45" s="31">
        <v>295.70400000000001</v>
      </c>
      <c r="R45" s="31">
        <v>293.12599999999998</v>
      </c>
      <c r="S45" s="31">
        <v>329.97599999999994</v>
      </c>
      <c r="T45" s="31">
        <v>263.35500000000019</v>
      </c>
      <c r="U45" s="31">
        <v>295.93500000000006</v>
      </c>
      <c r="V45" s="31">
        <v>308.9020000000001</v>
      </c>
      <c r="W45" s="31">
        <v>301.61900000000009</v>
      </c>
      <c r="X45" s="31">
        <v>292.07100000000014</v>
      </c>
      <c r="Y45" s="31">
        <v>287.46000000000009</v>
      </c>
      <c r="Z45" s="31">
        <v>298.34199999999998</v>
      </c>
      <c r="AA45" s="31">
        <v>275.00300000000004</v>
      </c>
      <c r="AB45" s="31">
        <v>328.19699999999983</v>
      </c>
      <c r="AC45" s="31">
        <v>323.1690000000001</v>
      </c>
      <c r="AD45" s="31">
        <v>343.416</v>
      </c>
      <c r="AE45" s="31">
        <v>318.12899999999996</v>
      </c>
      <c r="AF45" s="31">
        <v>279.05800000000005</v>
      </c>
      <c r="AG45" s="31">
        <v>308.85683333333333</v>
      </c>
    </row>
    <row r="46" spans="1:33" x14ac:dyDescent="0.3">
      <c r="A46" s="12" t="s">
        <v>433</v>
      </c>
      <c r="B46" s="137">
        <v>1</v>
      </c>
      <c r="C46" s="31">
        <v>0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</row>
    <row r="47" spans="1:33" x14ac:dyDescent="0.3">
      <c r="A47" s="12" t="s">
        <v>229</v>
      </c>
      <c r="B47" s="137">
        <v>2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</row>
    <row r="48" spans="1:33" x14ac:dyDescent="0.3">
      <c r="A48" s="12" t="s">
        <v>233</v>
      </c>
      <c r="B48" s="137">
        <v>6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</row>
    <row r="49" spans="1:33" x14ac:dyDescent="0.3">
      <c r="A49" s="12" t="s">
        <v>458</v>
      </c>
      <c r="B49" s="137">
        <v>2</v>
      </c>
      <c r="C49" s="31">
        <v>0</v>
      </c>
      <c r="D49" s="31">
        <v>0</v>
      </c>
      <c r="E49" s="31">
        <v>1.724</v>
      </c>
      <c r="F49" s="31">
        <v>0</v>
      </c>
      <c r="G49" s="31">
        <v>1.6990000000000001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0.11410000000000001</v>
      </c>
    </row>
    <row r="50" spans="1:33" x14ac:dyDescent="0.3">
      <c r="A50" s="12" t="s">
        <v>224</v>
      </c>
      <c r="B50" s="137">
        <v>5</v>
      </c>
      <c r="C50" s="31">
        <v>39.577999999999996</v>
      </c>
      <c r="D50" s="31">
        <v>42.838999999999999</v>
      </c>
      <c r="E50" s="31">
        <v>37.337000000000003</v>
      </c>
      <c r="F50" s="31">
        <v>30.772999999999996</v>
      </c>
      <c r="G50" s="31">
        <v>42.578999999999994</v>
      </c>
      <c r="H50" s="31">
        <v>46.271000000000001</v>
      </c>
      <c r="I50" s="31">
        <v>47.967999999999996</v>
      </c>
      <c r="J50" s="31">
        <v>38.932000000000002</v>
      </c>
      <c r="K50" s="31">
        <v>34.926000000000002</v>
      </c>
      <c r="L50" s="31">
        <v>36.387</v>
      </c>
      <c r="M50" s="31">
        <v>32.303000000000004</v>
      </c>
      <c r="N50" s="31">
        <v>48.399000000000001</v>
      </c>
      <c r="O50" s="31">
        <v>46.381999999999998</v>
      </c>
      <c r="P50" s="31">
        <v>42.629999999999995</v>
      </c>
      <c r="Q50" s="31">
        <v>31.145</v>
      </c>
      <c r="R50" s="31">
        <v>29.143000000000001</v>
      </c>
      <c r="S50" s="31">
        <v>40.611999999999995</v>
      </c>
      <c r="T50" s="31">
        <v>37.927999999999997</v>
      </c>
      <c r="U50" s="31">
        <v>30.878</v>
      </c>
      <c r="V50" s="31">
        <v>29.676000000000002</v>
      </c>
      <c r="W50" s="31">
        <v>51.186999999999998</v>
      </c>
      <c r="X50" s="31">
        <v>25.361999999999998</v>
      </c>
      <c r="Y50" s="31">
        <v>29.998000000000001</v>
      </c>
      <c r="Z50" s="31">
        <v>49.575999999999993</v>
      </c>
      <c r="AA50" s="31">
        <v>30.748999999999999</v>
      </c>
      <c r="AB50" s="31">
        <v>50.061000000000007</v>
      </c>
      <c r="AC50" s="31">
        <v>49.148999999999994</v>
      </c>
      <c r="AD50" s="31">
        <v>28.239000000000001</v>
      </c>
      <c r="AE50" s="31">
        <v>52.198999999999998</v>
      </c>
      <c r="AF50" s="31">
        <v>28.663999999999998</v>
      </c>
      <c r="AG50" s="31">
        <v>38.729000000000006</v>
      </c>
    </row>
    <row r="51" spans="1:33" x14ac:dyDescent="0.3">
      <c r="A51" s="12" t="s">
        <v>230</v>
      </c>
      <c r="B51" s="137">
        <v>2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</row>
    <row r="52" spans="1:33" x14ac:dyDescent="0.3">
      <c r="A52" s="12" t="s">
        <v>231</v>
      </c>
      <c r="B52" s="137">
        <v>7</v>
      </c>
      <c r="C52" s="31">
        <v>0</v>
      </c>
      <c r="D52" s="31">
        <v>32.106000000000002</v>
      </c>
      <c r="E52" s="31">
        <v>63.647000000000013</v>
      </c>
      <c r="F52" s="31">
        <v>39.654000000000003</v>
      </c>
      <c r="G52" s="31">
        <v>42.555999999999997</v>
      </c>
      <c r="H52" s="31">
        <v>60.941000000000003</v>
      </c>
      <c r="I52" s="31">
        <v>8.1780000000000008</v>
      </c>
      <c r="J52" s="31">
        <v>11.576000000000001</v>
      </c>
      <c r="K52" s="31">
        <v>56.417999999999999</v>
      </c>
      <c r="L52" s="31">
        <v>82.926000000000002</v>
      </c>
      <c r="M52" s="31">
        <v>48.65</v>
      </c>
      <c r="N52" s="31">
        <v>65.061999999999998</v>
      </c>
      <c r="O52" s="31">
        <v>37.69</v>
      </c>
      <c r="P52" s="31">
        <v>7.1020000000000003</v>
      </c>
      <c r="Q52" s="31">
        <v>0</v>
      </c>
      <c r="R52" s="31">
        <v>11.579000000000001</v>
      </c>
      <c r="S52" s="31">
        <v>54.165999999999997</v>
      </c>
      <c r="T52" s="31">
        <v>75.150000000000006</v>
      </c>
      <c r="U52" s="31">
        <v>71.01700000000001</v>
      </c>
      <c r="V52" s="31">
        <v>65.515000000000001</v>
      </c>
      <c r="W52" s="31">
        <v>5.9219999999999997</v>
      </c>
      <c r="X52" s="31">
        <v>11.369</v>
      </c>
      <c r="Y52" s="31">
        <v>62.716000000000001</v>
      </c>
      <c r="Z52" s="31">
        <v>64.245999999999995</v>
      </c>
      <c r="AA52" s="31">
        <v>56.891999999999996</v>
      </c>
      <c r="AB52" s="31">
        <v>79.760000000000005</v>
      </c>
      <c r="AC52" s="31">
        <v>79.091999999999999</v>
      </c>
      <c r="AD52" s="31">
        <v>9.2349999999999994</v>
      </c>
      <c r="AE52" s="31">
        <v>20.042000000000002</v>
      </c>
      <c r="AF52" s="31">
        <v>50.882000000000005</v>
      </c>
      <c r="AG52" s="31">
        <v>42.469633333333334</v>
      </c>
    </row>
    <row r="53" spans="1:33" x14ac:dyDescent="0.3">
      <c r="A53" s="12" t="s">
        <v>207</v>
      </c>
      <c r="B53" s="137">
        <v>4</v>
      </c>
      <c r="C53" s="31">
        <v>41.396999999999998</v>
      </c>
      <c r="D53" s="31">
        <v>36.023000000000003</v>
      </c>
      <c r="E53" s="31">
        <v>75.021000000000001</v>
      </c>
      <c r="F53" s="31">
        <v>137.80799999999999</v>
      </c>
      <c r="G53" s="31">
        <v>144.00000000000003</v>
      </c>
      <c r="H53" s="31">
        <v>90.475999999999999</v>
      </c>
      <c r="I53" s="31">
        <v>56.683</v>
      </c>
      <c r="J53" s="31">
        <v>39.262999999999998</v>
      </c>
      <c r="K53" s="31">
        <v>55.631</v>
      </c>
      <c r="L53" s="31">
        <v>118.80300000000001</v>
      </c>
      <c r="M53" s="31">
        <v>62.966999999999999</v>
      </c>
      <c r="N53" s="31">
        <v>121.24400000000001</v>
      </c>
      <c r="O53" s="31">
        <v>94.904999999999987</v>
      </c>
      <c r="P53" s="31">
        <v>47.55899999999999</v>
      </c>
      <c r="Q53" s="31">
        <v>45.575000000000003</v>
      </c>
      <c r="R53" s="31">
        <v>88.885000000000005</v>
      </c>
      <c r="S53" s="31">
        <v>74.802999999999997</v>
      </c>
      <c r="T53" s="31">
        <v>123.36399999999999</v>
      </c>
      <c r="U53" s="31">
        <v>17.902999999999999</v>
      </c>
      <c r="V53" s="31">
        <v>56.379000000000005</v>
      </c>
      <c r="W53" s="31">
        <v>45.899000000000008</v>
      </c>
      <c r="X53" s="31">
        <v>133.05999999999997</v>
      </c>
      <c r="Y53" s="31">
        <v>123.24000000000002</v>
      </c>
      <c r="Z53" s="31">
        <v>40.379999999999995</v>
      </c>
      <c r="AA53" s="31">
        <v>44.489999999999995</v>
      </c>
      <c r="AB53" s="31">
        <v>29.25</v>
      </c>
      <c r="AC53" s="31">
        <v>70.707999999999998</v>
      </c>
      <c r="AD53" s="31">
        <v>83.08</v>
      </c>
      <c r="AE53" s="31">
        <v>71.375</v>
      </c>
      <c r="AF53" s="31">
        <v>75.637</v>
      </c>
      <c r="AG53" s="31">
        <v>74.860266666666675</v>
      </c>
    </row>
    <row r="54" spans="1:33" x14ac:dyDescent="0.3">
      <c r="A54" s="12" t="s">
        <v>214</v>
      </c>
      <c r="B54" s="137">
        <v>9</v>
      </c>
      <c r="C54" s="31">
        <v>173.15699999999998</v>
      </c>
      <c r="D54" s="31">
        <v>133.29000000000002</v>
      </c>
      <c r="E54" s="31">
        <v>174.60199999999998</v>
      </c>
      <c r="F54" s="31">
        <v>132.27500000000003</v>
      </c>
      <c r="G54" s="31">
        <v>205.84300000000002</v>
      </c>
      <c r="H54" s="31">
        <v>140.61199999999999</v>
      </c>
      <c r="I54" s="31">
        <v>93.287999999999982</v>
      </c>
      <c r="J54" s="31">
        <v>56.280999999999999</v>
      </c>
      <c r="K54" s="31">
        <v>185.76300000000006</v>
      </c>
      <c r="L54" s="31">
        <v>51.535999999999994</v>
      </c>
      <c r="M54" s="31">
        <v>85.881</v>
      </c>
      <c r="N54" s="31">
        <v>155.37000000000006</v>
      </c>
      <c r="O54" s="31">
        <v>97.294000000000011</v>
      </c>
      <c r="P54" s="31">
        <v>83.683999999999997</v>
      </c>
      <c r="Q54" s="31">
        <v>85.745999999999995</v>
      </c>
      <c r="R54" s="31">
        <v>155.98600000000002</v>
      </c>
      <c r="S54" s="31">
        <v>137.57599999999999</v>
      </c>
      <c r="T54" s="31">
        <v>73.512999999999991</v>
      </c>
      <c r="U54" s="31">
        <v>100.36100000000002</v>
      </c>
      <c r="V54" s="31">
        <v>138.37099999999998</v>
      </c>
      <c r="W54" s="31">
        <v>128.02799999999999</v>
      </c>
      <c r="X54" s="31">
        <v>148.48999999999995</v>
      </c>
      <c r="Y54" s="31">
        <v>106.402</v>
      </c>
      <c r="Z54" s="31">
        <v>88.286000000000016</v>
      </c>
      <c r="AA54" s="31">
        <v>104.04800000000002</v>
      </c>
      <c r="AB54" s="31">
        <v>111.92400000000002</v>
      </c>
      <c r="AC54" s="31">
        <v>139.64900000000003</v>
      </c>
      <c r="AD54" s="31">
        <v>158.11500000000001</v>
      </c>
      <c r="AE54" s="31">
        <v>140.03200000000001</v>
      </c>
      <c r="AF54" s="31">
        <v>133.10300000000004</v>
      </c>
      <c r="AG54" s="31">
        <v>123.95020000000001</v>
      </c>
    </row>
    <row r="55" spans="1:33" x14ac:dyDescent="0.3">
      <c r="A55" s="12" t="s">
        <v>431</v>
      </c>
      <c r="B55" s="137">
        <v>2</v>
      </c>
      <c r="C55" s="31">
        <v>0</v>
      </c>
      <c r="D55" s="31">
        <v>0</v>
      </c>
      <c r="E55" s="31">
        <v>22.314999999999998</v>
      </c>
      <c r="F55" s="31">
        <v>0</v>
      </c>
      <c r="G55" s="31">
        <v>1E-3</v>
      </c>
      <c r="H55" s="31">
        <v>5.7460000000000004</v>
      </c>
      <c r="I55" s="31">
        <v>0</v>
      </c>
      <c r="J55" s="31">
        <v>0</v>
      </c>
      <c r="K55" s="31">
        <v>20.027999999999999</v>
      </c>
      <c r="L55" s="31">
        <v>0</v>
      </c>
      <c r="M55" s="31">
        <v>25.433999999999997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7.4139999999999997</v>
      </c>
      <c r="V55" s="31">
        <v>0</v>
      </c>
      <c r="W55" s="31">
        <v>0</v>
      </c>
      <c r="X55" s="31">
        <v>0</v>
      </c>
      <c r="Y55" s="31">
        <v>17.429000000000002</v>
      </c>
      <c r="Z55" s="31">
        <v>1.8720000000000001</v>
      </c>
      <c r="AA55" s="31">
        <v>19.786000000000001</v>
      </c>
      <c r="AB55" s="31">
        <v>0</v>
      </c>
      <c r="AC55" s="31">
        <v>6.45</v>
      </c>
      <c r="AD55" s="31">
        <v>0</v>
      </c>
      <c r="AE55" s="31">
        <v>0</v>
      </c>
      <c r="AF55" s="31">
        <v>27.392000000000003</v>
      </c>
      <c r="AG55" s="31">
        <v>5.1289000000000007</v>
      </c>
    </row>
    <row r="56" spans="1:33" x14ac:dyDescent="0.3">
      <c r="A56" s="12" t="s">
        <v>457</v>
      </c>
      <c r="B56" s="137">
        <v>3</v>
      </c>
      <c r="C56" s="31">
        <v>40.920999999999999</v>
      </c>
      <c r="D56" s="31">
        <v>8.6789999999999985</v>
      </c>
      <c r="E56" s="31">
        <v>41.899000000000001</v>
      </c>
      <c r="F56" s="31">
        <v>25.221999999999998</v>
      </c>
      <c r="G56" s="31">
        <v>51.358999999999995</v>
      </c>
      <c r="H56" s="31">
        <v>34.425000000000004</v>
      </c>
      <c r="I56" s="31">
        <v>41.176000000000002</v>
      </c>
      <c r="J56" s="31">
        <v>37.561</v>
      </c>
      <c r="K56" s="31">
        <v>34.47</v>
      </c>
      <c r="L56" s="31">
        <v>40.823</v>
      </c>
      <c r="M56" s="31">
        <v>48.08700000000001</v>
      </c>
      <c r="N56" s="31">
        <v>56.440000000000005</v>
      </c>
      <c r="O56" s="31">
        <v>46.671999999999997</v>
      </c>
      <c r="P56" s="31">
        <v>48.245000000000005</v>
      </c>
      <c r="Q56" s="31">
        <v>32.701000000000001</v>
      </c>
      <c r="R56" s="31">
        <v>30.122</v>
      </c>
      <c r="S56" s="31">
        <v>23.956</v>
      </c>
      <c r="T56" s="31">
        <v>19.271000000000001</v>
      </c>
      <c r="U56" s="31">
        <v>36.826000000000001</v>
      </c>
      <c r="V56" s="31">
        <v>25.512999999999998</v>
      </c>
      <c r="W56" s="31">
        <v>33.363</v>
      </c>
      <c r="X56" s="31">
        <v>42.11</v>
      </c>
      <c r="Y56" s="31">
        <v>7.6219999999999999</v>
      </c>
      <c r="Z56" s="31">
        <v>50.503</v>
      </c>
      <c r="AA56" s="31">
        <v>17.236999999999998</v>
      </c>
      <c r="AB56" s="31">
        <v>36.388000000000005</v>
      </c>
      <c r="AC56" s="31">
        <v>6.4720000000000004</v>
      </c>
      <c r="AD56" s="31">
        <v>18.922999999999998</v>
      </c>
      <c r="AE56" s="31">
        <v>23.126000000000001</v>
      </c>
      <c r="AF56" s="31">
        <v>43.233000000000004</v>
      </c>
      <c r="AG56" s="31">
        <v>33.444833333333335</v>
      </c>
    </row>
    <row r="57" spans="1:33" x14ac:dyDescent="0.3">
      <c r="A57" s="12" t="s">
        <v>393</v>
      </c>
      <c r="B57" s="137">
        <v>40</v>
      </c>
      <c r="C57" s="31">
        <v>236.92699999999991</v>
      </c>
      <c r="D57" s="31">
        <v>216.78400000000002</v>
      </c>
      <c r="E57" s="31">
        <v>220.87699999999995</v>
      </c>
      <c r="F57" s="31">
        <v>155.601</v>
      </c>
      <c r="G57" s="31">
        <v>212.49899999999991</v>
      </c>
      <c r="H57" s="31">
        <v>202.28299999999987</v>
      </c>
      <c r="I57" s="31">
        <v>210.267</v>
      </c>
      <c r="J57" s="31">
        <v>420.98599999999993</v>
      </c>
      <c r="K57" s="31">
        <v>241.73599999999999</v>
      </c>
      <c r="L57" s="31">
        <v>144.11100000000002</v>
      </c>
      <c r="M57" s="31">
        <v>311.29900000000015</v>
      </c>
      <c r="N57" s="31">
        <v>257.96600000000001</v>
      </c>
      <c r="O57" s="31">
        <v>264.28699999999992</v>
      </c>
      <c r="P57" s="31">
        <v>385.08499999999992</v>
      </c>
      <c r="Q57" s="31">
        <v>605.64599999999996</v>
      </c>
      <c r="R57" s="31">
        <v>514.95500000000004</v>
      </c>
      <c r="S57" s="31">
        <v>372.99800000000005</v>
      </c>
      <c r="T57" s="31">
        <v>237.24099999999999</v>
      </c>
      <c r="U57" s="31">
        <v>190.85999999999996</v>
      </c>
      <c r="V57" s="31">
        <v>223.08600000000001</v>
      </c>
      <c r="W57" s="31">
        <v>424.81700000000012</v>
      </c>
      <c r="X57" s="31">
        <v>493.18300000000022</v>
      </c>
      <c r="Y57" s="31">
        <v>303.89000000000004</v>
      </c>
      <c r="Z57" s="31">
        <v>222.67300000000003</v>
      </c>
      <c r="AA57" s="31">
        <v>324.37200000000001</v>
      </c>
      <c r="AB57" s="31">
        <v>273.04899999999992</v>
      </c>
      <c r="AC57" s="31">
        <v>278.96400000000011</v>
      </c>
      <c r="AD57" s="31">
        <v>344.35600000000005</v>
      </c>
      <c r="AE57" s="31">
        <v>405.67400000000004</v>
      </c>
      <c r="AF57" s="31">
        <v>326.85599999999994</v>
      </c>
      <c r="AG57" s="31">
        <v>300.77760000000001</v>
      </c>
    </row>
    <row r="58" spans="1:33" x14ac:dyDescent="0.3">
      <c r="A58" s="12" t="s">
        <v>228</v>
      </c>
      <c r="B58" s="137">
        <v>1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</row>
    <row r="59" spans="1:33" x14ac:dyDescent="0.3">
      <c r="A59" s="12" t="s">
        <v>94</v>
      </c>
      <c r="B59" s="137">
        <v>2</v>
      </c>
      <c r="C59" s="31">
        <v>0</v>
      </c>
      <c r="D59" s="31">
        <v>0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31">
        <v>0</v>
      </c>
      <c r="AF59" s="31">
        <v>0</v>
      </c>
      <c r="AG59" s="31">
        <v>0</v>
      </c>
    </row>
    <row r="60" spans="1:33" x14ac:dyDescent="0.3">
      <c r="A60" s="12" t="s">
        <v>117</v>
      </c>
      <c r="B60" s="137">
        <v>1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31">
        <v>0</v>
      </c>
      <c r="AD60" s="31">
        <v>0</v>
      </c>
      <c r="AE60" s="31">
        <v>0</v>
      </c>
      <c r="AF60" s="31">
        <v>0</v>
      </c>
      <c r="AG60" s="31">
        <v>0</v>
      </c>
    </row>
    <row r="61" spans="1:33" x14ac:dyDescent="0.3">
      <c r="A61" s="12" t="s">
        <v>115</v>
      </c>
      <c r="B61" s="137">
        <v>1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</row>
    <row r="62" spans="1:33" x14ac:dyDescent="0.3">
      <c r="A62" s="12" t="s">
        <v>223</v>
      </c>
      <c r="B62" s="137">
        <v>2</v>
      </c>
      <c r="C62" s="31">
        <v>0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25.277000000000001</v>
      </c>
      <c r="V62" s="31">
        <v>0</v>
      </c>
      <c r="W62" s="31">
        <v>0</v>
      </c>
      <c r="X62" s="31">
        <v>11.349</v>
      </c>
      <c r="Y62" s="31">
        <v>0</v>
      </c>
      <c r="Z62" s="31">
        <v>0</v>
      </c>
      <c r="AA62" s="31">
        <v>0</v>
      </c>
      <c r="AB62" s="31">
        <v>0</v>
      </c>
      <c r="AC62" s="31">
        <v>0</v>
      </c>
      <c r="AD62" s="31">
        <v>0</v>
      </c>
      <c r="AE62" s="31">
        <v>0</v>
      </c>
      <c r="AF62" s="31">
        <v>19.390999999999998</v>
      </c>
      <c r="AG62" s="31">
        <v>1.8672333333333335</v>
      </c>
    </row>
    <row r="63" spans="1:33" x14ac:dyDescent="0.3">
      <c r="A63" s="12" t="s">
        <v>122</v>
      </c>
      <c r="B63" s="137">
        <v>3</v>
      </c>
      <c r="C63" s="31">
        <v>0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31">
        <v>0</v>
      </c>
      <c r="AD63" s="31">
        <v>0</v>
      </c>
      <c r="AE63" s="31">
        <v>0</v>
      </c>
      <c r="AF63" s="31">
        <v>0</v>
      </c>
      <c r="AG63" s="31">
        <v>0</v>
      </c>
    </row>
    <row r="64" spans="1:33" x14ac:dyDescent="0.3">
      <c r="A64" s="12" t="s">
        <v>143</v>
      </c>
      <c r="B64" s="137">
        <v>0</v>
      </c>
      <c r="C64" s="31">
        <v>0</v>
      </c>
      <c r="D64" s="31">
        <v>0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31">
        <v>0</v>
      </c>
      <c r="AF64" s="31">
        <v>0</v>
      </c>
      <c r="AG64" s="31">
        <v>0</v>
      </c>
    </row>
    <row r="65" spans="1:33" x14ac:dyDescent="0.3">
      <c r="A65" s="12" t="s">
        <v>208</v>
      </c>
      <c r="B65" s="137">
        <v>10</v>
      </c>
      <c r="C65" s="31">
        <v>89.941000000000003</v>
      </c>
      <c r="D65" s="31">
        <v>223.11699999999999</v>
      </c>
      <c r="E65" s="31">
        <v>164.61499999999998</v>
      </c>
      <c r="F65" s="31">
        <v>202.12799999999999</v>
      </c>
      <c r="G65" s="31">
        <v>207.39500000000001</v>
      </c>
      <c r="H65" s="31">
        <v>179.79000000000002</v>
      </c>
      <c r="I65" s="31">
        <v>125.77700000000002</v>
      </c>
      <c r="J65" s="31">
        <v>229.39600000000002</v>
      </c>
      <c r="K65" s="31">
        <v>177.46</v>
      </c>
      <c r="L65" s="31">
        <v>140.29</v>
      </c>
      <c r="M65" s="31">
        <v>194.18800000000002</v>
      </c>
      <c r="N65" s="31">
        <v>154.52599999999998</v>
      </c>
      <c r="O65" s="31">
        <v>215.44499999999999</v>
      </c>
      <c r="P65" s="31">
        <v>167.334</v>
      </c>
      <c r="Q65" s="31">
        <v>198.77599999999998</v>
      </c>
      <c r="R65" s="31">
        <v>169.64699999999999</v>
      </c>
      <c r="S65" s="31">
        <v>173.37799999999999</v>
      </c>
      <c r="T65" s="31">
        <v>182.33499999999998</v>
      </c>
      <c r="U65" s="31">
        <v>184.98400000000001</v>
      </c>
      <c r="V65" s="31">
        <v>138.01300000000001</v>
      </c>
      <c r="W65" s="31">
        <v>111.572</v>
      </c>
      <c r="X65" s="31">
        <v>230.56100000000001</v>
      </c>
      <c r="Y65" s="31">
        <v>151.34399999999999</v>
      </c>
      <c r="Z65" s="31">
        <v>149.41200000000001</v>
      </c>
      <c r="AA65" s="31">
        <v>185.42600000000002</v>
      </c>
      <c r="AB65" s="31">
        <v>162.16</v>
      </c>
      <c r="AC65" s="31">
        <v>179.37399999999997</v>
      </c>
      <c r="AD65" s="31">
        <v>167.92599999999999</v>
      </c>
      <c r="AE65" s="31">
        <v>155.51400000000001</v>
      </c>
      <c r="AF65" s="31">
        <v>172.79099999999997</v>
      </c>
      <c r="AG65" s="31">
        <v>172.82050000000001</v>
      </c>
    </row>
    <row r="66" spans="1:33" x14ac:dyDescent="0.3">
      <c r="A66" s="12" t="s">
        <v>244</v>
      </c>
      <c r="B66" s="137">
        <v>5</v>
      </c>
      <c r="C66" s="31">
        <v>16.847000000000001</v>
      </c>
      <c r="D66" s="31">
        <v>31.118999999999996</v>
      </c>
      <c r="E66" s="31">
        <v>24.811999999999994</v>
      </c>
      <c r="F66" s="31">
        <v>20.804000000000002</v>
      </c>
      <c r="G66" s="31">
        <v>33.994999999999997</v>
      </c>
      <c r="H66" s="31">
        <v>23.337999999999997</v>
      </c>
      <c r="I66" s="31">
        <v>20.692999999999998</v>
      </c>
      <c r="J66" s="31">
        <v>15.941999999999998</v>
      </c>
      <c r="K66" s="31">
        <v>29.269000000000002</v>
      </c>
      <c r="L66" s="31">
        <v>51.414999999999999</v>
      </c>
      <c r="M66" s="31">
        <v>50.63</v>
      </c>
      <c r="N66" s="31">
        <v>33.533000000000001</v>
      </c>
      <c r="O66" s="31">
        <v>22.273</v>
      </c>
      <c r="P66" s="31">
        <v>37.128</v>
      </c>
      <c r="Q66" s="31">
        <v>74.365000000000009</v>
      </c>
      <c r="R66" s="31">
        <v>24.960000000000004</v>
      </c>
      <c r="S66" s="31">
        <v>3.6190000000000002</v>
      </c>
      <c r="T66" s="31">
        <v>54.040000000000006</v>
      </c>
      <c r="U66" s="31">
        <v>33.130000000000003</v>
      </c>
      <c r="V66" s="31">
        <v>43.823</v>
      </c>
      <c r="W66" s="31">
        <v>25.902000000000001</v>
      </c>
      <c r="X66" s="31">
        <v>26.484000000000002</v>
      </c>
      <c r="Y66" s="31">
        <v>19.96</v>
      </c>
      <c r="Z66" s="31">
        <v>41.989000000000004</v>
      </c>
      <c r="AA66" s="31">
        <v>12.244999999999999</v>
      </c>
      <c r="AB66" s="31">
        <v>35.701000000000001</v>
      </c>
      <c r="AC66" s="31">
        <v>37.169999999999995</v>
      </c>
      <c r="AD66" s="31">
        <v>26.760999999999999</v>
      </c>
      <c r="AE66" s="31">
        <v>12.479000000000001</v>
      </c>
      <c r="AF66" s="31">
        <v>14.492999999999999</v>
      </c>
      <c r="AG66" s="31">
        <v>29.963966666666675</v>
      </c>
    </row>
    <row r="67" spans="1:33" x14ac:dyDescent="0.3">
      <c r="A67" s="12" t="s">
        <v>256</v>
      </c>
      <c r="B67" s="137">
        <v>6</v>
      </c>
      <c r="C67" s="31">
        <v>7.9490000000000007</v>
      </c>
      <c r="D67" s="31">
        <v>1.6949999999999998</v>
      </c>
      <c r="E67" s="31">
        <v>2.173</v>
      </c>
      <c r="F67" s="31">
        <v>0</v>
      </c>
      <c r="G67" s="31">
        <v>1E-3</v>
      </c>
      <c r="H67" s="31">
        <v>1E-3</v>
      </c>
      <c r="I67" s="31">
        <v>1E-3</v>
      </c>
      <c r="J67" s="31">
        <v>1E-3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</v>
      </c>
      <c r="AD67" s="31">
        <v>0</v>
      </c>
      <c r="AE67" s="31">
        <v>0</v>
      </c>
      <c r="AF67" s="31">
        <v>0</v>
      </c>
      <c r="AG67" s="31">
        <v>0.39403333333333329</v>
      </c>
    </row>
    <row r="68" spans="1:33" x14ac:dyDescent="0.3">
      <c r="A68" s="12" t="s">
        <v>196</v>
      </c>
      <c r="B68" s="137">
        <v>19</v>
      </c>
      <c r="C68" s="31">
        <v>234.91600000000003</v>
      </c>
      <c r="D68" s="31">
        <v>187.881</v>
      </c>
      <c r="E68" s="31">
        <v>145.94199999999998</v>
      </c>
      <c r="F68" s="31">
        <v>165.04499999999999</v>
      </c>
      <c r="G68" s="31">
        <v>125.03000000000002</v>
      </c>
      <c r="H68" s="31">
        <v>183.70400000000001</v>
      </c>
      <c r="I68" s="31">
        <v>195.77200000000005</v>
      </c>
      <c r="J68" s="31">
        <v>201.82699999999997</v>
      </c>
      <c r="K68" s="31">
        <v>178.66399999999999</v>
      </c>
      <c r="L68" s="31">
        <v>217.601</v>
      </c>
      <c r="M68" s="31">
        <v>188.68800000000002</v>
      </c>
      <c r="N68" s="31">
        <v>222.91100000000003</v>
      </c>
      <c r="O68" s="31">
        <v>217.62500000000006</v>
      </c>
      <c r="P68" s="31">
        <v>210.74499999999998</v>
      </c>
      <c r="Q68" s="31">
        <v>209.23</v>
      </c>
      <c r="R68" s="31">
        <v>224.87199999999999</v>
      </c>
      <c r="S68" s="31">
        <v>181.892</v>
      </c>
      <c r="T68" s="31">
        <v>173.02899999999997</v>
      </c>
      <c r="U68" s="31">
        <v>182.38700000000003</v>
      </c>
      <c r="V68" s="31">
        <v>221.58600000000004</v>
      </c>
      <c r="W68" s="31">
        <v>208.023</v>
      </c>
      <c r="X68" s="31">
        <v>214.172</v>
      </c>
      <c r="Y68" s="31">
        <v>184.13900000000001</v>
      </c>
      <c r="Z68" s="31">
        <v>148.62800000000001</v>
      </c>
      <c r="AA68" s="31">
        <v>188.87300000000002</v>
      </c>
      <c r="AB68" s="31">
        <v>279.83000000000004</v>
      </c>
      <c r="AC68" s="31">
        <v>257.74599999999998</v>
      </c>
      <c r="AD68" s="31">
        <v>246.07099999999997</v>
      </c>
      <c r="AE68" s="31">
        <v>241.68100000000001</v>
      </c>
      <c r="AF68" s="31">
        <v>171.49600000000004</v>
      </c>
      <c r="AG68" s="31">
        <v>200.33353333333332</v>
      </c>
    </row>
    <row r="69" spans="1:33" x14ac:dyDescent="0.3">
      <c r="A69" s="12" t="s">
        <v>352</v>
      </c>
      <c r="B69" s="137">
        <v>10</v>
      </c>
      <c r="C69" s="31">
        <v>145.624</v>
      </c>
      <c r="D69" s="31">
        <v>198.02100000000002</v>
      </c>
      <c r="E69" s="31">
        <v>206.24100000000001</v>
      </c>
      <c r="F69" s="31">
        <v>209.36699999999996</v>
      </c>
      <c r="G69" s="31">
        <v>208.63399999999996</v>
      </c>
      <c r="H69" s="31">
        <v>186.47700000000003</v>
      </c>
      <c r="I69" s="31">
        <v>202.07400000000001</v>
      </c>
      <c r="J69" s="31">
        <v>137.06399999999999</v>
      </c>
      <c r="K69" s="31">
        <v>211.48000000000005</v>
      </c>
      <c r="L69" s="31">
        <v>159.64200000000002</v>
      </c>
      <c r="M69" s="31">
        <v>180.72899999999998</v>
      </c>
      <c r="N69" s="31">
        <v>149.62100000000004</v>
      </c>
      <c r="O69" s="31">
        <v>152.66399999999999</v>
      </c>
      <c r="P69" s="31">
        <v>194.76</v>
      </c>
      <c r="Q69" s="31">
        <v>167.32000000000002</v>
      </c>
      <c r="R69" s="31">
        <v>109.43400000000001</v>
      </c>
      <c r="S69" s="31">
        <v>94.759000000000015</v>
      </c>
      <c r="T69" s="31">
        <v>93.678000000000011</v>
      </c>
      <c r="U69" s="31">
        <v>142.98699999999997</v>
      </c>
      <c r="V69" s="31">
        <v>174.87</v>
      </c>
      <c r="W69" s="31">
        <v>118.68100000000001</v>
      </c>
      <c r="X69" s="31">
        <v>211.98199999999997</v>
      </c>
      <c r="Y69" s="31">
        <v>174.33800000000002</v>
      </c>
      <c r="Z69" s="31">
        <v>193.77600000000001</v>
      </c>
      <c r="AA69" s="31">
        <v>241.43700000000001</v>
      </c>
      <c r="AB69" s="31">
        <v>121.40799999999999</v>
      </c>
      <c r="AC69" s="31">
        <v>244.98899999999998</v>
      </c>
      <c r="AD69" s="31">
        <v>140.012</v>
      </c>
      <c r="AE69" s="31">
        <v>193.10600000000002</v>
      </c>
      <c r="AF69" s="31">
        <v>192.91200000000001</v>
      </c>
      <c r="AG69" s="31">
        <v>171.93623333333338</v>
      </c>
    </row>
    <row r="70" spans="1:33" x14ac:dyDescent="0.3">
      <c r="A70" s="12" t="s">
        <v>174</v>
      </c>
      <c r="B70" s="137">
        <v>11</v>
      </c>
      <c r="C70" s="31">
        <v>175.32600000000002</v>
      </c>
      <c r="D70" s="31">
        <v>148.887</v>
      </c>
      <c r="E70" s="31">
        <v>182.68600000000001</v>
      </c>
      <c r="F70" s="31">
        <v>150.64400000000003</v>
      </c>
      <c r="G70" s="31">
        <v>99.769000000000034</v>
      </c>
      <c r="H70" s="31">
        <v>92.483000000000004</v>
      </c>
      <c r="I70" s="31">
        <v>160.14499999999998</v>
      </c>
      <c r="J70" s="31">
        <v>176.03700000000006</v>
      </c>
      <c r="K70" s="31">
        <v>155.45300000000012</v>
      </c>
      <c r="L70" s="31">
        <v>140.99699999999993</v>
      </c>
      <c r="M70" s="31">
        <v>105.21299999999999</v>
      </c>
      <c r="N70" s="31">
        <v>59.127999999999993</v>
      </c>
      <c r="O70" s="31">
        <v>179.90599999999995</v>
      </c>
      <c r="P70" s="31">
        <v>160.61700000000005</v>
      </c>
      <c r="Q70" s="31">
        <v>150.35100000000003</v>
      </c>
      <c r="R70" s="31">
        <v>165.26600000000008</v>
      </c>
      <c r="S70" s="31">
        <v>146.70100000000005</v>
      </c>
      <c r="T70" s="31">
        <v>186.38200000000003</v>
      </c>
      <c r="U70" s="31">
        <v>141.89500000000001</v>
      </c>
      <c r="V70" s="31">
        <v>149.37799999999999</v>
      </c>
      <c r="W70" s="31">
        <v>120.73200000000004</v>
      </c>
      <c r="X70" s="31">
        <v>144.43799999999993</v>
      </c>
      <c r="Y70" s="31">
        <v>162.55699999999999</v>
      </c>
      <c r="Z70" s="31">
        <v>136.59400000000005</v>
      </c>
      <c r="AA70" s="31">
        <v>109.00499999999998</v>
      </c>
      <c r="AB70" s="31">
        <v>145.78900000000004</v>
      </c>
      <c r="AC70" s="31">
        <v>87.102000000000004</v>
      </c>
      <c r="AD70" s="31">
        <v>71.807000000000002</v>
      </c>
      <c r="AE70" s="31">
        <v>96.054000000000016</v>
      </c>
      <c r="AF70" s="31">
        <v>122.19199999999998</v>
      </c>
      <c r="AG70" s="31">
        <v>137.45113333333333</v>
      </c>
    </row>
    <row r="71" spans="1:33" x14ac:dyDescent="0.3">
      <c r="A71" s="12" t="s">
        <v>417</v>
      </c>
      <c r="B71" s="137">
        <v>2</v>
      </c>
      <c r="C71" s="31">
        <v>15.059000000000001</v>
      </c>
      <c r="D71" s="31">
        <v>37.720999999999989</v>
      </c>
      <c r="E71" s="31">
        <v>21.076000000000001</v>
      </c>
      <c r="F71" s="31">
        <v>24.067999999999994</v>
      </c>
      <c r="G71" s="31">
        <v>25.645</v>
      </c>
      <c r="H71" s="31">
        <v>39.302</v>
      </c>
      <c r="I71" s="31">
        <v>9.8780000000000019</v>
      </c>
      <c r="J71" s="31">
        <v>32.277999999999999</v>
      </c>
      <c r="K71" s="31">
        <v>16.621000000000002</v>
      </c>
      <c r="L71" s="31">
        <v>19.360999999999997</v>
      </c>
      <c r="M71" s="31">
        <v>11.786999999999999</v>
      </c>
      <c r="N71" s="31">
        <v>28.513000000000005</v>
      </c>
      <c r="O71" s="31">
        <v>30.936</v>
      </c>
      <c r="P71" s="31">
        <v>20.606000000000002</v>
      </c>
      <c r="Q71" s="31">
        <v>20.881</v>
      </c>
      <c r="R71" s="31">
        <v>23.669999999999998</v>
      </c>
      <c r="S71" s="31">
        <v>19.678000000000001</v>
      </c>
      <c r="T71" s="31">
        <v>16.503</v>
      </c>
      <c r="U71" s="31">
        <v>4.516</v>
      </c>
      <c r="V71" s="31">
        <v>13.359000000000002</v>
      </c>
      <c r="W71" s="31">
        <v>11.542000000000002</v>
      </c>
      <c r="X71" s="31">
        <v>27.667999999999999</v>
      </c>
      <c r="Y71" s="31">
        <v>25.074999999999999</v>
      </c>
      <c r="Z71" s="31">
        <v>29.468</v>
      </c>
      <c r="AA71" s="31">
        <v>25.787000000000003</v>
      </c>
      <c r="AB71" s="31">
        <v>22.866</v>
      </c>
      <c r="AC71" s="31">
        <v>15.193999999999999</v>
      </c>
      <c r="AD71" s="31">
        <v>16.677999999999997</v>
      </c>
      <c r="AE71" s="31">
        <v>18.300999999999998</v>
      </c>
      <c r="AF71" s="31">
        <v>11.82</v>
      </c>
      <c r="AG71" s="31">
        <v>21.195233333333338</v>
      </c>
    </row>
    <row r="72" spans="1:33" x14ac:dyDescent="0.3">
      <c r="A72" s="12" t="s">
        <v>204</v>
      </c>
      <c r="B72" s="137">
        <v>6</v>
      </c>
      <c r="C72" s="31">
        <v>28.773999999999997</v>
      </c>
      <c r="D72" s="31">
        <v>29.403000000000002</v>
      </c>
      <c r="E72" s="31">
        <v>16.571999999999999</v>
      </c>
      <c r="F72" s="31">
        <v>43.639000000000003</v>
      </c>
      <c r="G72" s="31">
        <v>25.585999999999999</v>
      </c>
      <c r="H72" s="31">
        <v>43.534999999999997</v>
      </c>
      <c r="I72" s="31">
        <v>27.425000000000001</v>
      </c>
      <c r="J72" s="31">
        <v>25.255000000000003</v>
      </c>
      <c r="K72" s="31">
        <v>38.897999999999996</v>
      </c>
      <c r="L72" s="31">
        <v>29.588000000000001</v>
      </c>
      <c r="M72" s="31">
        <v>25.082000000000001</v>
      </c>
      <c r="N72" s="31">
        <v>32.894000000000005</v>
      </c>
      <c r="O72" s="31">
        <v>41.135999999999996</v>
      </c>
      <c r="P72" s="31">
        <v>18.449000000000002</v>
      </c>
      <c r="Q72" s="31">
        <v>19.498999999999999</v>
      </c>
      <c r="R72" s="31">
        <v>26.145000000000003</v>
      </c>
      <c r="S72" s="31">
        <v>23.296000000000003</v>
      </c>
      <c r="T72" s="31">
        <v>16.126000000000001</v>
      </c>
      <c r="U72" s="31">
        <v>21.763999999999999</v>
      </c>
      <c r="V72" s="31">
        <v>25.972999999999999</v>
      </c>
      <c r="W72" s="31">
        <v>27.048000000000002</v>
      </c>
      <c r="X72" s="31">
        <v>29.239000000000001</v>
      </c>
      <c r="Y72" s="31">
        <v>10.783000000000001</v>
      </c>
      <c r="Z72" s="31">
        <v>16.795999999999999</v>
      </c>
      <c r="AA72" s="31">
        <v>21.242000000000001</v>
      </c>
      <c r="AB72" s="31">
        <v>59.057000000000002</v>
      </c>
      <c r="AC72" s="31">
        <v>35.067999999999998</v>
      </c>
      <c r="AD72" s="31">
        <v>43.368000000000002</v>
      </c>
      <c r="AE72" s="31">
        <v>55.948999999999991</v>
      </c>
      <c r="AF72" s="31">
        <v>49.062000000000005</v>
      </c>
      <c r="AG72" s="31">
        <v>30.221700000000002</v>
      </c>
    </row>
    <row r="73" spans="1:33" x14ac:dyDescent="0.3">
      <c r="A73" s="12" t="s">
        <v>232</v>
      </c>
      <c r="B73" s="137">
        <v>20</v>
      </c>
      <c r="C73" s="31">
        <v>171.04400000000001</v>
      </c>
      <c r="D73" s="31">
        <v>189.82500000000002</v>
      </c>
      <c r="E73" s="31">
        <v>173.01900000000003</v>
      </c>
      <c r="F73" s="31">
        <v>188.25799999999998</v>
      </c>
      <c r="G73" s="31">
        <v>180.69099999999997</v>
      </c>
      <c r="H73" s="31">
        <v>166.85999999999999</v>
      </c>
      <c r="I73" s="31">
        <v>191.70700000000008</v>
      </c>
      <c r="J73" s="31">
        <v>213.042</v>
      </c>
      <c r="K73" s="31">
        <v>196.24199999999999</v>
      </c>
      <c r="L73" s="31">
        <v>224.53199999999995</v>
      </c>
      <c r="M73" s="31">
        <v>245.57699999999994</v>
      </c>
      <c r="N73" s="31">
        <v>227.56399999999999</v>
      </c>
      <c r="O73" s="31">
        <v>199.65800000000002</v>
      </c>
      <c r="P73" s="31">
        <v>168.19900000000004</v>
      </c>
      <c r="Q73" s="31">
        <v>178.17599999999996</v>
      </c>
      <c r="R73" s="31">
        <v>138.86400000000003</v>
      </c>
      <c r="S73" s="31">
        <v>197.76900000000001</v>
      </c>
      <c r="T73" s="31">
        <v>243.39799999999994</v>
      </c>
      <c r="U73" s="31">
        <v>247.52799999999993</v>
      </c>
      <c r="V73" s="31">
        <v>190.16399999999996</v>
      </c>
      <c r="W73" s="31">
        <v>197.04699999999997</v>
      </c>
      <c r="X73" s="31">
        <v>195.75800000000001</v>
      </c>
      <c r="Y73" s="31">
        <v>242.14099999999999</v>
      </c>
      <c r="Z73" s="31">
        <v>197.54500000000002</v>
      </c>
      <c r="AA73" s="31">
        <v>172.23</v>
      </c>
      <c r="AB73" s="31">
        <v>190.47</v>
      </c>
      <c r="AC73" s="31">
        <v>216.78299999999993</v>
      </c>
      <c r="AD73" s="31">
        <v>229.13299999999998</v>
      </c>
      <c r="AE73" s="31">
        <v>172.44299999999998</v>
      </c>
      <c r="AF73" s="31">
        <v>215.60399999999993</v>
      </c>
      <c r="AG73" s="31">
        <v>198.70903333333328</v>
      </c>
    </row>
    <row r="74" spans="1:33" x14ac:dyDescent="0.3">
      <c r="A74" s="12" t="s">
        <v>366</v>
      </c>
      <c r="B74" s="137">
        <v>5</v>
      </c>
      <c r="C74" s="31">
        <v>8.6000000000000007E-2</v>
      </c>
      <c r="D74" s="31">
        <v>3.0729999999999995</v>
      </c>
      <c r="E74" s="31">
        <v>20.143000000000001</v>
      </c>
      <c r="F74" s="31">
        <v>14.247999999999999</v>
      </c>
      <c r="G74" s="31">
        <v>88.571000000000012</v>
      </c>
      <c r="H74" s="31">
        <v>25.055</v>
      </c>
      <c r="I74" s="31">
        <v>35.860999999999997</v>
      </c>
      <c r="J74" s="31">
        <v>35.327999999999996</v>
      </c>
      <c r="K74" s="31">
        <v>6.6130000000000004</v>
      </c>
      <c r="L74" s="31">
        <v>12.558</v>
      </c>
      <c r="M74" s="31">
        <v>40.415999999999997</v>
      </c>
      <c r="N74" s="31">
        <v>49.501000000000005</v>
      </c>
      <c r="O74" s="31">
        <v>35.922000000000004</v>
      </c>
      <c r="P74" s="31">
        <v>12.280000000000001</v>
      </c>
      <c r="Q74" s="31">
        <v>9.6359999999999992</v>
      </c>
      <c r="R74" s="31">
        <v>0</v>
      </c>
      <c r="S74" s="31">
        <v>12.747</v>
      </c>
      <c r="T74" s="31">
        <v>3.617</v>
      </c>
      <c r="U74" s="31">
        <v>7.3339999999999996</v>
      </c>
      <c r="V74" s="31">
        <v>12.682</v>
      </c>
      <c r="W74" s="31">
        <v>22.531999999999996</v>
      </c>
      <c r="X74" s="31">
        <v>8.8209999999999997</v>
      </c>
      <c r="Y74" s="31">
        <v>3.0680000000000001</v>
      </c>
      <c r="Z74" s="31">
        <v>9.8429999999999982</v>
      </c>
      <c r="AA74" s="31">
        <v>4.4289999999999994</v>
      </c>
      <c r="AB74" s="31">
        <v>6.7409999999999997</v>
      </c>
      <c r="AC74" s="31">
        <v>3.8450000000000002</v>
      </c>
      <c r="AD74" s="31">
        <v>8.9600000000000009</v>
      </c>
      <c r="AE74" s="31">
        <v>11.571999999999999</v>
      </c>
      <c r="AF74" s="31">
        <v>2.6549999999999998</v>
      </c>
      <c r="AG74" s="31">
        <v>16.937899999999999</v>
      </c>
    </row>
    <row r="75" spans="1:33" x14ac:dyDescent="0.3">
      <c r="A75" s="12" t="s">
        <v>357</v>
      </c>
      <c r="B75" s="137">
        <v>1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31">
        <v>0</v>
      </c>
      <c r="AD75" s="31">
        <v>0</v>
      </c>
      <c r="AE75" s="31">
        <v>0</v>
      </c>
      <c r="AF75" s="31">
        <v>0</v>
      </c>
      <c r="AG75" s="31">
        <v>0</v>
      </c>
    </row>
    <row r="76" spans="1:33" x14ac:dyDescent="0.3">
      <c r="A76" s="12" t="s">
        <v>249</v>
      </c>
      <c r="B76" s="137">
        <v>8</v>
      </c>
      <c r="C76" s="31">
        <v>121.73400000000001</v>
      </c>
      <c r="D76" s="31">
        <v>147.65</v>
      </c>
      <c r="E76" s="31">
        <v>90.484999999999999</v>
      </c>
      <c r="F76" s="31">
        <v>108.93400000000001</v>
      </c>
      <c r="G76" s="31">
        <v>104.262</v>
      </c>
      <c r="H76" s="31">
        <v>120.94099999999997</v>
      </c>
      <c r="I76" s="31">
        <v>72.001000000000005</v>
      </c>
      <c r="J76" s="31">
        <v>23.885000000000005</v>
      </c>
      <c r="K76" s="31">
        <v>88.570000000000007</v>
      </c>
      <c r="L76" s="31">
        <v>94.318000000000026</v>
      </c>
      <c r="M76" s="31">
        <v>98.259</v>
      </c>
      <c r="N76" s="31">
        <v>81.290999999999997</v>
      </c>
      <c r="O76" s="31">
        <v>91.890000000000029</v>
      </c>
      <c r="P76" s="31">
        <v>96.083000000000013</v>
      </c>
      <c r="Q76" s="31">
        <v>52.711999999999996</v>
      </c>
      <c r="R76" s="31">
        <v>98.057000000000016</v>
      </c>
      <c r="S76" s="31">
        <v>82.137</v>
      </c>
      <c r="T76" s="31">
        <v>83.543999999999997</v>
      </c>
      <c r="U76" s="31">
        <v>85.352999999999994</v>
      </c>
      <c r="V76" s="31">
        <v>87.244000000000028</v>
      </c>
      <c r="W76" s="31">
        <v>67.704999999999998</v>
      </c>
      <c r="X76" s="31">
        <v>95.31</v>
      </c>
      <c r="Y76" s="31">
        <v>63.496000000000009</v>
      </c>
      <c r="Z76" s="31">
        <v>67.957000000000008</v>
      </c>
      <c r="AA76" s="31">
        <v>99.760999999999996</v>
      </c>
      <c r="AB76" s="31">
        <v>75.916999999999987</v>
      </c>
      <c r="AC76" s="31">
        <v>91.841000000000008</v>
      </c>
      <c r="AD76" s="31">
        <v>72.965999999999994</v>
      </c>
      <c r="AE76" s="31">
        <v>93.738</v>
      </c>
      <c r="AF76" s="31">
        <v>84.675000000000011</v>
      </c>
      <c r="AG76" s="31">
        <v>88.090533333333326</v>
      </c>
    </row>
    <row r="77" spans="1:33" x14ac:dyDescent="0.3">
      <c r="A77" s="12" t="s">
        <v>254</v>
      </c>
      <c r="B77" s="137">
        <v>10</v>
      </c>
      <c r="C77" s="31">
        <v>187.73900000000003</v>
      </c>
      <c r="D77" s="31">
        <v>212.52999999999994</v>
      </c>
      <c r="E77" s="31">
        <v>190.10700000000003</v>
      </c>
      <c r="F77" s="31">
        <v>178.38599999999997</v>
      </c>
      <c r="G77" s="31">
        <v>198.179</v>
      </c>
      <c r="H77" s="31">
        <v>154.31900000000007</v>
      </c>
      <c r="I77" s="31">
        <v>196.18</v>
      </c>
      <c r="J77" s="31">
        <v>187.03999999999996</v>
      </c>
      <c r="K77" s="31">
        <v>169.33100000000002</v>
      </c>
      <c r="L77" s="31">
        <v>202.58</v>
      </c>
      <c r="M77" s="31">
        <v>195.11600000000004</v>
      </c>
      <c r="N77" s="31">
        <v>199.39</v>
      </c>
      <c r="O77" s="31">
        <v>181.34200000000004</v>
      </c>
      <c r="P77" s="31">
        <v>118.529</v>
      </c>
      <c r="Q77" s="31">
        <v>157.35999999999999</v>
      </c>
      <c r="R77" s="31">
        <v>199.49400000000006</v>
      </c>
      <c r="S77" s="31">
        <v>200.452</v>
      </c>
      <c r="T77" s="31">
        <v>219.37800000000001</v>
      </c>
      <c r="U77" s="31">
        <v>191.87000000000003</v>
      </c>
      <c r="V77" s="31">
        <v>204.33199999999994</v>
      </c>
      <c r="W77" s="31">
        <v>203.68600000000001</v>
      </c>
      <c r="X77" s="31">
        <v>218.10199999999998</v>
      </c>
      <c r="Y77" s="31">
        <v>244.88500000000002</v>
      </c>
      <c r="Z77" s="31">
        <v>202.25700000000003</v>
      </c>
      <c r="AA77" s="31">
        <v>228.05100000000004</v>
      </c>
      <c r="AB77" s="31">
        <v>245.88200000000006</v>
      </c>
      <c r="AC77" s="31">
        <v>218.84</v>
      </c>
      <c r="AD77" s="31">
        <v>176.58</v>
      </c>
      <c r="AE77" s="31">
        <v>155.36199999999999</v>
      </c>
      <c r="AF77" s="31">
        <v>180.52600000000004</v>
      </c>
      <c r="AG77" s="31">
        <v>193.92750000000007</v>
      </c>
    </row>
    <row r="78" spans="1:33" x14ac:dyDescent="0.3">
      <c r="A78" s="12" t="s">
        <v>355</v>
      </c>
      <c r="B78" s="137">
        <v>10</v>
      </c>
      <c r="C78" s="31">
        <v>189.66899999999995</v>
      </c>
      <c r="D78" s="31">
        <v>180.45800000000008</v>
      </c>
      <c r="E78" s="31">
        <v>174.36399999999998</v>
      </c>
      <c r="F78" s="31">
        <v>184.16499999999994</v>
      </c>
      <c r="G78" s="31">
        <v>196.60400000000004</v>
      </c>
      <c r="H78" s="31">
        <v>178.08500000000001</v>
      </c>
      <c r="I78" s="31">
        <v>104.72999999999999</v>
      </c>
      <c r="J78" s="31">
        <v>161.66799999999995</v>
      </c>
      <c r="K78" s="31">
        <v>142.13499999999999</v>
      </c>
      <c r="L78" s="31">
        <v>251.70700000000005</v>
      </c>
      <c r="M78" s="31">
        <v>208.80800000000002</v>
      </c>
      <c r="N78" s="31">
        <v>200.96399999999994</v>
      </c>
      <c r="O78" s="31">
        <v>175.60200000000003</v>
      </c>
      <c r="P78" s="31">
        <v>168.94</v>
      </c>
      <c r="Q78" s="31">
        <v>205.268</v>
      </c>
      <c r="R78" s="31">
        <v>180.982</v>
      </c>
      <c r="S78" s="31">
        <v>158.91</v>
      </c>
      <c r="T78" s="31">
        <v>189.56100000000004</v>
      </c>
      <c r="U78" s="31">
        <v>195.05400000000003</v>
      </c>
      <c r="V78" s="31">
        <v>184.98200000000006</v>
      </c>
      <c r="W78" s="31">
        <v>131.83500000000006</v>
      </c>
      <c r="X78" s="31">
        <v>257.73399999999998</v>
      </c>
      <c r="Y78" s="31">
        <v>155.45099999999996</v>
      </c>
      <c r="Z78" s="31">
        <v>189.86999999999995</v>
      </c>
      <c r="AA78" s="31">
        <v>164.22200000000001</v>
      </c>
      <c r="AB78" s="31">
        <v>157.15200000000002</v>
      </c>
      <c r="AC78" s="31">
        <v>219.68899999999996</v>
      </c>
      <c r="AD78" s="31">
        <v>213.19799999999992</v>
      </c>
      <c r="AE78" s="31">
        <v>203.46799999999993</v>
      </c>
      <c r="AF78" s="31">
        <v>235.76799999999994</v>
      </c>
      <c r="AG78" s="31">
        <v>185.3681</v>
      </c>
    </row>
    <row r="79" spans="1:33" x14ac:dyDescent="0.3">
      <c r="A79" s="12" t="s">
        <v>270</v>
      </c>
      <c r="B79" s="137">
        <v>4</v>
      </c>
      <c r="C79" s="31">
        <v>4.9989999999999997</v>
      </c>
      <c r="D79" s="31">
        <v>75.750999999999991</v>
      </c>
      <c r="E79" s="31">
        <v>106.351</v>
      </c>
      <c r="F79" s="31">
        <v>91.838999999999999</v>
      </c>
      <c r="G79" s="31">
        <v>117.504</v>
      </c>
      <c r="H79" s="31">
        <v>117.73099999999999</v>
      </c>
      <c r="I79" s="31">
        <v>146.16999999999999</v>
      </c>
      <c r="J79" s="31">
        <v>79.543000000000006</v>
      </c>
      <c r="K79" s="31">
        <v>109.19200000000001</v>
      </c>
      <c r="L79" s="31">
        <v>77.36</v>
      </c>
      <c r="M79" s="31">
        <v>150.95599999999999</v>
      </c>
      <c r="N79" s="31">
        <v>68.38</v>
      </c>
      <c r="O79" s="31">
        <v>92.494</v>
      </c>
      <c r="P79" s="31">
        <v>95.147000000000006</v>
      </c>
      <c r="Q79" s="31">
        <v>55.370999999999995</v>
      </c>
      <c r="R79" s="31">
        <v>82.474999999999994</v>
      </c>
      <c r="S79" s="31">
        <v>83.119</v>
      </c>
      <c r="T79" s="31">
        <v>136.33499999999998</v>
      </c>
      <c r="U79" s="31">
        <v>139.869</v>
      </c>
      <c r="V79" s="31">
        <v>153.02199999999999</v>
      </c>
      <c r="W79" s="31">
        <v>83.917000000000002</v>
      </c>
      <c r="X79" s="31">
        <v>32.67</v>
      </c>
      <c r="Y79" s="31">
        <v>154.04899999999998</v>
      </c>
      <c r="Z79" s="31">
        <v>89.462999999999994</v>
      </c>
      <c r="AA79" s="31">
        <v>126.806</v>
      </c>
      <c r="AB79" s="31">
        <v>176.55799999999999</v>
      </c>
      <c r="AC79" s="31">
        <v>112.00700000000001</v>
      </c>
      <c r="AD79" s="31">
        <v>114.518</v>
      </c>
      <c r="AE79" s="31">
        <v>67.784999999999997</v>
      </c>
      <c r="AF79" s="31">
        <v>47.238</v>
      </c>
      <c r="AG79" s="31">
        <v>99.62063333333333</v>
      </c>
    </row>
    <row r="80" spans="1:33" x14ac:dyDescent="0.3">
      <c r="A80" s="12" t="s">
        <v>269</v>
      </c>
      <c r="B80" s="137">
        <v>7</v>
      </c>
      <c r="C80" s="31">
        <v>84.175000000000011</v>
      </c>
      <c r="D80" s="31">
        <v>155.58500000000001</v>
      </c>
      <c r="E80" s="31">
        <v>157.91099999999997</v>
      </c>
      <c r="F80" s="31">
        <v>128.95700000000002</v>
      </c>
      <c r="G80" s="31">
        <v>114.18200000000002</v>
      </c>
      <c r="H80" s="31">
        <v>109.288</v>
      </c>
      <c r="I80" s="31">
        <v>92.544000000000011</v>
      </c>
      <c r="J80" s="31">
        <v>173.66100000000003</v>
      </c>
      <c r="K80" s="31">
        <v>173.78100000000001</v>
      </c>
      <c r="L80" s="31">
        <v>154.625</v>
      </c>
      <c r="M80" s="31">
        <v>186.97800000000001</v>
      </c>
      <c r="N80" s="31">
        <v>170.953</v>
      </c>
      <c r="O80" s="31">
        <v>170.86100000000005</v>
      </c>
      <c r="P80" s="31">
        <v>234.47499999999997</v>
      </c>
      <c r="Q80" s="31">
        <v>189.09300000000002</v>
      </c>
      <c r="R80" s="31">
        <v>137.65700000000001</v>
      </c>
      <c r="S80" s="31">
        <v>156.55500000000004</v>
      </c>
      <c r="T80" s="31">
        <v>108.61099999999998</v>
      </c>
      <c r="U80" s="31">
        <v>130.13800000000003</v>
      </c>
      <c r="V80" s="31">
        <v>110.99000000000001</v>
      </c>
      <c r="W80" s="31">
        <v>208.29899999999998</v>
      </c>
      <c r="X80" s="31">
        <v>171.90800000000004</v>
      </c>
      <c r="Y80" s="31">
        <v>140.11699999999999</v>
      </c>
      <c r="Z80" s="31">
        <v>228.98099999999997</v>
      </c>
      <c r="AA80" s="31">
        <v>203.48600000000002</v>
      </c>
      <c r="AB80" s="31">
        <v>122.42099999999998</v>
      </c>
      <c r="AC80" s="31">
        <v>163.66999999999999</v>
      </c>
      <c r="AD80" s="31">
        <v>142.80899999999997</v>
      </c>
      <c r="AE80" s="31">
        <v>195.87200000000001</v>
      </c>
      <c r="AF80" s="31">
        <v>161.86399999999998</v>
      </c>
      <c r="AG80" s="31">
        <v>156.01489999999998</v>
      </c>
    </row>
    <row r="81" spans="1:33" x14ac:dyDescent="0.3">
      <c r="A81" s="12" t="s">
        <v>203</v>
      </c>
      <c r="B81" s="137">
        <v>30</v>
      </c>
      <c r="C81" s="31">
        <v>820.61599999999976</v>
      </c>
      <c r="D81" s="31">
        <v>858.53300000000002</v>
      </c>
      <c r="E81" s="31">
        <v>806.96900000000005</v>
      </c>
      <c r="F81" s="31">
        <v>671.14400000000001</v>
      </c>
      <c r="G81" s="31">
        <v>855.40299999999968</v>
      </c>
      <c r="H81" s="31">
        <v>823.08500000000026</v>
      </c>
      <c r="I81" s="31">
        <v>761.33300000000008</v>
      </c>
      <c r="J81" s="31">
        <v>523.48099999999999</v>
      </c>
      <c r="K81" s="31">
        <v>775.21300000000008</v>
      </c>
      <c r="L81" s="31">
        <v>970.45699999999988</v>
      </c>
      <c r="M81" s="31">
        <v>517.82099999999991</v>
      </c>
      <c r="N81" s="31">
        <v>602.327</v>
      </c>
      <c r="O81" s="31">
        <v>682.95200000000034</v>
      </c>
      <c r="P81" s="31">
        <v>746.02399999999966</v>
      </c>
      <c r="Q81" s="31">
        <v>851.23</v>
      </c>
      <c r="R81" s="31">
        <v>858.32100000000003</v>
      </c>
      <c r="S81" s="31">
        <v>819.2679999999998</v>
      </c>
      <c r="T81" s="31">
        <v>800.83299999999986</v>
      </c>
      <c r="U81" s="31">
        <v>725.66599999999983</v>
      </c>
      <c r="V81" s="31">
        <v>941.43299999999977</v>
      </c>
      <c r="W81" s="31">
        <v>826.31700000000046</v>
      </c>
      <c r="X81" s="31">
        <v>1045.7010000000002</v>
      </c>
      <c r="Y81" s="31">
        <v>808.29200000000026</v>
      </c>
      <c r="Z81" s="31">
        <v>856.13299999999981</v>
      </c>
      <c r="AA81" s="31">
        <v>876.03100000000018</v>
      </c>
      <c r="AB81" s="31">
        <v>927.14599999999939</v>
      </c>
      <c r="AC81" s="31">
        <v>1019.2670000000001</v>
      </c>
      <c r="AD81" s="31">
        <v>775.4879999999996</v>
      </c>
      <c r="AE81" s="31">
        <v>825.1579999999999</v>
      </c>
      <c r="AF81" s="31">
        <v>806.22699999999998</v>
      </c>
      <c r="AG81" s="31">
        <v>805.92896666666672</v>
      </c>
    </row>
    <row r="82" spans="1:33" x14ac:dyDescent="0.3">
      <c r="A82" s="12" t="s">
        <v>455</v>
      </c>
      <c r="B82" s="137">
        <v>5</v>
      </c>
      <c r="C82" s="31">
        <v>1.6860000000000002</v>
      </c>
      <c r="D82" s="31">
        <v>2.5859999999999999</v>
      </c>
      <c r="E82" s="31">
        <v>5.2089999999999996</v>
      </c>
      <c r="F82" s="31">
        <v>4.3570000000000002</v>
      </c>
      <c r="G82" s="31">
        <v>4.1900000000000004</v>
      </c>
      <c r="H82" s="31">
        <v>8.5719999999999992</v>
      </c>
      <c r="I82" s="31">
        <v>2.367</v>
      </c>
      <c r="J82" s="31">
        <v>1.51</v>
      </c>
      <c r="K82" s="31">
        <v>5.4239999999999995</v>
      </c>
      <c r="L82" s="31">
        <v>3.5140000000000002</v>
      </c>
      <c r="M82" s="31">
        <v>2.629</v>
      </c>
      <c r="N82" s="31">
        <v>7.729000000000001</v>
      </c>
      <c r="O82" s="31">
        <v>9.9349999999999987</v>
      </c>
      <c r="P82" s="31">
        <v>2.5019999999999998</v>
      </c>
      <c r="Q82" s="31">
        <v>14.371</v>
      </c>
      <c r="R82" s="31">
        <v>29.323999999999998</v>
      </c>
      <c r="S82" s="31">
        <v>7.101</v>
      </c>
      <c r="T82" s="31">
        <v>5.0000000000000001E-3</v>
      </c>
      <c r="U82" s="31">
        <v>16.618000000000002</v>
      </c>
      <c r="V82" s="31">
        <v>49.007000000000005</v>
      </c>
      <c r="W82" s="31">
        <v>29.430999999999997</v>
      </c>
      <c r="X82" s="31">
        <v>26.283999999999999</v>
      </c>
      <c r="Y82" s="31">
        <v>8.7029999999999994</v>
      </c>
      <c r="Z82" s="31">
        <v>23.145999999999997</v>
      </c>
      <c r="AA82" s="31">
        <v>16.901</v>
      </c>
      <c r="AB82" s="31">
        <v>3.6520000000000001</v>
      </c>
      <c r="AC82" s="31">
        <v>28.675000000000004</v>
      </c>
      <c r="AD82" s="31">
        <v>4.6849999999999996</v>
      </c>
      <c r="AE82" s="31">
        <v>10.200999999999999</v>
      </c>
      <c r="AF82" s="31">
        <v>16.698</v>
      </c>
      <c r="AG82" s="31">
        <v>11.567066666666667</v>
      </c>
    </row>
    <row r="83" spans="1:33" x14ac:dyDescent="0.3">
      <c r="A83" s="12" t="s">
        <v>283</v>
      </c>
      <c r="B83" s="137">
        <v>11</v>
      </c>
      <c r="C83" s="31">
        <v>48.14200000000001</v>
      </c>
      <c r="D83" s="31">
        <v>69.692999999999998</v>
      </c>
      <c r="E83" s="31">
        <v>74.492999999999981</v>
      </c>
      <c r="F83" s="31">
        <v>83.315999999999988</v>
      </c>
      <c r="G83" s="31">
        <v>83.465999999999994</v>
      </c>
      <c r="H83" s="31">
        <v>94.283000000000001</v>
      </c>
      <c r="I83" s="31">
        <v>98.764999999999986</v>
      </c>
      <c r="J83" s="31">
        <v>35.889000000000003</v>
      </c>
      <c r="K83" s="31">
        <v>51.100999999999992</v>
      </c>
      <c r="L83" s="31">
        <v>66.004999999999981</v>
      </c>
      <c r="M83" s="31">
        <v>85.300000000000011</v>
      </c>
      <c r="N83" s="31">
        <v>83.935999999999993</v>
      </c>
      <c r="O83" s="31">
        <v>60.75</v>
      </c>
      <c r="P83" s="31">
        <v>66.775000000000006</v>
      </c>
      <c r="Q83" s="31">
        <v>54.682000000000002</v>
      </c>
      <c r="R83" s="31">
        <v>53.575999999999993</v>
      </c>
      <c r="S83" s="31">
        <v>73.201999999999998</v>
      </c>
      <c r="T83" s="31">
        <v>70.847999999999999</v>
      </c>
      <c r="U83" s="31">
        <v>72.221000000000004</v>
      </c>
      <c r="V83" s="31">
        <v>54.978000000000009</v>
      </c>
      <c r="W83" s="31">
        <v>67.013999999999996</v>
      </c>
      <c r="X83" s="31">
        <v>53.688000000000002</v>
      </c>
      <c r="Y83" s="31">
        <v>45.417000000000009</v>
      </c>
      <c r="Z83" s="31">
        <v>62.415000000000006</v>
      </c>
      <c r="AA83" s="31">
        <v>89.965000000000003</v>
      </c>
      <c r="AB83" s="31">
        <v>65.872</v>
      </c>
      <c r="AC83" s="31">
        <v>71.371000000000009</v>
      </c>
      <c r="AD83" s="31">
        <v>73.098000000000013</v>
      </c>
      <c r="AE83" s="31">
        <v>63.147000000000006</v>
      </c>
      <c r="AF83" s="31">
        <v>73.991000000000014</v>
      </c>
      <c r="AG83" s="31">
        <v>68.246633333333335</v>
      </c>
    </row>
    <row r="84" spans="1:33" x14ac:dyDescent="0.3">
      <c r="A84" s="12" t="s">
        <v>318</v>
      </c>
      <c r="B84" s="137">
        <v>1</v>
      </c>
      <c r="C84" s="31">
        <v>0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0</v>
      </c>
      <c r="AC84" s="31">
        <v>0.97399999999999998</v>
      </c>
      <c r="AD84" s="31">
        <v>0</v>
      </c>
      <c r="AE84" s="31">
        <v>0</v>
      </c>
      <c r="AF84" s="31">
        <v>0</v>
      </c>
      <c r="AG84" s="31">
        <v>3.2466666666666665E-2</v>
      </c>
    </row>
    <row r="85" spans="1:33" x14ac:dyDescent="0.3">
      <c r="A85" s="12" t="s">
        <v>456</v>
      </c>
      <c r="B85" s="137">
        <v>4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31">
        <v>0</v>
      </c>
      <c r="AD85" s="31">
        <v>0</v>
      </c>
      <c r="AE85" s="31">
        <v>0</v>
      </c>
      <c r="AF85" s="31">
        <v>0</v>
      </c>
      <c r="AG85" s="31">
        <v>0</v>
      </c>
    </row>
    <row r="86" spans="1:33" x14ac:dyDescent="0.3">
      <c r="A86" s="12" t="s">
        <v>392</v>
      </c>
      <c r="B86" s="137">
        <v>9</v>
      </c>
      <c r="C86" s="31">
        <v>25.696000000000002</v>
      </c>
      <c r="D86" s="31">
        <v>39.603000000000002</v>
      </c>
      <c r="E86" s="31">
        <v>56.771999999999998</v>
      </c>
      <c r="F86" s="31">
        <v>38.718999999999994</v>
      </c>
      <c r="G86" s="31">
        <v>38.327999999999996</v>
      </c>
      <c r="H86" s="31">
        <v>47.253000000000014</v>
      </c>
      <c r="I86" s="31">
        <v>50.467999999999996</v>
      </c>
      <c r="J86" s="31">
        <v>2.5</v>
      </c>
      <c r="K86" s="31">
        <v>54.105000000000004</v>
      </c>
      <c r="L86" s="31">
        <v>28.616000000000003</v>
      </c>
      <c r="M86" s="31">
        <v>68.099000000000004</v>
      </c>
      <c r="N86" s="31">
        <v>42.602000000000004</v>
      </c>
      <c r="O86" s="31">
        <v>17.498000000000001</v>
      </c>
      <c r="P86" s="31">
        <v>30.131</v>
      </c>
      <c r="Q86" s="31">
        <v>44.482999999999997</v>
      </c>
      <c r="R86" s="31">
        <v>46.025000000000006</v>
      </c>
      <c r="S86" s="31">
        <v>73.167999999999992</v>
      </c>
      <c r="T86" s="31">
        <v>32.593000000000004</v>
      </c>
      <c r="U86" s="31">
        <v>21.701999999999998</v>
      </c>
      <c r="V86" s="31">
        <v>40.182000000000002</v>
      </c>
      <c r="W86" s="31">
        <v>20.507999999999996</v>
      </c>
      <c r="X86" s="31">
        <v>26.351000000000003</v>
      </c>
      <c r="Y86" s="31">
        <v>27.598000000000003</v>
      </c>
      <c r="Z86" s="31">
        <v>9.9450000000000003</v>
      </c>
      <c r="AA86" s="31">
        <v>30.845000000000006</v>
      </c>
      <c r="AB86" s="31">
        <v>41.423999999999999</v>
      </c>
      <c r="AC86" s="31">
        <v>28.379000000000001</v>
      </c>
      <c r="AD86" s="31">
        <v>35.893000000000001</v>
      </c>
      <c r="AE86" s="31">
        <v>59.153999999999996</v>
      </c>
      <c r="AF86" s="31">
        <v>34.646000000000001</v>
      </c>
      <c r="AG86" s="31">
        <v>37.109533333333324</v>
      </c>
    </row>
    <row r="87" spans="1:33" x14ac:dyDescent="0.3">
      <c r="A87" s="12" t="s">
        <v>247</v>
      </c>
      <c r="B87" s="137">
        <v>5</v>
      </c>
      <c r="C87" s="31">
        <v>17.268999999999998</v>
      </c>
      <c r="D87" s="31">
        <v>44.841999999999999</v>
      </c>
      <c r="E87" s="31">
        <v>28.908000000000001</v>
      </c>
      <c r="F87" s="31">
        <v>41.546999999999997</v>
      </c>
      <c r="G87" s="31">
        <v>18.448</v>
      </c>
      <c r="H87" s="31">
        <v>30.263999999999996</v>
      </c>
      <c r="I87" s="31">
        <v>10.449</v>
      </c>
      <c r="J87" s="31">
        <v>25.33</v>
      </c>
      <c r="K87" s="31">
        <v>24.196999999999996</v>
      </c>
      <c r="L87" s="31">
        <v>31.222000000000001</v>
      </c>
      <c r="M87" s="31">
        <v>15.100999999999999</v>
      </c>
      <c r="N87" s="31">
        <v>37.408000000000001</v>
      </c>
      <c r="O87" s="31">
        <v>27.732999999999997</v>
      </c>
      <c r="P87" s="31">
        <v>33.14</v>
      </c>
      <c r="Q87" s="31">
        <v>16.184000000000001</v>
      </c>
      <c r="R87" s="31">
        <v>30.344000000000001</v>
      </c>
      <c r="S87" s="31">
        <v>33.012</v>
      </c>
      <c r="T87" s="31">
        <v>25.726000000000003</v>
      </c>
      <c r="U87" s="31">
        <v>24.022999999999996</v>
      </c>
      <c r="V87" s="31">
        <v>26.166</v>
      </c>
      <c r="W87" s="31">
        <v>16.036000000000001</v>
      </c>
      <c r="X87" s="31">
        <v>32.171999999999997</v>
      </c>
      <c r="Y87" s="31">
        <v>25.643999999999998</v>
      </c>
      <c r="Z87" s="31">
        <v>37.533999999999992</v>
      </c>
      <c r="AA87" s="31">
        <v>17.260000000000002</v>
      </c>
      <c r="AB87" s="31">
        <v>36.340000000000003</v>
      </c>
      <c r="AC87" s="31">
        <v>25.510999999999999</v>
      </c>
      <c r="AD87" s="31">
        <v>18.28</v>
      </c>
      <c r="AE87" s="31">
        <v>37.521000000000001</v>
      </c>
      <c r="AF87" s="31">
        <v>20.183</v>
      </c>
      <c r="AG87" s="31">
        <v>26.92646666666667</v>
      </c>
    </row>
    <row r="88" spans="1:33" x14ac:dyDescent="0.3">
      <c r="A88" s="12" t="s">
        <v>354</v>
      </c>
      <c r="B88" s="137">
        <v>11</v>
      </c>
      <c r="C88" s="31">
        <v>152.27500000000003</v>
      </c>
      <c r="D88" s="31">
        <v>91.631</v>
      </c>
      <c r="E88" s="31">
        <v>147.13900000000004</v>
      </c>
      <c r="F88" s="31">
        <v>133.39500000000004</v>
      </c>
      <c r="G88" s="31">
        <v>92.875</v>
      </c>
      <c r="H88" s="31">
        <v>63.451000000000001</v>
      </c>
      <c r="I88" s="31">
        <v>140.88200000000001</v>
      </c>
      <c r="J88" s="31">
        <v>62.64</v>
      </c>
      <c r="K88" s="31">
        <v>67.534999999999997</v>
      </c>
      <c r="L88" s="31">
        <v>63.375000000000007</v>
      </c>
      <c r="M88" s="31">
        <v>143.15400000000002</v>
      </c>
      <c r="N88" s="31">
        <v>93.668999999999997</v>
      </c>
      <c r="O88" s="31">
        <v>137.50700000000001</v>
      </c>
      <c r="P88" s="31">
        <v>66.081999999999994</v>
      </c>
      <c r="Q88" s="31">
        <v>73.218000000000004</v>
      </c>
      <c r="R88" s="31">
        <v>81.749999999999986</v>
      </c>
      <c r="S88" s="31">
        <v>43.688000000000002</v>
      </c>
      <c r="T88" s="31">
        <v>65.28</v>
      </c>
      <c r="U88" s="31">
        <v>112.21799999999999</v>
      </c>
      <c r="V88" s="31">
        <v>139.44199999999998</v>
      </c>
      <c r="W88" s="31">
        <v>111.57899999999999</v>
      </c>
      <c r="X88" s="31">
        <v>86.15000000000002</v>
      </c>
      <c r="Y88" s="31">
        <v>135.63899999999998</v>
      </c>
      <c r="Z88" s="31">
        <v>154.80500000000004</v>
      </c>
      <c r="AA88" s="31">
        <v>110.42999999999999</v>
      </c>
      <c r="AB88" s="31">
        <v>131.32699999999997</v>
      </c>
      <c r="AC88" s="31">
        <v>147.624</v>
      </c>
      <c r="AD88" s="31">
        <v>79.662999999999997</v>
      </c>
      <c r="AE88" s="31">
        <v>146.27999999999997</v>
      </c>
      <c r="AF88" s="31">
        <v>115.88400000000001</v>
      </c>
      <c r="AG88" s="31">
        <v>106.35289999999999</v>
      </c>
    </row>
    <row r="89" spans="1:33" x14ac:dyDescent="0.3">
      <c r="A89" s="12" t="s">
        <v>216</v>
      </c>
      <c r="B89" s="137">
        <v>7</v>
      </c>
      <c r="C89" s="31">
        <v>212.25199999999998</v>
      </c>
      <c r="D89" s="31">
        <v>150.01399999999998</v>
      </c>
      <c r="E89" s="31">
        <v>193.50200000000001</v>
      </c>
      <c r="F89" s="31">
        <v>181.34999999999997</v>
      </c>
      <c r="G89" s="31">
        <v>182.65899999999996</v>
      </c>
      <c r="H89" s="31">
        <v>200.29300000000003</v>
      </c>
      <c r="I89" s="31">
        <v>48.769999999999996</v>
      </c>
      <c r="J89" s="31">
        <v>126.41700000000002</v>
      </c>
      <c r="K89" s="31">
        <v>120.07299999999999</v>
      </c>
      <c r="L89" s="31">
        <v>211.85099999999997</v>
      </c>
      <c r="M89" s="31">
        <v>193.41600000000005</v>
      </c>
      <c r="N89" s="31">
        <v>179.82300000000001</v>
      </c>
      <c r="O89" s="31">
        <v>205.00899999999999</v>
      </c>
      <c r="P89" s="31">
        <v>135.83799999999999</v>
      </c>
      <c r="Q89" s="31">
        <v>179.42999999999998</v>
      </c>
      <c r="R89" s="31">
        <v>146.36799999999999</v>
      </c>
      <c r="S89" s="31">
        <v>198.56299999999996</v>
      </c>
      <c r="T89" s="31">
        <v>176.18799999999999</v>
      </c>
      <c r="U89" s="31">
        <v>116.098</v>
      </c>
      <c r="V89" s="31">
        <v>156.76300000000001</v>
      </c>
      <c r="W89" s="31">
        <v>164.804</v>
      </c>
      <c r="X89" s="31">
        <v>186.142</v>
      </c>
      <c r="Y89" s="31">
        <v>134.745</v>
      </c>
      <c r="Z89" s="31">
        <v>148.40699999999998</v>
      </c>
      <c r="AA89" s="31">
        <v>151.80500000000001</v>
      </c>
      <c r="AB89" s="31">
        <v>172.87399999999997</v>
      </c>
      <c r="AC89" s="31">
        <v>133.43900000000002</v>
      </c>
      <c r="AD89" s="31">
        <v>201.34899999999999</v>
      </c>
      <c r="AE89" s="31">
        <v>200.16000000000003</v>
      </c>
      <c r="AF89" s="31">
        <v>211.04900000000006</v>
      </c>
      <c r="AG89" s="31">
        <v>167.31503333333333</v>
      </c>
    </row>
    <row r="90" spans="1:33" x14ac:dyDescent="0.3">
      <c r="A90" s="12" t="s">
        <v>243</v>
      </c>
      <c r="B90" s="137">
        <v>1</v>
      </c>
      <c r="C90" s="31">
        <v>0</v>
      </c>
      <c r="D90" s="31">
        <v>0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0</v>
      </c>
      <c r="Z90" s="31">
        <v>0</v>
      </c>
      <c r="AA90" s="31">
        <v>0</v>
      </c>
      <c r="AB90" s="31">
        <v>0</v>
      </c>
      <c r="AC90" s="31">
        <v>0</v>
      </c>
      <c r="AD90" s="31">
        <v>0</v>
      </c>
      <c r="AE90" s="31">
        <v>0</v>
      </c>
      <c r="AF90" s="31">
        <v>0</v>
      </c>
      <c r="AG90" s="31">
        <v>0</v>
      </c>
    </row>
    <row r="91" spans="1:33" x14ac:dyDescent="0.3">
      <c r="A91" s="12" t="s">
        <v>404</v>
      </c>
      <c r="B91" s="137">
        <v>1</v>
      </c>
      <c r="C91" s="31">
        <v>4.4870000000000001</v>
      </c>
      <c r="D91" s="31">
        <v>5.9849999999999994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31">
        <v>0</v>
      </c>
      <c r="AD91" s="31">
        <v>0</v>
      </c>
      <c r="AE91" s="31">
        <v>0</v>
      </c>
      <c r="AF91" s="31">
        <v>0</v>
      </c>
      <c r="AG91" s="31">
        <v>0.34906666666666664</v>
      </c>
    </row>
    <row r="92" spans="1:33" x14ac:dyDescent="0.3">
      <c r="A92" s="12" t="s">
        <v>323</v>
      </c>
      <c r="B92" s="137">
        <v>6</v>
      </c>
      <c r="C92" s="31">
        <v>6.1389999999999993</v>
      </c>
      <c r="D92" s="31">
        <v>19.858999999999998</v>
      </c>
      <c r="E92" s="31">
        <v>13.694999999999999</v>
      </c>
      <c r="F92" s="31">
        <v>7.2780000000000005</v>
      </c>
      <c r="G92" s="31">
        <v>16.777999999999999</v>
      </c>
      <c r="H92" s="31">
        <v>25.353999999999999</v>
      </c>
      <c r="I92" s="31">
        <v>24.957000000000001</v>
      </c>
      <c r="J92" s="31">
        <v>24.571999999999999</v>
      </c>
      <c r="K92" s="31">
        <v>0</v>
      </c>
      <c r="L92" s="31">
        <v>14.350999999999999</v>
      </c>
      <c r="M92" s="31">
        <v>42.4</v>
      </c>
      <c r="N92" s="31">
        <v>21.716999999999999</v>
      </c>
      <c r="O92" s="31">
        <v>15.754999999999999</v>
      </c>
      <c r="P92" s="31">
        <v>27.446999999999996</v>
      </c>
      <c r="Q92" s="31">
        <v>20.027999999999999</v>
      </c>
      <c r="R92" s="31">
        <v>0</v>
      </c>
      <c r="S92" s="31">
        <v>26.505000000000003</v>
      </c>
      <c r="T92" s="31">
        <v>23.368999999999996</v>
      </c>
      <c r="U92" s="31">
        <v>21.007999999999999</v>
      </c>
      <c r="V92" s="31">
        <v>53.169999999999995</v>
      </c>
      <c r="W92" s="31">
        <v>26.303999999999998</v>
      </c>
      <c r="X92" s="31">
        <v>34.658999999999999</v>
      </c>
      <c r="Y92" s="31">
        <v>5.8759999999999994</v>
      </c>
      <c r="Z92" s="31">
        <v>32.955000000000005</v>
      </c>
      <c r="AA92" s="31">
        <v>25.134</v>
      </c>
      <c r="AB92" s="31">
        <v>40.411000000000001</v>
      </c>
      <c r="AC92" s="31">
        <v>46.288000000000004</v>
      </c>
      <c r="AD92" s="31">
        <v>31.742000000000004</v>
      </c>
      <c r="AE92" s="31">
        <v>57.190000000000005</v>
      </c>
      <c r="AF92" s="31">
        <v>11.65</v>
      </c>
      <c r="AG92" s="31">
        <v>23.886366666666667</v>
      </c>
    </row>
    <row r="93" spans="1:33" x14ac:dyDescent="0.3">
      <c r="A93" s="12" t="s">
        <v>405</v>
      </c>
      <c r="B93" s="137">
        <v>4</v>
      </c>
      <c r="C93" s="31">
        <v>38.053999999999995</v>
      </c>
      <c r="D93" s="31">
        <v>59.119000000000007</v>
      </c>
      <c r="E93" s="31">
        <v>76.027000000000001</v>
      </c>
      <c r="F93" s="31">
        <v>47.798000000000002</v>
      </c>
      <c r="G93" s="31">
        <v>59.23899999999999</v>
      </c>
      <c r="H93" s="31">
        <v>47.055999999999997</v>
      </c>
      <c r="I93" s="31">
        <v>56.402999999999999</v>
      </c>
      <c r="J93" s="31">
        <v>69.572000000000003</v>
      </c>
      <c r="K93" s="31">
        <v>68.090999999999994</v>
      </c>
      <c r="L93" s="31">
        <v>47.136999999999993</v>
      </c>
      <c r="M93" s="31">
        <v>44.258000000000003</v>
      </c>
      <c r="N93" s="31">
        <v>53.529000000000003</v>
      </c>
      <c r="O93" s="31">
        <v>61.259</v>
      </c>
      <c r="P93" s="31">
        <v>54.095000000000006</v>
      </c>
      <c r="Q93" s="31">
        <v>56.370999999999995</v>
      </c>
      <c r="R93" s="31">
        <v>50.99</v>
      </c>
      <c r="S93" s="31">
        <v>63.897000000000006</v>
      </c>
      <c r="T93" s="31">
        <v>46.227000000000004</v>
      </c>
      <c r="U93" s="31">
        <v>47.95</v>
      </c>
      <c r="V93" s="31">
        <v>13.46</v>
      </c>
      <c r="W93" s="31">
        <v>76.185000000000016</v>
      </c>
      <c r="X93" s="31">
        <v>55.330000000000005</v>
      </c>
      <c r="Y93" s="31">
        <v>57.138999999999989</v>
      </c>
      <c r="Z93" s="31">
        <v>53.711999999999996</v>
      </c>
      <c r="AA93" s="31">
        <v>63.907999999999994</v>
      </c>
      <c r="AB93" s="31">
        <v>47.641999999999996</v>
      </c>
      <c r="AC93" s="31">
        <v>61.646999999999998</v>
      </c>
      <c r="AD93" s="31">
        <v>57.863</v>
      </c>
      <c r="AE93" s="31">
        <v>71.460000000000008</v>
      </c>
      <c r="AF93" s="31">
        <v>62.776000000000003</v>
      </c>
      <c r="AG93" s="31">
        <v>55.606466666666655</v>
      </c>
    </row>
    <row r="94" spans="1:33" x14ac:dyDescent="0.3">
      <c r="A94" s="12" t="s">
        <v>260</v>
      </c>
      <c r="B94" s="137">
        <v>10</v>
      </c>
      <c r="C94" s="31">
        <v>126.38400000000001</v>
      </c>
      <c r="D94" s="31">
        <v>240.89500000000004</v>
      </c>
      <c r="E94" s="31">
        <v>207.82100000000008</v>
      </c>
      <c r="F94" s="31">
        <v>218.64399999999995</v>
      </c>
      <c r="G94" s="31">
        <v>198.12000000000006</v>
      </c>
      <c r="H94" s="31">
        <v>137.48400000000001</v>
      </c>
      <c r="I94" s="31">
        <v>170.96199999999999</v>
      </c>
      <c r="J94" s="31">
        <v>96.511000000000024</v>
      </c>
      <c r="K94" s="31">
        <v>105.46900000000005</v>
      </c>
      <c r="L94" s="31">
        <v>186.167</v>
      </c>
      <c r="M94" s="31">
        <v>237.94400000000007</v>
      </c>
      <c r="N94" s="31">
        <v>144.53100000000001</v>
      </c>
      <c r="O94" s="31">
        <v>168.72899999999998</v>
      </c>
      <c r="P94" s="31">
        <v>143.62000000000003</v>
      </c>
      <c r="Q94" s="31">
        <v>184.77799999999996</v>
      </c>
      <c r="R94" s="31">
        <v>149.90700000000001</v>
      </c>
      <c r="S94" s="31">
        <v>126.03800000000001</v>
      </c>
      <c r="T94" s="31">
        <v>170.24300000000005</v>
      </c>
      <c r="U94" s="31">
        <v>160.30100000000002</v>
      </c>
      <c r="V94" s="31">
        <v>149.28100000000001</v>
      </c>
      <c r="W94" s="31">
        <v>203.86500000000004</v>
      </c>
      <c r="X94" s="31">
        <v>202.048</v>
      </c>
      <c r="Y94" s="31">
        <v>206.33999999999997</v>
      </c>
      <c r="Z94" s="31">
        <v>163.81800000000001</v>
      </c>
      <c r="AA94" s="31">
        <v>158.27800000000002</v>
      </c>
      <c r="AB94" s="31">
        <v>192.65399999999997</v>
      </c>
      <c r="AC94" s="31">
        <v>142.27300000000002</v>
      </c>
      <c r="AD94" s="31">
        <v>196.596</v>
      </c>
      <c r="AE94" s="31">
        <v>216.45400000000004</v>
      </c>
      <c r="AF94" s="31">
        <v>151.167</v>
      </c>
      <c r="AG94" s="31">
        <v>171.91073333333333</v>
      </c>
    </row>
    <row r="95" spans="1:33" x14ac:dyDescent="0.3">
      <c r="A95" s="12" t="s">
        <v>440</v>
      </c>
      <c r="B95" s="137">
        <v>2</v>
      </c>
      <c r="C95" s="31">
        <v>0</v>
      </c>
      <c r="D95" s="31">
        <v>28.974</v>
      </c>
      <c r="E95" s="31">
        <v>63.731000000000009</v>
      </c>
      <c r="F95" s="31">
        <v>95.056000000000012</v>
      </c>
      <c r="G95" s="31">
        <v>88.545999999999992</v>
      </c>
      <c r="H95" s="31">
        <v>146.404</v>
      </c>
      <c r="I95" s="31">
        <v>43.747</v>
      </c>
      <c r="J95" s="31">
        <v>14.117000000000001</v>
      </c>
      <c r="K95" s="31">
        <v>27.835000000000001</v>
      </c>
      <c r="L95" s="31">
        <v>64.919000000000011</v>
      </c>
      <c r="M95" s="31">
        <v>88.271000000000001</v>
      </c>
      <c r="N95" s="31">
        <v>118.21199999999999</v>
      </c>
      <c r="O95" s="31">
        <v>70.989999999999995</v>
      </c>
      <c r="P95" s="31">
        <v>44.287999999999997</v>
      </c>
      <c r="Q95" s="31">
        <v>23.627000000000002</v>
      </c>
      <c r="R95" s="31">
        <v>62.669000000000004</v>
      </c>
      <c r="S95" s="31">
        <v>89.447999999999993</v>
      </c>
      <c r="T95" s="31">
        <v>112.384</v>
      </c>
      <c r="U95" s="31">
        <v>143.85900000000001</v>
      </c>
      <c r="V95" s="31">
        <v>100.63500000000001</v>
      </c>
      <c r="W95" s="31">
        <v>45.504000000000005</v>
      </c>
      <c r="X95" s="31">
        <v>7.9649999999999999</v>
      </c>
      <c r="Y95" s="31">
        <v>50.403999999999996</v>
      </c>
      <c r="Z95" s="31">
        <v>113.706</v>
      </c>
      <c r="AA95" s="31">
        <v>177.31299999999999</v>
      </c>
      <c r="AB95" s="31">
        <v>203.99700000000001</v>
      </c>
      <c r="AC95" s="31">
        <v>160.47600000000003</v>
      </c>
      <c r="AD95" s="31">
        <v>81.478999999999999</v>
      </c>
      <c r="AE95" s="31">
        <v>46.870000000000005</v>
      </c>
      <c r="AF95" s="31">
        <v>137.40600000000001</v>
      </c>
      <c r="AG95" s="31">
        <v>81.76106666666665</v>
      </c>
    </row>
    <row r="96" spans="1:33" x14ac:dyDescent="0.3">
      <c r="A96" s="12" t="s">
        <v>110</v>
      </c>
      <c r="B96" s="137">
        <v>1</v>
      </c>
      <c r="C96" s="31">
        <v>0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</row>
    <row r="97" spans="1:33" x14ac:dyDescent="0.3">
      <c r="A97" s="12" t="s">
        <v>473</v>
      </c>
      <c r="B97" s="137">
        <v>6</v>
      </c>
      <c r="C97" s="31">
        <v>216.47199999999998</v>
      </c>
      <c r="D97" s="31">
        <v>300.61099999999999</v>
      </c>
      <c r="E97" s="31">
        <v>391.87300000000005</v>
      </c>
      <c r="F97" s="31">
        <v>511.70699999999999</v>
      </c>
      <c r="G97" s="31">
        <v>483.96099999999996</v>
      </c>
      <c r="H97" s="31">
        <v>496.70399999999995</v>
      </c>
      <c r="I97" s="31">
        <v>210.221</v>
      </c>
      <c r="J97" s="31">
        <v>224.065</v>
      </c>
      <c r="K97" s="31">
        <v>389.82599999999996</v>
      </c>
      <c r="L97" s="31">
        <v>560.61500000000001</v>
      </c>
      <c r="M97" s="31">
        <v>687.61300000000006</v>
      </c>
      <c r="N97" s="31">
        <v>623.21599999999989</v>
      </c>
      <c r="O97" s="31">
        <v>471.71599999999995</v>
      </c>
      <c r="P97" s="31">
        <v>239.62</v>
      </c>
      <c r="Q97" s="31">
        <v>216.88200000000001</v>
      </c>
      <c r="R97" s="31">
        <v>410.05599999999993</v>
      </c>
      <c r="S97" s="31">
        <v>420.935</v>
      </c>
      <c r="T97" s="31">
        <v>434.00400000000002</v>
      </c>
      <c r="U97" s="31">
        <v>503.76200000000006</v>
      </c>
      <c r="V97" s="31">
        <v>561.92000000000007</v>
      </c>
      <c r="W97" s="31">
        <v>268.50900000000001</v>
      </c>
      <c r="X97" s="31">
        <v>182.19799999999998</v>
      </c>
      <c r="Y97" s="31">
        <v>457.03100000000006</v>
      </c>
      <c r="Z97" s="31">
        <v>562.91399999999999</v>
      </c>
      <c r="AA97" s="31">
        <v>497.23099999999994</v>
      </c>
      <c r="AB97" s="31">
        <v>493.05499999999995</v>
      </c>
      <c r="AC97" s="31">
        <v>428.10500000000002</v>
      </c>
      <c r="AD97" s="31">
        <v>183.96500000000003</v>
      </c>
      <c r="AE97" s="31">
        <v>169.73999999999998</v>
      </c>
      <c r="AF97" s="31">
        <v>428.07499999999993</v>
      </c>
      <c r="AG97" s="31">
        <v>400.88673333333327</v>
      </c>
    </row>
    <row r="98" spans="1:33" x14ac:dyDescent="0.3">
      <c r="A98" s="12" t="s">
        <v>474</v>
      </c>
      <c r="B98" s="137">
        <v>5</v>
      </c>
      <c r="C98" s="31">
        <v>172.50900000000001</v>
      </c>
      <c r="D98" s="31">
        <v>178.30999999999997</v>
      </c>
      <c r="E98" s="31">
        <v>153.14099999999999</v>
      </c>
      <c r="F98" s="31">
        <v>185.119</v>
      </c>
      <c r="G98" s="31">
        <v>176.50100000000003</v>
      </c>
      <c r="H98" s="31">
        <v>137.94200000000001</v>
      </c>
      <c r="I98" s="31">
        <v>95.591000000000008</v>
      </c>
      <c r="J98" s="31">
        <v>129.12400000000002</v>
      </c>
      <c r="K98" s="31">
        <v>151.358</v>
      </c>
      <c r="L98" s="31">
        <v>113.36800000000002</v>
      </c>
      <c r="M98" s="31">
        <v>158.48700000000002</v>
      </c>
      <c r="N98" s="31">
        <v>148.24699999999996</v>
      </c>
      <c r="O98" s="31">
        <v>134.21000000000004</v>
      </c>
      <c r="P98" s="31">
        <v>140.21300000000002</v>
      </c>
      <c r="Q98" s="31">
        <v>149.571</v>
      </c>
      <c r="R98" s="31">
        <v>148.90100000000001</v>
      </c>
      <c r="S98" s="31">
        <v>133.55100000000002</v>
      </c>
      <c r="T98" s="31">
        <v>94.064000000000007</v>
      </c>
      <c r="U98" s="31">
        <v>143.33000000000001</v>
      </c>
      <c r="V98" s="31">
        <v>152.82300000000004</v>
      </c>
      <c r="W98" s="31">
        <v>153.09700000000001</v>
      </c>
      <c r="X98" s="31">
        <v>117.502</v>
      </c>
      <c r="Y98" s="31">
        <v>129.899</v>
      </c>
      <c r="Z98" s="31">
        <v>126.44100000000002</v>
      </c>
      <c r="AA98" s="31">
        <v>145.77199999999996</v>
      </c>
      <c r="AB98" s="31">
        <v>141.29299999999995</v>
      </c>
      <c r="AC98" s="31">
        <v>157.51300000000001</v>
      </c>
      <c r="AD98" s="31">
        <v>76.774999999999991</v>
      </c>
      <c r="AE98" s="31">
        <v>138.51799999999997</v>
      </c>
      <c r="AF98" s="31">
        <v>86.74499999999999</v>
      </c>
      <c r="AG98" s="31">
        <v>138.99716666666663</v>
      </c>
    </row>
    <row r="99" spans="1:33" x14ac:dyDescent="0.3">
      <c r="A99" s="12" t="s">
        <v>475</v>
      </c>
      <c r="B99" s="137">
        <v>4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5.2949999999999999</v>
      </c>
      <c r="Q99" s="31">
        <v>20.402999999999999</v>
      </c>
      <c r="R99" s="31">
        <v>87.835999999999999</v>
      </c>
      <c r="S99" s="31">
        <v>83.062000000000012</v>
      </c>
      <c r="T99" s="31">
        <v>27.676000000000002</v>
      </c>
      <c r="U99" s="31">
        <v>46.876999999999995</v>
      </c>
      <c r="V99" s="31">
        <v>57.167000000000002</v>
      </c>
      <c r="W99" s="31">
        <v>35.436</v>
      </c>
      <c r="X99" s="31">
        <v>88.728999999999999</v>
      </c>
      <c r="Y99" s="31">
        <v>48.389000000000003</v>
      </c>
      <c r="Z99" s="31">
        <v>57.555</v>
      </c>
      <c r="AA99" s="31">
        <v>114.12499999999999</v>
      </c>
      <c r="AB99" s="31">
        <v>118.02100000000002</v>
      </c>
      <c r="AC99" s="31">
        <v>12.113</v>
      </c>
      <c r="AD99" s="31">
        <v>73.125</v>
      </c>
      <c r="AE99" s="31">
        <v>70.76400000000001</v>
      </c>
      <c r="AF99" s="31">
        <v>89.037999999999982</v>
      </c>
      <c r="AG99" s="31">
        <v>34.520366666666661</v>
      </c>
    </row>
    <row r="100" spans="1:33" x14ac:dyDescent="0.3">
      <c r="A100" s="12" t="s">
        <v>477</v>
      </c>
      <c r="B100" s="137">
        <v>1</v>
      </c>
      <c r="C100" s="31"/>
      <c r="D100" s="31"/>
      <c r="E100" s="31"/>
      <c r="F100" s="31"/>
      <c r="G100" s="31"/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31">
        <v>0</v>
      </c>
      <c r="AD100" s="31">
        <v>0</v>
      </c>
      <c r="AE100" s="31">
        <v>0</v>
      </c>
      <c r="AF100" s="31">
        <v>0</v>
      </c>
      <c r="AG100" s="31">
        <v>0</v>
      </c>
    </row>
    <row r="101" spans="1:33" x14ac:dyDescent="0.3">
      <c r="A101" s="12" t="s">
        <v>484</v>
      </c>
      <c r="B101" s="137">
        <v>1</v>
      </c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31">
        <v>0</v>
      </c>
      <c r="AD101" s="31">
        <v>0</v>
      </c>
      <c r="AE101" s="31">
        <v>0</v>
      </c>
      <c r="AF101" s="31">
        <v>0</v>
      </c>
      <c r="AG101" s="31">
        <v>0</v>
      </c>
    </row>
    <row r="102" spans="1:33" x14ac:dyDescent="0.3">
      <c r="A102" s="12" t="s">
        <v>83</v>
      </c>
      <c r="B102" s="137">
        <v>745</v>
      </c>
      <c r="C102" s="31">
        <v>4738.2779999999993</v>
      </c>
      <c r="D102" s="31">
        <v>5282.7330000000002</v>
      </c>
      <c r="E102" s="31">
        <v>5417.6400000000012</v>
      </c>
      <c r="F102" s="31">
        <v>5399.0880000000006</v>
      </c>
      <c r="G102" s="31">
        <v>5753.1789999999992</v>
      </c>
      <c r="H102" s="31">
        <v>5566.2750000000005</v>
      </c>
      <c r="I102" s="31">
        <v>4661.2760000000017</v>
      </c>
      <c r="J102" s="31">
        <v>4517.3130000000001</v>
      </c>
      <c r="K102" s="31">
        <v>5070.6950000000015</v>
      </c>
      <c r="L102" s="31">
        <v>5669.4629999999997</v>
      </c>
      <c r="M102" s="31">
        <v>5926.313000000001</v>
      </c>
      <c r="N102" s="31">
        <v>5493.2450000000017</v>
      </c>
      <c r="O102" s="31">
        <v>5509.0430000000006</v>
      </c>
      <c r="P102" s="31">
        <v>5099.8990000000003</v>
      </c>
      <c r="Q102" s="31">
        <v>5374.6500000000005</v>
      </c>
      <c r="R102" s="31">
        <v>5531.9129999999996</v>
      </c>
      <c r="S102" s="31">
        <v>5432.7960000000003</v>
      </c>
      <c r="T102" s="31">
        <v>5356.938000000001</v>
      </c>
      <c r="U102" s="31">
        <v>5392.2259999999997</v>
      </c>
      <c r="V102" s="31">
        <v>5727.3960000000006</v>
      </c>
      <c r="W102" s="31">
        <v>5329.1970000000001</v>
      </c>
      <c r="X102" s="31">
        <v>5797.3589999999986</v>
      </c>
      <c r="Y102" s="31">
        <v>5503.2570000000023</v>
      </c>
      <c r="Z102" s="31">
        <v>5605.9430000000002</v>
      </c>
      <c r="AA102" s="31">
        <v>5917.8140000000021</v>
      </c>
      <c r="AB102" s="31">
        <v>6062.4879999999985</v>
      </c>
      <c r="AC102" s="31">
        <v>6022.5690000000013</v>
      </c>
      <c r="AD102" s="31">
        <v>5410.5549999999994</v>
      </c>
      <c r="AE102" s="31">
        <v>5643.0299999999988</v>
      </c>
      <c r="AF102" s="31">
        <v>5735.204999999999</v>
      </c>
      <c r="AG102" s="31">
        <v>5464.9258666666683</v>
      </c>
    </row>
    <row r="120" spans="1:31" x14ac:dyDescent="0.3">
      <c r="A120" s="80" t="s">
        <v>158</v>
      </c>
      <c r="B120" s="69" t="s">
        <v>462</v>
      </c>
      <c r="C120" s="69" t="s">
        <v>463</v>
      </c>
      <c r="D120" s="69" t="s">
        <v>464</v>
      </c>
      <c r="E120" s="69" t="s">
        <v>465</v>
      </c>
      <c r="F120" s="69" t="s">
        <v>466</v>
      </c>
      <c r="G120" s="69" t="s">
        <v>467</v>
      </c>
      <c r="H120" s="69" t="s">
        <v>468</v>
      </c>
      <c r="I120" s="69" t="s">
        <v>469</v>
      </c>
      <c r="J120" s="69" t="s">
        <v>470</v>
      </c>
      <c r="K120" s="69" t="s">
        <v>471</v>
      </c>
      <c r="L120" s="69" t="s">
        <v>472</v>
      </c>
      <c r="M120" s="69" t="s">
        <v>478</v>
      </c>
      <c r="N120" s="69" t="s">
        <v>479</v>
      </c>
      <c r="O120" s="69" t="s">
        <v>480</v>
      </c>
      <c r="P120" s="69" t="s">
        <v>481</v>
      </c>
      <c r="Q120" s="69" t="s">
        <v>482</v>
      </c>
      <c r="R120" s="69" t="s">
        <v>483</v>
      </c>
      <c r="S120" s="69" t="s">
        <v>485</v>
      </c>
      <c r="T120" s="69" t="s">
        <v>486</v>
      </c>
      <c r="U120" s="69" t="s">
        <v>487</v>
      </c>
      <c r="V120" s="69" t="s">
        <v>488</v>
      </c>
      <c r="W120" s="69" t="s">
        <v>489</v>
      </c>
      <c r="X120" s="69" t="s">
        <v>490</v>
      </c>
      <c r="Y120" s="69" t="s">
        <v>491</v>
      </c>
      <c r="Z120" s="69" t="s">
        <v>492</v>
      </c>
      <c r="AA120" s="69" t="s">
        <v>493</v>
      </c>
      <c r="AB120" s="69" t="s">
        <v>494</v>
      </c>
      <c r="AC120" s="69" t="s">
        <v>495</v>
      </c>
      <c r="AD120" s="69" t="s">
        <v>496</v>
      </c>
      <c r="AE120" s="69" t="s">
        <v>497</v>
      </c>
    </row>
    <row r="121" spans="1:31" x14ac:dyDescent="0.3">
      <c r="A121" s="69" t="s">
        <v>273</v>
      </c>
      <c r="B121" s="69">
        <v>4356.518</v>
      </c>
      <c r="C121" s="69">
        <v>4677.6170000000011</v>
      </c>
      <c r="D121" s="69">
        <v>4506.8599999999997</v>
      </c>
      <c r="E121" s="69">
        <v>4372.6350000000011</v>
      </c>
      <c r="F121" s="69">
        <v>4704.3929999999991</v>
      </c>
      <c r="G121" s="69">
        <v>4484.8020000000006</v>
      </c>
      <c r="H121" s="69">
        <v>4010.3809999999999</v>
      </c>
      <c r="I121" s="69">
        <v>4019.154</v>
      </c>
      <c r="J121" s="69">
        <v>4249.2250000000004</v>
      </c>
      <c r="K121" s="69">
        <v>4564.7800000000007</v>
      </c>
      <c r="L121" s="69">
        <v>4666.8760000000011</v>
      </c>
      <c r="M121" s="69">
        <v>4341.4139999999998</v>
      </c>
      <c r="N121" s="69">
        <v>4576.8560000000007</v>
      </c>
      <c r="O121" s="69">
        <v>4488.6320000000005</v>
      </c>
      <c r="P121" s="69">
        <v>4780.0050000000001</v>
      </c>
      <c r="Q121" s="69">
        <v>4669.5369999999994</v>
      </c>
      <c r="R121" s="69">
        <v>4451.9160000000011</v>
      </c>
      <c r="S121" s="69">
        <v>4276.0630000000001</v>
      </c>
      <c r="T121" s="69">
        <v>4222.2389999999996</v>
      </c>
      <c r="U121" s="69">
        <v>4505.6949999999997</v>
      </c>
      <c r="V121" s="69">
        <v>4623.0259999999989</v>
      </c>
      <c r="W121" s="69">
        <v>5132.3200000000006</v>
      </c>
      <c r="X121" s="69">
        <v>4423.6419999999989</v>
      </c>
      <c r="Y121" s="69">
        <v>4473.1310000000003</v>
      </c>
      <c r="Z121" s="69">
        <v>4650.2609999999995</v>
      </c>
      <c r="AA121" s="69">
        <v>4746.9509999999991</v>
      </c>
      <c r="AB121" s="69">
        <v>4900.1219999999994</v>
      </c>
      <c r="AC121" s="69">
        <v>4564.3989999999994</v>
      </c>
      <c r="AD121" s="69">
        <v>4871.6899999999996</v>
      </c>
      <c r="AE121" s="69">
        <v>4521.6470000000008</v>
      </c>
    </row>
    <row r="122" spans="1:31" x14ac:dyDescent="0.3">
      <c r="A122" s="69" t="s">
        <v>160</v>
      </c>
      <c r="B122" s="69">
        <v>381.76</v>
      </c>
      <c r="C122" s="69">
        <v>605.1160000000001</v>
      </c>
      <c r="D122" s="69">
        <v>910.78000000000009</v>
      </c>
      <c r="E122" s="69">
        <v>1026.453</v>
      </c>
      <c r="F122" s="69">
        <v>1048.7860000000001</v>
      </c>
      <c r="G122" s="69">
        <v>1081.4730000000002</v>
      </c>
      <c r="H122" s="69">
        <v>650.89499999999987</v>
      </c>
      <c r="I122" s="69">
        <v>498.15899999999999</v>
      </c>
      <c r="J122" s="69">
        <v>821.47000000000014</v>
      </c>
      <c r="K122" s="69">
        <v>1104.683</v>
      </c>
      <c r="L122" s="69">
        <v>1259.4369999999999</v>
      </c>
      <c r="M122" s="69">
        <v>1151.8309999999997</v>
      </c>
      <c r="N122" s="69">
        <v>932.18700000000001</v>
      </c>
      <c r="O122" s="69">
        <v>611.26699999999994</v>
      </c>
      <c r="P122" s="69">
        <v>594.6450000000001</v>
      </c>
      <c r="Q122" s="69">
        <v>862.37599999999998</v>
      </c>
      <c r="R122" s="69">
        <v>980.88</v>
      </c>
      <c r="S122" s="69">
        <v>1080.8750000000002</v>
      </c>
      <c r="T122" s="69">
        <v>1144.71</v>
      </c>
      <c r="U122" s="69">
        <v>1221.701</v>
      </c>
      <c r="V122" s="69">
        <v>706.17100000000016</v>
      </c>
      <c r="W122" s="69">
        <v>653.69000000000005</v>
      </c>
      <c r="X122" s="69">
        <v>1079.615</v>
      </c>
      <c r="Y122" s="69">
        <v>1132.8119999999999</v>
      </c>
      <c r="Z122" s="69">
        <v>1267.5530000000003</v>
      </c>
      <c r="AA122" s="69">
        <v>1315.537</v>
      </c>
      <c r="AB122" s="69">
        <v>1121.473</v>
      </c>
      <c r="AC122" s="69">
        <v>846.15599999999984</v>
      </c>
      <c r="AD122" s="69">
        <v>771.34000000000015</v>
      </c>
      <c r="AE122" s="69">
        <v>1194.1669999999999</v>
      </c>
    </row>
    <row r="123" spans="1:31" x14ac:dyDescent="0.3">
      <c r="A123" s="69" t="s">
        <v>272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25.277000000000001</v>
      </c>
      <c r="U123" s="69">
        <v>0</v>
      </c>
      <c r="V123" s="69">
        <v>0</v>
      </c>
      <c r="W123" s="69">
        <v>11.349</v>
      </c>
      <c r="X123" s="69">
        <v>0</v>
      </c>
      <c r="Y123" s="69">
        <v>0</v>
      </c>
      <c r="Z123" s="69">
        <v>0</v>
      </c>
      <c r="AA123" s="69">
        <v>0</v>
      </c>
      <c r="AB123" s="69">
        <v>0.97399999999999998</v>
      </c>
      <c r="AC123" s="69">
        <v>0</v>
      </c>
      <c r="AD123" s="69">
        <v>0</v>
      </c>
      <c r="AE123" s="69">
        <v>19.390999999999998</v>
      </c>
    </row>
    <row r="124" spans="1:31" x14ac:dyDescent="0.3">
      <c r="A124" s="69" t="s">
        <v>83</v>
      </c>
      <c r="B124" s="69">
        <v>4738.2780000000002</v>
      </c>
      <c r="C124" s="69">
        <v>5282.7330000000011</v>
      </c>
      <c r="D124" s="69">
        <v>5417.6399999999994</v>
      </c>
      <c r="E124" s="69">
        <v>5399.0880000000016</v>
      </c>
      <c r="F124" s="69">
        <v>5753.1789999999992</v>
      </c>
      <c r="G124" s="69">
        <v>5566.2750000000005</v>
      </c>
      <c r="H124" s="69">
        <v>4661.2759999999998</v>
      </c>
      <c r="I124" s="69">
        <v>4517.3130000000001</v>
      </c>
      <c r="J124" s="69">
        <v>5070.6950000000006</v>
      </c>
      <c r="K124" s="69">
        <v>5669.4630000000006</v>
      </c>
      <c r="L124" s="69">
        <v>5926.313000000001</v>
      </c>
      <c r="M124" s="69">
        <v>5493.244999999999</v>
      </c>
      <c r="N124" s="69">
        <v>5509.0430000000006</v>
      </c>
      <c r="O124" s="69">
        <v>5099.8990000000003</v>
      </c>
      <c r="P124" s="69">
        <v>5374.6500000000005</v>
      </c>
      <c r="Q124" s="69">
        <v>5531.9129999999996</v>
      </c>
      <c r="R124" s="69">
        <v>5432.7960000000012</v>
      </c>
      <c r="S124" s="69">
        <v>5356.9380000000001</v>
      </c>
      <c r="T124" s="69">
        <v>5392.2259999999997</v>
      </c>
      <c r="U124" s="69">
        <v>5727.3959999999997</v>
      </c>
      <c r="V124" s="69">
        <v>5329.1969999999992</v>
      </c>
      <c r="W124" s="69">
        <v>5797.3590000000004</v>
      </c>
      <c r="X124" s="69">
        <v>5503.2569999999987</v>
      </c>
      <c r="Y124" s="69">
        <v>5605.9430000000002</v>
      </c>
      <c r="Z124" s="69">
        <v>5917.8140000000003</v>
      </c>
      <c r="AA124" s="69">
        <v>6062.4879999999994</v>
      </c>
      <c r="AB124" s="69">
        <v>6022.5689999999995</v>
      </c>
      <c r="AC124" s="69">
        <v>5410.5549999999994</v>
      </c>
      <c r="AD124" s="69">
        <v>5643.03</v>
      </c>
      <c r="AE124" s="69">
        <v>5735.2049999999999</v>
      </c>
    </row>
  </sheetData>
  <pageMargins left="0.7" right="0.7" top="0.75" bottom="0.75" header="0.3" footer="0.3"/>
  <pageSetup orientation="portrait" r:id="rId3"/>
  <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O122"/>
  <sheetViews>
    <sheetView topLeftCell="A74" zoomScaleNormal="100" workbookViewId="0">
      <pane xSplit="8" topLeftCell="AI1" activePane="topRight" state="frozen"/>
      <selection activeCell="F29" sqref="F29"/>
      <selection pane="topRight" activeCell="A84" sqref="A84:XFD84"/>
    </sheetView>
  </sheetViews>
  <sheetFormatPr defaultRowHeight="14.4" x14ac:dyDescent="0.3"/>
  <cols>
    <col min="1" max="1" width="6.6640625" bestFit="1" customWidth="1"/>
    <col min="2" max="2" width="11" customWidth="1"/>
    <col min="3" max="3" width="35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14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39" width="10.44140625" customWidth="1"/>
    <col min="41" max="41" width="10.33203125" customWidth="1"/>
  </cols>
  <sheetData>
    <row r="1" spans="1:41" ht="30.75" customHeight="1" x14ac:dyDescent="0.3">
      <c r="A1" s="1" t="s">
        <v>0</v>
      </c>
      <c r="B1" s="2" t="s">
        <v>1</v>
      </c>
      <c r="C1" s="2" t="s">
        <v>394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45536</v>
      </c>
      <c r="K1" s="16">
        <v>45537</v>
      </c>
      <c r="L1" s="16">
        <v>45538</v>
      </c>
      <c r="M1" s="16">
        <v>45539</v>
      </c>
      <c r="N1" s="16">
        <v>45540</v>
      </c>
      <c r="O1" s="16">
        <v>45541</v>
      </c>
      <c r="P1" s="16">
        <v>45542</v>
      </c>
      <c r="Q1" s="16">
        <v>45543</v>
      </c>
      <c r="R1" s="16">
        <v>45544</v>
      </c>
      <c r="S1" s="16">
        <v>45545</v>
      </c>
      <c r="T1" s="16">
        <v>45546</v>
      </c>
      <c r="U1" s="16">
        <v>45547</v>
      </c>
      <c r="V1" s="16">
        <v>45548</v>
      </c>
      <c r="W1" s="16">
        <v>45549</v>
      </c>
      <c r="X1" s="16">
        <v>45550</v>
      </c>
      <c r="Y1" s="16">
        <v>45551</v>
      </c>
      <c r="Z1" s="16">
        <v>45552</v>
      </c>
      <c r="AA1" s="16">
        <v>45553</v>
      </c>
      <c r="AB1" s="16">
        <v>45554</v>
      </c>
      <c r="AC1" s="16">
        <v>45555</v>
      </c>
      <c r="AD1" s="16">
        <v>45556</v>
      </c>
      <c r="AE1" s="16">
        <v>45557</v>
      </c>
      <c r="AF1" s="16">
        <v>45558</v>
      </c>
      <c r="AG1" s="16">
        <v>45559</v>
      </c>
      <c r="AH1" s="16">
        <v>45560</v>
      </c>
      <c r="AI1" s="16">
        <v>45561</v>
      </c>
      <c r="AJ1" s="16">
        <v>45562</v>
      </c>
      <c r="AK1" s="16">
        <v>45563</v>
      </c>
      <c r="AL1" s="16">
        <v>45564</v>
      </c>
      <c r="AM1" s="16">
        <v>45565</v>
      </c>
      <c r="AN1" s="13" t="s">
        <v>8</v>
      </c>
      <c r="AO1" s="66" t="s">
        <v>154</v>
      </c>
    </row>
    <row r="2" spans="1:41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60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  <c r="S2" s="45">
        <v>0</v>
      </c>
      <c r="T2" s="45">
        <v>0</v>
      </c>
      <c r="U2" s="45">
        <v>0</v>
      </c>
      <c r="V2" s="45">
        <v>0</v>
      </c>
      <c r="W2" s="45">
        <v>0</v>
      </c>
      <c r="X2" s="45">
        <v>0</v>
      </c>
      <c r="Y2" s="45">
        <v>0</v>
      </c>
      <c r="Z2" s="45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12.329000000000001</v>
      </c>
      <c r="AK2" s="46">
        <v>47.629999999999995</v>
      </c>
      <c r="AL2" s="46">
        <v>88.439000000000007</v>
      </c>
      <c r="AM2" s="46">
        <v>75.812999999999988</v>
      </c>
      <c r="AN2" s="46">
        <f>AVERAGE(J2:AM2)</f>
        <v>7.4736999999999991</v>
      </c>
      <c r="AO2" s="7">
        <f t="shared" ref="AO2:AO33" si="0">AN2/H2</f>
        <v>1.2456166666666666</v>
      </c>
    </row>
    <row r="3" spans="1:41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46">
        <v>82.861999999999995</v>
      </c>
      <c r="K3" s="46">
        <v>78.40100000000001</v>
      </c>
      <c r="L3" s="46">
        <v>137.48400000000001</v>
      </c>
      <c r="M3" s="46">
        <v>98.559000000000012</v>
      </c>
      <c r="N3" s="46">
        <v>110.47200000000002</v>
      </c>
      <c r="O3" s="46">
        <v>110.02700000000002</v>
      </c>
      <c r="P3" s="46">
        <v>141.27500000000003</v>
      </c>
      <c r="Q3" s="46">
        <v>92.790999999999983</v>
      </c>
      <c r="R3" s="46">
        <v>121.93000000000004</v>
      </c>
      <c r="S3" s="46">
        <v>106.16800000000001</v>
      </c>
      <c r="T3" s="46">
        <v>123.88499999999999</v>
      </c>
      <c r="U3" s="46">
        <v>98.313000000000002</v>
      </c>
      <c r="V3" s="46">
        <v>115.44199999999999</v>
      </c>
      <c r="W3" s="46">
        <v>108.94400000000002</v>
      </c>
      <c r="X3" s="46">
        <v>118.26099999999998</v>
      </c>
      <c r="Y3" s="46">
        <v>51.86</v>
      </c>
      <c r="Z3" s="46">
        <v>135.76899999999998</v>
      </c>
      <c r="AA3" s="46">
        <v>112.05599999999998</v>
      </c>
      <c r="AB3" s="46">
        <v>131.67599999999999</v>
      </c>
      <c r="AC3" s="46">
        <v>122.53100000000001</v>
      </c>
      <c r="AD3" s="46">
        <v>141.03</v>
      </c>
      <c r="AE3" s="46">
        <v>134.56800000000001</v>
      </c>
      <c r="AF3" s="46">
        <v>123.71000000000001</v>
      </c>
      <c r="AG3" s="46">
        <v>113.39599999999999</v>
      </c>
      <c r="AH3" s="46">
        <v>175.61200000000002</v>
      </c>
      <c r="AI3" s="46">
        <v>159.51300000000001</v>
      </c>
      <c r="AJ3" s="46">
        <v>165.89400000000003</v>
      </c>
      <c r="AK3" s="46">
        <v>209.77899999999991</v>
      </c>
      <c r="AL3" s="46">
        <v>195.42800000000003</v>
      </c>
      <c r="AM3" s="46">
        <v>206.78199999999995</v>
      </c>
      <c r="AN3" s="46">
        <f t="shared" ref="AN3:AN66" si="1">AVERAGE(J3:AM3)</f>
        <v>127.48060000000004</v>
      </c>
      <c r="AO3" s="7">
        <f t="shared" si="0"/>
        <v>14.164511111111116</v>
      </c>
    </row>
    <row r="4" spans="1:41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46">
        <v>0</v>
      </c>
      <c r="K4" s="45">
        <v>0</v>
      </c>
      <c r="L4" s="45">
        <v>0</v>
      </c>
      <c r="M4" s="45">
        <v>0</v>
      </c>
      <c r="N4" s="45">
        <v>0</v>
      </c>
      <c r="O4" s="45">
        <v>0</v>
      </c>
      <c r="P4" s="45">
        <v>0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0</v>
      </c>
      <c r="Z4" s="45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f t="shared" si="1"/>
        <v>0</v>
      </c>
      <c r="AO4" s="7">
        <f t="shared" si="0"/>
        <v>0</v>
      </c>
    </row>
    <row r="5" spans="1:41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46">
        <v>105.88600000000002</v>
      </c>
      <c r="K5" s="46">
        <v>71.031999999999996</v>
      </c>
      <c r="L5" s="46">
        <v>101.642</v>
      </c>
      <c r="M5" s="46">
        <v>116.98000000000002</v>
      </c>
      <c r="N5" s="46">
        <v>70.117999999999995</v>
      </c>
      <c r="O5" s="46">
        <v>89.394000000000005</v>
      </c>
      <c r="P5" s="46">
        <v>112.349</v>
      </c>
      <c r="Q5" s="46">
        <v>53.173999999999999</v>
      </c>
      <c r="R5" s="46">
        <v>63.512</v>
      </c>
      <c r="S5" s="46">
        <v>111.345</v>
      </c>
      <c r="T5" s="46">
        <v>111.63500000000001</v>
      </c>
      <c r="U5" s="46">
        <v>126.438</v>
      </c>
      <c r="V5" s="46">
        <v>68.08</v>
      </c>
      <c r="W5" s="46">
        <v>67.572999999999993</v>
      </c>
      <c r="X5" s="46">
        <v>73.364999999999995</v>
      </c>
      <c r="Y5" s="46">
        <v>77.538000000000011</v>
      </c>
      <c r="Z5" s="46">
        <v>88.927999999999997</v>
      </c>
      <c r="AA5" s="46">
        <v>64.706999999999994</v>
      </c>
      <c r="AB5" s="46">
        <v>94.528000000000006</v>
      </c>
      <c r="AC5" s="46">
        <v>83.897000000000006</v>
      </c>
      <c r="AD5" s="46">
        <v>85.278000000000006</v>
      </c>
      <c r="AE5" s="46">
        <v>73.37299999999999</v>
      </c>
      <c r="AF5" s="46">
        <v>76.323999999999998</v>
      </c>
      <c r="AG5" s="46">
        <v>72.707999999999998</v>
      </c>
      <c r="AH5" s="46">
        <v>79.814999999999998</v>
      </c>
      <c r="AI5" s="46">
        <v>107.34399999999999</v>
      </c>
      <c r="AJ5" s="46">
        <v>50.237000000000002</v>
      </c>
      <c r="AK5" s="46">
        <v>107.85400000000001</v>
      </c>
      <c r="AL5" s="46">
        <v>91.044000000000011</v>
      </c>
      <c r="AM5" s="46">
        <v>54.093000000000004</v>
      </c>
      <c r="AN5" s="46">
        <f t="shared" si="1"/>
        <v>85.006366666666665</v>
      </c>
      <c r="AO5" s="7">
        <f t="shared" si="0"/>
        <v>10.625795833333333</v>
      </c>
    </row>
    <row r="6" spans="1:41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26</v>
      </c>
      <c r="I6" s="74" t="s">
        <v>273</v>
      </c>
      <c r="J6" s="46">
        <v>820.61599999999976</v>
      </c>
      <c r="K6" s="46">
        <v>858.53300000000002</v>
      </c>
      <c r="L6" s="46">
        <v>806.96900000000005</v>
      </c>
      <c r="M6" s="46">
        <v>671.14400000000001</v>
      </c>
      <c r="N6" s="46">
        <v>855.40299999999968</v>
      </c>
      <c r="O6" s="46">
        <v>811.47500000000025</v>
      </c>
      <c r="P6" s="46">
        <v>751.35300000000007</v>
      </c>
      <c r="Q6" s="46">
        <v>518.221</v>
      </c>
      <c r="R6" s="46">
        <v>762.76300000000015</v>
      </c>
      <c r="S6" s="46">
        <v>961.9369999999999</v>
      </c>
      <c r="T6" s="46">
        <v>517.82099999999991</v>
      </c>
      <c r="U6" s="46">
        <v>602.327</v>
      </c>
      <c r="V6" s="46">
        <v>682.95200000000034</v>
      </c>
      <c r="W6" s="46">
        <v>746.02399999999966</v>
      </c>
      <c r="X6" s="46">
        <v>851.23</v>
      </c>
      <c r="Y6" s="46">
        <v>858.32100000000003</v>
      </c>
      <c r="Z6" s="46">
        <v>819.2679999999998</v>
      </c>
      <c r="AA6" s="46">
        <v>800.83299999999986</v>
      </c>
      <c r="AB6" s="46">
        <v>725.66599999999983</v>
      </c>
      <c r="AC6" s="46">
        <v>941.43299999999977</v>
      </c>
      <c r="AD6" s="46">
        <v>826.31700000000046</v>
      </c>
      <c r="AE6" s="46">
        <v>1045.7010000000002</v>
      </c>
      <c r="AF6" s="46">
        <v>808.29200000000026</v>
      </c>
      <c r="AG6" s="46">
        <v>856.13299999999981</v>
      </c>
      <c r="AH6" s="46">
        <v>876.03100000000018</v>
      </c>
      <c r="AI6" s="46">
        <v>927.14599999999939</v>
      </c>
      <c r="AJ6" s="46">
        <v>1019.2670000000001</v>
      </c>
      <c r="AK6" s="46">
        <v>775.4879999999996</v>
      </c>
      <c r="AL6" s="46">
        <v>825.1579999999999</v>
      </c>
      <c r="AM6" s="46">
        <v>806.22699999999998</v>
      </c>
      <c r="AN6" s="46">
        <f t="shared" si="1"/>
        <v>804.33496666666679</v>
      </c>
      <c r="AO6" s="7">
        <f t="shared" si="0"/>
        <v>30.935960256410262</v>
      </c>
    </row>
    <row r="7" spans="1:41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46">
        <v>4.38</v>
      </c>
      <c r="P7" s="46">
        <v>9.98</v>
      </c>
      <c r="Q7" s="46">
        <v>5.26</v>
      </c>
      <c r="R7" s="46">
        <v>6.66</v>
      </c>
      <c r="S7" s="46">
        <v>8.52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f t="shared" si="1"/>
        <v>1.1599999999999999</v>
      </c>
      <c r="AO7" s="7">
        <f t="shared" si="0"/>
        <v>1.1599999999999999</v>
      </c>
    </row>
    <row r="8" spans="1:41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64</v>
      </c>
      <c r="G8" s="6" t="s">
        <v>80</v>
      </c>
      <c r="H8" s="5">
        <v>1</v>
      </c>
      <c r="I8" s="74" t="s">
        <v>273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7.23</v>
      </c>
      <c r="P8" s="46">
        <v>0</v>
      </c>
      <c r="Q8" s="46">
        <v>0</v>
      </c>
      <c r="R8" s="46">
        <v>5.7900000000000009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f t="shared" si="1"/>
        <v>0.43400000000000005</v>
      </c>
      <c r="AO8" s="7">
        <f t="shared" si="0"/>
        <v>0.43400000000000005</v>
      </c>
    </row>
    <row r="9" spans="1:41" ht="15.6" x14ac:dyDescent="0.3">
      <c r="A9" s="5">
        <v>8</v>
      </c>
      <c r="B9" s="6" t="s">
        <v>9</v>
      </c>
      <c r="C9" s="12" t="s">
        <v>203</v>
      </c>
      <c r="D9" s="6" t="s">
        <v>128</v>
      </c>
      <c r="E9" s="6" t="s">
        <v>12</v>
      </c>
      <c r="F9" s="6" t="s">
        <v>124</v>
      </c>
      <c r="G9" s="6" t="s">
        <v>80</v>
      </c>
      <c r="H9" s="5">
        <v>2</v>
      </c>
      <c r="I9" s="74" t="s">
        <v>273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5">
        <v>0</v>
      </c>
      <c r="Q9" s="45">
        <v>0</v>
      </c>
      <c r="R9" s="45">
        <v>0</v>
      </c>
      <c r="S9" s="45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f t="shared" si="1"/>
        <v>0</v>
      </c>
      <c r="AO9" s="7">
        <f t="shared" si="0"/>
        <v>0</v>
      </c>
    </row>
    <row r="10" spans="1:41" ht="15.6" x14ac:dyDescent="0.3">
      <c r="A10" s="5">
        <v>9</v>
      </c>
      <c r="B10" s="6" t="s">
        <v>9</v>
      </c>
      <c r="C10" s="12" t="s">
        <v>204</v>
      </c>
      <c r="D10" s="6" t="s">
        <v>128</v>
      </c>
      <c r="E10" s="6" t="s">
        <v>12</v>
      </c>
      <c r="F10" s="6" t="s">
        <v>13</v>
      </c>
      <c r="G10" s="6" t="s">
        <v>35</v>
      </c>
      <c r="H10" s="5">
        <v>6</v>
      </c>
      <c r="I10" s="74" t="s">
        <v>273</v>
      </c>
      <c r="J10" s="46">
        <v>28.773999999999997</v>
      </c>
      <c r="K10" s="46">
        <v>29.403000000000002</v>
      </c>
      <c r="L10" s="46">
        <v>16.571999999999999</v>
      </c>
      <c r="M10" s="46">
        <v>43.639000000000003</v>
      </c>
      <c r="N10" s="46">
        <v>25.585999999999999</v>
      </c>
      <c r="O10" s="46">
        <v>43.534999999999997</v>
      </c>
      <c r="P10" s="46">
        <v>27.425000000000001</v>
      </c>
      <c r="Q10" s="46">
        <v>25.255000000000003</v>
      </c>
      <c r="R10" s="46">
        <v>38.897999999999996</v>
      </c>
      <c r="S10" s="46">
        <v>29.588000000000001</v>
      </c>
      <c r="T10" s="46">
        <v>25.082000000000001</v>
      </c>
      <c r="U10" s="46">
        <v>32.894000000000005</v>
      </c>
      <c r="V10" s="46">
        <v>41.135999999999996</v>
      </c>
      <c r="W10" s="46">
        <v>18.449000000000002</v>
      </c>
      <c r="X10" s="46">
        <v>19.498999999999999</v>
      </c>
      <c r="Y10" s="46">
        <v>26.145000000000003</v>
      </c>
      <c r="Z10" s="46">
        <v>23.296000000000003</v>
      </c>
      <c r="AA10" s="46">
        <v>16.126000000000001</v>
      </c>
      <c r="AB10" s="46">
        <v>21.763999999999999</v>
      </c>
      <c r="AC10" s="46">
        <v>25.972999999999999</v>
      </c>
      <c r="AD10" s="46">
        <v>27.048000000000002</v>
      </c>
      <c r="AE10" s="46">
        <v>29.239000000000001</v>
      </c>
      <c r="AF10" s="46">
        <v>10.783000000000001</v>
      </c>
      <c r="AG10" s="46">
        <v>16.795999999999999</v>
      </c>
      <c r="AH10" s="46">
        <v>21.242000000000001</v>
      </c>
      <c r="AI10" s="46">
        <v>59.057000000000002</v>
      </c>
      <c r="AJ10" s="46">
        <v>35.067999999999998</v>
      </c>
      <c r="AK10" s="46">
        <v>43.368000000000002</v>
      </c>
      <c r="AL10" s="46">
        <v>55.948999999999991</v>
      </c>
      <c r="AM10" s="46">
        <v>49.062000000000005</v>
      </c>
      <c r="AN10" s="46">
        <f t="shared" si="1"/>
        <v>30.221700000000002</v>
      </c>
      <c r="AO10" s="7">
        <f t="shared" si="0"/>
        <v>5.03695</v>
      </c>
    </row>
    <row r="11" spans="1:41" ht="15.6" x14ac:dyDescent="0.3">
      <c r="A11" s="5">
        <v>10</v>
      </c>
      <c r="B11" s="6" t="s">
        <v>9</v>
      </c>
      <c r="C11" s="12" t="s">
        <v>205</v>
      </c>
      <c r="D11" s="6" t="s">
        <v>30</v>
      </c>
      <c r="E11" s="6" t="s">
        <v>12</v>
      </c>
      <c r="F11" s="6" t="s">
        <v>13</v>
      </c>
      <c r="G11" s="6" t="s">
        <v>35</v>
      </c>
      <c r="H11" s="5">
        <v>3</v>
      </c>
      <c r="I11" s="74" t="s">
        <v>273</v>
      </c>
      <c r="J11" s="46">
        <v>70.894000000000005</v>
      </c>
      <c r="K11" s="46">
        <v>66.03</v>
      </c>
      <c r="L11" s="46">
        <v>81.38</v>
      </c>
      <c r="M11" s="46">
        <v>81.305000000000007</v>
      </c>
      <c r="N11" s="46">
        <v>103.61599999999999</v>
      </c>
      <c r="O11" s="46">
        <v>65.518999999999991</v>
      </c>
      <c r="P11" s="46">
        <v>87.97</v>
      </c>
      <c r="Q11" s="46">
        <v>67.511999999999986</v>
      </c>
      <c r="R11" s="46">
        <v>98.179000000000002</v>
      </c>
      <c r="S11" s="46">
        <v>92.665000000000006</v>
      </c>
      <c r="T11" s="46">
        <v>82.147999999999996</v>
      </c>
      <c r="U11" s="46">
        <v>92.034999999999997</v>
      </c>
      <c r="V11" s="46">
        <v>87.423000000000016</v>
      </c>
      <c r="W11" s="46">
        <v>87.950999999999993</v>
      </c>
      <c r="X11" s="46">
        <v>85.415999999999997</v>
      </c>
      <c r="Y11" s="46">
        <v>87.556000000000012</v>
      </c>
      <c r="Z11" s="46">
        <v>57.101999999999997</v>
      </c>
      <c r="AA11" s="46">
        <v>67.992000000000004</v>
      </c>
      <c r="AB11" s="46">
        <v>97.128</v>
      </c>
      <c r="AC11" s="46">
        <v>54.677000000000007</v>
      </c>
      <c r="AD11" s="46">
        <v>95.718000000000018</v>
      </c>
      <c r="AE11" s="46">
        <v>52.926000000000002</v>
      </c>
      <c r="AF11" s="46">
        <v>59.43</v>
      </c>
      <c r="AG11" s="46">
        <v>99.557999999999993</v>
      </c>
      <c r="AH11" s="46">
        <v>83.951999999999998</v>
      </c>
      <c r="AI11" s="46">
        <v>97.887999999999991</v>
      </c>
      <c r="AJ11" s="46">
        <v>77.483000000000004</v>
      </c>
      <c r="AK11" s="46">
        <v>80.336000000000013</v>
      </c>
      <c r="AL11" s="46">
        <v>79.322999999999993</v>
      </c>
      <c r="AM11" s="46">
        <v>58.675000000000004</v>
      </c>
      <c r="AN11" s="46">
        <f t="shared" si="1"/>
        <v>79.992899999999992</v>
      </c>
      <c r="AO11" s="7">
        <f t="shared" si="0"/>
        <v>26.664299999999997</v>
      </c>
    </row>
    <row r="12" spans="1:41" x14ac:dyDescent="0.3">
      <c r="A12" s="5">
        <v>11</v>
      </c>
      <c r="B12" s="6" t="s">
        <v>9</v>
      </c>
      <c r="C12" s="12" t="s">
        <v>248</v>
      </c>
      <c r="D12" s="6" t="s">
        <v>128</v>
      </c>
      <c r="E12" s="6" t="s">
        <v>19</v>
      </c>
      <c r="F12" s="6" t="s">
        <v>13</v>
      </c>
      <c r="G12" s="6" t="s">
        <v>35</v>
      </c>
      <c r="H12" s="5">
        <v>1</v>
      </c>
      <c r="I12" s="67" t="s">
        <v>160</v>
      </c>
      <c r="J12" s="46">
        <v>0</v>
      </c>
      <c r="K12" s="46">
        <v>0</v>
      </c>
      <c r="L12" s="46">
        <v>1.671</v>
      </c>
      <c r="M12" s="46">
        <v>4.5209999999999999</v>
      </c>
      <c r="N12" s="46">
        <v>0</v>
      </c>
      <c r="O12" s="46">
        <v>0</v>
      </c>
      <c r="P12" s="46">
        <v>0</v>
      </c>
      <c r="Q12" s="46">
        <v>0</v>
      </c>
      <c r="R12" s="46">
        <v>3.3940000000000001</v>
      </c>
      <c r="S12" s="46">
        <v>0</v>
      </c>
      <c r="T12" s="46">
        <v>0</v>
      </c>
      <c r="U12" s="46">
        <v>0</v>
      </c>
      <c r="V12" s="46">
        <v>0</v>
      </c>
      <c r="W12" s="46">
        <v>3.39</v>
      </c>
      <c r="X12" s="46">
        <v>0</v>
      </c>
      <c r="Y12" s="46">
        <v>3.407</v>
      </c>
      <c r="Z12" s="46">
        <v>0</v>
      </c>
      <c r="AA12" s="46">
        <v>0</v>
      </c>
      <c r="AB12" s="46">
        <v>0</v>
      </c>
      <c r="AC12" s="46">
        <v>3.363</v>
      </c>
      <c r="AD12" s="46">
        <v>0</v>
      </c>
      <c r="AE12" s="46">
        <v>0</v>
      </c>
      <c r="AF12" s="46">
        <v>0</v>
      </c>
      <c r="AG12" s="46">
        <v>3.3969999999999998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46">
        <v>0</v>
      </c>
      <c r="AN12" s="46">
        <f t="shared" si="1"/>
        <v>0.7714333333333333</v>
      </c>
      <c r="AO12" s="7">
        <f t="shared" si="0"/>
        <v>0.7714333333333333</v>
      </c>
    </row>
    <row r="13" spans="1:41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40</v>
      </c>
      <c r="G13" s="6" t="s">
        <v>35</v>
      </c>
      <c r="H13" s="5">
        <v>2</v>
      </c>
      <c r="I13" s="67" t="s">
        <v>160</v>
      </c>
      <c r="J13" s="46">
        <v>0</v>
      </c>
      <c r="K13" s="46">
        <v>0</v>
      </c>
      <c r="L13" s="46">
        <v>0</v>
      </c>
      <c r="M13" s="46">
        <v>12.798</v>
      </c>
      <c r="N13" s="46">
        <v>34.487000000000002</v>
      </c>
      <c r="O13" s="46">
        <v>14.154</v>
      </c>
      <c r="P13" s="46">
        <v>0</v>
      </c>
      <c r="Q13" s="46">
        <v>24.44</v>
      </c>
      <c r="R13" s="46">
        <v>0</v>
      </c>
      <c r="S13" s="46">
        <v>0</v>
      </c>
      <c r="T13" s="46">
        <v>3.5470000000000002</v>
      </c>
      <c r="U13" s="46">
        <v>0</v>
      </c>
      <c r="V13" s="45">
        <v>0</v>
      </c>
      <c r="W13" s="45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4.4580000000000002</v>
      </c>
      <c r="AK13" s="46">
        <v>0</v>
      </c>
      <c r="AL13" s="46">
        <v>20.004999999999999</v>
      </c>
      <c r="AM13" s="46">
        <v>10.717000000000001</v>
      </c>
      <c r="AN13" s="46">
        <f t="shared" si="1"/>
        <v>4.1535333333333329</v>
      </c>
      <c r="AO13" s="7">
        <f t="shared" si="0"/>
        <v>2.0767666666666664</v>
      </c>
    </row>
    <row r="14" spans="1:41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160</v>
      </c>
      <c r="J14" s="46">
        <v>41.396999999999998</v>
      </c>
      <c r="K14" s="46">
        <v>36.023000000000003</v>
      </c>
      <c r="L14" s="46">
        <v>75.021000000000001</v>
      </c>
      <c r="M14" s="46">
        <v>125.00999999999999</v>
      </c>
      <c r="N14" s="46">
        <v>109.51300000000002</v>
      </c>
      <c r="O14" s="46">
        <v>76.322000000000003</v>
      </c>
      <c r="P14" s="46">
        <v>56.683</v>
      </c>
      <c r="Q14" s="46">
        <v>14.822999999999999</v>
      </c>
      <c r="R14" s="46">
        <v>55.631</v>
      </c>
      <c r="S14" s="46">
        <v>118.80300000000001</v>
      </c>
      <c r="T14" s="46">
        <v>59.42</v>
      </c>
      <c r="U14" s="46">
        <v>121.24400000000001</v>
      </c>
      <c r="V14" s="46">
        <v>94.904999999999987</v>
      </c>
      <c r="W14" s="46">
        <v>47.55899999999999</v>
      </c>
      <c r="X14" s="46">
        <v>45.575000000000003</v>
      </c>
      <c r="Y14" s="46">
        <v>88.885000000000005</v>
      </c>
      <c r="Z14" s="46">
        <v>74.802999999999997</v>
      </c>
      <c r="AA14" s="46">
        <v>123.36399999999999</v>
      </c>
      <c r="AB14" s="46">
        <v>17.902999999999999</v>
      </c>
      <c r="AC14" s="46">
        <v>56.379000000000005</v>
      </c>
      <c r="AD14" s="46">
        <v>45.899000000000008</v>
      </c>
      <c r="AE14" s="46">
        <v>133.05999999999997</v>
      </c>
      <c r="AF14" s="46">
        <v>123.24000000000002</v>
      </c>
      <c r="AG14" s="46">
        <v>40.379999999999995</v>
      </c>
      <c r="AH14" s="46">
        <v>44.489999999999995</v>
      </c>
      <c r="AI14" s="46">
        <v>29.25</v>
      </c>
      <c r="AJ14" s="46">
        <v>66.25</v>
      </c>
      <c r="AK14" s="46">
        <v>83.08</v>
      </c>
      <c r="AL14" s="46">
        <v>51.370000000000005</v>
      </c>
      <c r="AM14" s="46">
        <v>64.92</v>
      </c>
      <c r="AN14" s="46">
        <f t="shared" si="1"/>
        <v>70.706733333333347</v>
      </c>
      <c r="AO14" s="7">
        <f t="shared" si="0"/>
        <v>35.353366666666673</v>
      </c>
    </row>
    <row r="15" spans="1:41" ht="15.6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74" t="s">
        <v>273</v>
      </c>
      <c r="J15" s="46">
        <v>89.941000000000003</v>
      </c>
      <c r="K15" s="46">
        <v>223.11699999999999</v>
      </c>
      <c r="L15" s="46">
        <v>164.61499999999998</v>
      </c>
      <c r="M15" s="46">
        <v>202.12799999999999</v>
      </c>
      <c r="N15" s="46">
        <v>207.39500000000001</v>
      </c>
      <c r="O15" s="46">
        <v>179.79000000000002</v>
      </c>
      <c r="P15" s="46">
        <v>125.77700000000002</v>
      </c>
      <c r="Q15" s="46">
        <v>229.39600000000002</v>
      </c>
      <c r="R15" s="46">
        <v>177.46</v>
      </c>
      <c r="S15" s="46">
        <v>140.29</v>
      </c>
      <c r="T15" s="46">
        <v>194.18800000000002</v>
      </c>
      <c r="U15" s="46">
        <v>154.52599999999998</v>
      </c>
      <c r="V15" s="46">
        <v>215.44499999999999</v>
      </c>
      <c r="W15" s="46">
        <v>167.334</v>
      </c>
      <c r="X15" s="46">
        <v>198.77599999999998</v>
      </c>
      <c r="Y15" s="46">
        <v>169.64699999999999</v>
      </c>
      <c r="Z15" s="46">
        <v>173.37799999999999</v>
      </c>
      <c r="AA15" s="46">
        <v>182.33499999999998</v>
      </c>
      <c r="AB15" s="46">
        <v>184.98400000000001</v>
      </c>
      <c r="AC15" s="46">
        <v>138.01300000000001</v>
      </c>
      <c r="AD15" s="46">
        <v>111.572</v>
      </c>
      <c r="AE15" s="46">
        <v>230.56100000000001</v>
      </c>
      <c r="AF15" s="46">
        <v>151.34399999999999</v>
      </c>
      <c r="AG15" s="46">
        <v>149.41200000000001</v>
      </c>
      <c r="AH15" s="46">
        <v>185.42600000000002</v>
      </c>
      <c r="AI15" s="46">
        <v>162.16</v>
      </c>
      <c r="AJ15" s="46">
        <v>179.37399999999997</v>
      </c>
      <c r="AK15" s="46">
        <v>167.92599999999999</v>
      </c>
      <c r="AL15" s="46">
        <v>155.51400000000001</v>
      </c>
      <c r="AM15" s="46">
        <v>172.79099999999997</v>
      </c>
      <c r="AN15" s="46">
        <f t="shared" si="1"/>
        <v>172.82050000000001</v>
      </c>
      <c r="AO15" s="7">
        <f t="shared" si="0"/>
        <v>17.282050000000002</v>
      </c>
    </row>
    <row r="16" spans="1:41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4</v>
      </c>
      <c r="I16" s="67" t="s">
        <v>160</v>
      </c>
      <c r="J16" s="46">
        <v>16.847000000000001</v>
      </c>
      <c r="K16" s="46">
        <v>31.118999999999996</v>
      </c>
      <c r="L16" s="46">
        <v>24.811999999999994</v>
      </c>
      <c r="M16" s="46">
        <v>20.804000000000002</v>
      </c>
      <c r="N16" s="46">
        <v>33.994999999999997</v>
      </c>
      <c r="O16" s="46">
        <v>23.337999999999997</v>
      </c>
      <c r="P16" s="46">
        <v>20.692999999999998</v>
      </c>
      <c r="Q16" s="46">
        <v>15.941999999999998</v>
      </c>
      <c r="R16" s="46">
        <v>29.269000000000002</v>
      </c>
      <c r="S16" s="46">
        <v>51.414999999999999</v>
      </c>
      <c r="T16" s="46">
        <v>50.63</v>
      </c>
      <c r="U16" s="46">
        <v>33.533000000000001</v>
      </c>
      <c r="V16" s="46">
        <v>22.273</v>
      </c>
      <c r="W16" s="46">
        <v>37.128</v>
      </c>
      <c r="X16" s="46">
        <v>74.365000000000009</v>
      </c>
      <c r="Y16" s="46">
        <v>24.960000000000004</v>
      </c>
      <c r="Z16" s="46">
        <v>3.6190000000000002</v>
      </c>
      <c r="AA16" s="46">
        <v>54.040000000000006</v>
      </c>
      <c r="AB16" s="46">
        <v>33.130000000000003</v>
      </c>
      <c r="AC16" s="46">
        <v>43.823</v>
      </c>
      <c r="AD16" s="46">
        <v>25.902000000000001</v>
      </c>
      <c r="AE16" s="46">
        <v>26.484000000000002</v>
      </c>
      <c r="AF16" s="46">
        <v>19.96</v>
      </c>
      <c r="AG16" s="46">
        <v>41.989000000000004</v>
      </c>
      <c r="AH16" s="46">
        <v>12.244999999999999</v>
      </c>
      <c r="AI16" s="46">
        <v>35.701000000000001</v>
      </c>
      <c r="AJ16" s="46">
        <v>37.169999999999995</v>
      </c>
      <c r="AK16" s="46">
        <v>26.760999999999999</v>
      </c>
      <c r="AL16" s="46">
        <v>12.479000000000001</v>
      </c>
      <c r="AM16" s="46">
        <v>14.492999999999999</v>
      </c>
      <c r="AN16" s="46">
        <f t="shared" si="1"/>
        <v>29.963966666666675</v>
      </c>
      <c r="AO16" s="7">
        <f t="shared" si="0"/>
        <v>7.4909916666666687</v>
      </c>
    </row>
    <row r="17" spans="1:41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46">
        <v>0</v>
      </c>
      <c r="K17" s="46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46">
        <f t="shared" si="1"/>
        <v>0</v>
      </c>
      <c r="AO17" s="7">
        <f t="shared" si="0"/>
        <v>0</v>
      </c>
    </row>
    <row r="18" spans="1:41" ht="15.6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19</v>
      </c>
      <c r="I18" s="74" t="s">
        <v>273</v>
      </c>
      <c r="J18" s="46">
        <v>234.91600000000003</v>
      </c>
      <c r="K18" s="46">
        <v>187.881</v>
      </c>
      <c r="L18" s="46">
        <v>145.94199999999998</v>
      </c>
      <c r="M18" s="46">
        <v>165.04499999999999</v>
      </c>
      <c r="N18" s="46">
        <v>125.03000000000002</v>
      </c>
      <c r="O18" s="46">
        <v>183.70400000000001</v>
      </c>
      <c r="P18" s="46">
        <v>195.77200000000005</v>
      </c>
      <c r="Q18" s="46">
        <v>201.82699999999997</v>
      </c>
      <c r="R18" s="46">
        <v>178.66399999999999</v>
      </c>
      <c r="S18" s="46">
        <v>217.601</v>
      </c>
      <c r="T18" s="46">
        <v>188.68800000000002</v>
      </c>
      <c r="U18" s="46">
        <v>222.91100000000003</v>
      </c>
      <c r="V18" s="46">
        <v>217.62500000000006</v>
      </c>
      <c r="W18" s="46">
        <v>210.74499999999998</v>
      </c>
      <c r="X18" s="46">
        <v>209.23</v>
      </c>
      <c r="Y18" s="46">
        <v>224.87199999999999</v>
      </c>
      <c r="Z18" s="46">
        <v>181.892</v>
      </c>
      <c r="AA18" s="46">
        <v>173.02899999999997</v>
      </c>
      <c r="AB18" s="46">
        <v>182.38700000000003</v>
      </c>
      <c r="AC18" s="46">
        <v>221.58600000000004</v>
      </c>
      <c r="AD18" s="46">
        <v>208.023</v>
      </c>
      <c r="AE18" s="46">
        <v>214.172</v>
      </c>
      <c r="AF18" s="46">
        <v>184.13900000000001</v>
      </c>
      <c r="AG18" s="46">
        <v>148.62800000000001</v>
      </c>
      <c r="AH18" s="46">
        <v>188.87300000000002</v>
      </c>
      <c r="AI18" s="46">
        <v>279.83000000000004</v>
      </c>
      <c r="AJ18" s="46">
        <v>257.74599999999998</v>
      </c>
      <c r="AK18" s="46">
        <v>246.07099999999997</v>
      </c>
      <c r="AL18" s="46">
        <v>241.68100000000001</v>
      </c>
      <c r="AM18" s="46">
        <v>171.49600000000004</v>
      </c>
      <c r="AN18" s="46">
        <f t="shared" si="1"/>
        <v>200.33353333333332</v>
      </c>
      <c r="AO18" s="7">
        <f t="shared" si="0"/>
        <v>10.543870175438595</v>
      </c>
    </row>
    <row r="19" spans="1:41" ht="15.6" x14ac:dyDescent="0.3">
      <c r="A19" s="5">
        <v>18</v>
      </c>
      <c r="B19" s="6" t="s">
        <v>9</v>
      </c>
      <c r="C19" s="12" t="s">
        <v>474</v>
      </c>
      <c r="D19" s="6" t="s">
        <v>128</v>
      </c>
      <c r="E19" s="6" t="s">
        <v>12</v>
      </c>
      <c r="F19" s="6" t="s">
        <v>13</v>
      </c>
      <c r="G19" s="6" t="s">
        <v>35</v>
      </c>
      <c r="H19" s="5">
        <v>5</v>
      </c>
      <c r="I19" s="74" t="s">
        <v>273</v>
      </c>
      <c r="J19" s="46">
        <v>172.50900000000001</v>
      </c>
      <c r="K19" s="46">
        <v>178.30999999999997</v>
      </c>
      <c r="L19" s="46">
        <v>153.14099999999999</v>
      </c>
      <c r="M19" s="46">
        <v>185.119</v>
      </c>
      <c r="N19" s="46">
        <v>176.50100000000003</v>
      </c>
      <c r="O19" s="46">
        <v>137.94200000000001</v>
      </c>
      <c r="P19" s="46">
        <v>95.591000000000008</v>
      </c>
      <c r="Q19" s="46">
        <v>129.12400000000002</v>
      </c>
      <c r="R19" s="46">
        <v>151.358</v>
      </c>
      <c r="S19" s="46">
        <v>113.36800000000002</v>
      </c>
      <c r="T19" s="46">
        <v>158.48700000000002</v>
      </c>
      <c r="U19" s="46">
        <v>148.24699999999996</v>
      </c>
      <c r="V19" s="46">
        <v>134.21000000000004</v>
      </c>
      <c r="W19" s="46">
        <v>140.21300000000002</v>
      </c>
      <c r="X19" s="46">
        <v>149.571</v>
      </c>
      <c r="Y19" s="46">
        <v>148.90100000000001</v>
      </c>
      <c r="Z19" s="46">
        <v>133.55100000000002</v>
      </c>
      <c r="AA19" s="46">
        <v>94.064000000000007</v>
      </c>
      <c r="AB19" s="46">
        <v>143.33000000000001</v>
      </c>
      <c r="AC19" s="46">
        <v>152.82300000000004</v>
      </c>
      <c r="AD19" s="46">
        <v>153.09700000000001</v>
      </c>
      <c r="AE19" s="46">
        <v>117.502</v>
      </c>
      <c r="AF19" s="46">
        <v>129.899</v>
      </c>
      <c r="AG19" s="46">
        <v>126.44100000000002</v>
      </c>
      <c r="AH19" s="46">
        <v>145.77199999999996</v>
      </c>
      <c r="AI19" s="46">
        <v>141.29299999999995</v>
      </c>
      <c r="AJ19" s="46">
        <v>157.51300000000001</v>
      </c>
      <c r="AK19" s="46">
        <v>76.774999999999991</v>
      </c>
      <c r="AL19" s="46">
        <v>138.51799999999997</v>
      </c>
      <c r="AM19" s="46">
        <v>86.74499999999999</v>
      </c>
      <c r="AN19" s="46">
        <f t="shared" si="1"/>
        <v>138.99716666666663</v>
      </c>
      <c r="AO19" s="7">
        <f t="shared" si="0"/>
        <v>27.799433333333326</v>
      </c>
    </row>
    <row r="20" spans="1:41" x14ac:dyDescent="0.3">
      <c r="A20" s="5">
        <v>19</v>
      </c>
      <c r="B20" s="6" t="s">
        <v>9</v>
      </c>
      <c r="C20" s="12" t="s">
        <v>473</v>
      </c>
      <c r="D20" s="6" t="s">
        <v>128</v>
      </c>
      <c r="E20" s="6" t="s">
        <v>12</v>
      </c>
      <c r="F20" s="6" t="s">
        <v>40</v>
      </c>
      <c r="G20" s="6" t="s">
        <v>35</v>
      </c>
      <c r="H20" s="5">
        <v>2</v>
      </c>
      <c r="I20" s="67" t="s">
        <v>160</v>
      </c>
      <c r="J20" s="46">
        <v>2.738</v>
      </c>
      <c r="K20" s="46">
        <v>53.885999999999996</v>
      </c>
      <c r="L20" s="46">
        <v>41.473999999999997</v>
      </c>
      <c r="M20" s="46">
        <v>43.968000000000004</v>
      </c>
      <c r="N20" s="46">
        <v>19.245999999999999</v>
      </c>
      <c r="O20" s="46">
        <v>40.804000000000002</v>
      </c>
      <c r="P20" s="46">
        <v>10.004999999999999</v>
      </c>
      <c r="Q20" s="46">
        <v>0</v>
      </c>
      <c r="R20" s="46">
        <v>15.686999999999999</v>
      </c>
      <c r="S20" s="46">
        <v>15.57</v>
      </c>
      <c r="T20" s="46">
        <v>41.202000000000005</v>
      </c>
      <c r="U20" s="46">
        <v>41.861000000000004</v>
      </c>
      <c r="V20" s="46">
        <v>19.177</v>
      </c>
      <c r="W20" s="46">
        <v>18.658999999999999</v>
      </c>
      <c r="X20" s="46">
        <v>30.002000000000002</v>
      </c>
      <c r="Y20" s="46">
        <v>2.2309999999999999</v>
      </c>
      <c r="Z20" s="46">
        <v>2.4849999999999999</v>
      </c>
      <c r="AA20" s="46">
        <v>0</v>
      </c>
      <c r="AB20" s="46">
        <v>0</v>
      </c>
      <c r="AC20" s="46">
        <v>19.96</v>
      </c>
      <c r="AD20" s="46">
        <v>2.0299999999999998</v>
      </c>
      <c r="AE20" s="46">
        <v>12.132999999999999</v>
      </c>
      <c r="AF20" s="46">
        <v>0</v>
      </c>
      <c r="AG20" s="46">
        <v>19.39</v>
      </c>
      <c r="AH20" s="46">
        <v>0</v>
      </c>
      <c r="AI20" s="46">
        <v>0</v>
      </c>
      <c r="AJ20" s="46">
        <v>0</v>
      </c>
      <c r="AK20" s="46">
        <v>19.975000000000001</v>
      </c>
      <c r="AL20" s="46">
        <v>0</v>
      </c>
      <c r="AM20" s="46">
        <v>0</v>
      </c>
      <c r="AN20" s="46">
        <f t="shared" si="1"/>
        <v>15.749433333333332</v>
      </c>
      <c r="AO20" s="7">
        <f t="shared" si="0"/>
        <v>7.8747166666666661</v>
      </c>
    </row>
    <row r="21" spans="1:41" x14ac:dyDescent="0.3">
      <c r="A21" s="5">
        <v>20</v>
      </c>
      <c r="B21" s="6" t="s">
        <v>9</v>
      </c>
      <c r="C21" s="12" t="s">
        <v>473</v>
      </c>
      <c r="D21" s="6" t="s">
        <v>128</v>
      </c>
      <c r="E21" s="6" t="s">
        <v>12</v>
      </c>
      <c r="F21" s="6" t="s">
        <v>95</v>
      </c>
      <c r="G21" s="6" t="s">
        <v>80</v>
      </c>
      <c r="H21" s="5">
        <v>1</v>
      </c>
      <c r="I21" s="67" t="s">
        <v>160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6.16</v>
      </c>
      <c r="Q21" s="46">
        <v>7.42</v>
      </c>
      <c r="R21" s="46">
        <v>8.81</v>
      </c>
      <c r="S21" s="46">
        <v>32.18</v>
      </c>
      <c r="T21" s="46">
        <v>37.570999999999998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15.24</v>
      </c>
      <c r="AB21" s="46">
        <v>18.460999999999999</v>
      </c>
      <c r="AC21" s="46">
        <v>0</v>
      </c>
      <c r="AD21" s="46">
        <v>14.88</v>
      </c>
      <c r="AE21" s="46">
        <v>47.07</v>
      </c>
      <c r="AF21" s="46">
        <v>38.910000000000004</v>
      </c>
      <c r="AG21" s="46">
        <v>1.96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f t="shared" si="1"/>
        <v>7.6220666666666661</v>
      </c>
      <c r="AO21" s="7">
        <f t="shared" si="0"/>
        <v>7.6220666666666661</v>
      </c>
    </row>
    <row r="22" spans="1:41" x14ac:dyDescent="0.3">
      <c r="A22" s="5">
        <v>21</v>
      </c>
      <c r="B22" s="6" t="s">
        <v>9</v>
      </c>
      <c r="C22" s="12" t="s">
        <v>473</v>
      </c>
      <c r="D22" s="6" t="s">
        <v>128</v>
      </c>
      <c r="E22" s="6" t="s">
        <v>12</v>
      </c>
      <c r="F22" s="6" t="s">
        <v>309</v>
      </c>
      <c r="G22" s="6" t="s">
        <v>80</v>
      </c>
      <c r="H22" s="5">
        <v>1</v>
      </c>
      <c r="I22" s="67" t="s">
        <v>160</v>
      </c>
      <c r="J22" s="46">
        <v>1.7</v>
      </c>
      <c r="K22" s="46">
        <v>12.41</v>
      </c>
      <c r="L22" s="46">
        <v>15.06</v>
      </c>
      <c r="M22" s="46">
        <v>36.939000000000007</v>
      </c>
      <c r="N22" s="46">
        <v>23.770000000000003</v>
      </c>
      <c r="O22" s="46">
        <v>24.299999999999997</v>
      </c>
      <c r="P22" s="46">
        <v>1</v>
      </c>
      <c r="Q22" s="46">
        <v>0.79</v>
      </c>
      <c r="R22" s="46">
        <v>21.91</v>
      </c>
      <c r="S22" s="46">
        <v>47.640000000000008</v>
      </c>
      <c r="T22" s="46">
        <v>53.05</v>
      </c>
      <c r="U22" s="46">
        <v>30.159999999999997</v>
      </c>
      <c r="V22" s="46">
        <v>23.299000000000003</v>
      </c>
      <c r="W22" s="46">
        <v>1.5409999999999999</v>
      </c>
      <c r="X22" s="46">
        <v>1.37</v>
      </c>
      <c r="Y22" s="46">
        <v>12.959999999999999</v>
      </c>
      <c r="Z22" s="46">
        <v>10.49</v>
      </c>
      <c r="AA22" s="46">
        <v>48.649000000000008</v>
      </c>
      <c r="AB22" s="46">
        <v>16.021000000000001</v>
      </c>
      <c r="AC22" s="46">
        <v>24.77</v>
      </c>
      <c r="AD22" s="46">
        <v>16.838999999999999</v>
      </c>
      <c r="AE22" s="46">
        <v>0</v>
      </c>
      <c r="AF22" s="46">
        <v>29.161000000000001</v>
      </c>
      <c r="AG22" s="46">
        <v>35.168999999999997</v>
      </c>
      <c r="AH22" s="46">
        <v>0.3010000000000001</v>
      </c>
      <c r="AI22" s="46">
        <v>0.01</v>
      </c>
      <c r="AJ22" s="46">
        <v>0</v>
      </c>
      <c r="AK22" s="46">
        <v>1.55</v>
      </c>
      <c r="AL22" s="46">
        <v>0</v>
      </c>
      <c r="AM22" s="46">
        <v>31.48</v>
      </c>
      <c r="AN22" s="46">
        <f t="shared" si="1"/>
        <v>17.411299999999997</v>
      </c>
      <c r="AO22" s="7">
        <f t="shared" si="0"/>
        <v>17.411299999999997</v>
      </c>
    </row>
    <row r="23" spans="1:41" x14ac:dyDescent="0.3">
      <c r="A23" s="5">
        <v>22</v>
      </c>
      <c r="B23" s="6" t="s">
        <v>9</v>
      </c>
      <c r="C23" s="12" t="s">
        <v>473</v>
      </c>
      <c r="D23" s="6" t="s">
        <v>128</v>
      </c>
      <c r="E23" s="6" t="s">
        <v>12</v>
      </c>
      <c r="F23" s="6" t="s">
        <v>290</v>
      </c>
      <c r="G23" s="6" t="s">
        <v>80</v>
      </c>
      <c r="H23" s="5">
        <v>1</v>
      </c>
      <c r="I23" s="67" t="s">
        <v>160</v>
      </c>
      <c r="J23" s="46">
        <v>116.624</v>
      </c>
      <c r="K23" s="46">
        <v>57.474999999999994</v>
      </c>
      <c r="L23" s="46">
        <v>132.34900000000002</v>
      </c>
      <c r="M23" s="46">
        <v>107.6</v>
      </c>
      <c r="N23" s="46">
        <v>182.67499999999998</v>
      </c>
      <c r="O23" s="46">
        <v>188.75</v>
      </c>
      <c r="P23" s="46">
        <v>54.125999999999998</v>
      </c>
      <c r="Q23" s="46">
        <v>88.275000000000006</v>
      </c>
      <c r="R23" s="46">
        <v>116.74899999999998</v>
      </c>
      <c r="S23" s="46">
        <v>141.12500000000003</v>
      </c>
      <c r="T23" s="46">
        <v>193.60000000000002</v>
      </c>
      <c r="U23" s="46">
        <v>200.02499999999998</v>
      </c>
      <c r="V23" s="46">
        <v>173.79999999999998</v>
      </c>
      <c r="W23" s="46">
        <v>67.349999999999994</v>
      </c>
      <c r="X23" s="46">
        <v>120.85000000000001</v>
      </c>
      <c r="Y23" s="46">
        <v>139.72499999999999</v>
      </c>
      <c r="Z23" s="46">
        <v>192.85000000000002</v>
      </c>
      <c r="AA23" s="46">
        <v>148.82499999999999</v>
      </c>
      <c r="AB23" s="46">
        <v>224.80000000000004</v>
      </c>
      <c r="AC23" s="46">
        <v>199.65000000000003</v>
      </c>
      <c r="AD23" s="46">
        <v>118.10000000000001</v>
      </c>
      <c r="AE23" s="46">
        <v>57.875</v>
      </c>
      <c r="AF23" s="46">
        <v>164.79999999999998</v>
      </c>
      <c r="AG23" s="46">
        <v>232.52499999999998</v>
      </c>
      <c r="AH23" s="46">
        <v>189.05</v>
      </c>
      <c r="AI23" s="46">
        <v>200.875</v>
      </c>
      <c r="AJ23" s="46">
        <v>158.72499999999999</v>
      </c>
      <c r="AK23" s="46">
        <v>61.95</v>
      </c>
      <c r="AL23" s="46">
        <v>63.1</v>
      </c>
      <c r="AM23" s="46">
        <v>142.27499999999998</v>
      </c>
      <c r="AN23" s="46">
        <f t="shared" si="1"/>
        <v>141.2166</v>
      </c>
      <c r="AO23" s="7">
        <f t="shared" si="0"/>
        <v>141.2166</v>
      </c>
    </row>
    <row r="24" spans="1:41" x14ac:dyDescent="0.3">
      <c r="A24" s="5">
        <v>23</v>
      </c>
      <c r="B24" s="6" t="s">
        <v>9</v>
      </c>
      <c r="C24" s="12" t="s">
        <v>473</v>
      </c>
      <c r="D24" s="6" t="s">
        <v>128</v>
      </c>
      <c r="E24" s="6" t="s">
        <v>12</v>
      </c>
      <c r="F24" s="6" t="s">
        <v>409</v>
      </c>
      <c r="G24" s="6" t="s">
        <v>80</v>
      </c>
      <c r="H24" s="5">
        <v>1</v>
      </c>
      <c r="I24" s="67" t="s">
        <v>160</v>
      </c>
      <c r="J24" s="46">
        <v>95.41</v>
      </c>
      <c r="K24" s="46">
        <v>176.83999999999997</v>
      </c>
      <c r="L24" s="46">
        <v>202.99</v>
      </c>
      <c r="M24" s="46">
        <v>323.2</v>
      </c>
      <c r="N24" s="46">
        <v>258.27</v>
      </c>
      <c r="O24" s="46">
        <v>242.85</v>
      </c>
      <c r="P24" s="46">
        <v>138.93</v>
      </c>
      <c r="Q24" s="46">
        <v>127.58</v>
      </c>
      <c r="R24" s="46">
        <v>226.67</v>
      </c>
      <c r="S24" s="46">
        <v>324.09999999999991</v>
      </c>
      <c r="T24" s="46">
        <v>362.19</v>
      </c>
      <c r="U24" s="46">
        <v>351.16999999999996</v>
      </c>
      <c r="V24" s="46">
        <v>255.43999999999997</v>
      </c>
      <c r="W24" s="46">
        <v>152.07</v>
      </c>
      <c r="X24" s="46">
        <v>64.66</v>
      </c>
      <c r="Y24" s="46">
        <v>255.13999999999996</v>
      </c>
      <c r="Z24" s="46">
        <v>215.10999999999999</v>
      </c>
      <c r="AA24" s="46">
        <v>221.29000000000005</v>
      </c>
      <c r="AB24" s="46">
        <v>244.48000000000002</v>
      </c>
      <c r="AC24" s="46">
        <v>317.53999999999996</v>
      </c>
      <c r="AD24" s="46">
        <v>116.66000000000001</v>
      </c>
      <c r="AE24" s="46">
        <v>65.11999999999999</v>
      </c>
      <c r="AF24" s="46">
        <v>224.16000000000005</v>
      </c>
      <c r="AG24" s="46">
        <v>273.87000000000006</v>
      </c>
      <c r="AH24" s="46">
        <v>307.87999999999994</v>
      </c>
      <c r="AI24" s="46">
        <v>292.16999999999996</v>
      </c>
      <c r="AJ24" s="46">
        <v>269.38</v>
      </c>
      <c r="AK24" s="46">
        <v>100.49000000000001</v>
      </c>
      <c r="AL24" s="46">
        <v>106.63999999999999</v>
      </c>
      <c r="AM24" s="46">
        <v>254.32</v>
      </c>
      <c r="AN24" s="46">
        <f t="shared" si="1"/>
        <v>218.88733333333332</v>
      </c>
      <c r="AO24" s="7">
        <f t="shared" si="0"/>
        <v>218.88733333333332</v>
      </c>
    </row>
    <row r="25" spans="1:41" ht="15.6" x14ac:dyDescent="0.3">
      <c r="A25" s="5">
        <v>24</v>
      </c>
      <c r="B25" s="6" t="s">
        <v>9</v>
      </c>
      <c r="C25" s="12" t="s">
        <v>269</v>
      </c>
      <c r="D25" s="6" t="s">
        <v>128</v>
      </c>
      <c r="E25" s="6" t="s">
        <v>12</v>
      </c>
      <c r="F25" s="6" t="s">
        <v>13</v>
      </c>
      <c r="G25" s="6" t="s">
        <v>35</v>
      </c>
      <c r="H25" s="5">
        <v>7</v>
      </c>
      <c r="I25" s="74" t="s">
        <v>273</v>
      </c>
      <c r="J25" s="46">
        <v>84.175000000000011</v>
      </c>
      <c r="K25" s="46">
        <v>155.58500000000001</v>
      </c>
      <c r="L25" s="46">
        <v>157.91099999999997</v>
      </c>
      <c r="M25" s="46">
        <v>128.95700000000002</v>
      </c>
      <c r="N25" s="46">
        <v>114.18200000000002</v>
      </c>
      <c r="O25" s="46">
        <v>109.288</v>
      </c>
      <c r="P25" s="46">
        <v>92.544000000000011</v>
      </c>
      <c r="Q25" s="46">
        <v>173.66100000000003</v>
      </c>
      <c r="R25" s="46">
        <v>173.78100000000001</v>
      </c>
      <c r="S25" s="46">
        <v>154.625</v>
      </c>
      <c r="T25" s="46">
        <v>186.97800000000001</v>
      </c>
      <c r="U25" s="46">
        <v>170.953</v>
      </c>
      <c r="V25" s="46">
        <v>170.86100000000005</v>
      </c>
      <c r="W25" s="46">
        <v>234.47499999999997</v>
      </c>
      <c r="X25" s="46">
        <v>189.09300000000002</v>
      </c>
      <c r="Y25" s="46">
        <v>137.65700000000001</v>
      </c>
      <c r="Z25" s="46">
        <v>156.55500000000004</v>
      </c>
      <c r="AA25" s="46">
        <v>108.61099999999998</v>
      </c>
      <c r="AB25" s="46">
        <v>130.13800000000003</v>
      </c>
      <c r="AC25" s="46">
        <v>110.99000000000001</v>
      </c>
      <c r="AD25" s="46">
        <v>208.29899999999998</v>
      </c>
      <c r="AE25" s="46">
        <v>171.90800000000004</v>
      </c>
      <c r="AF25" s="46">
        <v>140.11699999999999</v>
      </c>
      <c r="AG25" s="46">
        <v>228.98099999999997</v>
      </c>
      <c r="AH25" s="46">
        <v>203.48600000000002</v>
      </c>
      <c r="AI25" s="46">
        <v>122.42099999999998</v>
      </c>
      <c r="AJ25" s="46">
        <v>163.66999999999999</v>
      </c>
      <c r="AK25" s="46">
        <v>142.80899999999997</v>
      </c>
      <c r="AL25" s="46">
        <v>195.87200000000001</v>
      </c>
      <c r="AM25" s="46">
        <v>161.86399999999998</v>
      </c>
      <c r="AN25" s="46">
        <f t="shared" si="1"/>
        <v>156.01489999999998</v>
      </c>
      <c r="AO25" s="7">
        <f t="shared" si="0"/>
        <v>22.287842857142856</v>
      </c>
    </row>
    <row r="26" spans="1:41" x14ac:dyDescent="0.3">
      <c r="A26" s="5">
        <v>25</v>
      </c>
      <c r="B26" s="6" t="s">
        <v>9</v>
      </c>
      <c r="C26" s="12" t="s">
        <v>270</v>
      </c>
      <c r="D26" s="6" t="s">
        <v>128</v>
      </c>
      <c r="E26" s="6" t="s">
        <v>12</v>
      </c>
      <c r="F26" s="6" t="s">
        <v>13</v>
      </c>
      <c r="G26" s="6" t="s">
        <v>35</v>
      </c>
      <c r="H26" s="5">
        <v>1</v>
      </c>
      <c r="I26" s="67" t="s">
        <v>160</v>
      </c>
      <c r="J26" s="46">
        <v>3.1729999999999996</v>
      </c>
      <c r="K26" s="46">
        <v>7.0949999999999998</v>
      </c>
      <c r="L26" s="46">
        <v>12.760000000000002</v>
      </c>
      <c r="M26" s="46">
        <v>5.4610000000000003</v>
      </c>
      <c r="N26" s="46">
        <v>5.9080000000000004</v>
      </c>
      <c r="O26" s="46">
        <v>7.2159999999999993</v>
      </c>
      <c r="P26" s="46">
        <v>13.145</v>
      </c>
      <c r="Q26" s="46">
        <v>8.7530000000000001</v>
      </c>
      <c r="R26" s="46">
        <v>10.422000000000001</v>
      </c>
      <c r="S26" s="46">
        <v>5.9570000000000007</v>
      </c>
      <c r="T26" s="46">
        <v>11.151</v>
      </c>
      <c r="U26" s="46">
        <v>18.779999999999998</v>
      </c>
      <c r="V26" s="46">
        <v>18.615000000000006</v>
      </c>
      <c r="W26" s="46">
        <v>15.062000000000001</v>
      </c>
      <c r="X26" s="46">
        <v>6.9810000000000008</v>
      </c>
      <c r="Y26" s="46">
        <v>19.343</v>
      </c>
      <c r="Z26" s="46">
        <v>6.4729999999999999</v>
      </c>
      <c r="AA26" s="46">
        <v>4.0540000000000003</v>
      </c>
      <c r="AB26" s="46">
        <v>0</v>
      </c>
      <c r="AC26" s="46">
        <v>0</v>
      </c>
      <c r="AD26" s="46">
        <v>5.1149999999999993</v>
      </c>
      <c r="AE26" s="46">
        <v>0</v>
      </c>
      <c r="AF26" s="46">
        <v>19.504999999999999</v>
      </c>
      <c r="AG26" s="46">
        <v>0</v>
      </c>
      <c r="AH26" s="46">
        <v>2.8000000000000001E-2</v>
      </c>
      <c r="AI26" s="46">
        <v>5.9619999999999997</v>
      </c>
      <c r="AJ26" s="46">
        <v>16.242000000000001</v>
      </c>
      <c r="AK26" s="46">
        <v>1.9370000000000001</v>
      </c>
      <c r="AL26" s="46">
        <v>0.96099999999999997</v>
      </c>
      <c r="AM26" s="46">
        <v>2.984</v>
      </c>
      <c r="AN26" s="46">
        <f t="shared" si="1"/>
        <v>7.7694333333333336</v>
      </c>
      <c r="AO26" s="7">
        <f t="shared" si="0"/>
        <v>7.7694333333333336</v>
      </c>
    </row>
    <row r="27" spans="1:41" x14ac:dyDescent="0.3">
      <c r="A27" s="5">
        <v>26</v>
      </c>
      <c r="B27" s="6" t="s">
        <v>9</v>
      </c>
      <c r="C27" s="12" t="s">
        <v>270</v>
      </c>
      <c r="D27" s="6" t="s">
        <v>128</v>
      </c>
      <c r="E27" s="6" t="s">
        <v>12</v>
      </c>
      <c r="F27" s="6" t="s">
        <v>40</v>
      </c>
      <c r="G27" s="6" t="s">
        <v>35</v>
      </c>
      <c r="H27" s="5">
        <v>1</v>
      </c>
      <c r="I27" s="67" t="s">
        <v>160</v>
      </c>
      <c r="J27" s="46">
        <v>0</v>
      </c>
      <c r="K27" s="46">
        <v>0</v>
      </c>
      <c r="L27" s="46">
        <v>16.079000000000001</v>
      </c>
      <c r="M27" s="46">
        <v>0</v>
      </c>
      <c r="N27" s="46">
        <v>2.7639999999999998</v>
      </c>
      <c r="O27" s="46">
        <v>0</v>
      </c>
      <c r="P27" s="46">
        <v>20.001999999999999</v>
      </c>
      <c r="Q27" s="46">
        <v>13.978</v>
      </c>
      <c r="R27" s="46">
        <v>7.6159999999999997</v>
      </c>
      <c r="S27" s="46">
        <v>10.093999999999999</v>
      </c>
      <c r="T27" s="46">
        <v>5.4859999999999998</v>
      </c>
      <c r="U27" s="46">
        <v>0</v>
      </c>
      <c r="V27" s="46">
        <v>0</v>
      </c>
      <c r="W27" s="46">
        <v>11.42</v>
      </c>
      <c r="X27" s="46">
        <v>26.66</v>
      </c>
      <c r="Y27" s="46">
        <v>0</v>
      </c>
      <c r="Z27" s="46">
        <v>18.397000000000002</v>
      </c>
      <c r="AA27" s="46">
        <v>0</v>
      </c>
      <c r="AB27" s="46">
        <v>28.582999999999998</v>
      </c>
      <c r="AC27" s="46">
        <v>4.3129999999999997</v>
      </c>
      <c r="AD27" s="46">
        <v>16.332000000000001</v>
      </c>
      <c r="AE27" s="46">
        <v>0</v>
      </c>
      <c r="AF27" s="46">
        <v>1.333</v>
      </c>
      <c r="AG27" s="46">
        <v>9.3859999999999992</v>
      </c>
      <c r="AH27" s="46">
        <v>6.516</v>
      </c>
      <c r="AI27" s="46">
        <v>47.716999999999999</v>
      </c>
      <c r="AJ27" s="46">
        <v>10.75</v>
      </c>
      <c r="AK27" s="46">
        <v>12.305</v>
      </c>
      <c r="AL27" s="46">
        <v>18.111000000000001</v>
      </c>
      <c r="AM27" s="46">
        <v>0</v>
      </c>
      <c r="AN27" s="46">
        <f t="shared" si="1"/>
        <v>9.5947333333333322</v>
      </c>
      <c r="AO27" s="7">
        <f t="shared" si="0"/>
        <v>9.5947333333333322</v>
      </c>
    </row>
    <row r="28" spans="1:41" x14ac:dyDescent="0.3">
      <c r="A28" s="5">
        <v>27</v>
      </c>
      <c r="B28" s="6" t="s">
        <v>9</v>
      </c>
      <c r="C28" s="12" t="s">
        <v>270</v>
      </c>
      <c r="D28" s="6" t="s">
        <v>128</v>
      </c>
      <c r="E28" s="6" t="s">
        <v>12</v>
      </c>
      <c r="F28" s="6" t="s">
        <v>124</v>
      </c>
      <c r="G28" s="6" t="s">
        <v>80</v>
      </c>
      <c r="H28" s="5">
        <v>1</v>
      </c>
      <c r="I28" s="67" t="s">
        <v>160</v>
      </c>
      <c r="J28" s="46">
        <v>0</v>
      </c>
      <c r="K28" s="46">
        <v>24.02</v>
      </c>
      <c r="L28" s="46">
        <v>23.099999999999998</v>
      </c>
      <c r="M28" s="46">
        <v>58.319999999999993</v>
      </c>
      <c r="N28" s="46">
        <v>33.660000000000004</v>
      </c>
      <c r="O28" s="46">
        <v>56.09</v>
      </c>
      <c r="P28" s="46">
        <v>35.809999999999995</v>
      </c>
      <c r="Q28" s="46">
        <v>19.410000000000004</v>
      </c>
      <c r="R28" s="46">
        <v>51.37</v>
      </c>
      <c r="S28" s="46">
        <v>30.359999999999996</v>
      </c>
      <c r="T28" s="46">
        <v>51.6</v>
      </c>
      <c r="U28" s="46">
        <v>25.660000000000004</v>
      </c>
      <c r="V28" s="46">
        <v>27.409999999999997</v>
      </c>
      <c r="W28" s="46">
        <v>10.870000000000001</v>
      </c>
      <c r="X28" s="46">
        <v>21.73</v>
      </c>
      <c r="Y28" s="46">
        <v>10.07</v>
      </c>
      <c r="Z28" s="46">
        <v>11.34</v>
      </c>
      <c r="AA28" s="46">
        <v>13.5</v>
      </c>
      <c r="AB28" s="46">
        <v>37.93</v>
      </c>
      <c r="AC28" s="46">
        <v>35.790000000000006</v>
      </c>
      <c r="AD28" s="46">
        <v>30</v>
      </c>
      <c r="AE28" s="46">
        <v>32.67</v>
      </c>
      <c r="AF28" s="46">
        <v>42.03</v>
      </c>
      <c r="AG28" s="46">
        <v>24.32</v>
      </c>
      <c r="AH28" s="46">
        <v>6.72</v>
      </c>
      <c r="AI28" s="46">
        <v>28.61</v>
      </c>
      <c r="AJ28" s="46">
        <v>20.41</v>
      </c>
      <c r="AK28" s="46">
        <v>0</v>
      </c>
      <c r="AL28" s="46">
        <v>0</v>
      </c>
      <c r="AM28" s="46">
        <v>0</v>
      </c>
      <c r="AN28" s="46">
        <f t="shared" si="1"/>
        <v>25.426666666666666</v>
      </c>
      <c r="AO28" s="7">
        <f t="shared" si="0"/>
        <v>25.426666666666666</v>
      </c>
    </row>
    <row r="29" spans="1:41" x14ac:dyDescent="0.3">
      <c r="A29" s="5">
        <v>28</v>
      </c>
      <c r="B29" s="6" t="s">
        <v>9</v>
      </c>
      <c r="C29" s="12" t="s">
        <v>270</v>
      </c>
      <c r="D29" s="6" t="s">
        <v>128</v>
      </c>
      <c r="E29" s="6" t="s">
        <v>12</v>
      </c>
      <c r="F29" s="6" t="s">
        <v>251</v>
      </c>
      <c r="G29" s="6" t="s">
        <v>80</v>
      </c>
      <c r="H29" s="5">
        <v>1</v>
      </c>
      <c r="I29" s="67" t="s">
        <v>160</v>
      </c>
      <c r="J29" s="46">
        <v>1.8260000000000001</v>
      </c>
      <c r="K29" s="46">
        <v>44.635999999999996</v>
      </c>
      <c r="L29" s="46">
        <v>54.412000000000006</v>
      </c>
      <c r="M29" s="46">
        <v>28.058</v>
      </c>
      <c r="N29" s="46">
        <v>75.171999999999997</v>
      </c>
      <c r="O29" s="46">
        <v>54.424999999999997</v>
      </c>
      <c r="P29" s="46">
        <v>77.212999999999994</v>
      </c>
      <c r="Q29" s="46">
        <v>37.402000000000001</v>
      </c>
      <c r="R29" s="46">
        <v>39.783999999999999</v>
      </c>
      <c r="S29" s="46">
        <v>30.948999999999998</v>
      </c>
      <c r="T29" s="46">
        <v>82.718999999999994</v>
      </c>
      <c r="U29" s="46">
        <v>23.939999999999998</v>
      </c>
      <c r="V29" s="46">
        <v>46.469000000000001</v>
      </c>
      <c r="W29" s="46">
        <v>57.795000000000002</v>
      </c>
      <c r="X29" s="46">
        <v>0</v>
      </c>
      <c r="Y29" s="46">
        <v>53.061999999999998</v>
      </c>
      <c r="Z29" s="46">
        <v>46.908999999999992</v>
      </c>
      <c r="AA29" s="46">
        <v>118.78099999999999</v>
      </c>
      <c r="AB29" s="46">
        <v>73.355999999999995</v>
      </c>
      <c r="AC29" s="46">
        <v>112.919</v>
      </c>
      <c r="AD29" s="46">
        <v>32.47</v>
      </c>
      <c r="AE29" s="46">
        <v>0</v>
      </c>
      <c r="AF29" s="46">
        <v>91.180999999999997</v>
      </c>
      <c r="AG29" s="46">
        <v>55.756999999999998</v>
      </c>
      <c r="AH29" s="46">
        <v>113.542</v>
      </c>
      <c r="AI29" s="46">
        <v>94.269000000000005</v>
      </c>
      <c r="AJ29" s="46">
        <v>64.605000000000004</v>
      </c>
      <c r="AK29" s="46">
        <v>100.276</v>
      </c>
      <c r="AL29" s="46">
        <v>48.713000000000001</v>
      </c>
      <c r="AM29" s="46">
        <v>44.253999999999998</v>
      </c>
      <c r="AN29" s="46">
        <f t="shared" si="1"/>
        <v>56.829799999999999</v>
      </c>
      <c r="AO29" s="7">
        <f t="shared" si="0"/>
        <v>56.829799999999999</v>
      </c>
    </row>
    <row r="30" spans="1:41" x14ac:dyDescent="0.3">
      <c r="A30" s="5">
        <v>29</v>
      </c>
      <c r="B30" s="6" t="s">
        <v>9</v>
      </c>
      <c r="C30" s="12" t="s">
        <v>243</v>
      </c>
      <c r="D30" s="6" t="s">
        <v>128</v>
      </c>
      <c r="E30" s="6" t="s">
        <v>12</v>
      </c>
      <c r="F30" s="6" t="s">
        <v>124</v>
      </c>
      <c r="G30" s="6" t="s">
        <v>80</v>
      </c>
      <c r="H30" s="5">
        <v>1</v>
      </c>
      <c r="I30" s="67" t="s">
        <v>160</v>
      </c>
      <c r="J30" s="46">
        <v>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5">
        <v>0</v>
      </c>
      <c r="S30" s="45">
        <v>0</v>
      </c>
      <c r="T30" s="45">
        <v>0</v>
      </c>
      <c r="U30" s="45">
        <v>0</v>
      </c>
      <c r="V30" s="45">
        <v>0</v>
      </c>
      <c r="W30" s="45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f t="shared" si="1"/>
        <v>0</v>
      </c>
      <c r="AO30" s="7">
        <f t="shared" si="0"/>
        <v>0</v>
      </c>
    </row>
    <row r="31" spans="1:41" ht="15.6" x14ac:dyDescent="0.3">
      <c r="A31" s="5">
        <v>30</v>
      </c>
      <c r="B31" s="6" t="s">
        <v>9</v>
      </c>
      <c r="C31" s="12" t="s">
        <v>260</v>
      </c>
      <c r="D31" s="6" t="s">
        <v>128</v>
      </c>
      <c r="E31" s="6" t="s">
        <v>12</v>
      </c>
      <c r="F31" s="6" t="s">
        <v>13</v>
      </c>
      <c r="G31" s="6" t="s">
        <v>35</v>
      </c>
      <c r="H31" s="5">
        <v>9</v>
      </c>
      <c r="I31" s="74" t="s">
        <v>273</v>
      </c>
      <c r="J31" s="46">
        <v>91.094000000000008</v>
      </c>
      <c r="K31" s="46">
        <v>180.14500000000004</v>
      </c>
      <c r="L31" s="46">
        <v>177.67100000000008</v>
      </c>
      <c r="M31" s="46">
        <v>187.85399999999996</v>
      </c>
      <c r="N31" s="46">
        <v>161.67000000000004</v>
      </c>
      <c r="O31" s="46">
        <v>108.12400000000001</v>
      </c>
      <c r="P31" s="46">
        <v>148.15199999999999</v>
      </c>
      <c r="Q31" s="46">
        <v>80.921000000000021</v>
      </c>
      <c r="R31" s="46">
        <v>89.32900000000005</v>
      </c>
      <c r="S31" s="46">
        <v>165.447</v>
      </c>
      <c r="T31" s="46">
        <v>189.35400000000007</v>
      </c>
      <c r="U31" s="46">
        <v>103.991</v>
      </c>
      <c r="V31" s="46">
        <v>126.75899999999997</v>
      </c>
      <c r="W31" s="46">
        <v>108.96000000000004</v>
      </c>
      <c r="X31" s="46">
        <v>130.95799999999997</v>
      </c>
      <c r="Y31" s="46">
        <v>109.27700000000002</v>
      </c>
      <c r="Z31" s="46">
        <v>91.868000000000023</v>
      </c>
      <c r="AA31" s="46">
        <v>120.42300000000004</v>
      </c>
      <c r="AB31" s="46">
        <v>114.15100000000001</v>
      </c>
      <c r="AC31" s="46">
        <v>120.851</v>
      </c>
      <c r="AD31" s="46">
        <v>147.48500000000004</v>
      </c>
      <c r="AE31" s="46">
        <v>142.518</v>
      </c>
      <c r="AF31" s="46">
        <v>151.13</v>
      </c>
      <c r="AG31" s="46">
        <v>118.28800000000001</v>
      </c>
      <c r="AH31" s="46">
        <v>119.01800000000003</v>
      </c>
      <c r="AI31" s="46">
        <v>160.24399999999997</v>
      </c>
      <c r="AJ31" s="46">
        <v>118.13300000000002</v>
      </c>
      <c r="AK31" s="46">
        <v>151.76600000000002</v>
      </c>
      <c r="AL31" s="46">
        <v>173.25400000000005</v>
      </c>
      <c r="AM31" s="46">
        <v>118.797</v>
      </c>
      <c r="AN31" s="46">
        <f t="shared" si="1"/>
        <v>133.58773333333335</v>
      </c>
      <c r="AO31" s="7">
        <f t="shared" si="0"/>
        <v>14.843081481481484</v>
      </c>
    </row>
    <row r="32" spans="1:41" ht="15.6" x14ac:dyDescent="0.3">
      <c r="A32" s="5">
        <v>31</v>
      </c>
      <c r="B32" s="6" t="s">
        <v>9</v>
      </c>
      <c r="C32" s="12" t="s">
        <v>260</v>
      </c>
      <c r="D32" s="6" t="s">
        <v>128</v>
      </c>
      <c r="E32" s="6" t="s">
        <v>12</v>
      </c>
      <c r="F32" s="6" t="s">
        <v>309</v>
      </c>
      <c r="G32" s="6" t="s">
        <v>80</v>
      </c>
      <c r="H32" s="5">
        <v>1</v>
      </c>
      <c r="I32" s="74" t="s">
        <v>273</v>
      </c>
      <c r="J32" s="46">
        <v>35.29</v>
      </c>
      <c r="K32" s="46">
        <v>60.75</v>
      </c>
      <c r="L32" s="46">
        <v>30.15</v>
      </c>
      <c r="M32" s="46">
        <v>30.79</v>
      </c>
      <c r="N32" s="46">
        <v>36.450000000000003</v>
      </c>
      <c r="O32" s="46">
        <v>29.36</v>
      </c>
      <c r="P32" s="46">
        <v>22.81</v>
      </c>
      <c r="Q32" s="46">
        <v>15.59</v>
      </c>
      <c r="R32" s="46">
        <v>16.14</v>
      </c>
      <c r="S32" s="46">
        <v>20.720000000000002</v>
      </c>
      <c r="T32" s="46">
        <v>48.59</v>
      </c>
      <c r="U32" s="46">
        <v>40.54</v>
      </c>
      <c r="V32" s="46">
        <v>41.970000000000006</v>
      </c>
      <c r="W32" s="46">
        <v>34.659999999999997</v>
      </c>
      <c r="X32" s="46">
        <v>53.819999999999993</v>
      </c>
      <c r="Y32" s="46">
        <v>40.630000000000003</v>
      </c>
      <c r="Z32" s="46">
        <v>34.169999999999995</v>
      </c>
      <c r="AA32" s="46">
        <v>49.820000000000007</v>
      </c>
      <c r="AB32" s="46">
        <v>46.15</v>
      </c>
      <c r="AC32" s="46">
        <v>28.43</v>
      </c>
      <c r="AD32" s="46">
        <v>56.38</v>
      </c>
      <c r="AE32" s="46">
        <v>59.53</v>
      </c>
      <c r="AF32" s="46">
        <v>55.209999999999994</v>
      </c>
      <c r="AG32" s="46">
        <v>45.53</v>
      </c>
      <c r="AH32" s="46">
        <v>39.260000000000005</v>
      </c>
      <c r="AI32" s="46">
        <v>32.410000000000004</v>
      </c>
      <c r="AJ32" s="46">
        <v>24.14</v>
      </c>
      <c r="AK32" s="46">
        <v>44.829999999999991</v>
      </c>
      <c r="AL32" s="46">
        <v>43.199999999999989</v>
      </c>
      <c r="AM32" s="46">
        <v>32.369999999999997</v>
      </c>
      <c r="AN32" s="46">
        <f t="shared" si="1"/>
        <v>38.322999999999993</v>
      </c>
      <c r="AO32" s="7">
        <f t="shared" si="0"/>
        <v>38.322999999999993</v>
      </c>
    </row>
    <row r="33" spans="1:41" ht="15.6" x14ac:dyDescent="0.3">
      <c r="A33" s="5">
        <v>32</v>
      </c>
      <c r="B33" s="6" t="s">
        <v>9</v>
      </c>
      <c r="C33" s="12" t="s">
        <v>352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8</v>
      </c>
      <c r="I33" s="74" t="s">
        <v>273</v>
      </c>
      <c r="J33" s="46">
        <v>126.589</v>
      </c>
      <c r="K33" s="46">
        <v>155.797</v>
      </c>
      <c r="L33" s="46">
        <v>132.59700000000001</v>
      </c>
      <c r="M33" s="46">
        <v>152.07099999999997</v>
      </c>
      <c r="N33" s="46">
        <v>135.50999999999996</v>
      </c>
      <c r="O33" s="46">
        <v>149.87500000000003</v>
      </c>
      <c r="P33" s="46">
        <v>153.25500000000002</v>
      </c>
      <c r="Q33" s="46">
        <v>112.905</v>
      </c>
      <c r="R33" s="46">
        <v>143.03300000000004</v>
      </c>
      <c r="S33" s="46">
        <v>125.52100000000002</v>
      </c>
      <c r="T33" s="46">
        <v>127.49899999999998</v>
      </c>
      <c r="U33" s="46">
        <v>112.88200000000003</v>
      </c>
      <c r="V33" s="46">
        <v>108.611</v>
      </c>
      <c r="W33" s="46">
        <v>120.60500000000002</v>
      </c>
      <c r="X33" s="46">
        <v>146.46900000000002</v>
      </c>
      <c r="Y33" s="46">
        <v>94.76700000000001</v>
      </c>
      <c r="Z33" s="46">
        <v>77.829000000000008</v>
      </c>
      <c r="AA33" s="46">
        <v>81.250000000000014</v>
      </c>
      <c r="AB33" s="46">
        <v>108.06799999999998</v>
      </c>
      <c r="AC33" s="46">
        <v>136.995</v>
      </c>
      <c r="AD33" s="46">
        <v>96.436000000000007</v>
      </c>
      <c r="AE33" s="46">
        <v>170.20899999999997</v>
      </c>
      <c r="AF33" s="46">
        <v>124.126</v>
      </c>
      <c r="AG33" s="46">
        <v>159.761</v>
      </c>
      <c r="AH33" s="46">
        <v>165.15200000000002</v>
      </c>
      <c r="AI33" s="46">
        <v>95.583999999999989</v>
      </c>
      <c r="AJ33" s="46">
        <v>159.16499999999999</v>
      </c>
      <c r="AK33" s="46">
        <v>116.57200000000002</v>
      </c>
      <c r="AL33" s="46">
        <v>130.78000000000003</v>
      </c>
      <c r="AM33" s="46">
        <v>129.642</v>
      </c>
      <c r="AN33" s="46">
        <f t="shared" si="1"/>
        <v>128.31850000000003</v>
      </c>
      <c r="AO33" s="7">
        <f t="shared" si="0"/>
        <v>16.039812500000004</v>
      </c>
    </row>
    <row r="34" spans="1:41" ht="15.6" x14ac:dyDescent="0.3">
      <c r="A34" s="5">
        <v>33</v>
      </c>
      <c r="B34" s="6" t="s">
        <v>9</v>
      </c>
      <c r="C34" s="12" t="s">
        <v>352</v>
      </c>
      <c r="D34" s="6" t="s">
        <v>128</v>
      </c>
      <c r="E34" s="6" t="s">
        <v>12</v>
      </c>
      <c r="F34" s="6" t="s">
        <v>40</v>
      </c>
      <c r="G34" s="6" t="s">
        <v>35</v>
      </c>
      <c r="H34" s="5">
        <v>2</v>
      </c>
      <c r="I34" s="74" t="s">
        <v>273</v>
      </c>
      <c r="J34" s="46">
        <v>19.034999999999997</v>
      </c>
      <c r="K34" s="46">
        <v>42.224000000000004</v>
      </c>
      <c r="L34" s="46">
        <v>73.644000000000005</v>
      </c>
      <c r="M34" s="46">
        <v>57.296000000000006</v>
      </c>
      <c r="N34" s="46">
        <v>73.123999999999995</v>
      </c>
      <c r="O34" s="46">
        <v>36.601999999999997</v>
      </c>
      <c r="P34" s="46">
        <v>48.818999999999996</v>
      </c>
      <c r="Q34" s="46">
        <v>24.158999999999999</v>
      </c>
      <c r="R34" s="46">
        <v>68.447000000000003</v>
      </c>
      <c r="S34" s="46">
        <v>34.121000000000002</v>
      </c>
      <c r="T34" s="46">
        <v>53.23</v>
      </c>
      <c r="U34" s="46">
        <v>36.739000000000004</v>
      </c>
      <c r="V34" s="46">
        <v>44.052999999999997</v>
      </c>
      <c r="W34" s="46">
        <v>74.154999999999987</v>
      </c>
      <c r="X34" s="46">
        <v>20.850999999999999</v>
      </c>
      <c r="Y34" s="46">
        <v>14.667000000000002</v>
      </c>
      <c r="Z34" s="46">
        <v>16.93</v>
      </c>
      <c r="AA34" s="46">
        <v>12.427999999999999</v>
      </c>
      <c r="AB34" s="46">
        <v>34.918999999999997</v>
      </c>
      <c r="AC34" s="46">
        <v>37.875</v>
      </c>
      <c r="AD34" s="46">
        <v>22.244999999999997</v>
      </c>
      <c r="AE34" s="46">
        <v>41.772999999999996</v>
      </c>
      <c r="AF34" s="46">
        <v>50.212000000000003</v>
      </c>
      <c r="AG34" s="46">
        <v>34.015000000000001</v>
      </c>
      <c r="AH34" s="46">
        <v>76.284999999999997</v>
      </c>
      <c r="AI34" s="46">
        <v>25.823999999999998</v>
      </c>
      <c r="AJ34" s="46">
        <v>85.823999999999998</v>
      </c>
      <c r="AK34" s="46">
        <v>23.439999999999998</v>
      </c>
      <c r="AL34" s="46">
        <v>62.326000000000001</v>
      </c>
      <c r="AM34" s="46">
        <v>63.27</v>
      </c>
      <c r="AN34" s="46">
        <f t="shared" si="1"/>
        <v>43.617733333333341</v>
      </c>
      <c r="AO34" s="7">
        <f t="shared" ref="AO34:AO65" si="2">AN34/H34</f>
        <v>21.80886666666667</v>
      </c>
    </row>
    <row r="35" spans="1:41" ht="15.6" x14ac:dyDescent="0.3">
      <c r="A35" s="5">
        <v>34</v>
      </c>
      <c r="B35" s="6" t="s">
        <v>9</v>
      </c>
      <c r="C35" s="12" t="s">
        <v>370</v>
      </c>
      <c r="D35" s="6" t="s">
        <v>128</v>
      </c>
      <c r="E35" s="6" t="s">
        <v>12</v>
      </c>
      <c r="F35" s="6" t="s">
        <v>13</v>
      </c>
      <c r="G35" s="6" t="s">
        <v>35</v>
      </c>
      <c r="H35" s="5">
        <v>1</v>
      </c>
      <c r="I35" s="74" t="s">
        <v>273</v>
      </c>
      <c r="J35" s="46">
        <v>5.1319999999999997</v>
      </c>
      <c r="K35" s="46">
        <v>16.789000000000001</v>
      </c>
      <c r="L35" s="46">
        <v>12.795999999999999</v>
      </c>
      <c r="M35" s="46">
        <v>20.312000000000001</v>
      </c>
      <c r="N35" s="46">
        <v>4.4889999999999999</v>
      </c>
      <c r="O35" s="46">
        <v>19.715</v>
      </c>
      <c r="P35" s="46">
        <v>17.866</v>
      </c>
      <c r="Q35" s="46">
        <v>5.2910000000000004</v>
      </c>
      <c r="R35" s="46">
        <v>21.555999999999997</v>
      </c>
      <c r="S35" s="46">
        <v>8.1829999999999998</v>
      </c>
      <c r="T35" s="46">
        <v>14.565</v>
      </c>
      <c r="U35" s="46">
        <v>6.3520000000000003</v>
      </c>
      <c r="V35" s="46">
        <v>4.1680000000000001</v>
      </c>
      <c r="W35" s="46">
        <v>19.916999999999998</v>
      </c>
      <c r="X35" s="46">
        <v>18.306999999999999</v>
      </c>
      <c r="Y35" s="46">
        <v>11.907</v>
      </c>
      <c r="Z35" s="46">
        <v>8.9169999999999998</v>
      </c>
      <c r="AA35" s="46">
        <v>15.326000000000001</v>
      </c>
      <c r="AB35" s="46">
        <v>23.895999999999997</v>
      </c>
      <c r="AC35" s="46">
        <v>10.871</v>
      </c>
      <c r="AD35" s="46">
        <v>15.235999999999999</v>
      </c>
      <c r="AE35" s="46">
        <v>13.137</v>
      </c>
      <c r="AF35" s="46">
        <v>15.762</v>
      </c>
      <c r="AG35" s="46">
        <v>19.887999999999998</v>
      </c>
      <c r="AH35" s="46">
        <v>17.634</v>
      </c>
      <c r="AI35" s="46">
        <v>10.573</v>
      </c>
      <c r="AJ35" s="46">
        <v>16.829999999999998</v>
      </c>
      <c r="AK35" s="46">
        <v>12.231999999999999</v>
      </c>
      <c r="AL35" s="46">
        <v>2.2000000000000002E-2</v>
      </c>
      <c r="AM35" s="46">
        <v>19.853999999999999</v>
      </c>
      <c r="AN35" s="46">
        <f t="shared" si="1"/>
        <v>13.584099999999998</v>
      </c>
      <c r="AO35" s="7">
        <f t="shared" si="2"/>
        <v>13.584099999999998</v>
      </c>
    </row>
    <row r="36" spans="1:41" ht="15.6" x14ac:dyDescent="0.3">
      <c r="A36" s="5">
        <v>35</v>
      </c>
      <c r="B36" s="6" t="s">
        <v>9</v>
      </c>
      <c r="C36" s="12" t="s">
        <v>283</v>
      </c>
      <c r="D36" s="6" t="s">
        <v>128</v>
      </c>
      <c r="E36" s="6" t="s">
        <v>12</v>
      </c>
      <c r="F36" s="6" t="s">
        <v>13</v>
      </c>
      <c r="G36" s="6" t="s">
        <v>35</v>
      </c>
      <c r="H36" s="5">
        <v>11</v>
      </c>
      <c r="I36" s="74" t="s">
        <v>273</v>
      </c>
      <c r="J36" s="46">
        <v>48.14200000000001</v>
      </c>
      <c r="K36" s="46">
        <v>69.692999999999998</v>
      </c>
      <c r="L36" s="46">
        <v>74.492999999999981</v>
      </c>
      <c r="M36" s="46">
        <v>83.315999999999988</v>
      </c>
      <c r="N36" s="46">
        <v>83.465999999999994</v>
      </c>
      <c r="O36" s="46">
        <v>94.283000000000001</v>
      </c>
      <c r="P36" s="46">
        <v>98.764999999999986</v>
      </c>
      <c r="Q36" s="46">
        <v>35.889000000000003</v>
      </c>
      <c r="R36" s="46">
        <v>51.100999999999992</v>
      </c>
      <c r="S36" s="46">
        <v>66.004999999999981</v>
      </c>
      <c r="T36" s="46">
        <v>85.300000000000011</v>
      </c>
      <c r="U36" s="46">
        <v>83.935999999999993</v>
      </c>
      <c r="V36" s="46">
        <v>60.75</v>
      </c>
      <c r="W36" s="46">
        <v>66.775000000000006</v>
      </c>
      <c r="X36" s="46">
        <v>54.682000000000002</v>
      </c>
      <c r="Y36" s="46">
        <v>53.575999999999993</v>
      </c>
      <c r="Z36" s="46">
        <v>73.201999999999998</v>
      </c>
      <c r="AA36" s="46">
        <v>70.847999999999999</v>
      </c>
      <c r="AB36" s="46">
        <v>72.221000000000004</v>
      </c>
      <c r="AC36" s="46">
        <v>54.978000000000009</v>
      </c>
      <c r="AD36" s="46">
        <v>67.013999999999996</v>
      </c>
      <c r="AE36" s="46">
        <v>53.688000000000002</v>
      </c>
      <c r="AF36" s="46">
        <v>45.417000000000009</v>
      </c>
      <c r="AG36" s="46">
        <v>62.415000000000006</v>
      </c>
      <c r="AH36" s="46">
        <v>89.965000000000003</v>
      </c>
      <c r="AI36" s="46">
        <v>65.872</v>
      </c>
      <c r="AJ36" s="46">
        <v>71.371000000000009</v>
      </c>
      <c r="AK36" s="46">
        <v>73.098000000000013</v>
      </c>
      <c r="AL36" s="46">
        <v>63.147000000000006</v>
      </c>
      <c r="AM36" s="46">
        <v>73.991000000000014</v>
      </c>
      <c r="AN36" s="46">
        <f t="shared" si="1"/>
        <v>68.246633333333335</v>
      </c>
      <c r="AO36" s="7">
        <f t="shared" si="2"/>
        <v>6.2042393939393943</v>
      </c>
    </row>
    <row r="37" spans="1:41" ht="15.6" x14ac:dyDescent="0.3">
      <c r="A37" s="5">
        <v>36</v>
      </c>
      <c r="B37" s="6" t="s">
        <v>9</v>
      </c>
      <c r="C37" s="12" t="s">
        <v>318</v>
      </c>
      <c r="D37" s="6" t="s">
        <v>128</v>
      </c>
      <c r="E37" s="6" t="s">
        <v>12</v>
      </c>
      <c r="F37" s="6" t="s">
        <v>13</v>
      </c>
      <c r="G37" s="6" t="s">
        <v>35</v>
      </c>
      <c r="H37" s="5">
        <v>1</v>
      </c>
      <c r="I37" s="74" t="s">
        <v>272</v>
      </c>
      <c r="J37" s="46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51">
        <v>0</v>
      </c>
      <c r="S37" s="45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0.97399999999999998</v>
      </c>
      <c r="AK37" s="46">
        <v>0</v>
      </c>
      <c r="AL37" s="46">
        <v>0</v>
      </c>
      <c r="AM37" s="46">
        <v>0</v>
      </c>
      <c r="AN37" s="46">
        <f t="shared" si="1"/>
        <v>3.2466666666666665E-2</v>
      </c>
      <c r="AO37" s="7">
        <f t="shared" si="2"/>
        <v>3.2466666666666665E-2</v>
      </c>
    </row>
    <row r="38" spans="1:41" ht="15.6" x14ac:dyDescent="0.3">
      <c r="A38" s="5">
        <v>37</v>
      </c>
      <c r="B38" s="6" t="s">
        <v>9</v>
      </c>
      <c r="C38" s="12" t="s">
        <v>323</v>
      </c>
      <c r="D38" s="6" t="s">
        <v>128</v>
      </c>
      <c r="E38" s="6" t="s">
        <v>12</v>
      </c>
      <c r="F38" s="6" t="s">
        <v>13</v>
      </c>
      <c r="G38" s="6" t="s">
        <v>35</v>
      </c>
      <c r="H38" s="5">
        <v>6</v>
      </c>
      <c r="I38" s="74" t="s">
        <v>273</v>
      </c>
      <c r="J38" s="46">
        <v>6.1389999999999993</v>
      </c>
      <c r="K38" s="46">
        <v>19.858999999999998</v>
      </c>
      <c r="L38" s="46">
        <v>13.694999999999999</v>
      </c>
      <c r="M38" s="46">
        <v>7.2780000000000005</v>
      </c>
      <c r="N38" s="46">
        <v>16.777999999999999</v>
      </c>
      <c r="O38" s="46">
        <v>25.353999999999999</v>
      </c>
      <c r="P38" s="46">
        <v>24.957000000000001</v>
      </c>
      <c r="Q38" s="46">
        <v>24.571999999999999</v>
      </c>
      <c r="R38" s="46">
        <v>0</v>
      </c>
      <c r="S38" s="46">
        <v>14.350999999999999</v>
      </c>
      <c r="T38" s="46">
        <v>42.4</v>
      </c>
      <c r="U38" s="46">
        <v>21.716999999999999</v>
      </c>
      <c r="V38" s="46">
        <v>15.754999999999999</v>
      </c>
      <c r="W38" s="46">
        <v>27.446999999999996</v>
      </c>
      <c r="X38" s="46">
        <v>20.027999999999999</v>
      </c>
      <c r="Y38" s="46">
        <v>0</v>
      </c>
      <c r="Z38" s="46">
        <v>26.505000000000003</v>
      </c>
      <c r="AA38" s="46">
        <v>23.368999999999996</v>
      </c>
      <c r="AB38" s="46">
        <v>21.007999999999999</v>
      </c>
      <c r="AC38" s="46">
        <v>53.169999999999995</v>
      </c>
      <c r="AD38" s="46">
        <v>26.303999999999998</v>
      </c>
      <c r="AE38" s="46">
        <v>34.658999999999999</v>
      </c>
      <c r="AF38" s="46">
        <v>5.8759999999999994</v>
      </c>
      <c r="AG38" s="46">
        <v>32.955000000000005</v>
      </c>
      <c r="AH38" s="46">
        <v>25.134</v>
      </c>
      <c r="AI38" s="46">
        <v>40.411000000000001</v>
      </c>
      <c r="AJ38" s="46">
        <v>46.288000000000004</v>
      </c>
      <c r="AK38" s="46">
        <v>31.742000000000004</v>
      </c>
      <c r="AL38" s="46">
        <v>57.190000000000005</v>
      </c>
      <c r="AM38" s="46">
        <v>11.65</v>
      </c>
      <c r="AN38" s="46">
        <f t="shared" si="1"/>
        <v>23.886366666666667</v>
      </c>
      <c r="AO38" s="7">
        <f t="shared" si="2"/>
        <v>3.9810611111111114</v>
      </c>
    </row>
    <row r="39" spans="1:41" ht="15.6" x14ac:dyDescent="0.3">
      <c r="A39" s="5">
        <v>38</v>
      </c>
      <c r="B39" s="6" t="s">
        <v>9</v>
      </c>
      <c r="C39" s="12" t="s">
        <v>354</v>
      </c>
      <c r="D39" s="6" t="s">
        <v>128</v>
      </c>
      <c r="E39" s="6" t="s">
        <v>12</v>
      </c>
      <c r="F39" s="6" t="s">
        <v>13</v>
      </c>
      <c r="G39" s="6" t="s">
        <v>35</v>
      </c>
      <c r="H39" s="5">
        <v>11</v>
      </c>
      <c r="I39" s="74" t="s">
        <v>273</v>
      </c>
      <c r="J39" s="46">
        <v>152.27500000000003</v>
      </c>
      <c r="K39" s="46">
        <v>91.631</v>
      </c>
      <c r="L39" s="46">
        <v>147.13900000000004</v>
      </c>
      <c r="M39" s="46">
        <v>133.39500000000004</v>
      </c>
      <c r="N39" s="46">
        <v>92.875</v>
      </c>
      <c r="O39" s="46">
        <v>63.451000000000001</v>
      </c>
      <c r="P39" s="46">
        <v>140.88200000000001</v>
      </c>
      <c r="Q39" s="46">
        <v>62.64</v>
      </c>
      <c r="R39" s="46">
        <v>67.534999999999997</v>
      </c>
      <c r="S39" s="46">
        <v>63.375000000000007</v>
      </c>
      <c r="T39" s="46">
        <v>143.15400000000002</v>
      </c>
      <c r="U39" s="46">
        <v>93.668999999999997</v>
      </c>
      <c r="V39" s="46">
        <v>137.50700000000001</v>
      </c>
      <c r="W39" s="46">
        <v>66.081999999999994</v>
      </c>
      <c r="X39" s="46">
        <v>73.218000000000004</v>
      </c>
      <c r="Y39" s="46">
        <v>81.749999999999986</v>
      </c>
      <c r="Z39" s="46">
        <v>43.688000000000002</v>
      </c>
      <c r="AA39" s="46">
        <v>65.28</v>
      </c>
      <c r="AB39" s="46">
        <v>112.21799999999999</v>
      </c>
      <c r="AC39" s="46">
        <v>139.44199999999998</v>
      </c>
      <c r="AD39" s="46">
        <v>111.57899999999999</v>
      </c>
      <c r="AE39" s="46">
        <v>86.15000000000002</v>
      </c>
      <c r="AF39" s="46">
        <v>135.63899999999998</v>
      </c>
      <c r="AG39" s="46">
        <v>154.80500000000004</v>
      </c>
      <c r="AH39" s="46">
        <v>110.42999999999999</v>
      </c>
      <c r="AI39" s="46">
        <v>131.32699999999997</v>
      </c>
      <c r="AJ39" s="46">
        <v>147.624</v>
      </c>
      <c r="AK39" s="46">
        <v>79.662999999999997</v>
      </c>
      <c r="AL39" s="46">
        <v>146.27999999999997</v>
      </c>
      <c r="AM39" s="46">
        <v>115.88400000000001</v>
      </c>
      <c r="AN39" s="46">
        <f t="shared" si="1"/>
        <v>106.35289999999999</v>
      </c>
      <c r="AO39" s="7">
        <f t="shared" si="2"/>
        <v>9.6684454545454539</v>
      </c>
    </row>
    <row r="40" spans="1:41" ht="15.6" x14ac:dyDescent="0.3">
      <c r="A40" s="5">
        <v>39</v>
      </c>
      <c r="B40" s="6" t="s">
        <v>9</v>
      </c>
      <c r="C40" s="12" t="s">
        <v>357</v>
      </c>
      <c r="D40" s="6" t="s">
        <v>128</v>
      </c>
      <c r="E40" s="6" t="s">
        <v>12</v>
      </c>
      <c r="F40" s="6" t="s">
        <v>353</v>
      </c>
      <c r="G40" s="6" t="s">
        <v>35</v>
      </c>
      <c r="H40" s="5">
        <v>1</v>
      </c>
      <c r="I40" s="74" t="s">
        <v>272</v>
      </c>
      <c r="J40" s="46">
        <v>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51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46">
        <v>0</v>
      </c>
      <c r="AN40" s="46">
        <f t="shared" si="1"/>
        <v>0</v>
      </c>
      <c r="AO40" s="7">
        <f t="shared" si="2"/>
        <v>0</v>
      </c>
    </row>
    <row r="41" spans="1:41" ht="15.6" x14ac:dyDescent="0.3">
      <c r="A41" s="5">
        <v>40</v>
      </c>
      <c r="B41" s="6" t="s">
        <v>9</v>
      </c>
      <c r="C41" s="39" t="s">
        <v>366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5</v>
      </c>
      <c r="I41" s="74" t="s">
        <v>273</v>
      </c>
      <c r="J41" s="46">
        <v>8.6000000000000007E-2</v>
      </c>
      <c r="K41" s="46">
        <v>3.0729999999999995</v>
      </c>
      <c r="L41" s="46">
        <v>20.143000000000001</v>
      </c>
      <c r="M41" s="46">
        <v>14.247999999999999</v>
      </c>
      <c r="N41" s="46">
        <v>88.571000000000012</v>
      </c>
      <c r="O41" s="46">
        <v>25.055</v>
      </c>
      <c r="P41" s="46">
        <v>35.860999999999997</v>
      </c>
      <c r="Q41" s="46">
        <v>35.327999999999996</v>
      </c>
      <c r="R41" s="46">
        <v>6.6130000000000004</v>
      </c>
      <c r="S41" s="46">
        <v>12.558</v>
      </c>
      <c r="T41" s="46">
        <v>40.415999999999997</v>
      </c>
      <c r="U41" s="46">
        <v>49.501000000000005</v>
      </c>
      <c r="V41" s="46">
        <v>35.922000000000004</v>
      </c>
      <c r="W41" s="46">
        <v>12.280000000000001</v>
      </c>
      <c r="X41" s="46">
        <v>9.6359999999999992</v>
      </c>
      <c r="Y41" s="46">
        <v>0</v>
      </c>
      <c r="Z41" s="46">
        <v>12.747</v>
      </c>
      <c r="AA41" s="46">
        <v>3.617</v>
      </c>
      <c r="AB41" s="46">
        <v>7.3339999999999996</v>
      </c>
      <c r="AC41" s="46">
        <v>12.682</v>
      </c>
      <c r="AD41" s="46">
        <v>22.531999999999996</v>
      </c>
      <c r="AE41" s="46">
        <v>8.8209999999999997</v>
      </c>
      <c r="AF41" s="46">
        <v>3.0680000000000001</v>
      </c>
      <c r="AG41" s="46">
        <v>9.8429999999999982</v>
      </c>
      <c r="AH41" s="46">
        <v>4.4289999999999994</v>
      </c>
      <c r="AI41" s="46">
        <v>6.7409999999999997</v>
      </c>
      <c r="AJ41" s="46">
        <v>3.8450000000000002</v>
      </c>
      <c r="AK41" s="46">
        <v>8.9600000000000009</v>
      </c>
      <c r="AL41" s="46">
        <v>11.571999999999999</v>
      </c>
      <c r="AM41" s="46">
        <v>2.6549999999999998</v>
      </c>
      <c r="AN41" s="46">
        <f t="shared" si="1"/>
        <v>16.937899999999999</v>
      </c>
      <c r="AO41" s="7">
        <f t="shared" si="2"/>
        <v>3.3875799999999998</v>
      </c>
    </row>
    <row r="42" spans="1:41" ht="15.6" x14ac:dyDescent="0.3">
      <c r="A42" s="5">
        <v>41</v>
      </c>
      <c r="B42" s="6" t="s">
        <v>9</v>
      </c>
      <c r="C42" s="12" t="s">
        <v>403</v>
      </c>
      <c r="D42" s="6" t="s">
        <v>30</v>
      </c>
      <c r="E42" s="6" t="s">
        <v>12</v>
      </c>
      <c r="F42" s="6" t="s">
        <v>13</v>
      </c>
      <c r="G42" s="6" t="s">
        <v>35</v>
      </c>
      <c r="H42" s="5">
        <v>1</v>
      </c>
      <c r="I42" s="74" t="s">
        <v>273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f t="shared" si="1"/>
        <v>0</v>
      </c>
      <c r="AO42" s="7">
        <f t="shared" si="2"/>
        <v>0</v>
      </c>
    </row>
    <row r="43" spans="1:41" x14ac:dyDescent="0.3">
      <c r="A43" s="5">
        <v>42</v>
      </c>
      <c r="B43" s="6" t="s">
        <v>9</v>
      </c>
      <c r="C43" s="12" t="s">
        <v>404</v>
      </c>
      <c r="D43" s="6" t="s">
        <v>128</v>
      </c>
      <c r="E43" s="6" t="s">
        <v>12</v>
      </c>
      <c r="F43" s="6" t="s">
        <v>13</v>
      </c>
      <c r="G43" s="6" t="s">
        <v>35</v>
      </c>
      <c r="H43" s="5">
        <v>1</v>
      </c>
      <c r="I43" s="67" t="s">
        <v>160</v>
      </c>
      <c r="J43" s="46">
        <v>4.4870000000000001</v>
      </c>
      <c r="K43" s="46">
        <v>5.9849999999999994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f t="shared" si="1"/>
        <v>0.34906666666666664</v>
      </c>
      <c r="AO43" s="7">
        <f t="shared" si="2"/>
        <v>0.34906666666666664</v>
      </c>
    </row>
    <row r="44" spans="1:41" ht="15.6" x14ac:dyDescent="0.3">
      <c r="A44" s="5">
        <v>43</v>
      </c>
      <c r="B44" s="6" t="s">
        <v>9</v>
      </c>
      <c r="C44" s="12" t="s">
        <v>433</v>
      </c>
      <c r="D44" s="6" t="s">
        <v>30</v>
      </c>
      <c r="E44" s="6" t="s">
        <v>12</v>
      </c>
      <c r="F44" s="6" t="s">
        <v>13</v>
      </c>
      <c r="G44" s="6" t="s">
        <v>35</v>
      </c>
      <c r="H44" s="5">
        <v>1</v>
      </c>
      <c r="I44" s="74" t="s">
        <v>273</v>
      </c>
      <c r="J44" s="46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f t="shared" si="1"/>
        <v>0</v>
      </c>
      <c r="AO44" s="7">
        <f t="shared" si="2"/>
        <v>0</v>
      </c>
    </row>
    <row r="45" spans="1:41" ht="15.6" x14ac:dyDescent="0.3">
      <c r="A45" s="5">
        <v>44</v>
      </c>
      <c r="B45" s="6" t="s">
        <v>9</v>
      </c>
      <c r="C45" s="12" t="s">
        <v>434</v>
      </c>
      <c r="D45" s="6" t="s">
        <v>30</v>
      </c>
      <c r="E45" s="6" t="s">
        <v>12</v>
      </c>
      <c r="F45" s="6" t="s">
        <v>13</v>
      </c>
      <c r="G45" s="6" t="s">
        <v>35</v>
      </c>
      <c r="H45" s="5">
        <v>1</v>
      </c>
      <c r="I45" s="74" t="s">
        <v>273</v>
      </c>
      <c r="J45" s="46">
        <v>0</v>
      </c>
      <c r="K45" s="46">
        <v>6.3659999999999997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7.5209999999999999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4.7030000000000003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f t="shared" si="1"/>
        <v>0.6196666666666667</v>
      </c>
      <c r="AO45" s="7">
        <f t="shared" si="2"/>
        <v>0.6196666666666667</v>
      </c>
    </row>
    <row r="46" spans="1:41" x14ac:dyDescent="0.3">
      <c r="A46" s="5">
        <v>45</v>
      </c>
      <c r="B46" s="6" t="s">
        <v>9</v>
      </c>
      <c r="C46" t="s">
        <v>440</v>
      </c>
      <c r="D46" s="6" t="s">
        <v>128</v>
      </c>
      <c r="E46" s="6" t="s">
        <v>12</v>
      </c>
      <c r="F46" s="6" t="s">
        <v>441</v>
      </c>
      <c r="G46" s="6" t="s">
        <v>80</v>
      </c>
      <c r="H46" s="5">
        <v>2</v>
      </c>
      <c r="I46" s="67" t="s">
        <v>160</v>
      </c>
      <c r="J46" s="46">
        <v>0</v>
      </c>
      <c r="K46" s="46">
        <v>28.974</v>
      </c>
      <c r="L46" s="46">
        <v>63.731000000000009</v>
      </c>
      <c r="M46" s="46">
        <v>95.056000000000012</v>
      </c>
      <c r="N46" s="46">
        <v>88.545999999999992</v>
      </c>
      <c r="O46" s="46">
        <v>146.404</v>
      </c>
      <c r="P46" s="46">
        <v>43.747</v>
      </c>
      <c r="Q46" s="46">
        <v>14.117000000000001</v>
      </c>
      <c r="R46" s="46">
        <v>27.835000000000001</v>
      </c>
      <c r="S46" s="46">
        <v>64.919000000000011</v>
      </c>
      <c r="T46" s="46">
        <v>88.271000000000001</v>
      </c>
      <c r="U46" s="46">
        <v>118.21199999999999</v>
      </c>
      <c r="V46" s="46">
        <v>70.989999999999995</v>
      </c>
      <c r="W46" s="46">
        <v>44.287999999999997</v>
      </c>
      <c r="X46" s="46">
        <v>23.627000000000002</v>
      </c>
      <c r="Y46" s="46">
        <v>62.669000000000004</v>
      </c>
      <c r="Z46" s="46">
        <v>89.447999999999993</v>
      </c>
      <c r="AA46" s="46">
        <v>112.384</v>
      </c>
      <c r="AB46" s="46">
        <v>143.85900000000001</v>
      </c>
      <c r="AC46" s="46">
        <v>100.63500000000001</v>
      </c>
      <c r="AD46" s="46">
        <v>45.504000000000005</v>
      </c>
      <c r="AE46" s="46">
        <v>7.9649999999999999</v>
      </c>
      <c r="AF46" s="46">
        <v>50.403999999999996</v>
      </c>
      <c r="AG46" s="46">
        <v>113.706</v>
      </c>
      <c r="AH46" s="46">
        <v>177.31299999999999</v>
      </c>
      <c r="AI46" s="46">
        <v>203.99700000000001</v>
      </c>
      <c r="AJ46" s="46">
        <v>160.47600000000003</v>
      </c>
      <c r="AK46" s="46">
        <v>81.478999999999999</v>
      </c>
      <c r="AL46" s="46">
        <v>46.870000000000005</v>
      </c>
      <c r="AM46" s="46">
        <v>137.40600000000001</v>
      </c>
      <c r="AN46" s="46">
        <f t="shared" si="1"/>
        <v>81.76106666666665</v>
      </c>
      <c r="AO46" s="7">
        <f t="shared" si="2"/>
        <v>40.880533333333325</v>
      </c>
    </row>
    <row r="47" spans="1:41" x14ac:dyDescent="0.3">
      <c r="A47" s="5">
        <v>46</v>
      </c>
      <c r="B47" s="6" t="s">
        <v>9</v>
      </c>
      <c r="C47" s="12" t="s">
        <v>455</v>
      </c>
      <c r="D47" s="6" t="s">
        <v>128</v>
      </c>
      <c r="E47" s="6" t="s">
        <v>12</v>
      </c>
      <c r="F47" s="6" t="s">
        <v>13</v>
      </c>
      <c r="G47" s="6" t="s">
        <v>35</v>
      </c>
      <c r="H47" s="5">
        <v>5</v>
      </c>
      <c r="I47" s="67" t="s">
        <v>160</v>
      </c>
      <c r="J47" s="46">
        <v>1.6860000000000002</v>
      </c>
      <c r="K47" s="46">
        <v>2.5859999999999999</v>
      </c>
      <c r="L47" s="46">
        <v>5.2089999999999996</v>
      </c>
      <c r="M47" s="46">
        <v>4.3570000000000002</v>
      </c>
      <c r="N47" s="46">
        <v>4.1900000000000004</v>
      </c>
      <c r="O47" s="46">
        <v>8.5719999999999992</v>
      </c>
      <c r="P47" s="46">
        <v>2.367</v>
      </c>
      <c r="Q47" s="46">
        <v>1.51</v>
      </c>
      <c r="R47" s="46">
        <v>5.4239999999999995</v>
      </c>
      <c r="S47" s="46">
        <v>3.5140000000000002</v>
      </c>
      <c r="T47" s="46">
        <v>2.629</v>
      </c>
      <c r="U47" s="46">
        <v>7.729000000000001</v>
      </c>
      <c r="V47" s="46">
        <v>9.9349999999999987</v>
      </c>
      <c r="W47" s="46">
        <v>2.5019999999999998</v>
      </c>
      <c r="X47" s="46">
        <v>14.371</v>
      </c>
      <c r="Y47" s="46">
        <v>29.323999999999998</v>
      </c>
      <c r="Z47" s="46">
        <v>7.101</v>
      </c>
      <c r="AA47" s="46">
        <v>5.0000000000000001E-3</v>
      </c>
      <c r="AB47" s="46">
        <v>16.618000000000002</v>
      </c>
      <c r="AC47" s="46">
        <v>49.007000000000005</v>
      </c>
      <c r="AD47" s="46">
        <v>29.430999999999997</v>
      </c>
      <c r="AE47" s="46">
        <v>26.283999999999999</v>
      </c>
      <c r="AF47" s="46">
        <v>8.7029999999999994</v>
      </c>
      <c r="AG47" s="46">
        <v>23.145999999999997</v>
      </c>
      <c r="AH47" s="46">
        <v>16.901</v>
      </c>
      <c r="AI47" s="46">
        <v>3.6520000000000001</v>
      </c>
      <c r="AJ47" s="46">
        <v>28.675000000000004</v>
      </c>
      <c r="AK47" s="46">
        <v>4.6849999999999996</v>
      </c>
      <c r="AL47" s="46">
        <v>10.200999999999999</v>
      </c>
      <c r="AM47" s="46">
        <v>16.698</v>
      </c>
      <c r="AN47" s="46">
        <f t="shared" si="1"/>
        <v>11.567066666666667</v>
      </c>
      <c r="AO47" s="7">
        <f t="shared" si="2"/>
        <v>2.3134133333333335</v>
      </c>
    </row>
    <row r="48" spans="1:41" x14ac:dyDescent="0.3">
      <c r="A48" s="5">
        <v>47</v>
      </c>
      <c r="B48" s="6" t="s">
        <v>9</v>
      </c>
      <c r="C48" s="12" t="s">
        <v>456</v>
      </c>
      <c r="D48" s="6" t="s">
        <v>128</v>
      </c>
      <c r="E48" s="6" t="s">
        <v>12</v>
      </c>
      <c r="F48" s="6" t="s">
        <v>13</v>
      </c>
      <c r="G48" s="6" t="s">
        <v>35</v>
      </c>
      <c r="H48" s="5">
        <v>2</v>
      </c>
      <c r="I48" s="67" t="s">
        <v>160</v>
      </c>
      <c r="J48" s="46"/>
      <c r="K48" s="46"/>
      <c r="L48" s="46"/>
      <c r="M48" s="46"/>
      <c r="N48" s="46"/>
      <c r="O48" s="46"/>
      <c r="P48" s="46"/>
      <c r="Q48" s="46"/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0</v>
      </c>
      <c r="AD48" s="46">
        <v>0</v>
      </c>
      <c r="AE48" s="46">
        <v>0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0</v>
      </c>
      <c r="AL48" s="46">
        <v>0</v>
      </c>
      <c r="AM48" s="46">
        <v>0</v>
      </c>
      <c r="AN48" s="46">
        <f t="shared" si="1"/>
        <v>0</v>
      </c>
      <c r="AO48" s="7">
        <f t="shared" si="2"/>
        <v>0</v>
      </c>
    </row>
    <row r="49" spans="1:41" x14ac:dyDescent="0.3">
      <c r="A49" s="5">
        <v>48</v>
      </c>
      <c r="B49" s="6" t="s">
        <v>9</v>
      </c>
      <c r="C49" s="12" t="s">
        <v>456</v>
      </c>
      <c r="D49" s="6" t="s">
        <v>128</v>
      </c>
      <c r="E49" s="6" t="s">
        <v>12</v>
      </c>
      <c r="F49" s="6" t="s">
        <v>353</v>
      </c>
      <c r="G49" s="6" t="s">
        <v>35</v>
      </c>
      <c r="H49" s="5">
        <v>2</v>
      </c>
      <c r="I49" s="67" t="s">
        <v>160</v>
      </c>
      <c r="J49" s="46">
        <v>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f t="shared" si="1"/>
        <v>0</v>
      </c>
      <c r="AO49" s="7">
        <f t="shared" si="2"/>
        <v>0</v>
      </c>
    </row>
    <row r="50" spans="1:41" x14ac:dyDescent="0.3">
      <c r="A50" s="5">
        <v>49</v>
      </c>
      <c r="B50" s="6" t="s">
        <v>9</v>
      </c>
      <c r="C50" s="12" t="s">
        <v>475</v>
      </c>
      <c r="D50" s="6" t="s">
        <v>128</v>
      </c>
      <c r="E50" s="6" t="s">
        <v>12</v>
      </c>
      <c r="F50" s="6" t="s">
        <v>13</v>
      </c>
      <c r="G50" s="6" t="s">
        <v>35</v>
      </c>
      <c r="H50" s="5">
        <v>4</v>
      </c>
      <c r="I50" s="67" t="s">
        <v>160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5.2949999999999999</v>
      </c>
      <c r="X50" s="46">
        <v>20.402999999999999</v>
      </c>
      <c r="Y50" s="46">
        <v>87.835999999999999</v>
      </c>
      <c r="Z50" s="46">
        <v>83.062000000000012</v>
      </c>
      <c r="AA50" s="46">
        <v>27.676000000000002</v>
      </c>
      <c r="AB50" s="46">
        <v>46.876999999999995</v>
      </c>
      <c r="AC50" s="46">
        <v>57.167000000000002</v>
      </c>
      <c r="AD50" s="46">
        <v>35.436</v>
      </c>
      <c r="AE50" s="46">
        <v>88.728999999999999</v>
      </c>
      <c r="AF50" s="46">
        <v>48.389000000000003</v>
      </c>
      <c r="AG50" s="46">
        <v>57.555</v>
      </c>
      <c r="AH50" s="46">
        <v>114.12499999999999</v>
      </c>
      <c r="AI50" s="46">
        <v>118.02100000000002</v>
      </c>
      <c r="AJ50" s="46">
        <v>12.113</v>
      </c>
      <c r="AK50" s="46">
        <v>73.125</v>
      </c>
      <c r="AL50" s="46">
        <v>70.76400000000001</v>
      </c>
      <c r="AM50" s="46">
        <v>89.037999999999982</v>
      </c>
      <c r="AN50" s="46">
        <f t="shared" si="1"/>
        <v>34.520366666666661</v>
      </c>
      <c r="AO50" s="7">
        <f t="shared" si="2"/>
        <v>8.6300916666666652</v>
      </c>
    </row>
    <row r="51" spans="1:41" x14ac:dyDescent="0.3">
      <c r="A51" s="5">
        <v>50</v>
      </c>
      <c r="B51" s="6" t="s">
        <v>9</v>
      </c>
      <c r="C51" s="12" t="s">
        <v>484</v>
      </c>
      <c r="D51" s="6" t="s">
        <v>128</v>
      </c>
      <c r="E51" s="6" t="s">
        <v>12</v>
      </c>
      <c r="F51" s="6" t="s">
        <v>13</v>
      </c>
      <c r="G51" s="6" t="s">
        <v>35</v>
      </c>
      <c r="H51" s="5">
        <v>1</v>
      </c>
      <c r="I51" s="67" t="s">
        <v>160</v>
      </c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f t="shared" si="1"/>
        <v>0</v>
      </c>
      <c r="AO51" s="7">
        <f t="shared" si="2"/>
        <v>0</v>
      </c>
    </row>
    <row r="52" spans="1:41" x14ac:dyDescent="0.3">
      <c r="A52" s="5">
        <v>51</v>
      </c>
      <c r="B52" s="6" t="s">
        <v>9</v>
      </c>
      <c r="C52" s="6" t="s">
        <v>93</v>
      </c>
      <c r="D52" s="6" t="s">
        <v>26</v>
      </c>
      <c r="E52" s="6" t="s">
        <v>19</v>
      </c>
      <c r="F52" s="6" t="s">
        <v>13</v>
      </c>
      <c r="G52" s="6" t="s">
        <v>14</v>
      </c>
      <c r="H52" s="5">
        <v>1</v>
      </c>
      <c r="I52" s="67" t="s">
        <v>160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>
        <f t="shared" si="1"/>
        <v>0</v>
      </c>
      <c r="AO52" s="7">
        <f t="shared" si="2"/>
        <v>0</v>
      </c>
    </row>
    <row r="53" spans="1:41" x14ac:dyDescent="0.3">
      <c r="A53" s="5">
        <v>52</v>
      </c>
      <c r="B53" s="6" t="s">
        <v>9</v>
      </c>
      <c r="C53" s="6" t="s">
        <v>27</v>
      </c>
      <c r="D53" s="6" t="s">
        <v>28</v>
      </c>
      <c r="E53" s="6" t="s">
        <v>19</v>
      </c>
      <c r="F53" s="6" t="s">
        <v>13</v>
      </c>
      <c r="G53" s="6" t="s">
        <v>14</v>
      </c>
      <c r="H53" s="5">
        <v>4</v>
      </c>
      <c r="I53" s="67" t="s">
        <v>160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0</v>
      </c>
      <c r="AM53" s="60">
        <v>0</v>
      </c>
      <c r="AN53" s="46">
        <f t="shared" si="1"/>
        <v>0</v>
      </c>
      <c r="AO53" s="7">
        <f t="shared" si="2"/>
        <v>0</v>
      </c>
    </row>
    <row r="54" spans="1:41" x14ac:dyDescent="0.3">
      <c r="A54" s="5">
        <v>53</v>
      </c>
      <c r="B54" s="6" t="s">
        <v>9</v>
      </c>
      <c r="C54" s="6" t="s">
        <v>94</v>
      </c>
      <c r="D54" s="6" t="s">
        <v>32</v>
      </c>
      <c r="E54" s="6" t="s">
        <v>19</v>
      </c>
      <c r="F54" s="6" t="s">
        <v>13</v>
      </c>
      <c r="G54" s="6" t="s">
        <v>14</v>
      </c>
      <c r="H54" s="5">
        <v>2</v>
      </c>
      <c r="I54" s="67" t="s">
        <v>160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60">
        <v>0</v>
      </c>
      <c r="AK54" s="60">
        <v>0</v>
      </c>
      <c r="AL54" s="60">
        <v>0</v>
      </c>
      <c r="AM54" s="60">
        <v>0</v>
      </c>
      <c r="AN54" s="46">
        <f t="shared" si="1"/>
        <v>0</v>
      </c>
      <c r="AO54" s="7">
        <f t="shared" si="2"/>
        <v>0</v>
      </c>
    </row>
    <row r="55" spans="1:41" ht="15.6" x14ac:dyDescent="0.3">
      <c r="A55" s="5">
        <v>54</v>
      </c>
      <c r="B55" s="6" t="s">
        <v>49</v>
      </c>
      <c r="C55" s="12" t="s">
        <v>388</v>
      </c>
      <c r="D55" s="6" t="s">
        <v>128</v>
      </c>
      <c r="E55" s="6" t="s">
        <v>12</v>
      </c>
      <c r="F55" s="6" t="s">
        <v>13</v>
      </c>
      <c r="G55" s="6" t="s">
        <v>35</v>
      </c>
      <c r="H55" s="5">
        <v>5</v>
      </c>
      <c r="I55" s="74" t="s">
        <v>273</v>
      </c>
      <c r="J55" s="46">
        <v>0</v>
      </c>
      <c r="K55" s="46">
        <v>12.437999999999999</v>
      </c>
      <c r="L55" s="46">
        <v>31.055999999999997</v>
      </c>
      <c r="M55" s="46">
        <v>12.18</v>
      </c>
      <c r="N55" s="46">
        <v>20.922000000000001</v>
      </c>
      <c r="O55" s="46">
        <v>113.43300000000002</v>
      </c>
      <c r="P55" s="46">
        <v>38.649000000000001</v>
      </c>
      <c r="Q55" s="46">
        <v>7.0310000000000006</v>
      </c>
      <c r="R55" s="46">
        <v>17.109999999999996</v>
      </c>
      <c r="S55" s="46">
        <v>12.818</v>
      </c>
      <c r="T55" s="46">
        <v>12.481</v>
      </c>
      <c r="U55" s="46">
        <v>6.0640000000000001</v>
      </c>
      <c r="V55" s="46">
        <v>20.067</v>
      </c>
      <c r="W55" s="46">
        <v>12.831</v>
      </c>
      <c r="X55" s="46">
        <v>0</v>
      </c>
      <c r="Y55" s="46">
        <v>11.333</v>
      </c>
      <c r="Z55" s="46">
        <v>20.344999999999999</v>
      </c>
      <c r="AA55" s="46">
        <v>14.511000000000001</v>
      </c>
      <c r="AB55" s="46">
        <v>18.645</v>
      </c>
      <c r="AC55" s="46">
        <v>7.2919999999999998</v>
      </c>
      <c r="AD55" s="46">
        <v>12.894</v>
      </c>
      <c r="AE55" s="46">
        <v>0</v>
      </c>
      <c r="AF55" s="46">
        <v>3.7440000000000002</v>
      </c>
      <c r="AG55" s="46">
        <v>9.7390000000000008</v>
      </c>
      <c r="AH55" s="46">
        <v>12.935</v>
      </c>
      <c r="AI55" s="46">
        <v>10.951000000000001</v>
      </c>
      <c r="AJ55" s="46">
        <v>8.3530000000000015</v>
      </c>
      <c r="AK55" s="46">
        <v>12.885999999999999</v>
      </c>
      <c r="AL55" s="46">
        <v>11.593</v>
      </c>
      <c r="AM55" s="46">
        <v>6.7119999999999997</v>
      </c>
      <c r="AN55" s="46">
        <f t="shared" si="1"/>
        <v>15.967100000000004</v>
      </c>
      <c r="AO55" s="7">
        <f t="shared" si="2"/>
        <v>3.1934200000000006</v>
      </c>
    </row>
    <row r="56" spans="1:41" ht="15.6" x14ac:dyDescent="0.3">
      <c r="A56" s="5">
        <v>55</v>
      </c>
      <c r="B56" s="6" t="s">
        <v>49</v>
      </c>
      <c r="C56" s="12" t="s">
        <v>389</v>
      </c>
      <c r="D56" s="6" t="s">
        <v>128</v>
      </c>
      <c r="E56" s="6" t="s">
        <v>12</v>
      </c>
      <c r="F56" s="6" t="s">
        <v>13</v>
      </c>
      <c r="G56" s="6" t="s">
        <v>35</v>
      </c>
      <c r="H56" s="5">
        <v>10</v>
      </c>
      <c r="I56" s="74" t="s">
        <v>273</v>
      </c>
      <c r="J56" s="46">
        <v>15.172000000000001</v>
      </c>
      <c r="K56" s="46">
        <v>0</v>
      </c>
      <c r="L56" s="46">
        <v>0</v>
      </c>
      <c r="M56" s="46">
        <v>0</v>
      </c>
      <c r="N56" s="46">
        <v>2.3769999999999998</v>
      </c>
      <c r="O56" s="46">
        <v>0</v>
      </c>
      <c r="P56" s="46">
        <v>0</v>
      </c>
      <c r="Q56" s="46">
        <v>0</v>
      </c>
      <c r="R56" s="46">
        <v>15.893000000000002</v>
      </c>
      <c r="S56" s="46">
        <v>22.872</v>
      </c>
      <c r="T56" s="46">
        <v>77.350999999999985</v>
      </c>
      <c r="U56" s="46">
        <v>38.503</v>
      </c>
      <c r="V56" s="46">
        <v>91.099000000000004</v>
      </c>
      <c r="W56" s="46">
        <v>73.093999999999994</v>
      </c>
      <c r="X56" s="46">
        <v>76.615999999999985</v>
      </c>
      <c r="Y56" s="46">
        <v>80.387999999999991</v>
      </c>
      <c r="Z56" s="46">
        <v>83.939999999999984</v>
      </c>
      <c r="AA56" s="46">
        <v>78.435999999999993</v>
      </c>
      <c r="AB56" s="46">
        <v>84.179000000000002</v>
      </c>
      <c r="AC56" s="46">
        <v>76.728000000000009</v>
      </c>
      <c r="AD56" s="46">
        <v>51.780999999999999</v>
      </c>
      <c r="AE56" s="46">
        <v>70.874999999999986</v>
      </c>
      <c r="AF56" s="46">
        <v>63.113</v>
      </c>
      <c r="AG56" s="46">
        <v>56.045000000000002</v>
      </c>
      <c r="AH56" s="46">
        <v>83.305999999999997</v>
      </c>
      <c r="AI56" s="46">
        <v>59.445</v>
      </c>
      <c r="AJ56" s="46">
        <v>60.041000000000004</v>
      </c>
      <c r="AK56" s="46">
        <v>79.629000000000005</v>
      </c>
      <c r="AL56" s="46">
        <v>66.567000000000007</v>
      </c>
      <c r="AM56" s="46">
        <v>105.77500000000002</v>
      </c>
      <c r="AN56" s="46">
        <f t="shared" si="1"/>
        <v>50.44083333333333</v>
      </c>
      <c r="AO56" s="7">
        <f t="shared" si="2"/>
        <v>5.044083333333333</v>
      </c>
    </row>
    <row r="57" spans="1:41" ht="15.6" x14ac:dyDescent="0.3">
      <c r="A57" s="5">
        <v>56</v>
      </c>
      <c r="B57" s="6" t="s">
        <v>52</v>
      </c>
      <c r="C57" s="12" t="s">
        <v>390</v>
      </c>
      <c r="D57" s="6" t="s">
        <v>128</v>
      </c>
      <c r="E57" s="6" t="s">
        <v>12</v>
      </c>
      <c r="F57" s="6" t="s">
        <v>13</v>
      </c>
      <c r="G57" s="6" t="s">
        <v>35</v>
      </c>
      <c r="H57" s="5">
        <v>3</v>
      </c>
      <c r="I57" s="74" t="s">
        <v>273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f t="shared" si="1"/>
        <v>0</v>
      </c>
      <c r="AO57" s="7">
        <f t="shared" si="2"/>
        <v>0</v>
      </c>
    </row>
    <row r="58" spans="1:41" ht="15.6" x14ac:dyDescent="0.3">
      <c r="A58" s="5">
        <v>57</v>
      </c>
      <c r="B58" s="6" t="s">
        <v>52</v>
      </c>
      <c r="C58" s="12" t="s">
        <v>212</v>
      </c>
      <c r="D58" s="6" t="s">
        <v>128</v>
      </c>
      <c r="E58" s="6" t="s">
        <v>12</v>
      </c>
      <c r="F58" s="6" t="s">
        <v>13</v>
      </c>
      <c r="G58" s="6" t="s">
        <v>35</v>
      </c>
      <c r="H58" s="5">
        <v>7</v>
      </c>
      <c r="I58" s="74" t="s">
        <v>273</v>
      </c>
      <c r="J58" s="46">
        <v>100.71299999999999</v>
      </c>
      <c r="K58" s="46">
        <v>154.161</v>
      </c>
      <c r="L58" s="46">
        <v>68.349999999999994</v>
      </c>
      <c r="M58" s="46">
        <v>104.36500000000002</v>
      </c>
      <c r="N58" s="46">
        <v>111.878</v>
      </c>
      <c r="O58" s="46">
        <v>114.718</v>
      </c>
      <c r="P58" s="46">
        <v>28.515000000000001</v>
      </c>
      <c r="Q58" s="46">
        <v>93.00200000000001</v>
      </c>
      <c r="R58" s="46">
        <v>126.297</v>
      </c>
      <c r="S58" s="46">
        <v>114.96299999999997</v>
      </c>
      <c r="T58" s="46">
        <v>118.77300000000001</v>
      </c>
      <c r="U58" s="46">
        <v>94.278000000000006</v>
      </c>
      <c r="V58" s="46">
        <v>143.03300000000004</v>
      </c>
      <c r="W58" s="46">
        <v>98.27</v>
      </c>
      <c r="X58" s="46">
        <v>107.86799999999999</v>
      </c>
      <c r="Y58" s="46">
        <v>127.96599999999999</v>
      </c>
      <c r="Z58" s="46">
        <v>95.968000000000018</v>
      </c>
      <c r="AA58" s="46">
        <v>128.19900000000001</v>
      </c>
      <c r="AB58" s="46">
        <v>104.59099999999999</v>
      </c>
      <c r="AC58" s="46">
        <v>106.595</v>
      </c>
      <c r="AD58" s="46">
        <v>107.37</v>
      </c>
      <c r="AE58" s="46">
        <v>106.401</v>
      </c>
      <c r="AF58" s="46">
        <v>116.18799999999999</v>
      </c>
      <c r="AG58" s="46">
        <v>89.939000000000007</v>
      </c>
      <c r="AH58" s="46">
        <v>105.23000000000003</v>
      </c>
      <c r="AI58" s="46">
        <v>100.23599999999999</v>
      </c>
      <c r="AJ58" s="46">
        <v>124.02499999999999</v>
      </c>
      <c r="AK58" s="46">
        <v>93.331000000000003</v>
      </c>
      <c r="AL58" s="46">
        <v>110.39800000000004</v>
      </c>
      <c r="AM58" s="46">
        <v>106.449</v>
      </c>
      <c r="AN58" s="46">
        <f t="shared" si="1"/>
        <v>106.73566666666666</v>
      </c>
      <c r="AO58" s="7">
        <f t="shared" si="2"/>
        <v>15.24795238095238</v>
      </c>
    </row>
    <row r="59" spans="1:41" ht="15.6" x14ac:dyDescent="0.3">
      <c r="A59" s="5">
        <v>58</v>
      </c>
      <c r="B59" s="6" t="s">
        <v>134</v>
      </c>
      <c r="C59" s="6" t="s">
        <v>391</v>
      </c>
      <c r="D59" s="6" t="s">
        <v>128</v>
      </c>
      <c r="E59" s="6" t="s">
        <v>12</v>
      </c>
      <c r="F59" s="6" t="s">
        <v>13</v>
      </c>
      <c r="G59" s="6" t="s">
        <v>35</v>
      </c>
      <c r="H59" s="5">
        <v>7</v>
      </c>
      <c r="I59" s="74" t="s">
        <v>273</v>
      </c>
      <c r="J59" s="46">
        <v>38.216000000000001</v>
      </c>
      <c r="K59" s="46">
        <v>25.319999999999997</v>
      </c>
      <c r="L59" s="46">
        <v>2.6539999999999999</v>
      </c>
      <c r="M59" s="46">
        <v>4.694</v>
      </c>
      <c r="N59" s="46">
        <v>1.8240000000000001</v>
      </c>
      <c r="O59" s="46">
        <v>27.497000000000003</v>
      </c>
      <c r="P59" s="46">
        <v>49.672999999999995</v>
      </c>
      <c r="Q59" s="46">
        <v>73.219000000000023</v>
      </c>
      <c r="R59" s="46">
        <v>45.094000000000001</v>
      </c>
      <c r="S59" s="46">
        <v>34.132000000000005</v>
      </c>
      <c r="T59" s="46">
        <v>58.843000000000004</v>
      </c>
      <c r="U59" s="46">
        <v>41.577000000000005</v>
      </c>
      <c r="V59" s="46">
        <v>57.538000000000004</v>
      </c>
      <c r="W59" s="46">
        <v>66.326000000000008</v>
      </c>
      <c r="X59" s="46">
        <v>47.468000000000004</v>
      </c>
      <c r="Y59" s="46">
        <v>53.64</v>
      </c>
      <c r="Z59" s="46">
        <v>29.548999999999999</v>
      </c>
      <c r="AA59" s="46">
        <v>64.621000000000009</v>
      </c>
      <c r="AB59" s="46">
        <v>35.346000000000004</v>
      </c>
      <c r="AC59" s="46">
        <v>42.185999999999993</v>
      </c>
      <c r="AD59" s="46">
        <v>55.088999999999999</v>
      </c>
      <c r="AE59" s="46">
        <v>20.936</v>
      </c>
      <c r="AF59" s="46">
        <v>54.813000000000002</v>
      </c>
      <c r="AG59" s="46">
        <v>33.042999999999992</v>
      </c>
      <c r="AH59" s="46">
        <v>46.564</v>
      </c>
      <c r="AI59" s="46">
        <v>51.296999999999997</v>
      </c>
      <c r="AJ59" s="46">
        <v>42.781999999999996</v>
      </c>
      <c r="AK59" s="46">
        <v>42.706000000000003</v>
      </c>
      <c r="AL59" s="46">
        <v>43.325000000000003</v>
      </c>
      <c r="AM59" s="46">
        <v>47.078999999999994</v>
      </c>
      <c r="AN59" s="46">
        <f t="shared" si="1"/>
        <v>41.235033333333334</v>
      </c>
      <c r="AO59" s="7">
        <f t="shared" si="2"/>
        <v>5.8907190476190481</v>
      </c>
    </row>
    <row r="60" spans="1:41" ht="15.6" x14ac:dyDescent="0.3">
      <c r="A60" s="5">
        <v>59</v>
      </c>
      <c r="B60" s="12" t="s">
        <v>246</v>
      </c>
      <c r="C60" s="12" t="s">
        <v>247</v>
      </c>
      <c r="D60" s="6" t="s">
        <v>128</v>
      </c>
      <c r="E60" s="6" t="s">
        <v>12</v>
      </c>
      <c r="F60" s="6" t="s">
        <v>13</v>
      </c>
      <c r="G60" s="6" t="s">
        <v>35</v>
      </c>
      <c r="H60" s="5">
        <v>5</v>
      </c>
      <c r="I60" s="74" t="s">
        <v>273</v>
      </c>
      <c r="J60" s="46">
        <v>17.268999999999998</v>
      </c>
      <c r="K60" s="46">
        <v>44.841999999999999</v>
      </c>
      <c r="L60" s="46">
        <v>28.908000000000001</v>
      </c>
      <c r="M60" s="46">
        <v>41.546999999999997</v>
      </c>
      <c r="N60" s="46">
        <v>18.448</v>
      </c>
      <c r="O60" s="46">
        <v>30.263999999999996</v>
      </c>
      <c r="P60" s="46">
        <v>10.449</v>
      </c>
      <c r="Q60" s="46">
        <v>25.33</v>
      </c>
      <c r="R60" s="46">
        <v>24.196999999999996</v>
      </c>
      <c r="S60" s="46">
        <v>31.222000000000001</v>
      </c>
      <c r="T60" s="46">
        <v>15.100999999999999</v>
      </c>
      <c r="U60" s="46">
        <v>37.408000000000001</v>
      </c>
      <c r="V60" s="46">
        <v>27.732999999999997</v>
      </c>
      <c r="W60" s="46">
        <v>33.14</v>
      </c>
      <c r="X60" s="46">
        <v>16.184000000000001</v>
      </c>
      <c r="Y60" s="46">
        <v>30.344000000000001</v>
      </c>
      <c r="Z60" s="46">
        <v>33.012</v>
      </c>
      <c r="AA60" s="46">
        <v>25.726000000000003</v>
      </c>
      <c r="AB60" s="46">
        <v>24.022999999999996</v>
      </c>
      <c r="AC60" s="46">
        <v>26.166</v>
      </c>
      <c r="AD60" s="46">
        <v>16.036000000000001</v>
      </c>
      <c r="AE60" s="46">
        <v>32.171999999999997</v>
      </c>
      <c r="AF60" s="46">
        <v>25.643999999999998</v>
      </c>
      <c r="AG60" s="46">
        <v>37.533999999999992</v>
      </c>
      <c r="AH60" s="46">
        <v>17.260000000000002</v>
      </c>
      <c r="AI60" s="46">
        <v>36.340000000000003</v>
      </c>
      <c r="AJ60" s="46">
        <v>25.510999999999999</v>
      </c>
      <c r="AK60" s="46">
        <v>18.28</v>
      </c>
      <c r="AL60" s="46">
        <v>37.521000000000001</v>
      </c>
      <c r="AM60" s="46">
        <v>20.183</v>
      </c>
      <c r="AN60" s="46">
        <f t="shared" si="1"/>
        <v>26.92646666666667</v>
      </c>
      <c r="AO60" s="7">
        <f t="shared" si="2"/>
        <v>5.3852933333333342</v>
      </c>
    </row>
    <row r="61" spans="1:41" ht="15.6" x14ac:dyDescent="0.3">
      <c r="A61" s="5">
        <v>60</v>
      </c>
      <c r="B61" s="6" t="s">
        <v>58</v>
      </c>
      <c r="C61" s="12" t="s">
        <v>213</v>
      </c>
      <c r="D61" s="6" t="s">
        <v>61</v>
      </c>
      <c r="E61" s="6" t="s">
        <v>12</v>
      </c>
      <c r="F61" s="6" t="s">
        <v>13</v>
      </c>
      <c r="G61" s="6" t="s">
        <v>35</v>
      </c>
      <c r="H61" s="5">
        <v>4</v>
      </c>
      <c r="I61" s="74" t="s">
        <v>273</v>
      </c>
      <c r="J61" s="46">
        <v>82.23299999999999</v>
      </c>
      <c r="K61" s="46">
        <v>97.47199999999998</v>
      </c>
      <c r="L61" s="46">
        <v>88.346999999999994</v>
      </c>
      <c r="M61" s="46">
        <v>93.628999999999991</v>
      </c>
      <c r="N61" s="46">
        <v>109.36799999999999</v>
      </c>
      <c r="O61" s="46">
        <v>95.358000000000004</v>
      </c>
      <c r="P61" s="46">
        <v>4.8780000000000001</v>
      </c>
      <c r="Q61" s="46">
        <v>97.873999999999995</v>
      </c>
      <c r="R61" s="46">
        <v>82.882000000000005</v>
      </c>
      <c r="S61" s="46">
        <v>86.721999999999994</v>
      </c>
      <c r="T61" s="46">
        <v>95.518000000000001</v>
      </c>
      <c r="U61" s="46">
        <v>92.292000000000016</v>
      </c>
      <c r="V61" s="46">
        <v>85.476000000000013</v>
      </c>
      <c r="W61" s="46">
        <v>96.62</v>
      </c>
      <c r="X61" s="46">
        <v>78.495000000000005</v>
      </c>
      <c r="Y61" s="46">
        <v>84.093999999999994</v>
      </c>
      <c r="Z61" s="46">
        <v>71.135999999999996</v>
      </c>
      <c r="AA61" s="46">
        <v>97.423000000000016</v>
      </c>
      <c r="AB61" s="46">
        <v>81.840999999999994</v>
      </c>
      <c r="AC61" s="46">
        <v>70.489999999999995</v>
      </c>
      <c r="AD61" s="46">
        <v>84.140999999999991</v>
      </c>
      <c r="AE61" s="46">
        <v>97.561999999999983</v>
      </c>
      <c r="AF61" s="46">
        <v>75.471000000000004</v>
      </c>
      <c r="AG61" s="46">
        <v>79.418999999999997</v>
      </c>
      <c r="AH61" s="46">
        <v>87.402000000000001</v>
      </c>
      <c r="AI61" s="46">
        <v>68.50800000000001</v>
      </c>
      <c r="AJ61" s="46">
        <v>86.094000000000008</v>
      </c>
      <c r="AK61" s="46">
        <v>100.77599999999995</v>
      </c>
      <c r="AL61" s="46">
        <v>78.400000000000006</v>
      </c>
      <c r="AM61" s="46">
        <v>81.726000000000013</v>
      </c>
      <c r="AN61" s="46">
        <f t="shared" si="1"/>
        <v>84.388233333333318</v>
      </c>
      <c r="AO61" s="7">
        <f t="shared" si="2"/>
        <v>21.097058333333329</v>
      </c>
    </row>
    <row r="62" spans="1:41" ht="15.6" x14ac:dyDescent="0.3">
      <c r="A62" s="5">
        <v>61</v>
      </c>
      <c r="B62" s="6" t="s">
        <v>58</v>
      </c>
      <c r="C62" s="12" t="s">
        <v>214</v>
      </c>
      <c r="D62" s="6" t="s">
        <v>61</v>
      </c>
      <c r="E62" s="6" t="s">
        <v>12</v>
      </c>
      <c r="F62" s="6" t="s">
        <v>13</v>
      </c>
      <c r="G62" s="6" t="s">
        <v>35</v>
      </c>
      <c r="H62" s="5">
        <v>9</v>
      </c>
      <c r="I62" s="74" t="s">
        <v>273</v>
      </c>
      <c r="J62" s="46">
        <v>173.15699999999998</v>
      </c>
      <c r="K62" s="46">
        <v>133.29000000000002</v>
      </c>
      <c r="L62" s="46">
        <v>174.60199999999998</v>
      </c>
      <c r="M62" s="46">
        <v>132.27500000000003</v>
      </c>
      <c r="N62" s="46">
        <v>205.84300000000002</v>
      </c>
      <c r="O62" s="46">
        <v>140.61199999999999</v>
      </c>
      <c r="P62" s="46">
        <v>93.287999999999982</v>
      </c>
      <c r="Q62" s="46">
        <v>56.280999999999999</v>
      </c>
      <c r="R62" s="46">
        <v>185.76300000000006</v>
      </c>
      <c r="S62" s="46">
        <v>51.535999999999994</v>
      </c>
      <c r="T62" s="46">
        <v>85.881</v>
      </c>
      <c r="U62" s="46">
        <v>155.37000000000006</v>
      </c>
      <c r="V62" s="46">
        <v>97.294000000000011</v>
      </c>
      <c r="W62" s="46">
        <v>83.683999999999997</v>
      </c>
      <c r="X62" s="46">
        <v>85.745999999999995</v>
      </c>
      <c r="Y62" s="46">
        <v>155.98600000000002</v>
      </c>
      <c r="Z62" s="46">
        <v>137.57599999999999</v>
      </c>
      <c r="AA62" s="46">
        <v>73.512999999999991</v>
      </c>
      <c r="AB62" s="46">
        <v>100.36100000000002</v>
      </c>
      <c r="AC62" s="46">
        <v>138.37099999999998</v>
      </c>
      <c r="AD62" s="46">
        <v>128.02799999999999</v>
      </c>
      <c r="AE62" s="46">
        <v>148.48999999999995</v>
      </c>
      <c r="AF62" s="46">
        <v>106.402</v>
      </c>
      <c r="AG62" s="46">
        <v>88.286000000000016</v>
      </c>
      <c r="AH62" s="46">
        <v>104.04800000000002</v>
      </c>
      <c r="AI62" s="46">
        <v>111.92400000000002</v>
      </c>
      <c r="AJ62" s="46">
        <v>139.64900000000003</v>
      </c>
      <c r="AK62" s="46">
        <v>158.11500000000001</v>
      </c>
      <c r="AL62" s="46">
        <v>140.03200000000001</v>
      </c>
      <c r="AM62" s="46">
        <v>133.10300000000004</v>
      </c>
      <c r="AN62" s="46">
        <f t="shared" si="1"/>
        <v>123.95020000000001</v>
      </c>
      <c r="AO62" s="7">
        <f t="shared" si="2"/>
        <v>13.772244444444446</v>
      </c>
    </row>
    <row r="63" spans="1:41" ht="15.6" x14ac:dyDescent="0.3">
      <c r="A63" s="5">
        <v>62</v>
      </c>
      <c r="B63" s="6" t="s">
        <v>58</v>
      </c>
      <c r="C63" s="12" t="s">
        <v>392</v>
      </c>
      <c r="D63" s="6" t="s">
        <v>63</v>
      </c>
      <c r="E63" s="6" t="s">
        <v>19</v>
      </c>
      <c r="F63" s="6" t="s">
        <v>13</v>
      </c>
      <c r="G63" s="12" t="s">
        <v>35</v>
      </c>
      <c r="H63" s="5">
        <v>8</v>
      </c>
      <c r="I63" s="74" t="s">
        <v>273</v>
      </c>
      <c r="J63" s="46">
        <v>25.696000000000002</v>
      </c>
      <c r="K63" s="46">
        <v>39.603000000000002</v>
      </c>
      <c r="L63" s="46">
        <v>56.771999999999998</v>
      </c>
      <c r="M63" s="46">
        <v>38.718999999999994</v>
      </c>
      <c r="N63" s="46">
        <v>38.327999999999996</v>
      </c>
      <c r="O63" s="46">
        <v>47.253000000000014</v>
      </c>
      <c r="P63" s="46">
        <v>50.467999999999996</v>
      </c>
      <c r="Q63" s="46">
        <v>2.5</v>
      </c>
      <c r="R63" s="46">
        <v>54.105000000000004</v>
      </c>
      <c r="S63" s="46">
        <v>28.616000000000003</v>
      </c>
      <c r="T63" s="46">
        <v>68.099000000000004</v>
      </c>
      <c r="U63" s="46">
        <v>42.602000000000004</v>
      </c>
      <c r="V63" s="46">
        <v>17.498000000000001</v>
      </c>
      <c r="W63" s="46">
        <v>30.131</v>
      </c>
      <c r="X63" s="46">
        <v>44.482999999999997</v>
      </c>
      <c r="Y63" s="46">
        <v>46.025000000000006</v>
      </c>
      <c r="Z63" s="46">
        <v>73.167999999999992</v>
      </c>
      <c r="AA63" s="46">
        <v>32.593000000000004</v>
      </c>
      <c r="AB63" s="46">
        <v>21.701999999999998</v>
      </c>
      <c r="AC63" s="46">
        <v>40.182000000000002</v>
      </c>
      <c r="AD63" s="46">
        <v>20.507999999999996</v>
      </c>
      <c r="AE63" s="46">
        <v>26.351000000000003</v>
      </c>
      <c r="AF63" s="46">
        <v>27.598000000000003</v>
      </c>
      <c r="AG63" s="46">
        <v>9.9450000000000003</v>
      </c>
      <c r="AH63" s="46">
        <v>30.845000000000006</v>
      </c>
      <c r="AI63" s="46">
        <v>41.423999999999999</v>
      </c>
      <c r="AJ63" s="46">
        <v>28.379000000000001</v>
      </c>
      <c r="AK63" s="46">
        <v>35.893000000000001</v>
      </c>
      <c r="AL63" s="46">
        <v>59.153999999999996</v>
      </c>
      <c r="AM63" s="46">
        <v>34.646000000000001</v>
      </c>
      <c r="AN63" s="46">
        <f t="shared" si="1"/>
        <v>37.109533333333324</v>
      </c>
      <c r="AO63" s="7">
        <f t="shared" si="2"/>
        <v>4.6386916666666655</v>
      </c>
    </row>
    <row r="64" spans="1:41" ht="15" customHeight="1" x14ac:dyDescent="0.3">
      <c r="A64" s="5">
        <v>63</v>
      </c>
      <c r="B64" s="6" t="s">
        <v>58</v>
      </c>
      <c r="C64" s="12" t="s">
        <v>392</v>
      </c>
      <c r="D64" s="6" t="s">
        <v>63</v>
      </c>
      <c r="E64" s="6" t="s">
        <v>19</v>
      </c>
      <c r="F64" s="6" t="s">
        <v>64</v>
      </c>
      <c r="G64" s="6" t="s">
        <v>80</v>
      </c>
      <c r="H64" s="5">
        <v>1</v>
      </c>
      <c r="I64" s="74" t="s">
        <v>273</v>
      </c>
      <c r="J64" s="46">
        <v>0</v>
      </c>
      <c r="K64" s="45">
        <v>0</v>
      </c>
      <c r="L64" s="45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60">
        <v>0</v>
      </c>
      <c r="AF64" s="60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v>0</v>
      </c>
      <c r="AN64" s="46">
        <f t="shared" si="1"/>
        <v>0</v>
      </c>
      <c r="AO64" s="7">
        <f t="shared" si="2"/>
        <v>0</v>
      </c>
    </row>
    <row r="65" spans="1:41" ht="15.6" x14ac:dyDescent="0.3">
      <c r="A65" s="5">
        <v>64</v>
      </c>
      <c r="B65" s="6" t="s">
        <v>58</v>
      </c>
      <c r="C65" s="12" t="s">
        <v>216</v>
      </c>
      <c r="D65" s="6" t="s">
        <v>128</v>
      </c>
      <c r="E65" s="6" t="s">
        <v>12</v>
      </c>
      <c r="F65" s="6" t="s">
        <v>13</v>
      </c>
      <c r="G65" s="12" t="s">
        <v>35</v>
      </c>
      <c r="H65" s="5">
        <v>7</v>
      </c>
      <c r="I65" s="74" t="s">
        <v>273</v>
      </c>
      <c r="J65" s="46">
        <v>212.25199999999998</v>
      </c>
      <c r="K65" s="46">
        <v>150.01399999999998</v>
      </c>
      <c r="L65" s="46">
        <v>193.50200000000001</v>
      </c>
      <c r="M65" s="46">
        <v>181.34999999999997</v>
      </c>
      <c r="N65" s="46">
        <v>182.65899999999996</v>
      </c>
      <c r="O65" s="46">
        <v>200.29300000000003</v>
      </c>
      <c r="P65" s="46">
        <v>48.769999999999996</v>
      </c>
      <c r="Q65" s="46">
        <v>126.41700000000002</v>
      </c>
      <c r="R65" s="46">
        <v>120.07299999999999</v>
      </c>
      <c r="S65" s="46">
        <v>211.85099999999997</v>
      </c>
      <c r="T65" s="46">
        <v>193.41600000000005</v>
      </c>
      <c r="U65" s="46">
        <v>179.82300000000001</v>
      </c>
      <c r="V65" s="46">
        <v>205.00899999999999</v>
      </c>
      <c r="W65" s="46">
        <v>135.83799999999999</v>
      </c>
      <c r="X65" s="46">
        <v>179.42999999999998</v>
      </c>
      <c r="Y65" s="46">
        <v>146.36799999999999</v>
      </c>
      <c r="Z65" s="46">
        <v>198.56299999999996</v>
      </c>
      <c r="AA65" s="46">
        <v>176.18799999999999</v>
      </c>
      <c r="AB65" s="46">
        <v>116.098</v>
      </c>
      <c r="AC65" s="46">
        <v>156.76300000000001</v>
      </c>
      <c r="AD65" s="46">
        <v>164.804</v>
      </c>
      <c r="AE65" s="46">
        <v>186.142</v>
      </c>
      <c r="AF65" s="46">
        <v>134.745</v>
      </c>
      <c r="AG65" s="46">
        <v>148.40699999999998</v>
      </c>
      <c r="AH65" s="46">
        <v>151.80500000000001</v>
      </c>
      <c r="AI65" s="46">
        <v>172.87399999999997</v>
      </c>
      <c r="AJ65" s="46">
        <v>133.43900000000002</v>
      </c>
      <c r="AK65" s="46">
        <v>201.34899999999999</v>
      </c>
      <c r="AL65" s="46">
        <v>200.16000000000003</v>
      </c>
      <c r="AM65" s="46">
        <v>211.04900000000006</v>
      </c>
      <c r="AN65" s="46">
        <f t="shared" si="1"/>
        <v>167.31503333333333</v>
      </c>
      <c r="AO65" s="7">
        <f t="shared" si="2"/>
        <v>23.902147619047618</v>
      </c>
    </row>
    <row r="66" spans="1:41" ht="15.6" x14ac:dyDescent="0.3">
      <c r="A66" s="5">
        <v>65</v>
      </c>
      <c r="B66" s="6" t="s">
        <v>58</v>
      </c>
      <c r="C66" s="12" t="s">
        <v>355</v>
      </c>
      <c r="D66" s="6" t="s">
        <v>128</v>
      </c>
      <c r="E66" s="6" t="s">
        <v>12</v>
      </c>
      <c r="F66" s="6" t="s">
        <v>13</v>
      </c>
      <c r="G66" s="12" t="s">
        <v>35</v>
      </c>
      <c r="H66" s="5">
        <v>10</v>
      </c>
      <c r="I66" s="74" t="s">
        <v>273</v>
      </c>
      <c r="J66" s="46">
        <v>189.66899999999995</v>
      </c>
      <c r="K66" s="46">
        <v>180.45800000000008</v>
      </c>
      <c r="L66" s="46">
        <v>174.36399999999998</v>
      </c>
      <c r="M66" s="46">
        <v>184.16499999999994</v>
      </c>
      <c r="N66" s="46">
        <v>196.60400000000004</v>
      </c>
      <c r="O66" s="46">
        <v>178.08500000000001</v>
      </c>
      <c r="P66" s="46">
        <v>104.72999999999999</v>
      </c>
      <c r="Q66" s="46">
        <v>161.66799999999995</v>
      </c>
      <c r="R66" s="46">
        <v>142.13499999999999</v>
      </c>
      <c r="S66" s="46">
        <v>251.70700000000005</v>
      </c>
      <c r="T66" s="46">
        <v>208.80800000000002</v>
      </c>
      <c r="U66" s="46">
        <v>200.96399999999994</v>
      </c>
      <c r="V66" s="46">
        <v>175.60200000000003</v>
      </c>
      <c r="W66" s="46">
        <v>168.94</v>
      </c>
      <c r="X66" s="46">
        <v>205.268</v>
      </c>
      <c r="Y66" s="46">
        <v>180.982</v>
      </c>
      <c r="Z66" s="46">
        <v>158.91</v>
      </c>
      <c r="AA66" s="46">
        <v>189.56100000000004</v>
      </c>
      <c r="AB66" s="46">
        <v>195.05400000000003</v>
      </c>
      <c r="AC66" s="46">
        <v>184.98200000000006</v>
      </c>
      <c r="AD66" s="46">
        <v>131.83500000000006</v>
      </c>
      <c r="AE66" s="46">
        <v>257.73399999999998</v>
      </c>
      <c r="AF66" s="46">
        <v>155.45099999999996</v>
      </c>
      <c r="AG66" s="46">
        <v>189.86999999999995</v>
      </c>
      <c r="AH66" s="46">
        <v>164.22200000000001</v>
      </c>
      <c r="AI66" s="46">
        <v>157.15200000000002</v>
      </c>
      <c r="AJ66" s="46">
        <v>219.68899999999996</v>
      </c>
      <c r="AK66" s="46">
        <v>213.19799999999992</v>
      </c>
      <c r="AL66" s="46">
        <v>203.46799999999993</v>
      </c>
      <c r="AM66" s="46">
        <v>235.76799999999994</v>
      </c>
      <c r="AN66" s="46">
        <f t="shared" si="1"/>
        <v>185.3681</v>
      </c>
      <c r="AO66" s="7">
        <f t="shared" ref="AO66:AO97" si="3">AN66/H66</f>
        <v>18.536809999999999</v>
      </c>
    </row>
    <row r="67" spans="1:41" ht="15.6" x14ac:dyDescent="0.3">
      <c r="A67" s="5">
        <v>66</v>
      </c>
      <c r="B67" s="6" t="s">
        <v>58</v>
      </c>
      <c r="C67" s="12" t="s">
        <v>249</v>
      </c>
      <c r="D67" s="6" t="s">
        <v>128</v>
      </c>
      <c r="E67" s="6" t="s">
        <v>12</v>
      </c>
      <c r="F67" s="6" t="s">
        <v>13</v>
      </c>
      <c r="G67" s="12" t="s">
        <v>35</v>
      </c>
      <c r="H67" s="5">
        <v>8</v>
      </c>
      <c r="I67" s="74" t="s">
        <v>273</v>
      </c>
      <c r="J67" s="46">
        <v>121.73400000000001</v>
      </c>
      <c r="K67" s="46">
        <v>147.65</v>
      </c>
      <c r="L67" s="46">
        <v>90.484999999999999</v>
      </c>
      <c r="M67" s="46">
        <v>108.93400000000001</v>
      </c>
      <c r="N67" s="46">
        <v>104.262</v>
      </c>
      <c r="O67" s="46">
        <v>120.94099999999997</v>
      </c>
      <c r="P67" s="46">
        <v>72.001000000000005</v>
      </c>
      <c r="Q67" s="46">
        <v>23.885000000000005</v>
      </c>
      <c r="R67" s="46">
        <v>88.570000000000007</v>
      </c>
      <c r="S67" s="46">
        <v>94.318000000000026</v>
      </c>
      <c r="T67" s="46">
        <v>98.259</v>
      </c>
      <c r="U67" s="46">
        <v>81.290999999999997</v>
      </c>
      <c r="V67" s="46">
        <v>91.890000000000029</v>
      </c>
      <c r="W67" s="46">
        <v>96.083000000000013</v>
      </c>
      <c r="X67" s="46">
        <v>52.711999999999996</v>
      </c>
      <c r="Y67" s="46">
        <v>98.057000000000016</v>
      </c>
      <c r="Z67" s="46">
        <v>82.137</v>
      </c>
      <c r="AA67" s="46">
        <v>83.543999999999997</v>
      </c>
      <c r="AB67" s="46">
        <v>85.352999999999994</v>
      </c>
      <c r="AC67" s="46">
        <v>87.244000000000028</v>
      </c>
      <c r="AD67" s="46">
        <v>67.704999999999998</v>
      </c>
      <c r="AE67" s="46">
        <v>95.31</v>
      </c>
      <c r="AF67" s="46">
        <v>63.496000000000009</v>
      </c>
      <c r="AG67" s="46">
        <v>67.957000000000008</v>
      </c>
      <c r="AH67" s="46">
        <v>99.760999999999996</v>
      </c>
      <c r="AI67" s="46">
        <v>75.916999999999987</v>
      </c>
      <c r="AJ67" s="46">
        <v>91.841000000000008</v>
      </c>
      <c r="AK67" s="46">
        <v>72.965999999999994</v>
      </c>
      <c r="AL67" s="46">
        <v>93.738</v>
      </c>
      <c r="AM67" s="46">
        <v>84.675000000000011</v>
      </c>
      <c r="AN67" s="46">
        <f t="shared" ref="AN67:AN118" si="4">AVERAGE(J67:AM67)</f>
        <v>88.090533333333326</v>
      </c>
      <c r="AO67" s="7">
        <f t="shared" si="3"/>
        <v>11.011316666666666</v>
      </c>
    </row>
    <row r="68" spans="1:41" ht="15.6" x14ac:dyDescent="0.3">
      <c r="A68" s="5">
        <v>67</v>
      </c>
      <c r="B68" s="6" t="s">
        <v>58</v>
      </c>
      <c r="C68" s="12" t="s">
        <v>256</v>
      </c>
      <c r="D68" s="6" t="s">
        <v>128</v>
      </c>
      <c r="E68" s="6" t="s">
        <v>12</v>
      </c>
      <c r="F68" s="6" t="s">
        <v>13</v>
      </c>
      <c r="G68" s="12" t="s">
        <v>35</v>
      </c>
      <c r="H68" s="5">
        <v>6</v>
      </c>
      <c r="I68" s="74" t="s">
        <v>273</v>
      </c>
      <c r="J68" s="46">
        <v>7.9490000000000007</v>
      </c>
      <c r="K68" s="46">
        <v>1.6949999999999998</v>
      </c>
      <c r="L68" s="46">
        <v>2.173</v>
      </c>
      <c r="M68" s="46">
        <v>0</v>
      </c>
      <c r="N68" s="46">
        <v>1E-3</v>
      </c>
      <c r="O68" s="46">
        <v>1E-3</v>
      </c>
      <c r="P68" s="46">
        <v>1E-3</v>
      </c>
      <c r="Q68" s="46">
        <v>1E-3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0</v>
      </c>
      <c r="AL68" s="46">
        <v>0</v>
      </c>
      <c r="AM68" s="46">
        <v>0</v>
      </c>
      <c r="AN68" s="46">
        <f t="shared" si="4"/>
        <v>0.39403333333333329</v>
      </c>
      <c r="AO68" s="7">
        <f t="shared" si="3"/>
        <v>6.5672222222222215E-2</v>
      </c>
    </row>
    <row r="69" spans="1:41" ht="15.6" x14ac:dyDescent="0.3">
      <c r="A69" s="5">
        <v>68</v>
      </c>
      <c r="B69" s="6" t="s">
        <v>58</v>
      </c>
      <c r="C69" s="12" t="s">
        <v>417</v>
      </c>
      <c r="D69" s="6" t="s">
        <v>128</v>
      </c>
      <c r="E69" s="6" t="s">
        <v>12</v>
      </c>
      <c r="F69" s="6" t="s">
        <v>13</v>
      </c>
      <c r="G69" s="12" t="s">
        <v>35</v>
      </c>
      <c r="H69" s="5">
        <v>2</v>
      </c>
      <c r="I69" s="74" t="s">
        <v>273</v>
      </c>
      <c r="J69" s="46">
        <v>15.059000000000001</v>
      </c>
      <c r="K69" s="46">
        <v>37.720999999999989</v>
      </c>
      <c r="L69" s="46">
        <v>21.076000000000001</v>
      </c>
      <c r="M69" s="46">
        <v>24.067999999999994</v>
      </c>
      <c r="N69" s="46">
        <v>25.645</v>
      </c>
      <c r="O69" s="46">
        <v>39.302</v>
      </c>
      <c r="P69" s="46">
        <v>9.8780000000000019</v>
      </c>
      <c r="Q69" s="46">
        <v>32.277999999999999</v>
      </c>
      <c r="R69" s="46">
        <v>16.621000000000002</v>
      </c>
      <c r="S69" s="46">
        <v>19.360999999999997</v>
      </c>
      <c r="T69" s="46">
        <v>11.786999999999999</v>
      </c>
      <c r="U69" s="46">
        <v>28.513000000000005</v>
      </c>
      <c r="V69" s="46">
        <v>30.936</v>
      </c>
      <c r="W69" s="46">
        <v>20.606000000000002</v>
      </c>
      <c r="X69" s="46">
        <v>20.881</v>
      </c>
      <c r="Y69" s="46">
        <v>23.669999999999998</v>
      </c>
      <c r="Z69" s="46">
        <v>19.678000000000001</v>
      </c>
      <c r="AA69" s="46">
        <v>16.503</v>
      </c>
      <c r="AB69" s="46">
        <v>4.516</v>
      </c>
      <c r="AC69" s="46">
        <v>13.359000000000002</v>
      </c>
      <c r="AD69" s="46">
        <v>11.542000000000002</v>
      </c>
      <c r="AE69" s="46">
        <v>27.667999999999999</v>
      </c>
      <c r="AF69" s="46">
        <v>25.074999999999999</v>
      </c>
      <c r="AG69" s="46">
        <v>29.468</v>
      </c>
      <c r="AH69" s="46">
        <v>25.787000000000003</v>
      </c>
      <c r="AI69" s="46">
        <v>22.866</v>
      </c>
      <c r="AJ69" s="46">
        <v>15.193999999999999</v>
      </c>
      <c r="AK69" s="46">
        <v>16.677999999999997</v>
      </c>
      <c r="AL69" s="46">
        <v>18.300999999999998</v>
      </c>
      <c r="AM69" s="46">
        <v>11.82</v>
      </c>
      <c r="AN69" s="46">
        <f t="shared" si="4"/>
        <v>21.195233333333338</v>
      </c>
      <c r="AO69" s="7">
        <f t="shared" si="3"/>
        <v>10.597616666666669</v>
      </c>
    </row>
    <row r="70" spans="1:41" x14ac:dyDescent="0.3">
      <c r="A70" s="5">
        <v>69</v>
      </c>
      <c r="B70" s="6" t="s">
        <v>476</v>
      </c>
      <c r="C70" s="12" t="s">
        <v>477</v>
      </c>
      <c r="D70" s="6" t="s">
        <v>128</v>
      </c>
      <c r="E70" s="6" t="s">
        <v>12</v>
      </c>
      <c r="F70" s="6" t="s">
        <v>13</v>
      </c>
      <c r="G70" s="12" t="s">
        <v>35</v>
      </c>
      <c r="H70" s="5">
        <v>1</v>
      </c>
      <c r="I70" s="67" t="s">
        <v>160</v>
      </c>
      <c r="J70" s="46"/>
      <c r="K70" s="46"/>
      <c r="L70" s="46"/>
      <c r="M70" s="46"/>
      <c r="N70" s="46"/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v>0</v>
      </c>
      <c r="AN70" s="46">
        <f t="shared" si="4"/>
        <v>0</v>
      </c>
      <c r="AO70" s="7">
        <f t="shared" si="3"/>
        <v>0</v>
      </c>
    </row>
    <row r="71" spans="1:41" ht="15.6" x14ac:dyDescent="0.3">
      <c r="A71" s="5">
        <v>70</v>
      </c>
      <c r="B71" s="6" t="s">
        <v>119</v>
      </c>
      <c r="C71" s="12" t="s">
        <v>217</v>
      </c>
      <c r="D71" s="6" t="s">
        <v>30</v>
      </c>
      <c r="E71" s="6" t="s">
        <v>12</v>
      </c>
      <c r="F71" s="6" t="s">
        <v>121</v>
      </c>
      <c r="G71" s="6" t="s">
        <v>35</v>
      </c>
      <c r="H71" s="5">
        <v>20</v>
      </c>
      <c r="I71" s="74" t="s">
        <v>273</v>
      </c>
      <c r="J71" s="46">
        <v>3.2770000000000001</v>
      </c>
      <c r="K71" s="46">
        <v>0</v>
      </c>
      <c r="L71" s="46">
        <v>0</v>
      </c>
      <c r="M71" s="46">
        <v>0</v>
      </c>
      <c r="N71" s="46">
        <v>18.665000000000003</v>
      </c>
      <c r="O71" s="46">
        <v>31.435000000000006</v>
      </c>
      <c r="P71" s="46">
        <v>16.600000000000001</v>
      </c>
      <c r="Q71" s="46">
        <v>10.561</v>
      </c>
      <c r="R71" s="46">
        <v>20.7</v>
      </c>
      <c r="S71" s="46">
        <v>30.031000000000006</v>
      </c>
      <c r="T71" s="46">
        <v>21.95</v>
      </c>
      <c r="U71" s="46">
        <v>23.521999999999998</v>
      </c>
      <c r="V71" s="46">
        <v>21.322999999999993</v>
      </c>
      <c r="W71" s="46">
        <v>11.637</v>
      </c>
      <c r="X71" s="46">
        <v>10.731999999999999</v>
      </c>
      <c r="Y71" s="46">
        <v>10.079000000000001</v>
      </c>
      <c r="Z71" s="46">
        <v>12.663999999999998</v>
      </c>
      <c r="AA71" s="46">
        <v>22.567999999999998</v>
      </c>
      <c r="AB71" s="46">
        <v>9.3659999999999997</v>
      </c>
      <c r="AC71" s="46">
        <v>16.568999999999999</v>
      </c>
      <c r="AD71" s="46">
        <v>12.701000000000002</v>
      </c>
      <c r="AE71" s="46">
        <v>14.896000000000001</v>
      </c>
      <c r="AF71" s="46">
        <v>25.548000000000002</v>
      </c>
      <c r="AG71" s="46">
        <v>15.112</v>
      </c>
      <c r="AH71" s="46">
        <v>19.116</v>
      </c>
      <c r="AI71" s="46">
        <v>12.111999999999998</v>
      </c>
      <c r="AJ71" s="46">
        <v>0.57499999999999996</v>
      </c>
      <c r="AK71" s="46">
        <v>0</v>
      </c>
      <c r="AL71" s="46">
        <v>0</v>
      </c>
      <c r="AM71" s="46">
        <v>4.2409999999999997</v>
      </c>
      <c r="AN71" s="46">
        <f t="shared" si="4"/>
        <v>13.199333333333334</v>
      </c>
      <c r="AO71" s="7">
        <f t="shared" si="3"/>
        <v>0.6599666666666667</v>
      </c>
    </row>
    <row r="72" spans="1:41" ht="15.6" x14ac:dyDescent="0.3">
      <c r="A72" s="5">
        <v>71</v>
      </c>
      <c r="B72" s="6" t="s">
        <v>119</v>
      </c>
      <c r="C72" s="12" t="s">
        <v>218</v>
      </c>
      <c r="D72" s="6" t="s">
        <v>128</v>
      </c>
      <c r="E72" s="6" t="s">
        <v>12</v>
      </c>
      <c r="F72" s="6" t="s">
        <v>121</v>
      </c>
      <c r="G72" s="6" t="s">
        <v>35</v>
      </c>
      <c r="H72" s="5">
        <v>3</v>
      </c>
      <c r="I72" s="74" t="s">
        <v>273</v>
      </c>
      <c r="J72" s="46">
        <v>0.35099999999999998</v>
      </c>
      <c r="K72" s="46">
        <v>0.8</v>
      </c>
      <c r="L72" s="46">
        <v>0</v>
      </c>
      <c r="M72" s="46">
        <v>0</v>
      </c>
      <c r="N72" s="46">
        <v>0</v>
      </c>
      <c r="O72" s="46">
        <v>0</v>
      </c>
      <c r="P72" s="46">
        <v>0</v>
      </c>
      <c r="Q72" s="46">
        <v>0</v>
      </c>
      <c r="R72" s="51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8.4429999999999996</v>
      </c>
      <c r="Y72" s="46">
        <v>15.386999999999999</v>
      </c>
      <c r="Z72" s="46">
        <v>2.4129999999999998</v>
      </c>
      <c r="AA72" s="46">
        <v>4.484</v>
      </c>
      <c r="AB72" s="46">
        <v>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2.2050000000000001</v>
      </c>
      <c r="AI72" s="46">
        <v>0</v>
      </c>
      <c r="AJ72" s="46">
        <v>0</v>
      </c>
      <c r="AK72" s="46">
        <v>0</v>
      </c>
      <c r="AL72" s="46">
        <v>0</v>
      </c>
      <c r="AM72" s="46">
        <v>0</v>
      </c>
      <c r="AN72" s="46">
        <f t="shared" si="4"/>
        <v>1.1360999999999999</v>
      </c>
      <c r="AO72" s="7">
        <f t="shared" si="3"/>
        <v>0.37869999999999998</v>
      </c>
    </row>
    <row r="73" spans="1:41" ht="15.6" x14ac:dyDescent="0.3">
      <c r="A73" s="5">
        <v>72</v>
      </c>
      <c r="B73" s="6" t="s">
        <v>119</v>
      </c>
      <c r="C73" s="12" t="s">
        <v>457</v>
      </c>
      <c r="D73" s="6" t="s">
        <v>30</v>
      </c>
      <c r="E73" s="6" t="s">
        <v>12</v>
      </c>
      <c r="F73" s="6" t="s">
        <v>121</v>
      </c>
      <c r="G73" s="6" t="s">
        <v>35</v>
      </c>
      <c r="H73" s="5">
        <v>3</v>
      </c>
      <c r="I73" s="74" t="s">
        <v>273</v>
      </c>
      <c r="J73" s="46">
        <v>40.920999999999999</v>
      </c>
      <c r="K73" s="46">
        <v>8.6789999999999985</v>
      </c>
      <c r="L73" s="46">
        <v>41.899000000000001</v>
      </c>
      <c r="M73" s="46">
        <v>25.221999999999998</v>
      </c>
      <c r="N73" s="46">
        <v>51.358999999999995</v>
      </c>
      <c r="O73" s="46">
        <v>34.425000000000004</v>
      </c>
      <c r="P73" s="46">
        <v>41.176000000000002</v>
      </c>
      <c r="Q73" s="46">
        <v>37.561</v>
      </c>
      <c r="R73" s="46">
        <v>34.47</v>
      </c>
      <c r="S73" s="46">
        <v>40.823</v>
      </c>
      <c r="T73" s="46">
        <v>48.08700000000001</v>
      </c>
      <c r="U73" s="46">
        <v>56.440000000000005</v>
      </c>
      <c r="V73" s="46">
        <v>46.671999999999997</v>
      </c>
      <c r="W73" s="46">
        <v>48.245000000000005</v>
      </c>
      <c r="X73" s="46">
        <v>32.701000000000001</v>
      </c>
      <c r="Y73" s="46">
        <v>30.122</v>
      </c>
      <c r="Z73" s="46">
        <v>23.956</v>
      </c>
      <c r="AA73" s="46">
        <v>19.271000000000001</v>
      </c>
      <c r="AB73" s="46">
        <v>36.826000000000001</v>
      </c>
      <c r="AC73" s="46">
        <v>25.512999999999998</v>
      </c>
      <c r="AD73" s="46">
        <v>33.363</v>
      </c>
      <c r="AE73" s="46">
        <v>42.11</v>
      </c>
      <c r="AF73" s="46">
        <v>7.6219999999999999</v>
      </c>
      <c r="AG73" s="46">
        <v>50.503</v>
      </c>
      <c r="AH73" s="46">
        <v>17.236999999999998</v>
      </c>
      <c r="AI73" s="46">
        <v>36.388000000000005</v>
      </c>
      <c r="AJ73" s="46">
        <v>6.4720000000000004</v>
      </c>
      <c r="AK73" s="46">
        <v>18.922999999999998</v>
      </c>
      <c r="AL73" s="46">
        <v>23.126000000000001</v>
      </c>
      <c r="AM73" s="46">
        <v>43.233000000000004</v>
      </c>
      <c r="AN73" s="46">
        <f t="shared" si="4"/>
        <v>33.444833333333335</v>
      </c>
      <c r="AO73" s="7">
        <f t="shared" si="3"/>
        <v>11.148277777777778</v>
      </c>
    </row>
    <row r="74" spans="1:41" ht="15.6" x14ac:dyDescent="0.3">
      <c r="A74" s="5">
        <v>73</v>
      </c>
      <c r="B74" s="6" t="s">
        <v>55</v>
      </c>
      <c r="C74" s="12" t="s">
        <v>393</v>
      </c>
      <c r="D74" s="6" t="s">
        <v>57</v>
      </c>
      <c r="E74" s="6" t="s">
        <v>12</v>
      </c>
      <c r="F74" s="6" t="s">
        <v>13</v>
      </c>
      <c r="G74" s="6" t="s">
        <v>35</v>
      </c>
      <c r="H74" s="5">
        <v>40</v>
      </c>
      <c r="I74" s="74" t="s">
        <v>273</v>
      </c>
      <c r="J74" s="46">
        <v>236.92699999999991</v>
      </c>
      <c r="K74" s="46">
        <v>216.78400000000002</v>
      </c>
      <c r="L74" s="46">
        <v>220.87699999999995</v>
      </c>
      <c r="M74" s="46">
        <v>155.601</v>
      </c>
      <c r="N74" s="46">
        <v>212.49899999999991</v>
      </c>
      <c r="O74" s="46">
        <v>202.28299999999987</v>
      </c>
      <c r="P74" s="46">
        <v>210.267</v>
      </c>
      <c r="Q74" s="46">
        <v>420.98599999999993</v>
      </c>
      <c r="R74" s="46">
        <v>241.73599999999999</v>
      </c>
      <c r="S74" s="46">
        <v>144.11100000000002</v>
      </c>
      <c r="T74" s="46">
        <v>311.29900000000015</v>
      </c>
      <c r="U74" s="46">
        <v>257.96600000000001</v>
      </c>
      <c r="V74" s="46">
        <v>264.28699999999992</v>
      </c>
      <c r="W74" s="46">
        <v>385.08499999999992</v>
      </c>
      <c r="X74" s="46">
        <v>605.64599999999996</v>
      </c>
      <c r="Y74" s="46">
        <v>514.95500000000004</v>
      </c>
      <c r="Z74" s="46">
        <v>372.99800000000005</v>
      </c>
      <c r="AA74" s="46">
        <v>237.24099999999999</v>
      </c>
      <c r="AB74" s="46">
        <v>190.85999999999996</v>
      </c>
      <c r="AC74" s="46">
        <v>223.08600000000001</v>
      </c>
      <c r="AD74" s="46">
        <v>424.81700000000012</v>
      </c>
      <c r="AE74" s="46">
        <v>493.18300000000022</v>
      </c>
      <c r="AF74" s="46">
        <v>303.89000000000004</v>
      </c>
      <c r="AG74" s="46">
        <v>222.67300000000003</v>
      </c>
      <c r="AH74" s="46">
        <v>324.37200000000001</v>
      </c>
      <c r="AI74" s="46">
        <v>273.04899999999992</v>
      </c>
      <c r="AJ74" s="46">
        <v>278.96400000000011</v>
      </c>
      <c r="AK74" s="46">
        <v>344.35600000000005</v>
      </c>
      <c r="AL74" s="46">
        <v>405.67400000000004</v>
      </c>
      <c r="AM74" s="46">
        <v>326.85599999999994</v>
      </c>
      <c r="AN74" s="46">
        <f t="shared" si="4"/>
        <v>300.77760000000001</v>
      </c>
      <c r="AO74" s="7">
        <f t="shared" si="3"/>
        <v>7.5194400000000003</v>
      </c>
    </row>
    <row r="75" spans="1:41" ht="15.6" x14ac:dyDescent="0.3">
      <c r="A75" s="5">
        <v>74</v>
      </c>
      <c r="B75" s="12" t="s">
        <v>221</v>
      </c>
      <c r="C75" s="12" t="s">
        <v>220</v>
      </c>
      <c r="D75" s="6" t="s">
        <v>30</v>
      </c>
      <c r="E75" s="6" t="s">
        <v>12</v>
      </c>
      <c r="F75" s="6" t="s">
        <v>13</v>
      </c>
      <c r="G75" s="6" t="s">
        <v>35</v>
      </c>
      <c r="H75" s="5">
        <v>19</v>
      </c>
      <c r="I75" s="74" t="s">
        <v>273</v>
      </c>
      <c r="J75" s="46">
        <v>5.2789999999999999</v>
      </c>
      <c r="K75" s="46">
        <v>5.0139999999999993</v>
      </c>
      <c r="L75" s="46">
        <v>5.2990000000000004</v>
      </c>
      <c r="M75" s="46">
        <v>3.1740000000000004</v>
      </c>
      <c r="N75" s="46">
        <v>5.4209999999999994</v>
      </c>
      <c r="O75" s="46">
        <v>3.3159999999999998</v>
      </c>
      <c r="P75" s="46">
        <v>4.5590000000000002</v>
      </c>
      <c r="Q75" s="46">
        <v>4.6840000000000002</v>
      </c>
      <c r="R75" s="46">
        <v>5.2880000000000003</v>
      </c>
      <c r="S75" s="46">
        <v>4.056</v>
      </c>
      <c r="T75" s="46">
        <v>4.8549999999999995</v>
      </c>
      <c r="U75" s="46">
        <v>1.897</v>
      </c>
      <c r="V75" s="46">
        <v>0.876</v>
      </c>
      <c r="W75" s="46">
        <v>3.5780000000000003</v>
      </c>
      <c r="X75" s="46">
        <v>4.7119999999999997</v>
      </c>
      <c r="Y75" s="46">
        <v>3.1880000000000002</v>
      </c>
      <c r="Z75" s="46">
        <v>4.6590000000000007</v>
      </c>
      <c r="AA75" s="46">
        <v>2.0110000000000001</v>
      </c>
      <c r="AB75" s="46">
        <v>2.6670000000000003</v>
      </c>
      <c r="AC75" s="46">
        <v>4.524</v>
      </c>
      <c r="AD75" s="46">
        <v>5.0749999999999993</v>
      </c>
      <c r="AE75" s="46">
        <v>5.2059999999999995</v>
      </c>
      <c r="AF75" s="46">
        <v>5.1910000000000007</v>
      </c>
      <c r="AG75" s="46">
        <v>5.2650000000000006</v>
      </c>
      <c r="AH75" s="46">
        <v>4.4770000000000003</v>
      </c>
      <c r="AI75" s="46">
        <v>4.6959999999999997</v>
      </c>
      <c r="AJ75" s="46">
        <v>4.3059999999999992</v>
      </c>
      <c r="AK75" s="46">
        <v>3.4620000000000002</v>
      </c>
      <c r="AL75" s="46">
        <v>3.4529999999999998</v>
      </c>
      <c r="AM75" s="46">
        <v>3.7699999999999996</v>
      </c>
      <c r="AN75" s="46">
        <f t="shared" si="4"/>
        <v>4.1319333333333335</v>
      </c>
      <c r="AO75" s="7">
        <f t="shared" si="3"/>
        <v>0.21747017543859651</v>
      </c>
    </row>
    <row r="76" spans="1:41" x14ac:dyDescent="0.3">
      <c r="A76" s="5">
        <v>75</v>
      </c>
      <c r="B76" s="12" t="s">
        <v>222</v>
      </c>
      <c r="C76" s="12" t="s">
        <v>223</v>
      </c>
      <c r="D76" s="6" t="s">
        <v>69</v>
      </c>
      <c r="E76" s="6" t="s">
        <v>12</v>
      </c>
      <c r="F76" s="6" t="s">
        <v>40</v>
      </c>
      <c r="G76" s="6" t="s">
        <v>35</v>
      </c>
      <c r="H76" s="5">
        <v>2</v>
      </c>
      <c r="I76" s="67" t="s">
        <v>272</v>
      </c>
      <c r="J76" s="46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51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25.277000000000001</v>
      </c>
      <c r="AC76" s="46">
        <v>0</v>
      </c>
      <c r="AD76" s="46">
        <v>0</v>
      </c>
      <c r="AE76" s="46">
        <v>11.349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0</v>
      </c>
      <c r="AL76" s="46">
        <v>0</v>
      </c>
      <c r="AM76" s="46">
        <v>19.390999999999998</v>
      </c>
      <c r="AN76" s="46">
        <f t="shared" si="4"/>
        <v>1.8672333333333335</v>
      </c>
      <c r="AO76" s="7">
        <f t="shared" si="3"/>
        <v>0.93361666666666676</v>
      </c>
    </row>
    <row r="77" spans="1:41" ht="15.6" x14ac:dyDescent="0.3">
      <c r="A77" s="5">
        <v>76</v>
      </c>
      <c r="B77" s="12" t="s">
        <v>175</v>
      </c>
      <c r="C77" s="12" t="s">
        <v>174</v>
      </c>
      <c r="D77" s="6" t="s">
        <v>128</v>
      </c>
      <c r="E77" s="6" t="s">
        <v>12</v>
      </c>
      <c r="F77" s="6" t="s">
        <v>121</v>
      </c>
      <c r="G77" s="6" t="s">
        <v>35</v>
      </c>
      <c r="H77" s="5">
        <v>10</v>
      </c>
      <c r="I77" s="74" t="s">
        <v>273</v>
      </c>
      <c r="J77" s="46">
        <v>166.79300000000003</v>
      </c>
      <c r="K77" s="46">
        <v>104.35499999999999</v>
      </c>
      <c r="L77" s="46">
        <v>167.131</v>
      </c>
      <c r="M77" s="46">
        <v>150.64400000000003</v>
      </c>
      <c r="N77" s="46">
        <v>77.883000000000038</v>
      </c>
      <c r="O77" s="46">
        <v>56.809999999999995</v>
      </c>
      <c r="P77" s="46">
        <v>154.80999999999997</v>
      </c>
      <c r="Q77" s="46">
        <v>138.24400000000006</v>
      </c>
      <c r="R77" s="46">
        <v>148.7540000000001</v>
      </c>
      <c r="S77" s="46">
        <v>123.80299999999994</v>
      </c>
      <c r="T77" s="46">
        <v>105.21299999999999</v>
      </c>
      <c r="U77" s="46">
        <v>59.127999999999993</v>
      </c>
      <c r="V77" s="46">
        <v>155.92699999999996</v>
      </c>
      <c r="W77" s="46">
        <v>160.61700000000005</v>
      </c>
      <c r="X77" s="46">
        <v>150.35100000000003</v>
      </c>
      <c r="Y77" s="46">
        <v>165.26600000000008</v>
      </c>
      <c r="Z77" s="46">
        <v>114.83700000000005</v>
      </c>
      <c r="AA77" s="46">
        <v>186.38200000000003</v>
      </c>
      <c r="AB77" s="46">
        <v>126.16200000000002</v>
      </c>
      <c r="AC77" s="46">
        <v>145.762</v>
      </c>
      <c r="AD77" s="46">
        <v>120.73200000000004</v>
      </c>
      <c r="AE77" s="46">
        <v>144.43799999999993</v>
      </c>
      <c r="AF77" s="46">
        <v>162.55699999999999</v>
      </c>
      <c r="AG77" s="46">
        <v>136.59400000000005</v>
      </c>
      <c r="AH77" s="46">
        <v>109.00499999999998</v>
      </c>
      <c r="AI77" s="46">
        <v>145.78900000000004</v>
      </c>
      <c r="AJ77" s="46">
        <v>87.102000000000004</v>
      </c>
      <c r="AK77" s="46">
        <v>71.807000000000002</v>
      </c>
      <c r="AL77" s="46">
        <v>96.054000000000016</v>
      </c>
      <c r="AM77" s="46">
        <v>122.19199999999998</v>
      </c>
      <c r="AN77" s="46">
        <f t="shared" si="4"/>
        <v>128.50473333333332</v>
      </c>
      <c r="AO77" s="7">
        <f t="shared" si="3"/>
        <v>12.850473333333332</v>
      </c>
    </row>
    <row r="78" spans="1:41" ht="15.6" x14ac:dyDescent="0.3">
      <c r="A78" s="5">
        <v>77</v>
      </c>
      <c r="B78" s="12" t="s">
        <v>175</v>
      </c>
      <c r="C78" s="12" t="s">
        <v>174</v>
      </c>
      <c r="D78" s="6" t="s">
        <v>128</v>
      </c>
      <c r="E78" s="6" t="s">
        <v>12</v>
      </c>
      <c r="F78" s="6" t="s">
        <v>40</v>
      </c>
      <c r="G78" s="6" t="s">
        <v>35</v>
      </c>
      <c r="H78" s="5">
        <v>1</v>
      </c>
      <c r="I78" s="74" t="s">
        <v>273</v>
      </c>
      <c r="J78" s="46">
        <v>8.5329999999999995</v>
      </c>
      <c r="K78" s="46">
        <v>44.531999999999996</v>
      </c>
      <c r="L78" s="46">
        <v>15.555</v>
      </c>
      <c r="M78" s="46">
        <v>0</v>
      </c>
      <c r="N78" s="46">
        <v>21.885999999999999</v>
      </c>
      <c r="O78" s="46">
        <v>35.673000000000002</v>
      </c>
      <c r="P78" s="46">
        <v>5.335</v>
      </c>
      <c r="Q78" s="46">
        <v>37.792999999999999</v>
      </c>
      <c r="R78" s="46">
        <v>6.6989999999999998</v>
      </c>
      <c r="S78" s="46">
        <v>17.193999999999999</v>
      </c>
      <c r="T78" s="46">
        <v>0</v>
      </c>
      <c r="U78" s="46">
        <v>0</v>
      </c>
      <c r="V78" s="46">
        <v>23.978999999999999</v>
      </c>
      <c r="W78" s="46">
        <v>0</v>
      </c>
      <c r="X78" s="46">
        <v>0</v>
      </c>
      <c r="Y78" s="46">
        <v>0</v>
      </c>
      <c r="Z78" s="46">
        <v>31.864000000000001</v>
      </c>
      <c r="AA78" s="46">
        <v>0</v>
      </c>
      <c r="AB78" s="46">
        <v>15.732999999999999</v>
      </c>
      <c r="AC78" s="46">
        <v>3.6159999999999997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0</v>
      </c>
      <c r="AL78" s="46">
        <v>0</v>
      </c>
      <c r="AM78" s="46">
        <v>0</v>
      </c>
      <c r="AN78" s="46">
        <f t="shared" si="4"/>
        <v>8.9464000000000006</v>
      </c>
      <c r="AO78" s="7">
        <f t="shared" si="3"/>
        <v>8.9464000000000006</v>
      </c>
    </row>
    <row r="79" spans="1:41" x14ac:dyDescent="0.3">
      <c r="A79" s="5">
        <v>78</v>
      </c>
      <c r="B79" s="12" t="s">
        <v>175</v>
      </c>
      <c r="C79" s="12" t="s">
        <v>241</v>
      </c>
      <c r="D79" s="6" t="s">
        <v>128</v>
      </c>
      <c r="E79" s="6" t="s">
        <v>12</v>
      </c>
      <c r="F79" s="6" t="s">
        <v>124</v>
      </c>
      <c r="G79" s="6" t="s">
        <v>80</v>
      </c>
      <c r="H79" s="5">
        <v>1</v>
      </c>
      <c r="I79" s="67" t="s">
        <v>160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f t="shared" si="4"/>
        <v>0</v>
      </c>
      <c r="AO79" s="7">
        <f t="shared" si="3"/>
        <v>0</v>
      </c>
    </row>
    <row r="80" spans="1:41" x14ac:dyDescent="0.3">
      <c r="A80" s="5">
        <v>79</v>
      </c>
      <c r="B80" s="12" t="s">
        <v>175</v>
      </c>
      <c r="C80" s="12" t="s">
        <v>240</v>
      </c>
      <c r="D80" s="6" t="s">
        <v>128</v>
      </c>
      <c r="E80" s="6" t="s">
        <v>12</v>
      </c>
      <c r="F80" s="6" t="s">
        <v>124</v>
      </c>
      <c r="G80" s="6" t="s">
        <v>80</v>
      </c>
      <c r="H80" s="5">
        <v>1</v>
      </c>
      <c r="I80" s="67" t="s">
        <v>160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f t="shared" si="4"/>
        <v>0</v>
      </c>
      <c r="AO80" s="7">
        <f t="shared" si="3"/>
        <v>0</v>
      </c>
    </row>
    <row r="81" spans="1:41" x14ac:dyDescent="0.3">
      <c r="A81" s="5">
        <v>80</v>
      </c>
      <c r="B81" s="12" t="s">
        <v>175</v>
      </c>
      <c r="C81" s="12" t="s">
        <v>242</v>
      </c>
      <c r="D81" s="6" t="s">
        <v>128</v>
      </c>
      <c r="E81" s="6" t="s">
        <v>12</v>
      </c>
      <c r="F81" s="6" t="s">
        <v>124</v>
      </c>
      <c r="G81" s="6" t="s">
        <v>80</v>
      </c>
      <c r="H81" s="5">
        <v>1</v>
      </c>
      <c r="I81" s="67" t="s">
        <v>160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f t="shared" si="4"/>
        <v>0</v>
      </c>
      <c r="AO81" s="7">
        <f t="shared" si="3"/>
        <v>0</v>
      </c>
    </row>
    <row r="82" spans="1:41" ht="15.6" x14ac:dyDescent="0.3">
      <c r="A82" s="5">
        <v>81</v>
      </c>
      <c r="B82" s="6" t="s">
        <v>65</v>
      </c>
      <c r="C82" s="12" t="s">
        <v>224</v>
      </c>
      <c r="D82" s="6" t="s">
        <v>30</v>
      </c>
      <c r="E82" s="6" t="s">
        <v>12</v>
      </c>
      <c r="F82" s="6" t="s">
        <v>13</v>
      </c>
      <c r="G82" s="6" t="s">
        <v>35</v>
      </c>
      <c r="H82" s="5">
        <v>5</v>
      </c>
      <c r="I82" s="74" t="s">
        <v>273</v>
      </c>
      <c r="J82" s="46">
        <v>39.577999999999996</v>
      </c>
      <c r="K82" s="46">
        <v>42.838999999999999</v>
      </c>
      <c r="L82" s="46">
        <v>37.337000000000003</v>
      </c>
      <c r="M82" s="46">
        <v>30.772999999999996</v>
      </c>
      <c r="N82" s="46">
        <v>42.578999999999994</v>
      </c>
      <c r="O82" s="46">
        <v>46.271000000000001</v>
      </c>
      <c r="P82" s="46">
        <v>47.967999999999996</v>
      </c>
      <c r="Q82" s="46">
        <v>38.932000000000002</v>
      </c>
      <c r="R82" s="46">
        <v>34.926000000000002</v>
      </c>
      <c r="S82" s="46">
        <v>36.387</v>
      </c>
      <c r="T82" s="46">
        <v>32.303000000000004</v>
      </c>
      <c r="U82" s="46">
        <v>48.399000000000001</v>
      </c>
      <c r="V82" s="46">
        <v>46.381999999999998</v>
      </c>
      <c r="W82" s="46">
        <v>42.629999999999995</v>
      </c>
      <c r="X82" s="46">
        <v>31.145</v>
      </c>
      <c r="Y82" s="46">
        <v>29.143000000000001</v>
      </c>
      <c r="Z82" s="46">
        <v>40.611999999999995</v>
      </c>
      <c r="AA82" s="46">
        <v>37.927999999999997</v>
      </c>
      <c r="AB82" s="46">
        <v>30.878</v>
      </c>
      <c r="AC82" s="46">
        <v>29.676000000000002</v>
      </c>
      <c r="AD82" s="46">
        <v>51.186999999999998</v>
      </c>
      <c r="AE82" s="46">
        <v>25.361999999999998</v>
      </c>
      <c r="AF82" s="46">
        <v>29.998000000000001</v>
      </c>
      <c r="AG82" s="46">
        <v>49.575999999999993</v>
      </c>
      <c r="AH82" s="46">
        <v>30.748999999999999</v>
      </c>
      <c r="AI82" s="46">
        <v>50.061000000000007</v>
      </c>
      <c r="AJ82" s="46">
        <v>49.148999999999994</v>
      </c>
      <c r="AK82" s="46">
        <v>28.239000000000001</v>
      </c>
      <c r="AL82" s="46">
        <v>52.198999999999998</v>
      </c>
      <c r="AM82" s="46">
        <v>28.663999999999998</v>
      </c>
      <c r="AN82" s="46">
        <f t="shared" si="4"/>
        <v>38.729000000000006</v>
      </c>
      <c r="AO82" s="7">
        <f t="shared" si="3"/>
        <v>7.7458000000000009</v>
      </c>
    </row>
    <row r="83" spans="1:41" ht="15.6" x14ac:dyDescent="0.3">
      <c r="A83" s="5">
        <v>82</v>
      </c>
      <c r="B83" s="6" t="s">
        <v>65</v>
      </c>
      <c r="C83" s="12" t="s">
        <v>225</v>
      </c>
      <c r="D83" s="6" t="s">
        <v>30</v>
      </c>
      <c r="E83" s="6" t="s">
        <v>12</v>
      </c>
      <c r="F83" s="6" t="s">
        <v>13</v>
      </c>
      <c r="G83" s="6" t="s">
        <v>35</v>
      </c>
      <c r="H83" s="5">
        <v>16</v>
      </c>
      <c r="I83" s="74" t="s">
        <v>273</v>
      </c>
      <c r="J83" s="46">
        <v>1.252</v>
      </c>
      <c r="K83" s="46">
        <v>1.573</v>
      </c>
      <c r="L83" s="46">
        <v>12.280999999999999</v>
      </c>
      <c r="M83" s="46">
        <v>9.0310000000000006</v>
      </c>
      <c r="N83" s="46">
        <v>14.837000000000002</v>
      </c>
      <c r="O83" s="46">
        <v>6.2530000000000001</v>
      </c>
      <c r="P83" s="46">
        <v>5.5469999999999997</v>
      </c>
      <c r="Q83" s="46">
        <v>6.0540000000000003</v>
      </c>
      <c r="R83" s="46">
        <v>9.7059999999999995</v>
      </c>
      <c r="S83" s="46">
        <v>5.056</v>
      </c>
      <c r="T83" s="46">
        <v>4.9710000000000001</v>
      </c>
      <c r="U83" s="46">
        <v>0</v>
      </c>
      <c r="V83" s="46">
        <v>0.40600000000000003</v>
      </c>
      <c r="W83" s="46">
        <v>8.8420000000000005</v>
      </c>
      <c r="X83" s="46">
        <v>6.7330000000000005</v>
      </c>
      <c r="Y83" s="46">
        <v>4.49</v>
      </c>
      <c r="Z83" s="46">
        <v>0</v>
      </c>
      <c r="AA83" s="46">
        <v>4.34</v>
      </c>
      <c r="AB83" s="46">
        <v>5.4539999999999997</v>
      </c>
      <c r="AC83" s="46">
        <v>9.375</v>
      </c>
      <c r="AD83" s="46">
        <v>1.427</v>
      </c>
      <c r="AE83" s="46">
        <v>0</v>
      </c>
      <c r="AF83" s="46">
        <v>5.7139999999999995</v>
      </c>
      <c r="AG83" s="46">
        <v>5.6379999999999999</v>
      </c>
      <c r="AH83" s="46">
        <v>1.306</v>
      </c>
      <c r="AI83" s="46">
        <v>0</v>
      </c>
      <c r="AJ83" s="46">
        <v>8.6890000000000001</v>
      </c>
      <c r="AK83" s="46">
        <v>22.022000000000002</v>
      </c>
      <c r="AL83" s="46">
        <v>11.007999999999999</v>
      </c>
      <c r="AM83" s="46">
        <v>5.0650000000000004</v>
      </c>
      <c r="AN83" s="46">
        <f t="shared" si="4"/>
        <v>5.9023333333333339</v>
      </c>
      <c r="AO83" s="7">
        <f t="shared" si="3"/>
        <v>0.36889583333333337</v>
      </c>
    </row>
    <row r="84" spans="1:41" ht="15.6" x14ac:dyDescent="0.3">
      <c r="A84" s="5">
        <v>83</v>
      </c>
      <c r="B84" s="6" t="s">
        <v>65</v>
      </c>
      <c r="C84" s="12" t="s">
        <v>226</v>
      </c>
      <c r="D84" s="6" t="s">
        <v>30</v>
      </c>
      <c r="E84" s="6" t="s">
        <v>12</v>
      </c>
      <c r="F84" s="6" t="s">
        <v>13</v>
      </c>
      <c r="G84" s="6" t="s">
        <v>35</v>
      </c>
      <c r="H84" s="5">
        <v>10</v>
      </c>
      <c r="I84" s="74" t="s">
        <v>273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51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60">
        <v>0</v>
      </c>
      <c r="AG84" s="60">
        <v>0</v>
      </c>
      <c r="AH84" s="60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>
        <f t="shared" si="4"/>
        <v>0</v>
      </c>
      <c r="AO84" s="7">
        <f t="shared" si="3"/>
        <v>0</v>
      </c>
    </row>
    <row r="85" spans="1:41" ht="15.6" x14ac:dyDescent="0.3">
      <c r="A85" s="5">
        <v>84</v>
      </c>
      <c r="B85" s="6" t="s">
        <v>65</v>
      </c>
      <c r="C85" s="12" t="s">
        <v>227</v>
      </c>
      <c r="D85" s="6" t="s">
        <v>30</v>
      </c>
      <c r="E85" s="6" t="s">
        <v>12</v>
      </c>
      <c r="F85" s="6" t="s">
        <v>13</v>
      </c>
      <c r="G85" s="6" t="s">
        <v>35</v>
      </c>
      <c r="H85" s="5">
        <v>13</v>
      </c>
      <c r="I85" s="74" t="s">
        <v>273</v>
      </c>
      <c r="J85" s="46">
        <v>20.572999999999997</v>
      </c>
      <c r="K85" s="46">
        <v>56.558999999999997</v>
      </c>
      <c r="L85" s="46">
        <v>48.378999999999998</v>
      </c>
      <c r="M85" s="46">
        <v>42.726000000000006</v>
      </c>
      <c r="N85" s="46">
        <v>57.416000000000004</v>
      </c>
      <c r="O85" s="46">
        <v>57.662999999999997</v>
      </c>
      <c r="P85" s="46">
        <v>63.867000000000012</v>
      </c>
      <c r="Q85" s="46">
        <v>32.118000000000002</v>
      </c>
      <c r="R85" s="46">
        <v>12.16</v>
      </c>
      <c r="S85" s="46">
        <v>67.94</v>
      </c>
      <c r="T85" s="46">
        <v>54.077999999999996</v>
      </c>
      <c r="U85" s="46">
        <v>18.102000000000004</v>
      </c>
      <c r="V85" s="46">
        <v>56.79</v>
      </c>
      <c r="W85" s="46">
        <v>46.958000000000006</v>
      </c>
      <c r="X85" s="46">
        <v>22.63</v>
      </c>
      <c r="Y85" s="46">
        <v>29.305</v>
      </c>
      <c r="Z85" s="46">
        <v>19.962999999999997</v>
      </c>
      <c r="AA85" s="46">
        <v>58.604000000000006</v>
      </c>
      <c r="AB85" s="46">
        <v>29.411000000000001</v>
      </c>
      <c r="AC85" s="46">
        <v>49.164999999999999</v>
      </c>
      <c r="AD85" s="46">
        <v>61.378999999999991</v>
      </c>
      <c r="AE85" s="46">
        <v>30.355999999999998</v>
      </c>
      <c r="AF85" s="46">
        <v>52.985999999999997</v>
      </c>
      <c r="AG85" s="46">
        <v>58.290999999999997</v>
      </c>
      <c r="AH85" s="46">
        <v>41.533000000000008</v>
      </c>
      <c r="AI85" s="46">
        <v>37.606000000000002</v>
      </c>
      <c r="AJ85" s="46">
        <v>55.851000000000006</v>
      </c>
      <c r="AK85" s="46">
        <v>39.861000000000004</v>
      </c>
      <c r="AL85" s="46">
        <v>29.294999999999998</v>
      </c>
      <c r="AM85" s="46">
        <v>41.610999999999997</v>
      </c>
      <c r="AN85" s="46">
        <f t="shared" si="4"/>
        <v>43.105866666666671</v>
      </c>
      <c r="AO85" s="7">
        <f t="shared" si="3"/>
        <v>3.3158358974358979</v>
      </c>
    </row>
    <row r="86" spans="1:41" ht="15.6" x14ac:dyDescent="0.3">
      <c r="A86" s="5">
        <v>85</v>
      </c>
      <c r="B86" s="6" t="s">
        <v>65</v>
      </c>
      <c r="C86" s="12" t="s">
        <v>356</v>
      </c>
      <c r="D86" s="6" t="s">
        <v>30</v>
      </c>
      <c r="E86" s="6" t="s">
        <v>12</v>
      </c>
      <c r="F86" s="6" t="s">
        <v>13</v>
      </c>
      <c r="G86" s="6" t="s">
        <v>35</v>
      </c>
      <c r="H86" s="5">
        <v>20</v>
      </c>
      <c r="I86" s="74" t="s">
        <v>273</v>
      </c>
      <c r="J86" s="46">
        <v>345.58500000000004</v>
      </c>
      <c r="K86" s="46">
        <v>294.12599999999998</v>
      </c>
      <c r="L86" s="46">
        <v>276.16000000000003</v>
      </c>
      <c r="M86" s="46">
        <v>334.21900000000005</v>
      </c>
      <c r="N86" s="46">
        <v>374.8159999999998</v>
      </c>
      <c r="O86" s="46">
        <v>350.60499999999985</v>
      </c>
      <c r="P86" s="46">
        <v>314.53400000000005</v>
      </c>
      <c r="Q86" s="46">
        <v>322.35599999999988</v>
      </c>
      <c r="R86" s="46">
        <v>261.56300000000005</v>
      </c>
      <c r="S86" s="46">
        <v>313.27000000000004</v>
      </c>
      <c r="T86" s="46">
        <v>345.31599999999997</v>
      </c>
      <c r="U86" s="46">
        <v>297.13299999999998</v>
      </c>
      <c r="V86" s="46">
        <v>281.55199999999996</v>
      </c>
      <c r="W86" s="46">
        <v>321.00800000000015</v>
      </c>
      <c r="X86" s="46">
        <v>295.70400000000001</v>
      </c>
      <c r="Y86" s="46">
        <v>293.12599999999998</v>
      </c>
      <c r="Z86" s="46">
        <v>329.97599999999994</v>
      </c>
      <c r="AA86" s="46">
        <v>263.35500000000019</v>
      </c>
      <c r="AB86" s="46">
        <v>295.93500000000006</v>
      </c>
      <c r="AC86" s="46">
        <v>308.9020000000001</v>
      </c>
      <c r="AD86" s="46">
        <v>301.61900000000009</v>
      </c>
      <c r="AE86" s="46">
        <v>292.07100000000014</v>
      </c>
      <c r="AF86" s="46">
        <v>287.46000000000009</v>
      </c>
      <c r="AG86" s="46">
        <v>298.34199999999998</v>
      </c>
      <c r="AH86" s="46">
        <v>275.00300000000004</v>
      </c>
      <c r="AI86" s="46">
        <v>328.19699999999983</v>
      </c>
      <c r="AJ86" s="46">
        <v>323.1690000000001</v>
      </c>
      <c r="AK86" s="46">
        <v>343.416</v>
      </c>
      <c r="AL86" s="46">
        <v>318.12899999999996</v>
      </c>
      <c r="AM86" s="46">
        <v>279.05800000000005</v>
      </c>
      <c r="AN86" s="46">
        <f t="shared" si="4"/>
        <v>308.85683333333333</v>
      </c>
      <c r="AO86" s="7">
        <f t="shared" si="3"/>
        <v>15.442841666666666</v>
      </c>
    </row>
    <row r="87" spans="1:41" x14ac:dyDescent="0.3">
      <c r="A87" s="5">
        <v>86</v>
      </c>
      <c r="B87" s="6" t="s">
        <v>65</v>
      </c>
      <c r="C87" s="12" t="s">
        <v>228</v>
      </c>
      <c r="D87" s="6" t="s">
        <v>30</v>
      </c>
      <c r="E87" s="6" t="s">
        <v>12</v>
      </c>
      <c r="F87" s="6" t="s">
        <v>13</v>
      </c>
      <c r="G87" s="6" t="s">
        <v>35</v>
      </c>
      <c r="H87" s="5">
        <v>1</v>
      </c>
      <c r="I87" s="67" t="s">
        <v>272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45">
        <v>0</v>
      </c>
      <c r="S87" s="45">
        <v>0</v>
      </c>
      <c r="T87" s="45">
        <v>0</v>
      </c>
      <c r="U87" s="45">
        <v>0</v>
      </c>
      <c r="V87" s="45">
        <v>0</v>
      </c>
      <c r="W87" s="45">
        <v>0</v>
      </c>
      <c r="X87" s="45">
        <v>0</v>
      </c>
      <c r="Y87" s="45">
        <v>0</v>
      </c>
      <c r="Z87" s="45">
        <v>0</v>
      </c>
      <c r="AA87" s="45">
        <v>0</v>
      </c>
      <c r="AB87" s="45">
        <v>0</v>
      </c>
      <c r="AC87" s="45">
        <v>0</v>
      </c>
      <c r="AD87" s="45">
        <v>0</v>
      </c>
      <c r="AE87" s="45">
        <v>0</v>
      </c>
      <c r="AF87" s="45">
        <v>0</v>
      </c>
      <c r="AG87" s="45">
        <v>0</v>
      </c>
      <c r="AH87" s="45">
        <v>0</v>
      </c>
      <c r="AI87" s="45">
        <v>0</v>
      </c>
      <c r="AJ87" s="45">
        <v>0</v>
      </c>
      <c r="AK87" s="45">
        <v>0</v>
      </c>
      <c r="AL87" s="45">
        <v>0</v>
      </c>
      <c r="AM87" s="45">
        <v>0</v>
      </c>
      <c r="AN87" s="46">
        <f t="shared" si="4"/>
        <v>0</v>
      </c>
      <c r="AO87" s="7">
        <f t="shared" si="3"/>
        <v>0</v>
      </c>
    </row>
    <row r="88" spans="1:41" x14ac:dyDescent="0.3">
      <c r="A88" s="5">
        <v>87</v>
      </c>
      <c r="B88" s="6" t="s">
        <v>65</v>
      </c>
      <c r="C88" s="12" t="s">
        <v>110</v>
      </c>
      <c r="D88" s="6" t="s">
        <v>30</v>
      </c>
      <c r="E88" s="6" t="s">
        <v>12</v>
      </c>
      <c r="F88" s="6" t="s">
        <v>13</v>
      </c>
      <c r="G88" s="6" t="s">
        <v>35</v>
      </c>
      <c r="H88" s="5">
        <v>1</v>
      </c>
      <c r="I88" s="67" t="s">
        <v>272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46">
        <v>0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6">
        <v>0</v>
      </c>
      <c r="AI88" s="46">
        <v>0</v>
      </c>
      <c r="AJ88" s="46">
        <v>0</v>
      </c>
      <c r="AK88" s="46">
        <v>0</v>
      </c>
      <c r="AL88" s="46">
        <v>0</v>
      </c>
      <c r="AM88" s="46">
        <v>0</v>
      </c>
      <c r="AN88" s="46">
        <f t="shared" si="4"/>
        <v>0</v>
      </c>
      <c r="AO88" s="7">
        <f t="shared" si="3"/>
        <v>0</v>
      </c>
    </row>
    <row r="89" spans="1:41" x14ac:dyDescent="0.3">
      <c r="A89" s="5">
        <v>88</v>
      </c>
      <c r="B89" s="6" t="s">
        <v>65</v>
      </c>
      <c r="C89" s="12" t="s">
        <v>229</v>
      </c>
      <c r="D89" s="6" t="s">
        <v>128</v>
      </c>
      <c r="E89" s="6" t="s">
        <v>12</v>
      </c>
      <c r="F89" s="6" t="s">
        <v>40</v>
      </c>
      <c r="G89" s="6" t="s">
        <v>35</v>
      </c>
      <c r="H89" s="5">
        <v>2</v>
      </c>
      <c r="I89" s="67" t="s">
        <v>160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v>0</v>
      </c>
      <c r="AN89" s="46">
        <f t="shared" si="4"/>
        <v>0</v>
      </c>
      <c r="AO89" s="7">
        <f t="shared" si="3"/>
        <v>0</v>
      </c>
    </row>
    <row r="90" spans="1:41" x14ac:dyDescent="0.3">
      <c r="A90" s="5">
        <v>89</v>
      </c>
      <c r="B90" s="6" t="s">
        <v>65</v>
      </c>
      <c r="C90" s="12" t="s">
        <v>230</v>
      </c>
      <c r="D90" s="6"/>
      <c r="E90" s="6" t="s">
        <v>130</v>
      </c>
      <c r="F90" s="6" t="s">
        <v>121</v>
      </c>
      <c r="G90" s="6" t="s">
        <v>35</v>
      </c>
      <c r="H90" s="5">
        <v>2</v>
      </c>
      <c r="I90" s="67" t="s">
        <v>160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v>0</v>
      </c>
      <c r="AN90" s="46">
        <f t="shared" si="4"/>
        <v>0</v>
      </c>
      <c r="AO90" s="7">
        <f t="shared" si="3"/>
        <v>0</v>
      </c>
    </row>
    <row r="91" spans="1:41" x14ac:dyDescent="0.3">
      <c r="A91" s="5">
        <v>90</v>
      </c>
      <c r="B91" s="6" t="s">
        <v>65</v>
      </c>
      <c r="C91" s="12" t="s">
        <v>231</v>
      </c>
      <c r="D91" s="6" t="s">
        <v>128</v>
      </c>
      <c r="E91" s="6" t="s">
        <v>19</v>
      </c>
      <c r="F91" s="6" t="s">
        <v>13</v>
      </c>
      <c r="G91" s="6" t="s">
        <v>35</v>
      </c>
      <c r="H91" s="5">
        <v>6</v>
      </c>
      <c r="I91" s="67" t="s">
        <v>160</v>
      </c>
      <c r="J91" s="46">
        <v>0</v>
      </c>
      <c r="K91" s="46">
        <v>32.106000000000002</v>
      </c>
      <c r="L91" s="46">
        <v>63.647000000000013</v>
      </c>
      <c r="M91" s="46">
        <v>39.654000000000003</v>
      </c>
      <c r="N91" s="46">
        <v>42.555999999999997</v>
      </c>
      <c r="O91" s="46">
        <v>60.941000000000003</v>
      </c>
      <c r="P91" s="46">
        <v>8.1780000000000008</v>
      </c>
      <c r="Q91" s="46">
        <v>11.576000000000001</v>
      </c>
      <c r="R91" s="46">
        <v>56.417999999999999</v>
      </c>
      <c r="S91" s="46">
        <v>82.926000000000002</v>
      </c>
      <c r="T91" s="46">
        <v>48.65</v>
      </c>
      <c r="U91" s="46">
        <v>65.061999999999998</v>
      </c>
      <c r="V91" s="46">
        <v>37.69</v>
      </c>
      <c r="W91" s="46">
        <v>7.1020000000000003</v>
      </c>
      <c r="X91" s="46">
        <v>0</v>
      </c>
      <c r="Y91" s="46">
        <v>11.579000000000001</v>
      </c>
      <c r="Z91" s="46">
        <v>54.165999999999997</v>
      </c>
      <c r="AA91" s="46">
        <v>75.150000000000006</v>
      </c>
      <c r="AB91" s="46">
        <v>71.01700000000001</v>
      </c>
      <c r="AC91" s="46">
        <v>65.515000000000001</v>
      </c>
      <c r="AD91" s="46">
        <v>5.9219999999999997</v>
      </c>
      <c r="AE91" s="46">
        <v>11.369</v>
      </c>
      <c r="AF91" s="46">
        <v>62.716000000000001</v>
      </c>
      <c r="AG91" s="46">
        <v>64.245999999999995</v>
      </c>
      <c r="AH91" s="46">
        <v>56.891999999999996</v>
      </c>
      <c r="AI91" s="46">
        <v>79.760000000000005</v>
      </c>
      <c r="AJ91" s="46">
        <v>79.091999999999999</v>
      </c>
      <c r="AK91" s="46">
        <v>9.2349999999999994</v>
      </c>
      <c r="AL91" s="46">
        <v>20.042000000000002</v>
      </c>
      <c r="AM91" s="46">
        <v>50.882000000000005</v>
      </c>
      <c r="AN91" s="46">
        <f t="shared" si="4"/>
        <v>42.469633333333334</v>
      </c>
      <c r="AO91" s="7">
        <f t="shared" si="3"/>
        <v>7.0782722222222221</v>
      </c>
    </row>
    <row r="92" spans="1:41" x14ac:dyDescent="0.3">
      <c r="A92" s="5">
        <v>91</v>
      </c>
      <c r="B92" s="6" t="s">
        <v>65</v>
      </c>
      <c r="C92" s="12" t="s">
        <v>231</v>
      </c>
      <c r="D92" s="6" t="s">
        <v>128</v>
      </c>
      <c r="E92" s="6" t="s">
        <v>19</v>
      </c>
      <c r="F92" s="6" t="s">
        <v>40</v>
      </c>
      <c r="G92" s="6" t="s">
        <v>35</v>
      </c>
      <c r="H92" s="5">
        <v>1</v>
      </c>
      <c r="I92" s="67" t="s">
        <v>160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0</v>
      </c>
      <c r="U92" s="51">
        <v>0</v>
      </c>
      <c r="V92" s="51">
        <v>0</v>
      </c>
      <c r="W92" s="51">
        <v>0</v>
      </c>
      <c r="X92" s="51">
        <v>0</v>
      </c>
      <c r="Y92" s="51">
        <v>0</v>
      </c>
      <c r="Z92" s="51">
        <v>0</v>
      </c>
      <c r="AA92" s="51">
        <v>0</v>
      </c>
      <c r="AB92" s="51">
        <v>0</v>
      </c>
      <c r="AC92" s="51">
        <v>0</v>
      </c>
      <c r="AD92" s="51">
        <v>0</v>
      </c>
      <c r="AE92" s="51">
        <v>0</v>
      </c>
      <c r="AF92" s="51">
        <v>0</v>
      </c>
      <c r="AG92" s="51">
        <v>0</v>
      </c>
      <c r="AH92" s="46">
        <v>0</v>
      </c>
      <c r="AI92" s="46">
        <v>0</v>
      </c>
      <c r="AJ92" s="51">
        <v>0</v>
      </c>
      <c r="AK92" s="51">
        <v>0</v>
      </c>
      <c r="AL92" s="51">
        <v>0</v>
      </c>
      <c r="AM92" s="51">
        <v>0</v>
      </c>
      <c r="AN92" s="46">
        <f t="shared" si="4"/>
        <v>0</v>
      </c>
      <c r="AO92" s="7">
        <f t="shared" si="3"/>
        <v>0</v>
      </c>
    </row>
    <row r="93" spans="1:41" ht="15.6" x14ac:dyDescent="0.3">
      <c r="A93" s="5">
        <v>92</v>
      </c>
      <c r="B93" s="6" t="s">
        <v>65</v>
      </c>
      <c r="C93" s="12" t="s">
        <v>232</v>
      </c>
      <c r="D93" s="6" t="s">
        <v>128</v>
      </c>
      <c r="E93" s="6" t="s">
        <v>12</v>
      </c>
      <c r="F93" s="6" t="s">
        <v>121</v>
      </c>
      <c r="G93" s="6" t="s">
        <v>35</v>
      </c>
      <c r="H93" s="5">
        <v>20</v>
      </c>
      <c r="I93" s="74" t="s">
        <v>273</v>
      </c>
      <c r="J93" s="46">
        <v>171.04400000000001</v>
      </c>
      <c r="K93" s="46">
        <v>189.82500000000002</v>
      </c>
      <c r="L93" s="46">
        <v>173.01900000000003</v>
      </c>
      <c r="M93" s="46">
        <v>188.25799999999998</v>
      </c>
      <c r="N93" s="46">
        <v>180.69099999999997</v>
      </c>
      <c r="O93" s="46">
        <v>166.85999999999999</v>
      </c>
      <c r="P93" s="46">
        <v>191.70700000000008</v>
      </c>
      <c r="Q93" s="46">
        <v>213.042</v>
      </c>
      <c r="R93" s="46">
        <v>196.24199999999999</v>
      </c>
      <c r="S93" s="46">
        <v>224.53199999999995</v>
      </c>
      <c r="T93" s="46">
        <v>245.57699999999994</v>
      </c>
      <c r="U93" s="46">
        <v>227.56399999999999</v>
      </c>
      <c r="V93" s="46">
        <v>199.65800000000002</v>
      </c>
      <c r="W93" s="46">
        <v>168.19900000000004</v>
      </c>
      <c r="X93" s="46">
        <v>178.17599999999996</v>
      </c>
      <c r="Y93" s="46">
        <v>138.86400000000003</v>
      </c>
      <c r="Z93" s="46">
        <v>197.76900000000001</v>
      </c>
      <c r="AA93" s="46">
        <v>243.39799999999994</v>
      </c>
      <c r="AB93" s="46">
        <v>247.52799999999993</v>
      </c>
      <c r="AC93" s="46">
        <v>190.16399999999996</v>
      </c>
      <c r="AD93" s="46">
        <v>197.04699999999997</v>
      </c>
      <c r="AE93" s="46">
        <v>195.75800000000001</v>
      </c>
      <c r="AF93" s="46">
        <v>242.14099999999999</v>
      </c>
      <c r="AG93" s="46">
        <v>197.54500000000002</v>
      </c>
      <c r="AH93" s="46">
        <v>172.23</v>
      </c>
      <c r="AI93" s="46">
        <v>190.47</v>
      </c>
      <c r="AJ93" s="46">
        <v>216.78299999999993</v>
      </c>
      <c r="AK93" s="46">
        <v>229.13299999999998</v>
      </c>
      <c r="AL93" s="46">
        <v>172.44299999999998</v>
      </c>
      <c r="AM93" s="46">
        <v>215.60399999999993</v>
      </c>
      <c r="AN93" s="46">
        <f t="shared" si="4"/>
        <v>198.70903333333328</v>
      </c>
      <c r="AO93" s="7">
        <f t="shared" si="3"/>
        <v>9.9354516666666637</v>
      </c>
    </row>
    <row r="94" spans="1:41" ht="15.6" x14ac:dyDescent="0.3">
      <c r="A94" s="5">
        <v>93</v>
      </c>
      <c r="B94" s="6" t="s">
        <v>65</v>
      </c>
      <c r="C94" s="12" t="s">
        <v>254</v>
      </c>
      <c r="D94" s="6" t="s">
        <v>128</v>
      </c>
      <c r="E94" s="6" t="s">
        <v>12</v>
      </c>
      <c r="F94" s="6" t="s">
        <v>121</v>
      </c>
      <c r="G94" s="6" t="s">
        <v>35</v>
      </c>
      <c r="H94" s="5">
        <v>10</v>
      </c>
      <c r="I94" s="74" t="s">
        <v>273</v>
      </c>
      <c r="J94" s="46">
        <v>187.73900000000003</v>
      </c>
      <c r="K94" s="46">
        <v>212.52999999999994</v>
      </c>
      <c r="L94" s="46">
        <v>190.10700000000003</v>
      </c>
      <c r="M94" s="46">
        <v>178.38599999999997</v>
      </c>
      <c r="N94" s="46">
        <v>198.179</v>
      </c>
      <c r="O94" s="46">
        <v>154.31900000000007</v>
      </c>
      <c r="P94" s="46">
        <v>196.18</v>
      </c>
      <c r="Q94" s="46">
        <v>187.03999999999996</v>
      </c>
      <c r="R94" s="46">
        <v>169.33100000000002</v>
      </c>
      <c r="S94" s="46">
        <v>202.58</v>
      </c>
      <c r="T94" s="46">
        <v>195.11600000000004</v>
      </c>
      <c r="U94" s="46">
        <v>199.39</v>
      </c>
      <c r="V94" s="46">
        <v>181.34200000000004</v>
      </c>
      <c r="W94" s="46">
        <v>118.529</v>
      </c>
      <c r="X94" s="46">
        <v>157.35999999999999</v>
      </c>
      <c r="Y94" s="46">
        <v>199.49400000000006</v>
      </c>
      <c r="Z94" s="46">
        <v>200.452</v>
      </c>
      <c r="AA94" s="46">
        <v>219.37800000000001</v>
      </c>
      <c r="AB94" s="46">
        <v>191.87000000000003</v>
      </c>
      <c r="AC94" s="46">
        <v>204.33199999999994</v>
      </c>
      <c r="AD94" s="46">
        <v>203.68600000000001</v>
      </c>
      <c r="AE94" s="46">
        <v>218.10199999999998</v>
      </c>
      <c r="AF94" s="46">
        <v>244.88500000000002</v>
      </c>
      <c r="AG94" s="46">
        <v>202.25700000000003</v>
      </c>
      <c r="AH94" s="46">
        <v>228.05100000000004</v>
      </c>
      <c r="AI94" s="46">
        <v>245.88200000000006</v>
      </c>
      <c r="AJ94" s="46">
        <v>218.84</v>
      </c>
      <c r="AK94" s="46">
        <v>176.58</v>
      </c>
      <c r="AL94" s="46">
        <v>155.36199999999999</v>
      </c>
      <c r="AM94" s="46">
        <v>180.52600000000004</v>
      </c>
      <c r="AN94" s="46">
        <f t="shared" si="4"/>
        <v>193.92750000000007</v>
      </c>
      <c r="AO94" s="7">
        <f t="shared" si="3"/>
        <v>19.392750000000007</v>
      </c>
    </row>
    <row r="95" spans="1:41" x14ac:dyDescent="0.3">
      <c r="A95" s="5">
        <v>94</v>
      </c>
      <c r="B95" s="6" t="s">
        <v>65</v>
      </c>
      <c r="C95" s="12" t="s">
        <v>233</v>
      </c>
      <c r="D95" s="6" t="s">
        <v>128</v>
      </c>
      <c r="E95" s="6" t="s">
        <v>12</v>
      </c>
      <c r="F95" s="6" t="s">
        <v>121</v>
      </c>
      <c r="G95" s="6" t="s">
        <v>35</v>
      </c>
      <c r="H95" s="5">
        <v>4</v>
      </c>
      <c r="I95" s="67" t="s">
        <v>272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f t="shared" si="4"/>
        <v>0</v>
      </c>
      <c r="AO95" s="7">
        <f t="shared" si="3"/>
        <v>0</v>
      </c>
    </row>
    <row r="96" spans="1:41" x14ac:dyDescent="0.3">
      <c r="A96" s="5">
        <v>95</v>
      </c>
      <c r="B96" s="6" t="s">
        <v>65</v>
      </c>
      <c r="C96" s="12" t="s">
        <v>233</v>
      </c>
      <c r="D96" s="6" t="s">
        <v>128</v>
      </c>
      <c r="E96" s="6" t="s">
        <v>12</v>
      </c>
      <c r="F96" s="6" t="s">
        <v>40</v>
      </c>
      <c r="G96" s="6" t="s">
        <v>35</v>
      </c>
      <c r="H96" s="5">
        <v>2</v>
      </c>
      <c r="I96" s="67" t="s">
        <v>272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0</v>
      </c>
      <c r="AL96" s="46">
        <v>0</v>
      </c>
      <c r="AM96" s="46">
        <v>0</v>
      </c>
      <c r="AN96" s="46">
        <f t="shared" si="4"/>
        <v>0</v>
      </c>
      <c r="AO96" s="7">
        <f t="shared" si="3"/>
        <v>0</v>
      </c>
    </row>
    <row r="97" spans="1:41" x14ac:dyDescent="0.3">
      <c r="A97" s="5">
        <v>96</v>
      </c>
      <c r="B97" s="6" t="s">
        <v>65</v>
      </c>
      <c r="C97" s="12" t="s">
        <v>442</v>
      </c>
      <c r="D97" s="6" t="s">
        <v>236</v>
      </c>
      <c r="E97" s="6" t="s">
        <v>12</v>
      </c>
      <c r="F97" s="6" t="s">
        <v>121</v>
      </c>
      <c r="G97" s="6" t="s">
        <v>35</v>
      </c>
      <c r="H97" s="5">
        <v>2</v>
      </c>
      <c r="I97" s="67" t="s">
        <v>160</v>
      </c>
      <c r="J97" s="46">
        <v>0</v>
      </c>
      <c r="K97" s="46">
        <v>8.6630000000000003</v>
      </c>
      <c r="L97" s="46">
        <v>11.092000000000001</v>
      </c>
      <c r="M97" s="46">
        <v>8.2279999999999998</v>
      </c>
      <c r="N97" s="46">
        <v>10.676</v>
      </c>
      <c r="O97" s="46">
        <v>8.9480000000000004</v>
      </c>
      <c r="P97" s="46">
        <v>11.771000000000001</v>
      </c>
      <c r="Q97" s="46">
        <v>16.64</v>
      </c>
      <c r="R97" s="46">
        <v>0</v>
      </c>
      <c r="S97" s="46">
        <v>20.195</v>
      </c>
      <c r="T97" s="46">
        <v>0</v>
      </c>
      <c r="U97" s="46">
        <v>8.9359999999999999</v>
      </c>
      <c r="V97" s="46">
        <v>9.2919999999999998</v>
      </c>
      <c r="W97" s="46">
        <v>9.9710000000000001</v>
      </c>
      <c r="X97" s="46">
        <v>10.917</v>
      </c>
      <c r="Y97" s="46">
        <v>9.3249999999999993</v>
      </c>
      <c r="Z97" s="46">
        <v>11.878</v>
      </c>
      <c r="AA97" s="46">
        <v>0.122</v>
      </c>
      <c r="AB97" s="46">
        <v>19.675000000000001</v>
      </c>
      <c r="AC97" s="46">
        <v>0</v>
      </c>
      <c r="AD97" s="46">
        <v>8.5500000000000007</v>
      </c>
      <c r="AE97" s="46">
        <v>10.363</v>
      </c>
      <c r="AF97" s="46">
        <v>0</v>
      </c>
      <c r="AG97" s="46">
        <v>10.08</v>
      </c>
      <c r="AH97" s="46">
        <v>19.545000000000002</v>
      </c>
      <c r="AI97" s="46">
        <v>4.6189999999999998</v>
      </c>
      <c r="AJ97" s="46">
        <v>0</v>
      </c>
      <c r="AK97" s="46">
        <v>11.898999999999999</v>
      </c>
      <c r="AL97" s="46">
        <v>12.368</v>
      </c>
      <c r="AM97" s="46">
        <v>8.6560000000000006</v>
      </c>
      <c r="AN97" s="46">
        <f t="shared" si="4"/>
        <v>8.7469666666666672</v>
      </c>
      <c r="AO97" s="7">
        <f t="shared" si="3"/>
        <v>4.3734833333333336</v>
      </c>
    </row>
    <row r="98" spans="1:41" x14ac:dyDescent="0.3">
      <c r="A98" s="5">
        <v>97</v>
      </c>
      <c r="B98" s="6" t="s">
        <v>65</v>
      </c>
      <c r="C98" s="12" t="s">
        <v>252</v>
      </c>
      <c r="D98" s="6" t="s">
        <v>236</v>
      </c>
      <c r="E98" s="6" t="s">
        <v>12</v>
      </c>
      <c r="F98" s="6" t="s">
        <v>121</v>
      </c>
      <c r="G98" s="6" t="s">
        <v>35</v>
      </c>
      <c r="H98" s="5">
        <v>3</v>
      </c>
      <c r="I98" s="67" t="s">
        <v>160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v>0</v>
      </c>
      <c r="AN98" s="46">
        <f t="shared" si="4"/>
        <v>0</v>
      </c>
      <c r="AO98" s="7">
        <f t="shared" ref="AO98:AO118" si="5">AN98/H98</f>
        <v>0</v>
      </c>
    </row>
    <row r="99" spans="1:41" x14ac:dyDescent="0.3">
      <c r="A99" s="5">
        <v>98</v>
      </c>
      <c r="B99" s="6" t="s">
        <v>65</v>
      </c>
      <c r="C99" s="12" t="s">
        <v>238</v>
      </c>
      <c r="D99" s="6" t="s">
        <v>236</v>
      </c>
      <c r="E99" s="6" t="s">
        <v>12</v>
      </c>
      <c r="F99" s="6" t="s">
        <v>121</v>
      </c>
      <c r="G99" s="6" t="s">
        <v>35</v>
      </c>
      <c r="H99" s="5">
        <v>3</v>
      </c>
      <c r="I99" s="67" t="s">
        <v>160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f t="shared" si="4"/>
        <v>0</v>
      </c>
      <c r="AO99" s="7">
        <f t="shared" si="5"/>
        <v>0</v>
      </c>
    </row>
    <row r="100" spans="1:41" x14ac:dyDescent="0.3">
      <c r="A100" s="5">
        <v>99</v>
      </c>
      <c r="B100" s="6" t="s">
        <v>65</v>
      </c>
      <c r="C100" s="12" t="s">
        <v>238</v>
      </c>
      <c r="D100" s="6" t="s">
        <v>236</v>
      </c>
      <c r="E100" s="6" t="s">
        <v>12</v>
      </c>
      <c r="F100" s="6" t="s">
        <v>95</v>
      </c>
      <c r="G100" s="6" t="s">
        <v>80</v>
      </c>
      <c r="H100" s="5">
        <v>1</v>
      </c>
      <c r="I100" s="67" t="s">
        <v>160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0</v>
      </c>
      <c r="AN100" s="46">
        <f t="shared" si="4"/>
        <v>0</v>
      </c>
      <c r="AO100" s="7">
        <f t="shared" si="5"/>
        <v>0</v>
      </c>
    </row>
    <row r="101" spans="1:41" x14ac:dyDescent="0.3">
      <c r="A101" s="5">
        <v>100</v>
      </c>
      <c r="B101" s="6" t="s">
        <v>65</v>
      </c>
      <c r="C101" s="12" t="s">
        <v>235</v>
      </c>
      <c r="D101" s="6" t="s">
        <v>236</v>
      </c>
      <c r="E101" s="6" t="s">
        <v>12</v>
      </c>
      <c r="F101" s="6" t="s">
        <v>121</v>
      </c>
      <c r="G101" s="6" t="s">
        <v>35</v>
      </c>
      <c r="H101" s="5">
        <v>3</v>
      </c>
      <c r="I101" s="67" t="s">
        <v>160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f t="shared" si="4"/>
        <v>0</v>
      </c>
      <c r="AO101" s="7">
        <f t="shared" si="5"/>
        <v>0</v>
      </c>
    </row>
    <row r="102" spans="1:41" x14ac:dyDescent="0.3">
      <c r="A102" s="5">
        <v>101</v>
      </c>
      <c r="B102" s="6" t="s">
        <v>65</v>
      </c>
      <c r="C102" s="12" t="s">
        <v>237</v>
      </c>
      <c r="D102" s="6" t="s">
        <v>236</v>
      </c>
      <c r="E102" s="6" t="s">
        <v>12</v>
      </c>
      <c r="F102" s="6" t="s">
        <v>121</v>
      </c>
      <c r="G102" s="6" t="s">
        <v>35</v>
      </c>
      <c r="H102" s="5">
        <v>3</v>
      </c>
      <c r="I102" s="67" t="s">
        <v>160</v>
      </c>
      <c r="J102" s="46">
        <v>13.009999999999998</v>
      </c>
      <c r="K102" s="46">
        <v>4.8970000000000002</v>
      </c>
      <c r="L102" s="46">
        <v>5.85</v>
      </c>
      <c r="M102" s="46">
        <v>13.92</v>
      </c>
      <c r="N102" s="46">
        <v>11.186</v>
      </c>
      <c r="O102" s="46">
        <v>12.585999999999999</v>
      </c>
      <c r="P102" s="46">
        <v>9.7899999999999991</v>
      </c>
      <c r="Q102" s="46">
        <v>2.7119999999999997</v>
      </c>
      <c r="R102" s="46">
        <v>2.5230000000000001</v>
      </c>
      <c r="S102" s="46">
        <v>18.768000000000001</v>
      </c>
      <c r="T102" s="46">
        <v>18.402000000000001</v>
      </c>
      <c r="U102" s="46">
        <v>7.2060000000000004</v>
      </c>
      <c r="V102" s="46">
        <v>7.45</v>
      </c>
      <c r="W102" s="46">
        <v>10.321</v>
      </c>
      <c r="X102" s="46">
        <v>14.873000000000001</v>
      </c>
      <c r="Y102" s="46">
        <v>0</v>
      </c>
      <c r="Z102" s="46">
        <v>16.98</v>
      </c>
      <c r="AA102" s="46">
        <v>5.7389999999999999</v>
      </c>
      <c r="AB102" s="46">
        <v>12.91</v>
      </c>
      <c r="AC102" s="46">
        <v>8.3390000000000004</v>
      </c>
      <c r="AD102" s="46">
        <v>16.070999999999998</v>
      </c>
      <c r="AE102" s="46">
        <v>0</v>
      </c>
      <c r="AF102" s="46">
        <v>13.984</v>
      </c>
      <c r="AG102" s="46">
        <v>10.667999999999999</v>
      </c>
      <c r="AH102" s="46">
        <v>6.6070000000000002</v>
      </c>
      <c r="AI102" s="46">
        <v>11.411000000000001</v>
      </c>
      <c r="AJ102" s="46">
        <v>8.4540000000000006</v>
      </c>
      <c r="AK102" s="46">
        <v>0</v>
      </c>
      <c r="AL102" s="46">
        <v>5.8490000000000002</v>
      </c>
      <c r="AM102" s="46">
        <v>1.4379999999999999</v>
      </c>
      <c r="AN102" s="46">
        <f t="shared" si="4"/>
        <v>9.0647999999999982</v>
      </c>
      <c r="AO102" s="7">
        <f t="shared" si="5"/>
        <v>3.0215999999999994</v>
      </c>
    </row>
    <row r="103" spans="1:41" x14ac:dyDescent="0.3">
      <c r="A103" s="5">
        <v>102</v>
      </c>
      <c r="B103" s="6" t="s">
        <v>65</v>
      </c>
      <c r="C103" s="12" t="s">
        <v>245</v>
      </c>
      <c r="D103" s="6" t="s">
        <v>236</v>
      </c>
      <c r="E103" s="6" t="s">
        <v>12</v>
      </c>
      <c r="F103" s="6" t="s">
        <v>121</v>
      </c>
      <c r="G103" s="6" t="s">
        <v>35</v>
      </c>
      <c r="H103" s="5">
        <v>3</v>
      </c>
      <c r="I103" s="67" t="s">
        <v>160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0</v>
      </c>
      <c r="AN103" s="46">
        <f t="shared" si="4"/>
        <v>0</v>
      </c>
      <c r="AO103" s="7">
        <f t="shared" si="5"/>
        <v>0</v>
      </c>
    </row>
    <row r="104" spans="1:41" x14ac:dyDescent="0.3">
      <c r="A104" s="5">
        <v>103</v>
      </c>
      <c r="B104" s="6" t="s">
        <v>65</v>
      </c>
      <c r="C104" s="12" t="s">
        <v>253</v>
      </c>
      <c r="D104" s="6" t="s">
        <v>236</v>
      </c>
      <c r="E104" s="6" t="s">
        <v>12</v>
      </c>
      <c r="F104" s="6" t="s">
        <v>121</v>
      </c>
      <c r="G104" s="6" t="s">
        <v>35</v>
      </c>
      <c r="H104" s="5">
        <v>3</v>
      </c>
      <c r="I104" s="67" t="s">
        <v>160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f t="shared" si="4"/>
        <v>0</v>
      </c>
      <c r="AO104" s="7">
        <f t="shared" si="5"/>
        <v>0</v>
      </c>
    </row>
    <row r="105" spans="1:41" x14ac:dyDescent="0.3">
      <c r="A105" s="5">
        <v>104</v>
      </c>
      <c r="B105" s="6" t="s">
        <v>65</v>
      </c>
      <c r="C105" s="12" t="s">
        <v>261</v>
      </c>
      <c r="D105" s="6" t="s">
        <v>236</v>
      </c>
      <c r="E105" s="6" t="s">
        <v>12</v>
      </c>
      <c r="F105" s="6" t="s">
        <v>121</v>
      </c>
      <c r="G105" s="6" t="s">
        <v>35</v>
      </c>
      <c r="H105" s="5">
        <v>16</v>
      </c>
      <c r="I105" s="67" t="s">
        <v>160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0</v>
      </c>
      <c r="AL105" s="46">
        <v>0</v>
      </c>
      <c r="AM105" s="46">
        <v>0</v>
      </c>
      <c r="AN105" s="46">
        <f t="shared" si="4"/>
        <v>0</v>
      </c>
      <c r="AO105" s="7">
        <f t="shared" si="5"/>
        <v>0</v>
      </c>
    </row>
    <row r="106" spans="1:41" ht="15.6" x14ac:dyDescent="0.3">
      <c r="A106" s="5">
        <v>105</v>
      </c>
      <c r="B106" s="6" t="s">
        <v>65</v>
      </c>
      <c r="C106" s="12" t="s">
        <v>298</v>
      </c>
      <c r="D106" s="6" t="s">
        <v>30</v>
      </c>
      <c r="E106" s="6" t="s">
        <v>12</v>
      </c>
      <c r="F106" s="6" t="s">
        <v>121</v>
      </c>
      <c r="G106" s="6" t="s">
        <v>35</v>
      </c>
      <c r="H106" s="5">
        <v>4</v>
      </c>
      <c r="I106" s="74" t="s">
        <v>273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1E-3</v>
      </c>
      <c r="T106" s="46">
        <v>1E-3</v>
      </c>
      <c r="U106" s="46">
        <v>1E-3</v>
      </c>
      <c r="V106" s="46">
        <v>1E-3</v>
      </c>
      <c r="W106" s="46">
        <v>1E-3</v>
      </c>
      <c r="X106" s="46">
        <v>1E-3</v>
      </c>
      <c r="Y106" s="46">
        <v>9.0640000000000001</v>
      </c>
      <c r="Z106" s="46">
        <v>12.048</v>
      </c>
      <c r="AA106" s="46">
        <v>0</v>
      </c>
      <c r="AB106" s="46">
        <v>0</v>
      </c>
      <c r="AC106" s="46">
        <v>1.804</v>
      </c>
      <c r="AD106" s="46">
        <v>1.512</v>
      </c>
      <c r="AE106" s="46">
        <v>0</v>
      </c>
      <c r="AF106" s="46">
        <v>3.0000000000000001E-3</v>
      </c>
      <c r="AG106" s="46">
        <v>1.8139999999999998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v>0</v>
      </c>
      <c r="AN106" s="46">
        <f t="shared" si="4"/>
        <v>0.87503333333333333</v>
      </c>
      <c r="AO106" s="7">
        <f t="shared" si="5"/>
        <v>0.21875833333333333</v>
      </c>
    </row>
    <row r="107" spans="1:41" ht="15.6" x14ac:dyDescent="0.3">
      <c r="A107" s="5">
        <v>106</v>
      </c>
      <c r="B107" s="6" t="s">
        <v>65</v>
      </c>
      <c r="C107" s="12" t="s">
        <v>405</v>
      </c>
      <c r="D107" s="6" t="s">
        <v>128</v>
      </c>
      <c r="E107" s="6" t="s">
        <v>12</v>
      </c>
      <c r="F107" s="6" t="s">
        <v>121</v>
      </c>
      <c r="G107" s="6" t="s">
        <v>35</v>
      </c>
      <c r="H107" s="5">
        <v>4</v>
      </c>
      <c r="I107" s="74" t="s">
        <v>273</v>
      </c>
      <c r="J107" s="46">
        <v>38.053999999999995</v>
      </c>
      <c r="K107" s="46">
        <v>59.119000000000007</v>
      </c>
      <c r="L107" s="46">
        <v>76.027000000000001</v>
      </c>
      <c r="M107" s="46">
        <v>47.798000000000002</v>
      </c>
      <c r="N107" s="46">
        <v>59.23899999999999</v>
      </c>
      <c r="O107" s="46">
        <v>47.055999999999997</v>
      </c>
      <c r="P107" s="46">
        <v>56.402999999999999</v>
      </c>
      <c r="Q107" s="46">
        <v>69.572000000000003</v>
      </c>
      <c r="R107" s="46">
        <v>68.090999999999994</v>
      </c>
      <c r="S107" s="46">
        <v>47.136999999999993</v>
      </c>
      <c r="T107" s="46">
        <v>44.258000000000003</v>
      </c>
      <c r="U107" s="46">
        <v>53.529000000000003</v>
      </c>
      <c r="V107" s="46">
        <v>61.259</v>
      </c>
      <c r="W107" s="46">
        <v>54.095000000000006</v>
      </c>
      <c r="X107" s="46">
        <v>56.370999999999995</v>
      </c>
      <c r="Y107" s="46">
        <v>50.99</v>
      </c>
      <c r="Z107" s="46">
        <v>63.897000000000006</v>
      </c>
      <c r="AA107" s="46">
        <v>46.227000000000004</v>
      </c>
      <c r="AB107" s="46">
        <v>47.95</v>
      </c>
      <c r="AC107" s="46">
        <v>13.46</v>
      </c>
      <c r="AD107" s="46">
        <v>76.185000000000016</v>
      </c>
      <c r="AE107" s="46">
        <v>55.330000000000005</v>
      </c>
      <c r="AF107" s="46">
        <v>57.138999999999989</v>
      </c>
      <c r="AG107" s="46">
        <v>53.711999999999996</v>
      </c>
      <c r="AH107" s="46">
        <v>63.907999999999994</v>
      </c>
      <c r="AI107" s="46">
        <v>47.641999999999996</v>
      </c>
      <c r="AJ107" s="46">
        <v>61.646999999999998</v>
      </c>
      <c r="AK107" s="46">
        <v>57.863</v>
      </c>
      <c r="AL107" s="46">
        <v>71.460000000000008</v>
      </c>
      <c r="AM107" s="46">
        <v>62.776000000000003</v>
      </c>
      <c r="AN107" s="46">
        <f t="shared" si="4"/>
        <v>55.606466666666655</v>
      </c>
      <c r="AO107" s="7">
        <f t="shared" si="5"/>
        <v>13.901616666666664</v>
      </c>
    </row>
    <row r="108" spans="1:41" x14ac:dyDescent="0.3">
      <c r="A108" s="5">
        <v>107</v>
      </c>
      <c r="B108" s="6" t="s">
        <v>65</v>
      </c>
      <c r="C108" s="12" t="s">
        <v>406</v>
      </c>
      <c r="D108" s="6" t="s">
        <v>407</v>
      </c>
      <c r="E108" s="6" t="s">
        <v>19</v>
      </c>
      <c r="F108" s="6" t="s">
        <v>121</v>
      </c>
      <c r="G108" s="6" t="s">
        <v>35</v>
      </c>
      <c r="H108" s="5">
        <v>2</v>
      </c>
      <c r="I108" s="67" t="s">
        <v>160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14.619000000000002</v>
      </c>
      <c r="AN108" s="46">
        <f t="shared" si="4"/>
        <v>0.48730000000000007</v>
      </c>
      <c r="AO108" s="7">
        <f t="shared" si="5"/>
        <v>0.24365000000000003</v>
      </c>
    </row>
    <row r="109" spans="1:41" x14ac:dyDescent="0.3">
      <c r="A109" s="5">
        <v>108</v>
      </c>
      <c r="B109" s="6" t="s">
        <v>65</v>
      </c>
      <c r="C109" s="12" t="s">
        <v>431</v>
      </c>
      <c r="D109" s="6" t="s">
        <v>432</v>
      </c>
      <c r="E109" s="6" t="s">
        <v>19</v>
      </c>
      <c r="F109" s="6" t="s">
        <v>121</v>
      </c>
      <c r="G109" s="6" t="s">
        <v>35</v>
      </c>
      <c r="H109" s="5">
        <v>2</v>
      </c>
      <c r="I109" s="67" t="s">
        <v>160</v>
      </c>
      <c r="J109" s="46">
        <v>0</v>
      </c>
      <c r="K109" s="46">
        <v>0</v>
      </c>
      <c r="L109" s="46">
        <v>22.314999999999998</v>
      </c>
      <c r="M109" s="46">
        <v>0</v>
      </c>
      <c r="N109" s="46">
        <v>1E-3</v>
      </c>
      <c r="O109" s="46">
        <v>5.7460000000000004</v>
      </c>
      <c r="P109" s="46">
        <v>0</v>
      </c>
      <c r="Q109" s="46">
        <v>0</v>
      </c>
      <c r="R109" s="46">
        <v>20.027999999999999</v>
      </c>
      <c r="S109" s="46">
        <v>0</v>
      </c>
      <c r="T109" s="46">
        <v>25.433999999999997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7.4139999999999997</v>
      </c>
      <c r="AC109" s="46">
        <v>0</v>
      </c>
      <c r="AD109" s="46">
        <v>0</v>
      </c>
      <c r="AE109" s="46">
        <v>0</v>
      </c>
      <c r="AF109" s="46">
        <v>17.429000000000002</v>
      </c>
      <c r="AG109" s="46">
        <v>1.8720000000000001</v>
      </c>
      <c r="AH109" s="46">
        <v>19.786000000000001</v>
      </c>
      <c r="AI109" s="46">
        <v>0</v>
      </c>
      <c r="AJ109" s="46">
        <v>6.45</v>
      </c>
      <c r="AK109" s="46">
        <v>0</v>
      </c>
      <c r="AL109" s="46">
        <v>0</v>
      </c>
      <c r="AM109" s="46">
        <v>27.392000000000003</v>
      </c>
      <c r="AN109" s="46">
        <f t="shared" si="4"/>
        <v>5.1289000000000007</v>
      </c>
      <c r="AO109" s="7">
        <f t="shared" si="5"/>
        <v>2.5644500000000003</v>
      </c>
    </row>
    <row r="110" spans="1:41" x14ac:dyDescent="0.3">
      <c r="A110" s="5">
        <v>109</v>
      </c>
      <c r="B110" s="6" t="s">
        <v>65</v>
      </c>
      <c r="C110" s="12" t="s">
        <v>435</v>
      </c>
      <c r="D110" s="6" t="s">
        <v>407</v>
      </c>
      <c r="E110" s="6" t="s">
        <v>19</v>
      </c>
      <c r="F110" s="6" t="s">
        <v>121</v>
      </c>
      <c r="G110" s="6" t="s">
        <v>35</v>
      </c>
      <c r="H110" s="5">
        <v>1</v>
      </c>
      <c r="I110" s="67" t="s">
        <v>160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v>0</v>
      </c>
      <c r="AN110" s="46">
        <f t="shared" si="4"/>
        <v>0</v>
      </c>
      <c r="AO110" s="7">
        <f t="shared" si="5"/>
        <v>0</v>
      </c>
    </row>
    <row r="111" spans="1:41" x14ac:dyDescent="0.3">
      <c r="A111" s="5">
        <v>110</v>
      </c>
      <c r="B111" s="6" t="s">
        <v>65</v>
      </c>
      <c r="C111" s="12" t="s">
        <v>458</v>
      </c>
      <c r="D111" s="6" t="s">
        <v>432</v>
      </c>
      <c r="E111" s="6" t="s">
        <v>19</v>
      </c>
      <c r="F111" s="6" t="s">
        <v>121</v>
      </c>
      <c r="G111" s="6" t="s">
        <v>35</v>
      </c>
      <c r="H111" s="5">
        <v>2</v>
      </c>
      <c r="I111" s="67" t="s">
        <v>160</v>
      </c>
      <c r="J111" s="46">
        <v>0</v>
      </c>
      <c r="K111" s="46">
        <v>0</v>
      </c>
      <c r="L111" s="46">
        <v>1.724</v>
      </c>
      <c r="M111" s="46">
        <v>0</v>
      </c>
      <c r="N111" s="46">
        <v>1.6990000000000001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f t="shared" si="4"/>
        <v>0.11410000000000001</v>
      </c>
      <c r="AO111" s="7">
        <f t="shared" si="5"/>
        <v>5.7050000000000003E-2</v>
      </c>
    </row>
    <row r="112" spans="1:41" x14ac:dyDescent="0.3">
      <c r="A112" s="5">
        <v>111</v>
      </c>
      <c r="B112" s="6" t="s">
        <v>65</v>
      </c>
      <c r="C112" s="39" t="s">
        <v>115</v>
      </c>
      <c r="D112" s="6" t="s">
        <v>113</v>
      </c>
      <c r="E112" s="6" t="s">
        <v>19</v>
      </c>
      <c r="F112" s="6" t="s">
        <v>116</v>
      </c>
      <c r="G112" s="6" t="s">
        <v>80</v>
      </c>
      <c r="H112" s="5">
        <v>1</v>
      </c>
      <c r="I112" s="67" t="s">
        <v>160</v>
      </c>
      <c r="J112" s="51">
        <v>0</v>
      </c>
      <c r="K112" s="51">
        <v>0</v>
      </c>
      <c r="L112" s="51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f t="shared" si="4"/>
        <v>0</v>
      </c>
      <c r="AO112" s="7">
        <f t="shared" si="5"/>
        <v>0</v>
      </c>
    </row>
    <row r="113" spans="1:41" x14ac:dyDescent="0.3">
      <c r="A113" s="5">
        <v>112</v>
      </c>
      <c r="B113" s="6" t="s">
        <v>65</v>
      </c>
      <c r="C113" s="39" t="s">
        <v>117</v>
      </c>
      <c r="D113" s="6" t="s">
        <v>113</v>
      </c>
      <c r="E113" s="6" t="s">
        <v>19</v>
      </c>
      <c r="F113" s="6" t="s">
        <v>116</v>
      </c>
      <c r="G113" s="6" t="s">
        <v>80</v>
      </c>
      <c r="H113" s="5">
        <v>1</v>
      </c>
      <c r="I113" s="67" t="s">
        <v>160</v>
      </c>
      <c r="J113" s="51">
        <v>0</v>
      </c>
      <c r="K113" s="51">
        <v>0</v>
      </c>
      <c r="L113" s="51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46">
        <v>0</v>
      </c>
      <c r="AM113" s="46">
        <v>0</v>
      </c>
      <c r="AN113" s="46">
        <f t="shared" si="4"/>
        <v>0</v>
      </c>
      <c r="AO113" s="7">
        <f t="shared" si="5"/>
        <v>0</v>
      </c>
    </row>
    <row r="114" spans="1:41" x14ac:dyDescent="0.3">
      <c r="A114" s="5">
        <v>113</v>
      </c>
      <c r="B114" s="6" t="s">
        <v>65</v>
      </c>
      <c r="C114" s="6" t="s">
        <v>66</v>
      </c>
      <c r="D114" s="6" t="s">
        <v>67</v>
      </c>
      <c r="E114" s="6" t="s">
        <v>12</v>
      </c>
      <c r="F114" s="6" t="s">
        <v>13</v>
      </c>
      <c r="G114" s="6" t="s">
        <v>14</v>
      </c>
      <c r="H114" s="5">
        <v>87</v>
      </c>
      <c r="I114" s="67" t="s">
        <v>160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0</v>
      </c>
      <c r="AM114" s="60">
        <v>0</v>
      </c>
      <c r="AN114" s="46">
        <f t="shared" si="4"/>
        <v>0</v>
      </c>
      <c r="AO114" s="7">
        <f t="shared" si="5"/>
        <v>0</v>
      </c>
    </row>
    <row r="115" spans="1:41" x14ac:dyDescent="0.3">
      <c r="A115" s="5">
        <v>114</v>
      </c>
      <c r="B115" s="6" t="s">
        <v>65</v>
      </c>
      <c r="C115" s="6" t="s">
        <v>70</v>
      </c>
      <c r="D115" s="6"/>
      <c r="E115" s="6" t="s">
        <v>12</v>
      </c>
      <c r="F115" s="6" t="s">
        <v>13</v>
      </c>
      <c r="G115" s="6" t="s">
        <v>14</v>
      </c>
      <c r="H115" s="5">
        <v>82</v>
      </c>
      <c r="I115" s="67" t="s">
        <v>160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46">
        <f t="shared" si="4"/>
        <v>0</v>
      </c>
      <c r="AO115" s="7">
        <f t="shared" si="5"/>
        <v>0</v>
      </c>
    </row>
    <row r="116" spans="1:41" x14ac:dyDescent="0.3">
      <c r="A116" s="5">
        <v>115</v>
      </c>
      <c r="B116" s="6" t="s">
        <v>65</v>
      </c>
      <c r="C116" s="6" t="s">
        <v>74</v>
      </c>
      <c r="D116" s="6" t="s">
        <v>30</v>
      </c>
      <c r="E116" s="6" t="s">
        <v>19</v>
      </c>
      <c r="F116" s="6" t="s">
        <v>13</v>
      </c>
      <c r="G116" s="6" t="s">
        <v>14</v>
      </c>
      <c r="H116" s="5">
        <v>2</v>
      </c>
      <c r="I116" s="67" t="s">
        <v>160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46">
        <f t="shared" si="4"/>
        <v>0</v>
      </c>
      <c r="AO116" s="7">
        <f t="shared" si="5"/>
        <v>0</v>
      </c>
    </row>
    <row r="117" spans="1:41" x14ac:dyDescent="0.3">
      <c r="A117" s="5">
        <v>116</v>
      </c>
      <c r="B117" s="6" t="s">
        <v>65</v>
      </c>
      <c r="C117" s="39" t="s">
        <v>122</v>
      </c>
      <c r="D117" s="6" t="s">
        <v>30</v>
      </c>
      <c r="E117" s="6" t="s">
        <v>19</v>
      </c>
      <c r="F117" s="6" t="s">
        <v>13</v>
      </c>
      <c r="G117" s="6" t="s">
        <v>14</v>
      </c>
      <c r="H117" s="5">
        <v>3</v>
      </c>
      <c r="I117" s="67" t="s">
        <v>160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46">
        <f t="shared" si="4"/>
        <v>0</v>
      </c>
      <c r="AO117" s="7">
        <f t="shared" si="5"/>
        <v>0</v>
      </c>
    </row>
    <row r="118" spans="1:41" x14ac:dyDescent="0.3">
      <c r="A118" s="5">
        <v>117</v>
      </c>
      <c r="B118" s="6" t="s">
        <v>65</v>
      </c>
      <c r="C118" s="39" t="s">
        <v>143</v>
      </c>
      <c r="D118" s="6" t="s">
        <v>128</v>
      </c>
      <c r="E118" s="6" t="s">
        <v>12</v>
      </c>
      <c r="F118" s="6" t="s">
        <v>121</v>
      </c>
      <c r="G118" s="6" t="s">
        <v>14</v>
      </c>
      <c r="H118" s="5">
        <v>0</v>
      </c>
      <c r="I118" s="67" t="s">
        <v>272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46">
        <f t="shared" si="4"/>
        <v>0</v>
      </c>
      <c r="AO118" s="7" t="e">
        <f t="shared" si="5"/>
        <v>#DIV/0!</v>
      </c>
    </row>
    <row r="119" spans="1:41" x14ac:dyDescent="0.3">
      <c r="A119" s="5"/>
      <c r="B119" s="6"/>
      <c r="C119" s="39"/>
      <c r="D119" s="6"/>
      <c r="E119" s="6"/>
      <c r="F119" s="6"/>
      <c r="G119" s="6"/>
      <c r="H119" s="5"/>
      <c r="I119" s="67"/>
      <c r="J119" s="45"/>
      <c r="K119" s="45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7"/>
    </row>
    <row r="120" spans="1:41" x14ac:dyDescent="0.3">
      <c r="A120" s="5"/>
      <c r="B120" s="6"/>
      <c r="C120" s="14"/>
      <c r="D120" s="14"/>
      <c r="E120" s="13"/>
      <c r="F120" s="13"/>
      <c r="G120" s="13" t="s">
        <v>79</v>
      </c>
      <c r="H120" s="52">
        <f>SUM(H2:H118)</f>
        <v>745</v>
      </c>
      <c r="I120" s="52"/>
      <c r="J120" s="44">
        <f t="shared" ref="J120:AM120" si="6">SUM(J2:J118)</f>
        <v>4738.2780000000002</v>
      </c>
      <c r="K120" s="44">
        <f t="shared" si="6"/>
        <v>5282.7329999999993</v>
      </c>
      <c r="L120" s="44">
        <f t="shared" si="6"/>
        <v>5417.6400000000012</v>
      </c>
      <c r="M120" s="44">
        <f t="shared" si="6"/>
        <v>5399.0879999999979</v>
      </c>
      <c r="N120" s="44">
        <f t="shared" si="6"/>
        <v>5753.1789999999992</v>
      </c>
      <c r="O120" s="44">
        <f t="shared" si="6"/>
        <v>5566.2749999999987</v>
      </c>
      <c r="P120" s="44">
        <f t="shared" si="6"/>
        <v>4661.2760000000007</v>
      </c>
      <c r="Q120" s="44">
        <f t="shared" si="6"/>
        <v>4517.3130000000019</v>
      </c>
      <c r="R120" s="44">
        <f t="shared" si="6"/>
        <v>5070.6950000000015</v>
      </c>
      <c r="S120" s="44">
        <f t="shared" si="6"/>
        <v>5669.4630000000016</v>
      </c>
      <c r="T120" s="44">
        <f t="shared" si="6"/>
        <v>5926.313000000001</v>
      </c>
      <c r="U120" s="44">
        <f t="shared" si="6"/>
        <v>5493.2449999999999</v>
      </c>
      <c r="V120" s="44">
        <f t="shared" si="6"/>
        <v>5509.0429999999988</v>
      </c>
      <c r="W120" s="44">
        <f t="shared" si="6"/>
        <v>5099.8989999999985</v>
      </c>
      <c r="X120" s="44">
        <f t="shared" si="6"/>
        <v>5374.6500000000005</v>
      </c>
      <c r="Y120" s="44">
        <f t="shared" si="6"/>
        <v>5531.9130000000005</v>
      </c>
      <c r="Z120" s="44">
        <f t="shared" si="6"/>
        <v>5432.7959999999985</v>
      </c>
      <c r="AA120" s="44">
        <f t="shared" si="6"/>
        <v>5356.9380000000019</v>
      </c>
      <c r="AB120" s="44">
        <f t="shared" si="6"/>
        <v>5392.2259999999987</v>
      </c>
      <c r="AC120" s="44">
        <f t="shared" si="6"/>
        <v>5727.3960000000006</v>
      </c>
      <c r="AD120" s="44">
        <f t="shared" si="6"/>
        <v>5329.1969999999983</v>
      </c>
      <c r="AE120" s="44">
        <f t="shared" si="6"/>
        <v>5797.3589999999995</v>
      </c>
      <c r="AF120" s="44">
        <f t="shared" si="6"/>
        <v>5503.2570000000005</v>
      </c>
      <c r="AG120" s="44">
        <f t="shared" si="6"/>
        <v>5605.9430000000002</v>
      </c>
      <c r="AH120" s="44">
        <f t="shared" si="6"/>
        <v>5917.8140000000003</v>
      </c>
      <c r="AI120" s="44">
        <f t="shared" si="6"/>
        <v>6062.4879999999985</v>
      </c>
      <c r="AJ120" s="44">
        <f t="shared" si="6"/>
        <v>6022.5690000000004</v>
      </c>
      <c r="AK120" s="44">
        <f t="shared" si="6"/>
        <v>5410.5549999999985</v>
      </c>
      <c r="AL120" s="44">
        <f t="shared" si="6"/>
        <v>5643.0300000000025</v>
      </c>
      <c r="AM120" s="44">
        <f t="shared" si="6"/>
        <v>5735.2049999999981</v>
      </c>
      <c r="AN120" s="46">
        <f t="shared" ref="AN120" si="7">AVERAGE(J120:AM120)</f>
        <v>5464.9258666666674</v>
      </c>
      <c r="AO120" s="7">
        <f>AN120/H120</f>
        <v>7.3354709619686806</v>
      </c>
    </row>
    <row r="121" spans="1:41" x14ac:dyDescent="0.3">
      <c r="I121" s="28"/>
      <c r="J121" s="27"/>
      <c r="K121" s="28"/>
      <c r="L121"/>
      <c r="AL121" s="50"/>
      <c r="AM121" s="50"/>
    </row>
    <row r="122" spans="1:41" x14ac:dyDescent="0.3">
      <c r="AJ122" s="81"/>
      <c r="AN122" s="50"/>
    </row>
  </sheetData>
  <autoFilter ref="A1:I118" xr:uid="{00000000-0009-0000-0000-00002A000000}"/>
  <pageMargins left="0.7" right="0.7" top="0.75" bottom="0.75" header="0.3" footer="0.3"/>
  <pageSetup scale="1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3:O34"/>
  <sheetViews>
    <sheetView workbookViewId="0">
      <selection activeCell="F29" sqref="F29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9.44140625" bestFit="1" customWidth="1"/>
    <col min="4" max="4" width="9" bestFit="1" customWidth="1"/>
    <col min="5" max="5" width="9.77734375" bestFit="1" customWidth="1"/>
    <col min="6" max="6" width="7" bestFit="1" customWidth="1"/>
    <col min="7" max="7" width="10.21875" bestFit="1" customWidth="1"/>
    <col min="8" max="8" width="8.6640625" bestFit="1" customWidth="1"/>
    <col min="9" max="9" width="7.21875" bestFit="1" customWidth="1"/>
    <col min="10" max="10" width="6" bestFit="1" customWidth="1"/>
    <col min="11" max="11" width="12.44140625" bestFit="1" customWidth="1"/>
    <col min="12" max="12" width="10.77734375" bestFit="1" customWidth="1"/>
    <col min="13" max="13" width="14.21875" bestFit="1" customWidth="1"/>
    <col min="14" max="14" width="10.88671875" bestFit="1" customWidth="1"/>
    <col min="15" max="15" width="10.77734375" bestFit="1" customWidth="1"/>
    <col min="16" max="24" width="18.6640625" bestFit="1" customWidth="1"/>
    <col min="25" max="25" width="22.33203125" bestFit="1" customWidth="1"/>
    <col min="26" max="26" width="23.6640625" bestFit="1" customWidth="1"/>
  </cols>
  <sheetData>
    <row r="3" spans="1:15" x14ac:dyDescent="0.3">
      <c r="B3" s="29" t="s">
        <v>144</v>
      </c>
    </row>
    <row r="4" spans="1:15" x14ac:dyDescent="0.3">
      <c r="A4" s="29" t="s">
        <v>131</v>
      </c>
      <c r="B4" t="s">
        <v>175</v>
      </c>
      <c r="C4" t="s">
        <v>58</v>
      </c>
      <c r="D4" t="s">
        <v>65</v>
      </c>
      <c r="E4" t="s">
        <v>222</v>
      </c>
      <c r="F4" t="s">
        <v>134</v>
      </c>
      <c r="G4" t="s">
        <v>9</v>
      </c>
      <c r="H4" t="s">
        <v>55</v>
      </c>
      <c r="I4" t="s">
        <v>119</v>
      </c>
      <c r="J4" t="s">
        <v>221</v>
      </c>
      <c r="K4" t="s">
        <v>246</v>
      </c>
      <c r="L4" t="s">
        <v>49</v>
      </c>
      <c r="M4" t="s">
        <v>52</v>
      </c>
      <c r="N4" t="s">
        <v>476</v>
      </c>
      <c r="O4" t="s">
        <v>83</v>
      </c>
    </row>
    <row r="5" spans="1:15" x14ac:dyDescent="0.3">
      <c r="A5" s="26" t="s">
        <v>462</v>
      </c>
      <c r="B5" s="136">
        <v>175.32600000000002</v>
      </c>
      <c r="C5" s="136">
        <v>827.74899999999991</v>
      </c>
      <c r="D5" s="136">
        <v>816.83500000000004</v>
      </c>
      <c r="E5" s="136">
        <v>0</v>
      </c>
      <c r="F5" s="136">
        <v>38.216000000000001</v>
      </c>
      <c r="G5" s="136">
        <v>2460.2429999999995</v>
      </c>
      <c r="H5" s="136">
        <v>236.92699999999991</v>
      </c>
      <c r="I5" s="136">
        <v>44.548999999999999</v>
      </c>
      <c r="J5" s="136">
        <v>5.2789999999999999</v>
      </c>
      <c r="K5" s="136">
        <v>17.268999999999998</v>
      </c>
      <c r="L5" s="136">
        <v>15.172000000000001</v>
      </c>
      <c r="M5" s="136">
        <v>100.71299999999999</v>
      </c>
      <c r="N5" s="136"/>
      <c r="O5" s="136">
        <v>4738.2779999999984</v>
      </c>
    </row>
    <row r="6" spans="1:15" x14ac:dyDescent="0.3">
      <c r="A6" s="26" t="s">
        <v>463</v>
      </c>
      <c r="B6" s="136">
        <v>148.887</v>
      </c>
      <c r="C6" s="136">
        <v>787.90300000000013</v>
      </c>
      <c r="D6" s="136">
        <v>902.23700000000008</v>
      </c>
      <c r="E6" s="136">
        <v>0</v>
      </c>
      <c r="F6" s="136">
        <v>25.319999999999997</v>
      </c>
      <c r="G6" s="136">
        <v>2975.6679999999997</v>
      </c>
      <c r="H6" s="136">
        <v>216.78400000000002</v>
      </c>
      <c r="I6" s="136">
        <v>9.4789999999999992</v>
      </c>
      <c r="J6" s="136">
        <v>5.0139999999999993</v>
      </c>
      <c r="K6" s="136">
        <v>44.841999999999999</v>
      </c>
      <c r="L6" s="136">
        <v>12.437999999999999</v>
      </c>
      <c r="M6" s="136">
        <v>154.161</v>
      </c>
      <c r="N6" s="136"/>
      <c r="O6" s="136">
        <v>5282.7329999999993</v>
      </c>
    </row>
    <row r="7" spans="1:15" x14ac:dyDescent="0.3">
      <c r="A7" s="26" t="s">
        <v>464</v>
      </c>
      <c r="B7" s="136">
        <v>182.68600000000001</v>
      </c>
      <c r="C7" s="136">
        <v>801.32100000000003</v>
      </c>
      <c r="D7" s="136">
        <v>917.93800000000022</v>
      </c>
      <c r="E7" s="136">
        <v>0</v>
      </c>
      <c r="F7" s="136">
        <v>2.6539999999999999</v>
      </c>
      <c r="G7" s="136">
        <v>3116.652000000001</v>
      </c>
      <c r="H7" s="136">
        <v>220.87699999999995</v>
      </c>
      <c r="I7" s="136">
        <v>41.899000000000001</v>
      </c>
      <c r="J7" s="136">
        <v>5.2990000000000004</v>
      </c>
      <c r="K7" s="136">
        <v>28.908000000000001</v>
      </c>
      <c r="L7" s="136">
        <v>31.055999999999997</v>
      </c>
      <c r="M7" s="136">
        <v>68.349999999999994</v>
      </c>
      <c r="N7" s="136"/>
      <c r="O7" s="136">
        <v>5417.6400000000012</v>
      </c>
    </row>
    <row r="8" spans="1:15" x14ac:dyDescent="0.3">
      <c r="A8" s="26" t="s">
        <v>465</v>
      </c>
      <c r="B8" s="136">
        <v>150.64400000000003</v>
      </c>
      <c r="C8" s="136">
        <v>763.13999999999987</v>
      </c>
      <c r="D8" s="136">
        <v>892.99299999999994</v>
      </c>
      <c r="E8" s="136">
        <v>0</v>
      </c>
      <c r="F8" s="136">
        <v>4.694</v>
      </c>
      <c r="G8" s="136">
        <v>3245.5279999999989</v>
      </c>
      <c r="H8" s="136">
        <v>155.601</v>
      </c>
      <c r="I8" s="136">
        <v>25.221999999999998</v>
      </c>
      <c r="J8" s="136">
        <v>3.1740000000000004</v>
      </c>
      <c r="K8" s="136">
        <v>41.546999999999997</v>
      </c>
      <c r="L8" s="136">
        <v>12.18</v>
      </c>
      <c r="M8" s="136">
        <v>104.36500000000002</v>
      </c>
      <c r="N8" s="136"/>
      <c r="O8" s="136">
        <v>5399.0879999999979</v>
      </c>
    </row>
    <row r="9" spans="1:15" x14ac:dyDescent="0.3">
      <c r="A9" s="26" t="s">
        <v>466</v>
      </c>
      <c r="B9" s="136">
        <v>99.769000000000034</v>
      </c>
      <c r="C9" s="136">
        <v>862.71</v>
      </c>
      <c r="D9" s="136">
        <v>993.87499999999977</v>
      </c>
      <c r="E9" s="136">
        <v>0</v>
      </c>
      <c r="F9" s="136">
        <v>1.8240000000000001</v>
      </c>
      <c r="G9" s="136">
        <v>3353.4319999999989</v>
      </c>
      <c r="H9" s="136">
        <v>212.49899999999991</v>
      </c>
      <c r="I9" s="136">
        <v>70.024000000000001</v>
      </c>
      <c r="J9" s="136">
        <v>5.4209999999999994</v>
      </c>
      <c r="K9" s="136">
        <v>18.448</v>
      </c>
      <c r="L9" s="136">
        <v>23.298999999999999</v>
      </c>
      <c r="M9" s="136">
        <v>111.878</v>
      </c>
      <c r="N9" s="136"/>
      <c r="O9" s="136">
        <v>5753.1789999999992</v>
      </c>
    </row>
    <row r="10" spans="1:15" x14ac:dyDescent="0.3">
      <c r="A10" s="26" t="s">
        <v>467</v>
      </c>
      <c r="B10" s="136">
        <v>92.483000000000004</v>
      </c>
      <c r="C10" s="136">
        <v>821.84500000000014</v>
      </c>
      <c r="D10" s="136">
        <v>917.24799999999993</v>
      </c>
      <c r="E10" s="136">
        <v>0</v>
      </c>
      <c r="F10" s="136">
        <v>27.497000000000003</v>
      </c>
      <c r="G10" s="136">
        <v>3177.3280000000004</v>
      </c>
      <c r="H10" s="136">
        <v>202.28299999999987</v>
      </c>
      <c r="I10" s="136">
        <v>65.860000000000014</v>
      </c>
      <c r="J10" s="136">
        <v>3.3159999999999998</v>
      </c>
      <c r="K10" s="136">
        <v>30.263999999999996</v>
      </c>
      <c r="L10" s="136">
        <v>113.43300000000002</v>
      </c>
      <c r="M10" s="136">
        <v>114.718</v>
      </c>
      <c r="N10" s="136">
        <v>0</v>
      </c>
      <c r="O10" s="136">
        <v>5566.2749999999996</v>
      </c>
    </row>
    <row r="11" spans="1:15" x14ac:dyDescent="0.3">
      <c r="A11" s="26" t="s">
        <v>468</v>
      </c>
      <c r="B11" s="136">
        <v>160.14499999999998</v>
      </c>
      <c r="C11" s="136">
        <v>384.01399999999995</v>
      </c>
      <c r="D11" s="136">
        <v>905.94500000000016</v>
      </c>
      <c r="E11" s="136">
        <v>0</v>
      </c>
      <c r="F11" s="136">
        <v>49.672999999999995</v>
      </c>
      <c r="G11" s="136">
        <v>2811.2840000000001</v>
      </c>
      <c r="H11" s="136">
        <v>210.267</v>
      </c>
      <c r="I11" s="136">
        <v>57.776000000000003</v>
      </c>
      <c r="J11" s="136">
        <v>4.5590000000000002</v>
      </c>
      <c r="K11" s="136">
        <v>10.449</v>
      </c>
      <c r="L11" s="136">
        <v>38.649000000000001</v>
      </c>
      <c r="M11" s="136">
        <v>28.515000000000001</v>
      </c>
      <c r="N11" s="136">
        <v>0</v>
      </c>
      <c r="O11" s="136">
        <v>4661.2759999999998</v>
      </c>
    </row>
    <row r="12" spans="1:15" x14ac:dyDescent="0.3">
      <c r="A12" s="26" t="s">
        <v>469</v>
      </c>
      <c r="B12" s="136">
        <v>176.03700000000006</v>
      </c>
      <c r="C12" s="136">
        <v>500.90399999999994</v>
      </c>
      <c r="D12" s="136">
        <v>900.04199999999992</v>
      </c>
      <c r="E12" s="136">
        <v>0</v>
      </c>
      <c r="F12" s="136">
        <v>73.219000000000023</v>
      </c>
      <c r="G12" s="136">
        <v>2267.956000000001</v>
      </c>
      <c r="H12" s="136">
        <v>420.98599999999993</v>
      </c>
      <c r="I12" s="136">
        <v>48.122</v>
      </c>
      <c r="J12" s="136">
        <v>4.6840000000000002</v>
      </c>
      <c r="K12" s="136">
        <v>25.33</v>
      </c>
      <c r="L12" s="136">
        <v>7.0310000000000006</v>
      </c>
      <c r="M12" s="136">
        <v>93.00200000000001</v>
      </c>
      <c r="N12" s="136">
        <v>0</v>
      </c>
      <c r="O12" s="136">
        <v>4517.3130000000019</v>
      </c>
    </row>
    <row r="13" spans="1:15" x14ac:dyDescent="0.3">
      <c r="A13" s="26" t="s">
        <v>470</v>
      </c>
      <c r="B13" s="136">
        <v>155.45300000000012</v>
      </c>
      <c r="C13" s="136">
        <v>690.14900000000011</v>
      </c>
      <c r="D13" s="136">
        <v>830.98800000000006</v>
      </c>
      <c r="E13" s="136">
        <v>0</v>
      </c>
      <c r="F13" s="136">
        <v>45.094000000000001</v>
      </c>
      <c r="G13" s="136">
        <v>2863.32</v>
      </c>
      <c r="H13" s="136">
        <v>241.73599999999999</v>
      </c>
      <c r="I13" s="136">
        <v>55.17</v>
      </c>
      <c r="J13" s="136">
        <v>5.2880000000000003</v>
      </c>
      <c r="K13" s="136">
        <v>24.196999999999996</v>
      </c>
      <c r="L13" s="136">
        <v>33.003</v>
      </c>
      <c r="M13" s="136">
        <v>126.297</v>
      </c>
      <c r="N13" s="136">
        <v>0</v>
      </c>
      <c r="O13" s="136">
        <v>5070.6949999999997</v>
      </c>
    </row>
    <row r="14" spans="1:15" x14ac:dyDescent="0.3">
      <c r="A14" s="26" t="s">
        <v>471</v>
      </c>
      <c r="B14" s="136">
        <v>140.99699999999993</v>
      </c>
      <c r="C14" s="136">
        <v>744.11099999999999</v>
      </c>
      <c r="D14" s="136">
        <v>1018.792</v>
      </c>
      <c r="E14" s="136">
        <v>0</v>
      </c>
      <c r="F14" s="136">
        <v>34.132000000000005</v>
      </c>
      <c r="G14" s="136">
        <v>3330.5350000000008</v>
      </c>
      <c r="H14" s="136">
        <v>144.11100000000002</v>
      </c>
      <c r="I14" s="136">
        <v>70.854000000000013</v>
      </c>
      <c r="J14" s="136">
        <v>4.056</v>
      </c>
      <c r="K14" s="136">
        <v>31.222000000000001</v>
      </c>
      <c r="L14" s="136">
        <v>35.69</v>
      </c>
      <c r="M14" s="136">
        <v>114.96299999999997</v>
      </c>
      <c r="N14" s="136">
        <v>0</v>
      </c>
      <c r="O14" s="136">
        <v>5669.4629999999997</v>
      </c>
    </row>
    <row r="15" spans="1:15" x14ac:dyDescent="0.3">
      <c r="A15" s="26" t="s">
        <v>472</v>
      </c>
      <c r="B15" s="136">
        <v>105.21299999999999</v>
      </c>
      <c r="C15" s="136">
        <v>761.76800000000014</v>
      </c>
      <c r="D15" s="136">
        <v>1014.106</v>
      </c>
      <c r="E15" s="136">
        <v>0</v>
      </c>
      <c r="F15" s="136">
        <v>58.843000000000004</v>
      </c>
      <c r="G15" s="136">
        <v>3376.4860000000008</v>
      </c>
      <c r="H15" s="136">
        <v>311.29900000000015</v>
      </c>
      <c r="I15" s="136">
        <v>70.037000000000006</v>
      </c>
      <c r="J15" s="136">
        <v>4.8549999999999995</v>
      </c>
      <c r="K15" s="136">
        <v>15.100999999999999</v>
      </c>
      <c r="L15" s="136">
        <v>89.831999999999979</v>
      </c>
      <c r="M15" s="136">
        <v>118.77300000000001</v>
      </c>
      <c r="N15" s="136">
        <v>0</v>
      </c>
      <c r="O15" s="136">
        <v>5926.313000000001</v>
      </c>
    </row>
    <row r="16" spans="1:15" x14ac:dyDescent="0.3">
      <c r="A16" s="26" t="s">
        <v>478</v>
      </c>
      <c r="B16" s="136">
        <v>59.127999999999993</v>
      </c>
      <c r="C16" s="136">
        <v>780.85500000000013</v>
      </c>
      <c r="D16" s="136">
        <v>925.322</v>
      </c>
      <c r="E16" s="136">
        <v>0</v>
      </c>
      <c r="F16" s="136">
        <v>41.577000000000005</v>
      </c>
      <c r="G16" s="136">
        <v>3170.2850000000003</v>
      </c>
      <c r="H16" s="136">
        <v>257.96600000000001</v>
      </c>
      <c r="I16" s="136">
        <v>79.962000000000003</v>
      </c>
      <c r="J16" s="136">
        <v>1.897</v>
      </c>
      <c r="K16" s="136">
        <v>37.408000000000001</v>
      </c>
      <c r="L16" s="136">
        <v>44.567</v>
      </c>
      <c r="M16" s="136">
        <v>94.278000000000006</v>
      </c>
      <c r="N16" s="136">
        <v>0</v>
      </c>
      <c r="O16" s="136">
        <v>5493.2450000000017</v>
      </c>
    </row>
    <row r="17" spans="1:15" x14ac:dyDescent="0.3">
      <c r="A17" s="26" t="s">
        <v>479</v>
      </c>
      <c r="B17" s="136">
        <v>179.90599999999995</v>
      </c>
      <c r="C17" s="136">
        <v>703.70500000000015</v>
      </c>
      <c r="D17" s="136">
        <v>881.82200000000023</v>
      </c>
      <c r="E17" s="136">
        <v>0</v>
      </c>
      <c r="F17" s="136">
        <v>57.538000000000004</v>
      </c>
      <c r="G17" s="136">
        <v>3070.9819999999991</v>
      </c>
      <c r="H17" s="136">
        <v>264.28699999999992</v>
      </c>
      <c r="I17" s="136">
        <v>67.99499999999999</v>
      </c>
      <c r="J17" s="136">
        <v>0.876</v>
      </c>
      <c r="K17" s="136">
        <v>27.732999999999997</v>
      </c>
      <c r="L17" s="136">
        <v>111.166</v>
      </c>
      <c r="M17" s="136">
        <v>143.03300000000004</v>
      </c>
      <c r="N17" s="136">
        <v>0</v>
      </c>
      <c r="O17" s="136">
        <v>5509.0430000000006</v>
      </c>
    </row>
    <row r="18" spans="1:15" x14ac:dyDescent="0.3">
      <c r="A18" s="26" t="s">
        <v>480</v>
      </c>
      <c r="B18" s="136">
        <v>160.61700000000005</v>
      </c>
      <c r="C18" s="136">
        <v>631.90199999999993</v>
      </c>
      <c r="D18" s="136">
        <v>787.65600000000018</v>
      </c>
      <c r="E18" s="136">
        <v>0</v>
      </c>
      <c r="F18" s="136">
        <v>66.326000000000008</v>
      </c>
      <c r="G18" s="136">
        <v>2787.5179999999996</v>
      </c>
      <c r="H18" s="136">
        <v>385.08499999999992</v>
      </c>
      <c r="I18" s="136">
        <v>59.882000000000005</v>
      </c>
      <c r="J18" s="136">
        <v>3.5780000000000003</v>
      </c>
      <c r="K18" s="136">
        <v>33.14</v>
      </c>
      <c r="L18" s="136">
        <v>85.924999999999997</v>
      </c>
      <c r="M18" s="136">
        <v>98.27</v>
      </c>
      <c r="N18" s="136">
        <v>0</v>
      </c>
      <c r="O18" s="136">
        <v>5099.8990000000013</v>
      </c>
    </row>
    <row r="19" spans="1:15" x14ac:dyDescent="0.3">
      <c r="A19" s="26" t="s">
        <v>481</v>
      </c>
      <c r="B19" s="136">
        <v>150.35100000000003</v>
      </c>
      <c r="C19" s="136">
        <v>667.01499999999999</v>
      </c>
      <c r="D19" s="136">
        <v>773.91</v>
      </c>
      <c r="E19" s="136">
        <v>0</v>
      </c>
      <c r="F19" s="136">
        <v>47.468000000000004</v>
      </c>
      <c r="G19" s="136">
        <v>2873.0039999999995</v>
      </c>
      <c r="H19" s="136">
        <v>605.64599999999996</v>
      </c>
      <c r="I19" s="136">
        <v>51.875999999999998</v>
      </c>
      <c r="J19" s="136">
        <v>4.7119999999999997</v>
      </c>
      <c r="K19" s="136">
        <v>16.184000000000001</v>
      </c>
      <c r="L19" s="136">
        <v>76.615999999999985</v>
      </c>
      <c r="M19" s="136">
        <v>107.86799999999999</v>
      </c>
      <c r="N19" s="136">
        <v>0</v>
      </c>
      <c r="O19" s="136">
        <v>5374.6500000000005</v>
      </c>
    </row>
    <row r="20" spans="1:15" x14ac:dyDescent="0.3">
      <c r="A20" s="26" t="s">
        <v>482</v>
      </c>
      <c r="B20" s="136">
        <v>165.26600000000008</v>
      </c>
      <c r="C20" s="136">
        <v>735.18200000000002</v>
      </c>
      <c r="D20" s="136">
        <v>775.38000000000011</v>
      </c>
      <c r="E20" s="136">
        <v>0</v>
      </c>
      <c r="F20" s="136">
        <v>53.64</v>
      </c>
      <c r="G20" s="136">
        <v>2978.683</v>
      </c>
      <c r="H20" s="136">
        <v>514.95500000000004</v>
      </c>
      <c r="I20" s="136">
        <v>55.588000000000001</v>
      </c>
      <c r="J20" s="136">
        <v>3.1880000000000002</v>
      </c>
      <c r="K20" s="136">
        <v>30.344000000000001</v>
      </c>
      <c r="L20" s="136">
        <v>91.720999999999989</v>
      </c>
      <c r="M20" s="136">
        <v>127.96599999999999</v>
      </c>
      <c r="N20" s="136">
        <v>0</v>
      </c>
      <c r="O20" s="136">
        <v>5531.9129999999996</v>
      </c>
    </row>
    <row r="21" spans="1:15" x14ac:dyDescent="0.3">
      <c r="A21" s="26" t="s">
        <v>483</v>
      </c>
      <c r="B21" s="136">
        <v>146.70100000000005</v>
      </c>
      <c r="C21" s="136">
        <v>741.16800000000001</v>
      </c>
      <c r="D21" s="136">
        <v>947.74099999999999</v>
      </c>
      <c r="E21" s="136">
        <v>0</v>
      </c>
      <c r="F21" s="136">
        <v>29.548999999999999</v>
      </c>
      <c r="G21" s="136">
        <v>2917.6819999999993</v>
      </c>
      <c r="H21" s="136">
        <v>372.99800000000005</v>
      </c>
      <c r="I21" s="136">
        <v>39.033000000000001</v>
      </c>
      <c r="J21" s="136">
        <v>4.6590000000000007</v>
      </c>
      <c r="K21" s="136">
        <v>33.012</v>
      </c>
      <c r="L21" s="136">
        <v>104.28499999999998</v>
      </c>
      <c r="M21" s="136">
        <v>95.968000000000018</v>
      </c>
      <c r="N21" s="136">
        <v>0</v>
      </c>
      <c r="O21" s="136">
        <v>5432.7959999999994</v>
      </c>
    </row>
    <row r="22" spans="1:15" x14ac:dyDescent="0.3">
      <c r="A22" s="26" t="s">
        <v>485</v>
      </c>
      <c r="B22" s="136">
        <v>186.38200000000003</v>
      </c>
      <c r="C22" s="136">
        <v>669.32500000000005</v>
      </c>
      <c r="D22" s="136">
        <v>954.2410000000001</v>
      </c>
      <c r="E22" s="136">
        <v>0</v>
      </c>
      <c r="F22" s="136">
        <v>64.621000000000009</v>
      </c>
      <c r="G22" s="136">
        <v>2949.9220000000009</v>
      </c>
      <c r="H22" s="136">
        <v>237.24099999999999</v>
      </c>
      <c r="I22" s="136">
        <v>46.323</v>
      </c>
      <c r="J22" s="136">
        <v>2.0110000000000001</v>
      </c>
      <c r="K22" s="136">
        <v>25.726000000000003</v>
      </c>
      <c r="L22" s="136">
        <v>92.946999999999989</v>
      </c>
      <c r="M22" s="136">
        <v>128.19900000000001</v>
      </c>
      <c r="N22" s="136">
        <v>0</v>
      </c>
      <c r="O22" s="136">
        <v>5356.9380000000019</v>
      </c>
    </row>
    <row r="23" spans="1:15" x14ac:dyDescent="0.3">
      <c r="A23" s="26" t="s">
        <v>486</v>
      </c>
      <c r="B23" s="136">
        <v>141.89500000000001</v>
      </c>
      <c r="C23" s="136">
        <v>604.92499999999995</v>
      </c>
      <c r="D23" s="136">
        <v>960.04199999999992</v>
      </c>
      <c r="E23" s="136">
        <v>25.277000000000001</v>
      </c>
      <c r="F23" s="136">
        <v>35.346000000000004</v>
      </c>
      <c r="G23" s="136">
        <v>3153.5839999999985</v>
      </c>
      <c r="H23" s="136">
        <v>190.85999999999996</v>
      </c>
      <c r="I23" s="136">
        <v>46.192</v>
      </c>
      <c r="J23" s="136">
        <v>2.6670000000000003</v>
      </c>
      <c r="K23" s="136">
        <v>24.022999999999996</v>
      </c>
      <c r="L23" s="136">
        <v>102.824</v>
      </c>
      <c r="M23" s="136">
        <v>104.59099999999999</v>
      </c>
      <c r="N23" s="136">
        <v>0</v>
      </c>
      <c r="O23" s="136">
        <v>5392.2259999999987</v>
      </c>
    </row>
    <row r="24" spans="1:15" x14ac:dyDescent="0.3">
      <c r="A24" s="26" t="s">
        <v>487</v>
      </c>
      <c r="B24" s="136">
        <v>149.37799999999999</v>
      </c>
      <c r="C24" s="136">
        <v>691.39100000000019</v>
      </c>
      <c r="D24" s="136">
        <v>880.73199999999997</v>
      </c>
      <c r="E24" s="136">
        <v>0</v>
      </c>
      <c r="F24" s="136">
        <v>42.185999999999993</v>
      </c>
      <c r="G24" s="136">
        <v>3477.2359999999994</v>
      </c>
      <c r="H24" s="136">
        <v>223.08600000000001</v>
      </c>
      <c r="I24" s="136">
        <v>42.081999999999994</v>
      </c>
      <c r="J24" s="136">
        <v>4.524</v>
      </c>
      <c r="K24" s="136">
        <v>26.166</v>
      </c>
      <c r="L24" s="136">
        <v>84.02000000000001</v>
      </c>
      <c r="M24" s="136">
        <v>106.595</v>
      </c>
      <c r="N24" s="136">
        <v>0</v>
      </c>
      <c r="O24" s="136">
        <v>5727.3960000000015</v>
      </c>
    </row>
    <row r="25" spans="1:15" x14ac:dyDescent="0.3">
      <c r="A25" s="26" t="s">
        <v>488</v>
      </c>
      <c r="B25" s="136">
        <v>120.73200000000004</v>
      </c>
      <c r="C25" s="136">
        <v>608.5630000000001</v>
      </c>
      <c r="D25" s="136">
        <v>924.58500000000015</v>
      </c>
      <c r="E25" s="136">
        <v>0</v>
      </c>
      <c r="F25" s="136">
        <v>55.088999999999999</v>
      </c>
      <c r="G25" s="136">
        <v>2956.1910000000007</v>
      </c>
      <c r="H25" s="136">
        <v>424.81700000000012</v>
      </c>
      <c r="I25" s="136">
        <v>46.064</v>
      </c>
      <c r="J25" s="136">
        <v>5.0749999999999993</v>
      </c>
      <c r="K25" s="136">
        <v>16.036000000000001</v>
      </c>
      <c r="L25" s="136">
        <v>64.674999999999997</v>
      </c>
      <c r="M25" s="136">
        <v>107.37</v>
      </c>
      <c r="N25" s="136">
        <v>0</v>
      </c>
      <c r="O25" s="136">
        <v>5329.197000000001</v>
      </c>
    </row>
    <row r="26" spans="1:15" x14ac:dyDescent="0.3">
      <c r="A26" s="26" t="s">
        <v>489</v>
      </c>
      <c r="B26" s="136">
        <v>144.43799999999993</v>
      </c>
      <c r="C26" s="136">
        <v>839.25699999999995</v>
      </c>
      <c r="D26" s="136">
        <v>838.71100000000013</v>
      </c>
      <c r="E26" s="136">
        <v>11.349</v>
      </c>
      <c r="F26" s="136">
        <v>20.936</v>
      </c>
      <c r="G26" s="136">
        <v>3177.8250000000007</v>
      </c>
      <c r="H26" s="136">
        <v>493.18300000000022</v>
      </c>
      <c r="I26" s="136">
        <v>57.006</v>
      </c>
      <c r="J26" s="136">
        <v>5.2059999999999995</v>
      </c>
      <c r="K26" s="136">
        <v>32.171999999999997</v>
      </c>
      <c r="L26" s="136">
        <v>70.874999999999986</v>
      </c>
      <c r="M26" s="136">
        <v>106.401</v>
      </c>
      <c r="N26" s="136">
        <v>0</v>
      </c>
      <c r="O26" s="136">
        <v>5797.3590000000004</v>
      </c>
    </row>
    <row r="27" spans="1:15" x14ac:dyDescent="0.3">
      <c r="A27" s="26" t="s">
        <v>490</v>
      </c>
      <c r="B27" s="136">
        <v>162.55699999999999</v>
      </c>
      <c r="C27" s="136">
        <v>588.23800000000006</v>
      </c>
      <c r="D27" s="136">
        <v>1014.4550000000002</v>
      </c>
      <c r="E27" s="136">
        <v>0</v>
      </c>
      <c r="F27" s="136">
        <v>54.813000000000002</v>
      </c>
      <c r="G27" s="136">
        <v>3132.2540000000017</v>
      </c>
      <c r="H27" s="136">
        <v>303.89000000000004</v>
      </c>
      <c r="I27" s="136">
        <v>33.17</v>
      </c>
      <c r="J27" s="136">
        <v>5.1910000000000007</v>
      </c>
      <c r="K27" s="136">
        <v>25.643999999999998</v>
      </c>
      <c r="L27" s="136">
        <v>66.856999999999999</v>
      </c>
      <c r="M27" s="136">
        <v>116.18799999999999</v>
      </c>
      <c r="N27" s="136">
        <v>0</v>
      </c>
      <c r="O27" s="136">
        <v>5503.2570000000023</v>
      </c>
    </row>
    <row r="28" spans="1:15" x14ac:dyDescent="0.3">
      <c r="A28" s="26" t="s">
        <v>491</v>
      </c>
      <c r="B28" s="136">
        <v>136.59400000000005</v>
      </c>
      <c r="C28" s="136">
        <v>613.35199999999986</v>
      </c>
      <c r="D28" s="136">
        <v>954.04099999999994</v>
      </c>
      <c r="E28" s="136">
        <v>0</v>
      </c>
      <c r="F28" s="136">
        <v>33.042999999999992</v>
      </c>
      <c r="G28" s="136">
        <v>3382.1029999999996</v>
      </c>
      <c r="H28" s="136">
        <v>222.67300000000003</v>
      </c>
      <c r="I28" s="136">
        <v>65.614999999999995</v>
      </c>
      <c r="J28" s="136">
        <v>5.2650000000000006</v>
      </c>
      <c r="K28" s="136">
        <v>37.533999999999992</v>
      </c>
      <c r="L28" s="136">
        <v>65.784000000000006</v>
      </c>
      <c r="M28" s="136">
        <v>89.939000000000007</v>
      </c>
      <c r="N28" s="136">
        <v>0</v>
      </c>
      <c r="O28" s="136">
        <v>5605.9429999999993</v>
      </c>
    </row>
    <row r="29" spans="1:15" x14ac:dyDescent="0.3">
      <c r="A29" s="26" t="s">
        <v>492</v>
      </c>
      <c r="B29" s="136">
        <v>109.00499999999998</v>
      </c>
      <c r="C29" s="136">
        <v>663.87</v>
      </c>
      <c r="D29" s="136">
        <v>915.61000000000013</v>
      </c>
      <c r="E29" s="136">
        <v>0</v>
      </c>
      <c r="F29" s="136">
        <v>46.564</v>
      </c>
      <c r="G29" s="136">
        <v>3596.6269999999995</v>
      </c>
      <c r="H29" s="136">
        <v>324.37200000000001</v>
      </c>
      <c r="I29" s="136">
        <v>38.557999999999993</v>
      </c>
      <c r="J29" s="136">
        <v>4.4770000000000003</v>
      </c>
      <c r="K29" s="136">
        <v>17.260000000000002</v>
      </c>
      <c r="L29" s="136">
        <v>96.241</v>
      </c>
      <c r="M29" s="136">
        <v>105.23000000000003</v>
      </c>
      <c r="N29" s="136">
        <v>0</v>
      </c>
      <c r="O29" s="136">
        <v>5917.8140000000003</v>
      </c>
    </row>
    <row r="30" spans="1:15" x14ac:dyDescent="0.3">
      <c r="A30" s="26" t="s">
        <v>493</v>
      </c>
      <c r="B30" s="136">
        <v>145.78900000000004</v>
      </c>
      <c r="C30" s="136">
        <v>650.66500000000008</v>
      </c>
      <c r="D30" s="136">
        <v>995.64799999999991</v>
      </c>
      <c r="E30" s="136">
        <v>0</v>
      </c>
      <c r="F30" s="136">
        <v>51.296999999999997</v>
      </c>
      <c r="G30" s="136">
        <v>3685.8719999999989</v>
      </c>
      <c r="H30" s="136">
        <v>273.04899999999992</v>
      </c>
      <c r="I30" s="136">
        <v>48.5</v>
      </c>
      <c r="J30" s="136">
        <v>4.6959999999999997</v>
      </c>
      <c r="K30" s="136">
        <v>36.340000000000003</v>
      </c>
      <c r="L30" s="136">
        <v>70.396000000000001</v>
      </c>
      <c r="M30" s="136">
        <v>100.23599999999999</v>
      </c>
      <c r="N30" s="136">
        <v>0</v>
      </c>
      <c r="O30" s="136">
        <v>6062.4879999999985</v>
      </c>
    </row>
    <row r="31" spans="1:15" x14ac:dyDescent="0.3">
      <c r="A31" s="26" t="s">
        <v>494</v>
      </c>
      <c r="B31" s="136">
        <v>87.102000000000004</v>
      </c>
      <c r="C31" s="136">
        <v>714.28499999999997</v>
      </c>
      <c r="D31" s="136">
        <v>1028.124</v>
      </c>
      <c r="E31" s="136">
        <v>0</v>
      </c>
      <c r="F31" s="136">
        <v>42.781999999999996</v>
      </c>
      <c r="G31" s="136">
        <v>3642.029</v>
      </c>
      <c r="H31" s="136">
        <v>278.96400000000011</v>
      </c>
      <c r="I31" s="136">
        <v>7.0470000000000006</v>
      </c>
      <c r="J31" s="136">
        <v>4.3059999999999992</v>
      </c>
      <c r="K31" s="136">
        <v>25.510999999999999</v>
      </c>
      <c r="L31" s="136">
        <v>68.394000000000005</v>
      </c>
      <c r="M31" s="136">
        <v>124.02499999999999</v>
      </c>
      <c r="N31" s="136">
        <v>0</v>
      </c>
      <c r="O31" s="136">
        <v>6022.5689999999995</v>
      </c>
    </row>
    <row r="32" spans="1:15" x14ac:dyDescent="0.3">
      <c r="A32" s="26" t="s">
        <v>495</v>
      </c>
      <c r="B32" s="136">
        <v>71.807000000000002</v>
      </c>
      <c r="C32" s="136">
        <v>798.97499999999991</v>
      </c>
      <c r="D32" s="136">
        <v>918.24800000000005</v>
      </c>
      <c r="E32" s="136">
        <v>0</v>
      </c>
      <c r="F32" s="136">
        <v>42.706000000000003</v>
      </c>
      <c r="G32" s="136">
        <v>3007.9519999999993</v>
      </c>
      <c r="H32" s="136">
        <v>344.35600000000005</v>
      </c>
      <c r="I32" s="136">
        <v>18.922999999999998</v>
      </c>
      <c r="J32" s="136">
        <v>3.4620000000000002</v>
      </c>
      <c r="K32" s="136">
        <v>18.28</v>
      </c>
      <c r="L32" s="136">
        <v>92.515000000000001</v>
      </c>
      <c r="M32" s="136">
        <v>93.331000000000003</v>
      </c>
      <c r="N32" s="136">
        <v>0</v>
      </c>
      <c r="O32" s="136">
        <v>5410.5549999999994</v>
      </c>
    </row>
    <row r="33" spans="1:15" x14ac:dyDescent="0.3">
      <c r="A33" s="26" t="s">
        <v>496</v>
      </c>
      <c r="B33" s="136">
        <v>96.054000000000016</v>
      </c>
      <c r="C33" s="136">
        <v>793.25300000000004</v>
      </c>
      <c r="D33" s="136">
        <v>848.15500000000009</v>
      </c>
      <c r="E33" s="136">
        <v>0</v>
      </c>
      <c r="F33" s="136">
        <v>43.325000000000003</v>
      </c>
      <c r="G33" s="136">
        <v>3203.9110000000001</v>
      </c>
      <c r="H33" s="136">
        <v>405.67400000000004</v>
      </c>
      <c r="I33" s="136">
        <v>23.126000000000001</v>
      </c>
      <c r="J33" s="136">
        <v>3.4529999999999998</v>
      </c>
      <c r="K33" s="136">
        <v>37.521000000000001</v>
      </c>
      <c r="L33" s="136">
        <v>78.160000000000011</v>
      </c>
      <c r="M33" s="136">
        <v>110.39800000000004</v>
      </c>
      <c r="N33" s="136">
        <v>0</v>
      </c>
      <c r="O33" s="136">
        <v>5643.0300000000007</v>
      </c>
    </row>
    <row r="34" spans="1:15" x14ac:dyDescent="0.3">
      <c r="A34" s="26" t="s">
        <v>497</v>
      </c>
      <c r="B34" s="136">
        <v>122.19199999999998</v>
      </c>
      <c r="C34" s="136">
        <v>792.78700000000015</v>
      </c>
      <c r="D34" s="136">
        <v>916.29100000000005</v>
      </c>
      <c r="E34" s="136">
        <v>19.390999999999998</v>
      </c>
      <c r="F34" s="136">
        <v>47.078999999999994</v>
      </c>
      <c r="G34" s="136">
        <v>3220.2459999999996</v>
      </c>
      <c r="H34" s="136">
        <v>326.85599999999994</v>
      </c>
      <c r="I34" s="136">
        <v>47.474000000000004</v>
      </c>
      <c r="J34" s="136">
        <v>3.7699999999999996</v>
      </c>
      <c r="K34" s="136">
        <v>20.183</v>
      </c>
      <c r="L34" s="136">
        <v>112.48700000000002</v>
      </c>
      <c r="M34" s="136">
        <v>106.449</v>
      </c>
      <c r="N34" s="136">
        <v>0</v>
      </c>
      <c r="O34" s="136">
        <v>5735.2049999999999</v>
      </c>
    </row>
  </sheetData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H131"/>
  <sheetViews>
    <sheetView topLeftCell="A116" workbookViewId="0">
      <selection activeCell="F29" sqref="F29"/>
    </sheetView>
  </sheetViews>
  <sheetFormatPr defaultRowHeight="14.4" x14ac:dyDescent="0.3"/>
  <cols>
    <col min="1" max="1" width="60.77734375" bestFit="1" customWidth="1"/>
    <col min="2" max="2" width="20.6640625" bestFit="1" customWidth="1"/>
    <col min="3" max="4" width="16.88671875" bestFit="1" customWidth="1"/>
    <col min="5" max="5" width="18.33203125" bestFit="1" customWidth="1"/>
    <col min="6" max="12" width="16.88671875" bestFit="1" customWidth="1"/>
    <col min="13" max="33" width="18.33203125" bestFit="1" customWidth="1"/>
    <col min="34" max="34" width="14.44140625" bestFit="1" customWidth="1"/>
  </cols>
  <sheetData>
    <row r="1" spans="1:34" x14ac:dyDescent="0.3">
      <c r="A1" s="30" t="s">
        <v>1</v>
      </c>
      <c r="B1" s="12" t="s">
        <v>82</v>
      </c>
    </row>
    <row r="2" spans="1:34" x14ac:dyDescent="0.3">
      <c r="A2" s="30" t="s">
        <v>158</v>
      </c>
      <c r="B2" s="12" t="s">
        <v>82</v>
      </c>
    </row>
    <row r="4" spans="1:34" x14ac:dyDescent="0.3">
      <c r="A4" s="30" t="s">
        <v>394</v>
      </c>
      <c r="B4" s="12" t="s">
        <v>84</v>
      </c>
      <c r="C4" s="12" t="s">
        <v>502</v>
      </c>
      <c r="D4" s="12" t="s">
        <v>503</v>
      </c>
      <c r="E4" s="31" t="s">
        <v>505</v>
      </c>
      <c r="F4" s="12" t="s">
        <v>506</v>
      </c>
      <c r="G4" s="12" t="s">
        <v>507</v>
      </c>
      <c r="H4" s="12" t="s">
        <v>508</v>
      </c>
      <c r="I4" s="12" t="s">
        <v>509</v>
      </c>
      <c r="J4" s="12" t="s">
        <v>510</v>
      </c>
      <c r="K4" s="12" t="s">
        <v>511</v>
      </c>
      <c r="L4" s="12" t="s">
        <v>512</v>
      </c>
      <c r="M4" s="31" t="s">
        <v>513</v>
      </c>
      <c r="N4" s="31" t="s">
        <v>514</v>
      </c>
      <c r="O4" s="31" t="s">
        <v>515</v>
      </c>
      <c r="P4" s="31" t="s">
        <v>517</v>
      </c>
      <c r="Q4" s="31" t="s">
        <v>522</v>
      </c>
      <c r="R4" s="31" t="s">
        <v>523</v>
      </c>
      <c r="S4" s="31" t="s">
        <v>526</v>
      </c>
      <c r="T4" s="31" t="s">
        <v>527</v>
      </c>
      <c r="U4" s="31" t="s">
        <v>528</v>
      </c>
      <c r="V4" s="31" t="s">
        <v>529</v>
      </c>
      <c r="W4" s="31" t="s">
        <v>531</v>
      </c>
      <c r="X4" s="31" t="s">
        <v>532</v>
      </c>
      <c r="Y4" s="31" t="s">
        <v>533</v>
      </c>
      <c r="Z4" s="31" t="s">
        <v>535</v>
      </c>
      <c r="AA4" s="31" t="s">
        <v>537</v>
      </c>
      <c r="AB4" s="31" t="s">
        <v>538</v>
      </c>
      <c r="AC4" s="31" t="s">
        <v>539</v>
      </c>
      <c r="AD4" s="31" t="s">
        <v>540</v>
      </c>
      <c r="AE4" s="31" t="s">
        <v>541</v>
      </c>
      <c r="AF4" s="31" t="s">
        <v>543</v>
      </c>
      <c r="AG4" s="31" t="s">
        <v>544</v>
      </c>
      <c r="AH4" s="12" t="s">
        <v>85</v>
      </c>
    </row>
    <row r="5" spans="1:34" x14ac:dyDescent="0.3">
      <c r="A5" s="12" t="s">
        <v>242</v>
      </c>
      <c r="B5" s="137">
        <v>1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0</v>
      </c>
      <c r="AH5" s="31">
        <v>0</v>
      </c>
    </row>
    <row r="6" spans="1:34" x14ac:dyDescent="0.3">
      <c r="A6" s="12" t="s">
        <v>241</v>
      </c>
      <c r="B6" s="137">
        <v>1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0</v>
      </c>
      <c r="AG6" s="31">
        <v>0</v>
      </c>
      <c r="AH6" s="31">
        <v>0</v>
      </c>
    </row>
    <row r="7" spans="1:34" x14ac:dyDescent="0.3">
      <c r="A7" s="12" t="s">
        <v>240</v>
      </c>
      <c r="B7" s="137">
        <v>1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  <c r="AH7" s="31">
        <v>0</v>
      </c>
    </row>
    <row r="8" spans="1:34" x14ac:dyDescent="0.3">
      <c r="A8" s="12" t="s">
        <v>70</v>
      </c>
      <c r="B8" s="137">
        <v>82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</row>
    <row r="9" spans="1:34" x14ac:dyDescent="0.3">
      <c r="A9" s="12" t="s">
        <v>252</v>
      </c>
      <c r="B9" s="137">
        <v>3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  <c r="AH9" s="31">
        <v>0</v>
      </c>
    </row>
    <row r="10" spans="1:34" x14ac:dyDescent="0.3">
      <c r="A10" s="12" t="s">
        <v>442</v>
      </c>
      <c r="B10" s="137">
        <v>2</v>
      </c>
      <c r="C10" s="31">
        <v>0</v>
      </c>
      <c r="D10" s="31">
        <v>9.7729999999999997</v>
      </c>
      <c r="E10" s="31">
        <v>0</v>
      </c>
      <c r="F10" s="31">
        <v>9.8800000000000008</v>
      </c>
      <c r="G10" s="31">
        <v>17.823</v>
      </c>
      <c r="H10" s="31">
        <v>4.5049999999999999</v>
      </c>
      <c r="I10" s="31">
        <v>0</v>
      </c>
      <c r="J10" s="31">
        <v>10.464</v>
      </c>
      <c r="K10" s="31">
        <v>19</v>
      </c>
      <c r="L10" s="31">
        <v>0</v>
      </c>
      <c r="M10" s="31">
        <v>10.782999999999999</v>
      </c>
      <c r="N10" s="31">
        <v>11.949</v>
      </c>
      <c r="O10" s="31">
        <v>8.4060000000000006</v>
      </c>
      <c r="P10" s="31">
        <v>0</v>
      </c>
      <c r="Q10" s="31">
        <v>10.254</v>
      </c>
      <c r="R10" s="31">
        <v>0</v>
      </c>
      <c r="S10" s="31">
        <v>0</v>
      </c>
      <c r="T10" s="31">
        <v>11.957000000000001</v>
      </c>
      <c r="U10" s="31">
        <v>23.402999999999999</v>
      </c>
      <c r="V10" s="31">
        <v>4.702</v>
      </c>
      <c r="W10" s="31">
        <v>0</v>
      </c>
      <c r="X10" s="31">
        <v>11.504</v>
      </c>
      <c r="Y10" s="31">
        <v>10.827999999999999</v>
      </c>
      <c r="Z10" s="31">
        <v>7.2720000000000002</v>
      </c>
      <c r="AA10" s="31">
        <v>0</v>
      </c>
      <c r="AB10" s="31">
        <v>10.848000000000001</v>
      </c>
      <c r="AC10" s="31">
        <v>12.608000000000001</v>
      </c>
      <c r="AD10" s="31">
        <v>2E-3</v>
      </c>
      <c r="AE10" s="31">
        <v>7.78</v>
      </c>
      <c r="AF10" s="31">
        <v>9.077</v>
      </c>
      <c r="AG10" s="31">
        <v>8.9570000000000007</v>
      </c>
      <c r="AH10" s="31">
        <v>7.4336249999999993</v>
      </c>
    </row>
    <row r="11" spans="1:34" x14ac:dyDescent="0.3">
      <c r="A11" s="12" t="s">
        <v>261</v>
      </c>
      <c r="B11" s="137">
        <v>10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</row>
    <row r="12" spans="1:34" x14ac:dyDescent="0.3">
      <c r="A12" s="12" t="s">
        <v>245</v>
      </c>
      <c r="B12" s="137">
        <v>3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  <c r="AH12" s="31">
        <v>0</v>
      </c>
    </row>
    <row r="13" spans="1:34" x14ac:dyDescent="0.3">
      <c r="A13" s="12" t="s">
        <v>237</v>
      </c>
      <c r="B13" s="137">
        <v>3</v>
      </c>
      <c r="C13" s="31">
        <v>10.706</v>
      </c>
      <c r="D13" s="31">
        <v>10.804</v>
      </c>
      <c r="E13" s="31">
        <v>4.6029999999999998</v>
      </c>
      <c r="F13" s="31">
        <v>12.929</v>
      </c>
      <c r="G13" s="31">
        <v>7.72</v>
      </c>
      <c r="H13" s="31">
        <v>5.5960000000000001</v>
      </c>
      <c r="I13" s="31">
        <v>10.474</v>
      </c>
      <c r="J13" s="31">
        <v>9.2379999999999995</v>
      </c>
      <c r="K13" s="31">
        <v>8.3919999999999995</v>
      </c>
      <c r="L13" s="31">
        <v>27.434999999999999</v>
      </c>
      <c r="M13" s="31">
        <v>5.26</v>
      </c>
      <c r="N13" s="31">
        <v>24.085000000000001</v>
      </c>
      <c r="O13" s="31">
        <v>0</v>
      </c>
      <c r="P13" s="31">
        <v>16.355999999999998</v>
      </c>
      <c r="Q13" s="31">
        <v>18.91</v>
      </c>
      <c r="R13" s="31">
        <v>24.686</v>
      </c>
      <c r="S13" s="31">
        <v>11.689</v>
      </c>
      <c r="T13" s="31">
        <v>18.858000000000001</v>
      </c>
      <c r="U13" s="31">
        <v>14.457000000000001</v>
      </c>
      <c r="V13" s="31">
        <v>28.427999999999997</v>
      </c>
      <c r="W13" s="31">
        <v>2.7750000000000004</v>
      </c>
      <c r="X13" s="31">
        <v>17.734000000000002</v>
      </c>
      <c r="Y13" s="31">
        <v>17.863</v>
      </c>
      <c r="Z13" s="31">
        <v>17.585000000000001</v>
      </c>
      <c r="AA13" s="31">
        <v>21.18</v>
      </c>
      <c r="AB13" s="31">
        <v>23.819000000000003</v>
      </c>
      <c r="AC13" s="31">
        <v>8.2759999999999998</v>
      </c>
      <c r="AD13" s="31">
        <v>14.643000000000001</v>
      </c>
      <c r="AE13" s="31">
        <v>23.539000000000001</v>
      </c>
      <c r="AF13" s="31">
        <v>19.070999999999998</v>
      </c>
      <c r="AG13" s="31">
        <v>20.925999999999998</v>
      </c>
      <c r="AH13" s="31">
        <v>17.845562500000003</v>
      </c>
    </row>
    <row r="14" spans="1:34" x14ac:dyDescent="0.3">
      <c r="A14" s="12" t="s">
        <v>253</v>
      </c>
      <c r="B14" s="137">
        <v>3</v>
      </c>
      <c r="C14" s="31">
        <v>0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0</v>
      </c>
      <c r="AC14" s="31">
        <v>0</v>
      </c>
      <c r="AD14" s="31">
        <v>0</v>
      </c>
      <c r="AE14" s="31">
        <v>0</v>
      </c>
      <c r="AF14" s="31">
        <v>0</v>
      </c>
      <c r="AG14" s="31">
        <v>0</v>
      </c>
      <c r="AH14" s="31">
        <v>0</v>
      </c>
    </row>
    <row r="15" spans="1:34" x14ac:dyDescent="0.3">
      <c r="A15" s="12" t="s">
        <v>235</v>
      </c>
      <c r="B15" s="137">
        <v>3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</row>
    <row r="16" spans="1:34" x14ac:dyDescent="0.3">
      <c r="A16" s="12" t="s">
        <v>238</v>
      </c>
      <c r="B16" s="137">
        <v>4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  <c r="AH16" s="31">
        <v>0</v>
      </c>
    </row>
    <row r="17" spans="1:34" x14ac:dyDescent="0.3">
      <c r="A17" s="12" t="s">
        <v>93</v>
      </c>
      <c r="B17" s="137">
        <v>1</v>
      </c>
      <c r="C17" s="31"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</row>
    <row r="18" spans="1:34" x14ac:dyDescent="0.3">
      <c r="A18" s="12" t="s">
        <v>66</v>
      </c>
      <c r="B18" s="137">
        <v>87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0</v>
      </c>
      <c r="Z18" s="31">
        <v>0</v>
      </c>
      <c r="AA18" s="31">
        <v>0</v>
      </c>
      <c r="AB18" s="31">
        <v>0</v>
      </c>
      <c r="AC18" s="31">
        <v>0</v>
      </c>
      <c r="AD18" s="31">
        <v>0</v>
      </c>
      <c r="AE18" s="31">
        <v>0</v>
      </c>
      <c r="AF18" s="31">
        <v>0</v>
      </c>
      <c r="AG18" s="31">
        <v>0</v>
      </c>
      <c r="AH18" s="31">
        <v>0</v>
      </c>
    </row>
    <row r="19" spans="1:34" x14ac:dyDescent="0.3">
      <c r="A19" s="12" t="s">
        <v>74</v>
      </c>
      <c r="B19" s="137">
        <v>2</v>
      </c>
      <c r="C19" s="31"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</row>
    <row r="20" spans="1:34" x14ac:dyDescent="0.3">
      <c r="A20" s="12" t="s">
        <v>27</v>
      </c>
      <c r="B20" s="137">
        <v>4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</row>
    <row r="21" spans="1:34" x14ac:dyDescent="0.3">
      <c r="A21" s="12" t="s">
        <v>226</v>
      </c>
      <c r="B21" s="137">
        <v>10</v>
      </c>
      <c r="C21" s="31"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  <c r="AH21" s="31">
        <v>0</v>
      </c>
    </row>
    <row r="22" spans="1:34" x14ac:dyDescent="0.3">
      <c r="A22" s="12" t="s">
        <v>217</v>
      </c>
      <c r="B22" s="137">
        <v>20</v>
      </c>
      <c r="C22" s="31">
        <v>9.3060000000000009</v>
      </c>
      <c r="D22" s="31">
        <v>5.7949999999999999</v>
      </c>
      <c r="E22" s="31">
        <v>18.297000000000004</v>
      </c>
      <c r="F22" s="31">
        <v>18.251999999999999</v>
      </c>
      <c r="G22" s="31">
        <v>8.968</v>
      </c>
      <c r="H22" s="31">
        <v>12.288</v>
      </c>
      <c r="I22" s="31">
        <v>23.073999999999998</v>
      </c>
      <c r="J22" s="31">
        <v>18.189</v>
      </c>
      <c r="K22" s="31">
        <v>16.376000000000001</v>
      </c>
      <c r="L22" s="31">
        <v>17.535</v>
      </c>
      <c r="M22" s="31">
        <v>14.8</v>
      </c>
      <c r="N22" s="31">
        <v>9.4760000000000009</v>
      </c>
      <c r="O22" s="31">
        <v>0</v>
      </c>
      <c r="P22" s="31">
        <v>6.5280000000000005</v>
      </c>
      <c r="Q22" s="31">
        <v>4.9980000000000002</v>
      </c>
      <c r="R22" s="31">
        <v>8.2729999999999997</v>
      </c>
      <c r="S22" s="31">
        <v>10.403</v>
      </c>
      <c r="T22" s="31">
        <v>5.0760000000000005</v>
      </c>
      <c r="U22" s="31">
        <v>4.9320000000000004</v>
      </c>
      <c r="V22" s="31">
        <v>5.1649999999999991</v>
      </c>
      <c r="W22" s="31">
        <v>1.819</v>
      </c>
      <c r="X22" s="31">
        <v>2.42</v>
      </c>
      <c r="Y22" s="31">
        <v>4.8860000000000001</v>
      </c>
      <c r="Z22" s="31">
        <v>22.301000000000002</v>
      </c>
      <c r="AA22" s="31">
        <v>1.7470000000000001</v>
      </c>
      <c r="AB22" s="31">
        <v>6.8090000000000002</v>
      </c>
      <c r="AC22" s="31">
        <v>2.2120000000000002</v>
      </c>
      <c r="AD22" s="31">
        <v>5.2140000000000004</v>
      </c>
      <c r="AE22" s="31">
        <v>7.0280000000000005</v>
      </c>
      <c r="AF22" s="31">
        <v>10.131</v>
      </c>
      <c r="AG22" s="31">
        <v>0</v>
      </c>
      <c r="AH22" s="31">
        <v>6.1510000000000007</v>
      </c>
    </row>
    <row r="23" spans="1:34" x14ac:dyDescent="0.3">
      <c r="A23" s="12" t="s">
        <v>199</v>
      </c>
      <c r="B23" s="137">
        <v>6</v>
      </c>
      <c r="C23" s="31">
        <v>80.347999999999999</v>
      </c>
      <c r="D23" s="31">
        <v>55.890000000000008</v>
      </c>
      <c r="E23" s="31">
        <v>59.735000000000007</v>
      </c>
      <c r="F23" s="31">
        <v>100.965</v>
      </c>
      <c r="G23" s="31">
        <v>56.719000000000001</v>
      </c>
      <c r="H23" s="31">
        <v>74.616</v>
      </c>
      <c r="I23" s="31">
        <v>72.445999999999998</v>
      </c>
      <c r="J23" s="31">
        <v>29.077999999999999</v>
      </c>
      <c r="K23" s="31">
        <v>6.9240000000000004</v>
      </c>
      <c r="L23" s="31">
        <v>22.281000000000002</v>
      </c>
      <c r="M23" s="31">
        <v>60.192</v>
      </c>
      <c r="N23" s="31">
        <v>41.669000000000004</v>
      </c>
      <c r="O23" s="31">
        <v>35.220999999999997</v>
      </c>
      <c r="P23" s="31">
        <v>85.551000000000016</v>
      </c>
      <c r="Q23" s="31">
        <v>85.001000000000005</v>
      </c>
      <c r="R23" s="31">
        <v>72.48899999999999</v>
      </c>
      <c r="S23" s="31">
        <v>75.914000000000001</v>
      </c>
      <c r="T23" s="31">
        <v>51.580000000000005</v>
      </c>
      <c r="U23" s="31">
        <v>60.686</v>
      </c>
      <c r="V23" s="31">
        <v>53.802999999999997</v>
      </c>
      <c r="W23" s="31">
        <v>57.232000000000006</v>
      </c>
      <c r="X23" s="31">
        <v>71.557000000000002</v>
      </c>
      <c r="Y23" s="31">
        <v>83.641999999999996</v>
      </c>
      <c r="Z23" s="31">
        <v>61.826000000000001</v>
      </c>
      <c r="AA23" s="31">
        <v>75.914999999999992</v>
      </c>
      <c r="AB23" s="31">
        <v>62.647999999999996</v>
      </c>
      <c r="AC23" s="31">
        <v>60.997</v>
      </c>
      <c r="AD23" s="31">
        <v>49.31</v>
      </c>
      <c r="AE23" s="31">
        <v>51.714000000000006</v>
      </c>
      <c r="AF23" s="31">
        <v>62.699000000000005</v>
      </c>
      <c r="AG23" s="31">
        <v>24.425000000000001</v>
      </c>
      <c r="AH23" s="31">
        <v>61.027312499999994</v>
      </c>
    </row>
    <row r="24" spans="1:34" x14ac:dyDescent="0.3">
      <c r="A24" s="12" t="s">
        <v>200</v>
      </c>
      <c r="B24" s="137">
        <v>9</v>
      </c>
      <c r="C24" s="31">
        <v>194.38699999999997</v>
      </c>
      <c r="D24" s="31">
        <v>208.05299999999994</v>
      </c>
      <c r="E24" s="31">
        <v>178.43199999999999</v>
      </c>
      <c r="F24" s="31">
        <v>188.87099999999992</v>
      </c>
      <c r="G24" s="31">
        <v>230.16900000000001</v>
      </c>
      <c r="H24" s="31">
        <v>219.30899999999997</v>
      </c>
      <c r="I24" s="31">
        <v>182.161</v>
      </c>
      <c r="J24" s="31">
        <v>202.52500000000006</v>
      </c>
      <c r="K24" s="31">
        <v>203.25699999999995</v>
      </c>
      <c r="L24" s="31">
        <v>191.56500000000003</v>
      </c>
      <c r="M24" s="31">
        <v>125.604</v>
      </c>
      <c r="N24" s="31">
        <v>161.13000000000002</v>
      </c>
      <c r="O24" s="31">
        <v>66.925999999999988</v>
      </c>
      <c r="P24" s="31">
        <v>119.58400000000002</v>
      </c>
      <c r="Q24" s="31">
        <v>135.01400000000004</v>
      </c>
      <c r="R24" s="31">
        <v>191.69200000000004</v>
      </c>
      <c r="S24" s="31">
        <v>196.19499999999994</v>
      </c>
      <c r="T24" s="31">
        <v>187.66</v>
      </c>
      <c r="U24" s="31">
        <v>178.21699999999998</v>
      </c>
      <c r="V24" s="31">
        <v>171.81799999999998</v>
      </c>
      <c r="W24" s="31">
        <v>183.39099999999996</v>
      </c>
      <c r="X24" s="31">
        <v>157.92500000000001</v>
      </c>
      <c r="Y24" s="31">
        <v>204.63500000000002</v>
      </c>
      <c r="Z24" s="31">
        <v>195.959</v>
      </c>
      <c r="AA24" s="31">
        <v>191.11799999999999</v>
      </c>
      <c r="AB24" s="31">
        <v>216.107</v>
      </c>
      <c r="AC24" s="31">
        <v>180.387</v>
      </c>
      <c r="AD24" s="31">
        <v>153.54500000000002</v>
      </c>
      <c r="AE24" s="31">
        <v>189.49199999999996</v>
      </c>
      <c r="AF24" s="31">
        <v>207.45200000000003</v>
      </c>
      <c r="AG24" s="31">
        <v>152.601</v>
      </c>
      <c r="AH24" s="31">
        <v>184.88712500000005</v>
      </c>
    </row>
    <row r="25" spans="1:34" x14ac:dyDescent="0.3">
      <c r="A25" s="12" t="s">
        <v>201</v>
      </c>
      <c r="B25" s="137">
        <v>3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  <c r="AH25" s="31">
        <v>0</v>
      </c>
    </row>
    <row r="26" spans="1:34" x14ac:dyDescent="0.3">
      <c r="A26" s="12" t="s">
        <v>388</v>
      </c>
      <c r="B26" s="137">
        <v>5</v>
      </c>
      <c r="C26" s="31">
        <v>2.4660000000000002</v>
      </c>
      <c r="D26" s="31">
        <v>0</v>
      </c>
      <c r="E26" s="31">
        <v>7.9119999999999999</v>
      </c>
      <c r="F26" s="31">
        <v>9.1909999999999989</v>
      </c>
      <c r="G26" s="31">
        <v>2.1970000000000001</v>
      </c>
      <c r="H26" s="31">
        <v>6.73</v>
      </c>
      <c r="I26" s="31">
        <v>9.5459999999999994</v>
      </c>
      <c r="J26" s="31">
        <v>13.806999999999999</v>
      </c>
      <c r="K26" s="31">
        <v>4.641</v>
      </c>
      <c r="L26" s="31">
        <v>20.747</v>
      </c>
      <c r="M26" s="31">
        <v>8.7859999999999996</v>
      </c>
      <c r="N26" s="31">
        <v>0</v>
      </c>
      <c r="O26" s="31">
        <v>0</v>
      </c>
      <c r="P26" s="31">
        <v>7.0780000000000003</v>
      </c>
      <c r="Q26" s="31">
        <v>14.713000000000001</v>
      </c>
      <c r="R26" s="31">
        <v>8.1340000000000003</v>
      </c>
      <c r="S26" s="31">
        <v>13.763999999999999</v>
      </c>
      <c r="T26" s="31">
        <v>6.4820000000000002</v>
      </c>
      <c r="U26" s="31">
        <v>4.306</v>
      </c>
      <c r="V26" s="31">
        <v>4.9379999999999997</v>
      </c>
      <c r="W26" s="31">
        <v>4.6100000000000003</v>
      </c>
      <c r="X26" s="31">
        <v>3.4660000000000002</v>
      </c>
      <c r="Y26" s="31">
        <v>25.542999999999999</v>
      </c>
      <c r="Z26" s="31">
        <v>12.829000000000001</v>
      </c>
      <c r="AA26" s="31">
        <v>6.4</v>
      </c>
      <c r="AB26" s="31">
        <v>12.327</v>
      </c>
      <c r="AC26" s="31">
        <v>0</v>
      </c>
      <c r="AD26" s="31">
        <v>14.649999999999999</v>
      </c>
      <c r="AE26" s="31">
        <v>7.9979999999999993</v>
      </c>
      <c r="AF26" s="31">
        <v>0</v>
      </c>
      <c r="AG26" s="31">
        <v>8.6869999999999994</v>
      </c>
      <c r="AH26" s="31">
        <v>8.3833750000000009</v>
      </c>
    </row>
    <row r="27" spans="1:34" x14ac:dyDescent="0.3">
      <c r="A27" s="12" t="s">
        <v>212</v>
      </c>
      <c r="B27" s="137">
        <v>7</v>
      </c>
      <c r="C27" s="31">
        <v>93.259000000000015</v>
      </c>
      <c r="D27" s="31">
        <v>124.342</v>
      </c>
      <c r="E27" s="31">
        <v>110.706</v>
      </c>
      <c r="F27" s="31">
        <v>102.03899999999999</v>
      </c>
      <c r="G27" s="31">
        <v>120.87299999999999</v>
      </c>
      <c r="H27" s="31">
        <v>104.08899999999998</v>
      </c>
      <c r="I27" s="31">
        <v>105.285</v>
      </c>
      <c r="J27" s="31">
        <v>119.37699999999998</v>
      </c>
      <c r="K27" s="31">
        <v>110.44</v>
      </c>
      <c r="L27" s="31">
        <v>132.38199999999998</v>
      </c>
      <c r="M27" s="31">
        <v>98.295000000000002</v>
      </c>
      <c r="N27" s="31">
        <v>60.556000000000004</v>
      </c>
      <c r="O27" s="31">
        <v>85.909000000000006</v>
      </c>
      <c r="P27" s="31">
        <v>67.647000000000006</v>
      </c>
      <c r="Q27" s="31">
        <v>114.69</v>
      </c>
      <c r="R27" s="31">
        <v>121.15100000000002</v>
      </c>
      <c r="S27" s="31">
        <v>81.348000000000013</v>
      </c>
      <c r="T27" s="31">
        <v>109.01800000000001</v>
      </c>
      <c r="U27" s="31">
        <v>80.899000000000001</v>
      </c>
      <c r="V27" s="31">
        <v>94.311999999999983</v>
      </c>
      <c r="W27" s="31">
        <v>120.00600000000001</v>
      </c>
      <c r="X27" s="31">
        <v>108.90900000000001</v>
      </c>
      <c r="Y27" s="31">
        <v>109.19999999999999</v>
      </c>
      <c r="Z27" s="31">
        <v>95.854000000000013</v>
      </c>
      <c r="AA27" s="31">
        <v>116.84900000000002</v>
      </c>
      <c r="AB27" s="31">
        <v>103.67699999999999</v>
      </c>
      <c r="AC27" s="31">
        <v>99.370000000000019</v>
      </c>
      <c r="AD27" s="31">
        <v>107.08900000000001</v>
      </c>
      <c r="AE27" s="31">
        <v>128.45099999999999</v>
      </c>
      <c r="AF27" s="31">
        <v>114.72900000000001</v>
      </c>
      <c r="AG27" s="31">
        <v>69.941000000000003</v>
      </c>
      <c r="AH27" s="31">
        <v>103.80018750000001</v>
      </c>
    </row>
    <row r="28" spans="1:34" x14ac:dyDescent="0.3">
      <c r="A28" s="12" t="s">
        <v>227</v>
      </c>
      <c r="B28" s="137">
        <v>13</v>
      </c>
      <c r="C28" s="31">
        <v>12.563000000000001</v>
      </c>
      <c r="D28" s="31">
        <v>52.170999999999999</v>
      </c>
      <c r="E28" s="31">
        <v>35.173000000000002</v>
      </c>
      <c r="F28" s="31">
        <v>30.756999999999998</v>
      </c>
      <c r="G28" s="31">
        <v>35.301000000000002</v>
      </c>
      <c r="H28" s="31">
        <v>44.812000000000005</v>
      </c>
      <c r="I28" s="31">
        <v>31.510999999999996</v>
      </c>
      <c r="J28" s="31">
        <v>45.036000000000001</v>
      </c>
      <c r="K28" s="31">
        <v>28.926000000000002</v>
      </c>
      <c r="L28" s="31">
        <v>48.942</v>
      </c>
      <c r="M28" s="31">
        <v>55.802000000000007</v>
      </c>
      <c r="N28" s="31">
        <v>37.814999999999998</v>
      </c>
      <c r="O28" s="31">
        <v>39.864999999999995</v>
      </c>
      <c r="P28" s="31">
        <v>28.964000000000002</v>
      </c>
      <c r="Q28" s="31">
        <v>49.51100000000001</v>
      </c>
      <c r="R28" s="31">
        <v>29.622999999999998</v>
      </c>
      <c r="S28" s="31">
        <v>53.302999999999997</v>
      </c>
      <c r="T28" s="31">
        <v>24.82</v>
      </c>
      <c r="U28" s="31">
        <v>43.521000000000001</v>
      </c>
      <c r="V28" s="31">
        <v>20.164000000000001</v>
      </c>
      <c r="W28" s="31">
        <v>40.849000000000004</v>
      </c>
      <c r="X28" s="31">
        <v>21.5</v>
      </c>
      <c r="Y28" s="31">
        <v>50.852000000000004</v>
      </c>
      <c r="Z28" s="31">
        <v>18.891999999999999</v>
      </c>
      <c r="AA28" s="31">
        <v>51.856999999999999</v>
      </c>
      <c r="AB28" s="31">
        <v>23.687000000000001</v>
      </c>
      <c r="AC28" s="31">
        <v>27.564</v>
      </c>
      <c r="AD28" s="31">
        <v>43.809000000000012</v>
      </c>
      <c r="AE28" s="31">
        <v>29.479999999999997</v>
      </c>
      <c r="AF28" s="31">
        <v>20.447000000000003</v>
      </c>
      <c r="AG28" s="31">
        <v>13.712</v>
      </c>
      <c r="AH28" s="31">
        <v>32.130000000000003</v>
      </c>
    </row>
    <row r="29" spans="1:34" x14ac:dyDescent="0.3">
      <c r="A29" s="12" t="s">
        <v>403</v>
      </c>
      <c r="B29" s="137">
        <v>1</v>
      </c>
      <c r="C29" s="31">
        <v>0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</v>
      </c>
      <c r="AH29" s="31">
        <v>0</v>
      </c>
    </row>
    <row r="30" spans="1:34" x14ac:dyDescent="0.3">
      <c r="A30" s="12" t="s">
        <v>218</v>
      </c>
      <c r="B30" s="137">
        <v>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</v>
      </c>
      <c r="AE30" s="31">
        <v>0</v>
      </c>
      <c r="AF30" s="31">
        <v>0</v>
      </c>
      <c r="AG30" s="31">
        <v>0</v>
      </c>
      <c r="AH30" s="31">
        <v>0</v>
      </c>
    </row>
    <row r="31" spans="1:34" x14ac:dyDescent="0.3">
      <c r="A31" s="12" t="s">
        <v>370</v>
      </c>
      <c r="B31" s="137">
        <v>1</v>
      </c>
      <c r="C31" s="31">
        <v>18.782</v>
      </c>
      <c r="D31" s="31">
        <v>24.361999999999998</v>
      </c>
      <c r="E31" s="31">
        <v>21.398999999999997</v>
      </c>
      <c r="F31" s="31">
        <v>16.748000000000001</v>
      </c>
      <c r="G31" s="31">
        <v>16.625</v>
      </c>
      <c r="H31" s="31">
        <v>10.850999999999999</v>
      </c>
      <c r="I31" s="31">
        <v>21.164000000000001</v>
      </c>
      <c r="J31" s="31">
        <v>11.275</v>
      </c>
      <c r="K31" s="31">
        <v>14.809000000000001</v>
      </c>
      <c r="L31" s="31">
        <v>16.411000000000001</v>
      </c>
      <c r="M31" s="31">
        <v>14.062000000000001</v>
      </c>
      <c r="N31" s="31">
        <v>2.5859999999999999</v>
      </c>
      <c r="O31" s="31">
        <v>12.474</v>
      </c>
      <c r="P31" s="31">
        <v>10.045</v>
      </c>
      <c r="Q31" s="31">
        <v>10.805000000000001</v>
      </c>
      <c r="R31" s="31">
        <v>21.332999999999998</v>
      </c>
      <c r="S31" s="31">
        <v>4.8579999999999997</v>
      </c>
      <c r="T31" s="31">
        <v>13.286000000000001</v>
      </c>
      <c r="U31" s="31">
        <v>7.3239999999999998</v>
      </c>
      <c r="V31" s="31">
        <v>10.962</v>
      </c>
      <c r="W31" s="31">
        <v>16.262</v>
      </c>
      <c r="X31" s="31">
        <v>8.4469999999999992</v>
      </c>
      <c r="Y31" s="31">
        <v>16.549999999999997</v>
      </c>
      <c r="Z31" s="31">
        <v>14.832000000000001</v>
      </c>
      <c r="AA31" s="31">
        <v>21.701000000000001</v>
      </c>
      <c r="AB31" s="31">
        <v>17.758999999999997</v>
      </c>
      <c r="AC31" s="31">
        <v>19.586000000000002</v>
      </c>
      <c r="AD31" s="31">
        <v>12.46</v>
      </c>
      <c r="AE31" s="31">
        <v>11.026</v>
      </c>
      <c r="AF31" s="31">
        <v>19.147000000000002</v>
      </c>
      <c r="AG31" s="31">
        <v>17.423999999999999</v>
      </c>
      <c r="AH31" s="31">
        <v>14.559812500000001</v>
      </c>
    </row>
    <row r="32" spans="1:34" x14ac:dyDescent="0.3">
      <c r="A32" s="12" t="s">
        <v>406</v>
      </c>
      <c r="B32" s="137">
        <v>2</v>
      </c>
      <c r="C32" s="31">
        <v>6.1859999999999999</v>
      </c>
      <c r="D32" s="31">
        <v>0</v>
      </c>
      <c r="E32" s="31">
        <v>0</v>
      </c>
      <c r="F32" s="31">
        <v>3.798</v>
      </c>
      <c r="G32" s="31">
        <v>0</v>
      </c>
      <c r="H32" s="31">
        <v>0</v>
      </c>
      <c r="I32" s="31">
        <v>10.031000000000001</v>
      </c>
      <c r="J32" s="31">
        <v>0</v>
      </c>
      <c r="K32" s="31">
        <v>10.417999999999999</v>
      </c>
      <c r="L32" s="31">
        <v>10.888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11.067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1.97</v>
      </c>
      <c r="AE32" s="31">
        <v>19.667999999999999</v>
      </c>
      <c r="AF32" s="31">
        <v>9.1170000000000009</v>
      </c>
      <c r="AG32" s="31">
        <v>0</v>
      </c>
      <c r="AH32" s="31">
        <v>2.6138750000000002</v>
      </c>
    </row>
    <row r="33" spans="1:34" x14ac:dyDescent="0.3">
      <c r="A33" s="12" t="s">
        <v>435</v>
      </c>
      <c r="B33" s="137">
        <v>1</v>
      </c>
      <c r="C33" s="31">
        <v>0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31">
        <v>0</v>
      </c>
      <c r="AD33" s="31">
        <v>0</v>
      </c>
      <c r="AE33" s="31">
        <v>0</v>
      </c>
      <c r="AF33" s="31">
        <v>0</v>
      </c>
      <c r="AG33" s="31">
        <v>0</v>
      </c>
      <c r="AH33" s="31">
        <v>0</v>
      </c>
    </row>
    <row r="34" spans="1:34" x14ac:dyDescent="0.3">
      <c r="A34" s="12" t="s">
        <v>225</v>
      </c>
      <c r="B34" s="137">
        <v>16</v>
      </c>
      <c r="C34" s="31">
        <v>8.2509999999999994</v>
      </c>
      <c r="D34" s="31">
        <v>12.860000000000001</v>
      </c>
      <c r="E34" s="31">
        <v>3.3969999999999998</v>
      </c>
      <c r="F34" s="31">
        <v>1.752</v>
      </c>
      <c r="G34" s="31">
        <v>15.079000000000001</v>
      </c>
      <c r="H34" s="31">
        <v>0.48899999999999999</v>
      </c>
      <c r="I34" s="31">
        <v>0</v>
      </c>
      <c r="J34" s="31">
        <v>1.147</v>
      </c>
      <c r="K34" s="31">
        <v>6.23</v>
      </c>
      <c r="L34" s="31">
        <v>8.391</v>
      </c>
      <c r="M34" s="31">
        <v>0</v>
      </c>
      <c r="N34" s="31">
        <v>14.99</v>
      </c>
      <c r="O34" s="31">
        <v>0.63700000000000001</v>
      </c>
      <c r="P34" s="31">
        <v>28.732999999999997</v>
      </c>
      <c r="Q34" s="31">
        <v>11.225</v>
      </c>
      <c r="R34" s="31">
        <v>7.61</v>
      </c>
      <c r="S34" s="31">
        <v>16.962</v>
      </c>
      <c r="T34" s="31">
        <v>10.480999999999998</v>
      </c>
      <c r="U34" s="31">
        <v>12.377999999999998</v>
      </c>
      <c r="V34" s="31">
        <v>5.6349999999999998</v>
      </c>
      <c r="W34" s="31">
        <v>9.9320000000000022</v>
      </c>
      <c r="X34" s="31">
        <v>17.122</v>
      </c>
      <c r="Y34" s="31">
        <v>10.707000000000001</v>
      </c>
      <c r="Z34" s="31">
        <v>8.3529999999999998</v>
      </c>
      <c r="AA34" s="31">
        <v>3.7839999999999998</v>
      </c>
      <c r="AB34" s="31">
        <v>17.451000000000001</v>
      </c>
      <c r="AC34" s="31">
        <v>8.5009999999999994</v>
      </c>
      <c r="AD34" s="31">
        <v>11.079000000000001</v>
      </c>
      <c r="AE34" s="31">
        <v>4.3330000000000002</v>
      </c>
      <c r="AF34" s="31">
        <v>0</v>
      </c>
      <c r="AG34" s="31">
        <v>0</v>
      </c>
      <c r="AH34" s="31">
        <v>9.0205000000000002</v>
      </c>
    </row>
    <row r="35" spans="1:34" x14ac:dyDescent="0.3">
      <c r="A35" s="12" t="s">
        <v>248</v>
      </c>
      <c r="B35" s="137">
        <v>1</v>
      </c>
      <c r="C35" s="31">
        <v>3.411</v>
      </c>
      <c r="D35" s="31">
        <v>0</v>
      </c>
      <c r="E35" s="31">
        <v>0</v>
      </c>
      <c r="F35" s="31">
        <v>0</v>
      </c>
      <c r="G35" s="31">
        <v>0</v>
      </c>
      <c r="H35" s="31">
        <v>0</v>
      </c>
      <c r="I35" s="31">
        <v>3.411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3.3969999999999998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3.3809999999999998</v>
      </c>
      <c r="AA35" s="31">
        <v>0</v>
      </c>
      <c r="AB35" s="31">
        <v>0</v>
      </c>
      <c r="AC35" s="31">
        <v>0</v>
      </c>
      <c r="AD35" s="31">
        <v>0</v>
      </c>
      <c r="AE35" s="31">
        <v>0</v>
      </c>
      <c r="AF35" s="31">
        <v>3.3860000000000001</v>
      </c>
      <c r="AG35" s="31">
        <v>0</v>
      </c>
      <c r="AH35" s="31">
        <v>0.42293749999999997</v>
      </c>
    </row>
    <row r="36" spans="1:34" x14ac:dyDescent="0.3">
      <c r="A36" s="12" t="s">
        <v>220</v>
      </c>
      <c r="B36" s="137">
        <v>19</v>
      </c>
      <c r="C36" s="31">
        <v>2.306</v>
      </c>
      <c r="D36" s="31">
        <v>2.2829999999999999</v>
      </c>
      <c r="E36" s="31">
        <v>3.2519999999999998</v>
      </c>
      <c r="F36" s="31">
        <v>4.194</v>
      </c>
      <c r="G36" s="31">
        <v>2.8860000000000001</v>
      </c>
      <c r="H36" s="31">
        <v>3.9169999999999998</v>
      </c>
      <c r="I36" s="31">
        <v>3.6420000000000003</v>
      </c>
      <c r="J36" s="31">
        <v>1.994</v>
      </c>
      <c r="K36" s="31">
        <v>2.3119999999999998</v>
      </c>
      <c r="L36" s="31">
        <v>3.198</v>
      </c>
      <c r="M36" s="31">
        <v>0</v>
      </c>
      <c r="N36" s="31">
        <v>2.427</v>
      </c>
      <c r="O36" s="31">
        <v>2.0699999999999998</v>
      </c>
      <c r="P36" s="31">
        <v>2.101</v>
      </c>
      <c r="Q36" s="31">
        <v>2.4209999999999998</v>
      </c>
      <c r="R36" s="31">
        <v>2.2749999999999999</v>
      </c>
      <c r="S36" s="31">
        <v>2.4009999999999998</v>
      </c>
      <c r="T36" s="31">
        <v>3.2069999999999999</v>
      </c>
      <c r="U36" s="31">
        <v>3.3839999999999999</v>
      </c>
      <c r="V36" s="31">
        <v>2.29</v>
      </c>
      <c r="W36" s="31">
        <v>3.891</v>
      </c>
      <c r="X36" s="31">
        <v>2.1659999999999999</v>
      </c>
      <c r="Y36" s="31">
        <v>2.0390000000000001</v>
      </c>
      <c r="Z36" s="31">
        <v>2.323</v>
      </c>
      <c r="AA36" s="31">
        <v>2.137</v>
      </c>
      <c r="AB36" s="31">
        <v>2.419</v>
      </c>
      <c r="AC36" s="31">
        <v>2.806</v>
      </c>
      <c r="AD36" s="31">
        <v>2.2789999999999999</v>
      </c>
      <c r="AE36" s="31">
        <v>1.86</v>
      </c>
      <c r="AF36" s="31">
        <v>1.337</v>
      </c>
      <c r="AG36" s="31">
        <v>0</v>
      </c>
      <c r="AH36" s="31">
        <v>2.3008750000000004</v>
      </c>
    </row>
    <row r="37" spans="1:34" x14ac:dyDescent="0.3">
      <c r="A37" s="12" t="s">
        <v>389</v>
      </c>
      <c r="B37" s="137">
        <v>10</v>
      </c>
      <c r="C37" s="31">
        <v>60.507000000000005</v>
      </c>
      <c r="D37" s="31">
        <v>68.583999999999989</v>
      </c>
      <c r="E37" s="31">
        <v>95.626000000000005</v>
      </c>
      <c r="F37" s="31">
        <v>105.28100000000001</v>
      </c>
      <c r="G37" s="31">
        <v>72.333999999999989</v>
      </c>
      <c r="H37" s="31">
        <v>78.055000000000007</v>
      </c>
      <c r="I37" s="31">
        <v>44.69</v>
      </c>
      <c r="J37" s="31">
        <v>89.927999999999997</v>
      </c>
      <c r="K37" s="31">
        <v>74.661000000000001</v>
      </c>
      <c r="L37" s="31">
        <v>98.38000000000001</v>
      </c>
      <c r="M37" s="31">
        <v>74.433999999999997</v>
      </c>
      <c r="N37" s="31">
        <v>45.600000000000009</v>
      </c>
      <c r="O37" s="31">
        <v>71.22499999999998</v>
      </c>
      <c r="P37" s="31">
        <v>68.426999999999992</v>
      </c>
      <c r="Q37" s="31">
        <v>67.638999999999996</v>
      </c>
      <c r="R37" s="31">
        <v>94.978999999999999</v>
      </c>
      <c r="S37" s="31">
        <v>84.073999999999998</v>
      </c>
      <c r="T37" s="31">
        <v>82.160000000000011</v>
      </c>
      <c r="U37" s="31">
        <v>76.19</v>
      </c>
      <c r="V37" s="31">
        <v>84.934999999999988</v>
      </c>
      <c r="W37" s="31">
        <v>77.535999999999987</v>
      </c>
      <c r="X37" s="31">
        <v>88.248999999999995</v>
      </c>
      <c r="Y37" s="31">
        <v>85.448000000000008</v>
      </c>
      <c r="Z37" s="31">
        <v>73.308999999999997</v>
      </c>
      <c r="AA37" s="31">
        <v>74.271000000000001</v>
      </c>
      <c r="AB37" s="31">
        <v>82.194999999999979</v>
      </c>
      <c r="AC37" s="31">
        <v>105.65</v>
      </c>
      <c r="AD37" s="31">
        <v>76.367000000000004</v>
      </c>
      <c r="AE37" s="31">
        <v>58.478999999999999</v>
      </c>
      <c r="AF37" s="31">
        <v>100.542</v>
      </c>
      <c r="AG37" s="31">
        <v>106.95599999999999</v>
      </c>
      <c r="AH37" s="31">
        <v>84.458749999999981</v>
      </c>
    </row>
    <row r="38" spans="1:34" x14ac:dyDescent="0.3">
      <c r="A38" s="12" t="s">
        <v>390</v>
      </c>
      <c r="B38" s="137">
        <v>3</v>
      </c>
      <c r="C38" s="31">
        <v>0</v>
      </c>
      <c r="D38" s="31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  <c r="AC38" s="31">
        <v>0</v>
      </c>
      <c r="AD38" s="31">
        <v>0</v>
      </c>
      <c r="AE38" s="31">
        <v>0</v>
      </c>
      <c r="AF38" s="31">
        <v>0</v>
      </c>
      <c r="AG38" s="31">
        <v>0</v>
      </c>
      <c r="AH38" s="31">
        <v>0</v>
      </c>
    </row>
    <row r="39" spans="1:34" x14ac:dyDescent="0.3">
      <c r="A39" s="12" t="s">
        <v>205</v>
      </c>
      <c r="B39" s="137">
        <v>3</v>
      </c>
      <c r="C39" s="31">
        <v>57.736000000000004</v>
      </c>
      <c r="D39" s="31">
        <v>73.293999999999997</v>
      </c>
      <c r="E39" s="31">
        <v>64.099000000000004</v>
      </c>
      <c r="F39" s="31">
        <v>67.182999999999993</v>
      </c>
      <c r="G39" s="31">
        <v>77.584000000000003</v>
      </c>
      <c r="H39" s="31">
        <v>58.751999999999995</v>
      </c>
      <c r="I39" s="31">
        <v>81.397999999999996</v>
      </c>
      <c r="J39" s="31">
        <v>104.62700000000001</v>
      </c>
      <c r="K39" s="31">
        <v>83.091000000000008</v>
      </c>
      <c r="L39" s="31">
        <v>60.461000000000006</v>
      </c>
      <c r="M39" s="31">
        <v>57.906999999999996</v>
      </c>
      <c r="N39" s="31">
        <v>92.771999999999991</v>
      </c>
      <c r="O39" s="31">
        <v>63.942999999999998</v>
      </c>
      <c r="P39" s="31">
        <v>91.191000000000003</v>
      </c>
      <c r="Q39" s="31">
        <v>89.316000000000017</v>
      </c>
      <c r="R39" s="31">
        <v>92.925999999999988</v>
      </c>
      <c r="S39" s="31">
        <v>73.656000000000006</v>
      </c>
      <c r="T39" s="31">
        <v>83.846999999999994</v>
      </c>
      <c r="U39" s="31">
        <v>80.537999999999997</v>
      </c>
      <c r="V39" s="31">
        <v>97.478000000000009</v>
      </c>
      <c r="W39" s="31">
        <v>92.928999999999988</v>
      </c>
      <c r="X39" s="31">
        <v>103.902</v>
      </c>
      <c r="Y39" s="31">
        <v>92.567000000000007</v>
      </c>
      <c r="Z39" s="31">
        <v>111.12400000000004</v>
      </c>
      <c r="AA39" s="31">
        <v>68.159000000000006</v>
      </c>
      <c r="AB39" s="31">
        <v>93.915000000000006</v>
      </c>
      <c r="AC39" s="31">
        <v>71.839999999999989</v>
      </c>
      <c r="AD39" s="31">
        <v>103.53100000000001</v>
      </c>
      <c r="AE39" s="31">
        <v>72.38900000000001</v>
      </c>
      <c r="AF39" s="31">
        <v>95.104000000000013</v>
      </c>
      <c r="AG39" s="31">
        <v>57.723999999999997</v>
      </c>
      <c r="AH39" s="31">
        <v>86.976812499999994</v>
      </c>
    </row>
    <row r="40" spans="1:34" x14ac:dyDescent="0.3">
      <c r="A40" s="12" t="s">
        <v>434</v>
      </c>
      <c r="B40" s="137">
        <v>1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31">
        <v>0</v>
      </c>
      <c r="AH40" s="31">
        <v>0</v>
      </c>
    </row>
    <row r="41" spans="1:34" x14ac:dyDescent="0.3">
      <c r="A41" s="12" t="s">
        <v>213</v>
      </c>
      <c r="B41" s="137">
        <v>4</v>
      </c>
      <c r="C41" s="31">
        <v>89.583000000000013</v>
      </c>
      <c r="D41" s="31">
        <v>82.271000000000001</v>
      </c>
      <c r="E41" s="31">
        <v>82.548000000000002</v>
      </c>
      <c r="F41" s="31">
        <v>93.088000000000008</v>
      </c>
      <c r="G41" s="31">
        <v>97.110000000000028</v>
      </c>
      <c r="H41" s="31">
        <v>91.463999999999999</v>
      </c>
      <c r="I41" s="31">
        <v>80.73899999999999</v>
      </c>
      <c r="J41" s="31">
        <v>70.181999999999988</v>
      </c>
      <c r="K41" s="31">
        <v>90.236000000000004</v>
      </c>
      <c r="L41" s="31">
        <v>80.772999999999996</v>
      </c>
      <c r="M41" s="31">
        <v>48.75200000000001</v>
      </c>
      <c r="N41" s="31">
        <v>50.966999999999999</v>
      </c>
      <c r="O41" s="31">
        <v>54.061999999999991</v>
      </c>
      <c r="P41" s="31">
        <v>54.527999999999999</v>
      </c>
      <c r="Q41" s="31">
        <v>81.724000000000004</v>
      </c>
      <c r="R41" s="31">
        <v>94.228000000000023</v>
      </c>
      <c r="S41" s="31">
        <v>81.105000000000004</v>
      </c>
      <c r="T41" s="31">
        <v>81.016999999999996</v>
      </c>
      <c r="U41" s="31">
        <v>83.517999999999986</v>
      </c>
      <c r="V41" s="31">
        <v>88.843999999999994</v>
      </c>
      <c r="W41" s="31">
        <v>81.227000000000004</v>
      </c>
      <c r="X41" s="31">
        <v>80.200999999999993</v>
      </c>
      <c r="Y41" s="31">
        <v>93.081999999999994</v>
      </c>
      <c r="Z41" s="31">
        <v>88.36999999999999</v>
      </c>
      <c r="AA41" s="31">
        <v>68.329000000000008</v>
      </c>
      <c r="AB41" s="31">
        <v>83.13000000000001</v>
      </c>
      <c r="AC41" s="31">
        <v>76.787999999999997</v>
      </c>
      <c r="AD41" s="31">
        <v>101.15600000000001</v>
      </c>
      <c r="AE41" s="31">
        <v>77.816999999999993</v>
      </c>
      <c r="AF41" s="31">
        <v>106.477</v>
      </c>
      <c r="AG41" s="31">
        <v>82.549000000000007</v>
      </c>
      <c r="AH41" s="31">
        <v>85.489875000000012</v>
      </c>
    </row>
    <row r="42" spans="1:34" x14ac:dyDescent="0.3">
      <c r="A42" s="12" t="s">
        <v>298</v>
      </c>
      <c r="B42" s="137">
        <v>4</v>
      </c>
      <c r="C42" s="31">
        <v>1.0660000000000001</v>
      </c>
      <c r="D42" s="31">
        <v>0</v>
      </c>
      <c r="E42" s="31">
        <v>1.8009999999999999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0.85899999999999999</v>
      </c>
      <c r="N42" s="31">
        <v>1.9850000000000001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8.2899999999999991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0.51812499999999995</v>
      </c>
    </row>
    <row r="43" spans="1:34" x14ac:dyDescent="0.3">
      <c r="A43" s="12" t="s">
        <v>202</v>
      </c>
      <c r="B43" s="137">
        <v>8</v>
      </c>
      <c r="C43" s="31">
        <v>92.018000000000001</v>
      </c>
      <c r="D43" s="31">
        <v>77.843999999999994</v>
      </c>
      <c r="E43" s="31">
        <v>104.883</v>
      </c>
      <c r="F43" s="31">
        <v>59.243999999999993</v>
      </c>
      <c r="G43" s="31">
        <v>82.591000000000008</v>
      </c>
      <c r="H43" s="31">
        <v>74.325000000000003</v>
      </c>
      <c r="I43" s="31">
        <v>64.927000000000007</v>
      </c>
      <c r="J43" s="31">
        <v>64.87</v>
      </c>
      <c r="K43" s="31">
        <v>65.515999999999991</v>
      </c>
      <c r="L43" s="31">
        <v>113.99300000000001</v>
      </c>
      <c r="M43" s="31">
        <v>166.79299999999998</v>
      </c>
      <c r="N43" s="31">
        <v>65.055999999999997</v>
      </c>
      <c r="O43" s="31">
        <v>128.376</v>
      </c>
      <c r="P43" s="31">
        <v>100.45300000000002</v>
      </c>
      <c r="Q43" s="31">
        <v>118.65900000000001</v>
      </c>
      <c r="R43" s="31">
        <v>162.44900000000001</v>
      </c>
      <c r="S43" s="31">
        <v>116.108</v>
      </c>
      <c r="T43" s="31">
        <v>106.63399999999999</v>
      </c>
      <c r="U43" s="31">
        <v>116.06099999999999</v>
      </c>
      <c r="V43" s="31">
        <v>103.173</v>
      </c>
      <c r="W43" s="31">
        <v>124.893</v>
      </c>
      <c r="X43" s="31">
        <v>122.292</v>
      </c>
      <c r="Y43" s="31">
        <v>101</v>
      </c>
      <c r="Z43" s="31">
        <v>130.69300000000001</v>
      </c>
      <c r="AA43" s="31">
        <v>105.56099999999999</v>
      </c>
      <c r="AB43" s="31">
        <v>89.278999999999996</v>
      </c>
      <c r="AC43" s="31">
        <v>113.03100000000001</v>
      </c>
      <c r="AD43" s="31">
        <v>94.466999999999999</v>
      </c>
      <c r="AE43" s="31">
        <v>101.08900000000001</v>
      </c>
      <c r="AF43" s="31">
        <v>141.04599999999999</v>
      </c>
      <c r="AG43" s="31">
        <v>93.543999999999997</v>
      </c>
      <c r="AH43" s="31">
        <v>113.83250000000001</v>
      </c>
    </row>
    <row r="44" spans="1:34" x14ac:dyDescent="0.3">
      <c r="A44" s="12" t="s">
        <v>356</v>
      </c>
      <c r="B44" s="137">
        <v>20</v>
      </c>
      <c r="C44" s="31">
        <v>318.34800000000007</v>
      </c>
      <c r="D44" s="31">
        <v>362.71500000000009</v>
      </c>
      <c r="E44" s="31">
        <v>323.74200000000002</v>
      </c>
      <c r="F44" s="31">
        <v>333.81100000000004</v>
      </c>
      <c r="G44" s="31">
        <v>296.63900000000001</v>
      </c>
      <c r="H44" s="31">
        <v>359.98400000000004</v>
      </c>
      <c r="I44" s="31">
        <v>264.1520000000001</v>
      </c>
      <c r="J44" s="31">
        <v>329.37300000000005</v>
      </c>
      <c r="K44" s="31">
        <v>344.48500000000001</v>
      </c>
      <c r="L44" s="31">
        <v>321.95200000000006</v>
      </c>
      <c r="M44" s="31">
        <v>348.14899999999989</v>
      </c>
      <c r="N44" s="31">
        <v>345.19400000000002</v>
      </c>
      <c r="O44" s="31">
        <v>278.24300000000005</v>
      </c>
      <c r="P44" s="31">
        <v>340.1690000000001</v>
      </c>
      <c r="Q44" s="31">
        <v>368.44299999999987</v>
      </c>
      <c r="R44" s="31">
        <v>368.43800000000022</v>
      </c>
      <c r="S44" s="31">
        <v>376.97799999999989</v>
      </c>
      <c r="T44" s="31">
        <v>392.34</v>
      </c>
      <c r="U44" s="31">
        <v>409.4430000000001</v>
      </c>
      <c r="V44" s="31">
        <v>362.27</v>
      </c>
      <c r="W44" s="31">
        <v>306.44800000000004</v>
      </c>
      <c r="X44" s="31">
        <v>319.40900000000005</v>
      </c>
      <c r="Y44" s="31">
        <v>391.04100000000017</v>
      </c>
      <c r="Z44" s="31">
        <v>387.17099999999999</v>
      </c>
      <c r="AA44" s="31">
        <v>350.01900000000012</v>
      </c>
      <c r="AB44" s="31">
        <v>380.77600000000001</v>
      </c>
      <c r="AC44" s="31">
        <v>394.82</v>
      </c>
      <c r="AD44" s="31">
        <v>339.7829999999999</v>
      </c>
      <c r="AE44" s="31">
        <v>339.00399999999996</v>
      </c>
      <c r="AF44" s="31">
        <v>375.19900000000001</v>
      </c>
      <c r="AG44" s="31">
        <v>327.91099999999994</v>
      </c>
      <c r="AH44" s="31">
        <v>363.81562499999995</v>
      </c>
    </row>
    <row r="45" spans="1:34" x14ac:dyDescent="0.3">
      <c r="A45" s="12" t="s">
        <v>433</v>
      </c>
      <c r="B45" s="137">
        <v>1</v>
      </c>
      <c r="C45" s="31">
        <v>0</v>
      </c>
      <c r="D45" s="31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31">
        <v>0</v>
      </c>
      <c r="AD45" s="31">
        <v>0</v>
      </c>
      <c r="AE45" s="31">
        <v>0</v>
      </c>
      <c r="AF45" s="31">
        <v>0</v>
      </c>
      <c r="AG45" s="31">
        <v>0</v>
      </c>
      <c r="AH45" s="31">
        <v>0</v>
      </c>
    </row>
    <row r="46" spans="1:34" x14ac:dyDescent="0.3">
      <c r="A46" s="12" t="s">
        <v>229</v>
      </c>
      <c r="B46" s="137">
        <v>2</v>
      </c>
      <c r="C46" s="31">
        <v>0</v>
      </c>
      <c r="D46" s="31">
        <v>0</v>
      </c>
      <c r="E46" s="31">
        <v>4.9800000000000004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12.57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13.114000000000001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0.81962500000000005</v>
      </c>
    </row>
    <row r="47" spans="1:34" x14ac:dyDescent="0.3">
      <c r="A47" s="12" t="s">
        <v>233</v>
      </c>
      <c r="B47" s="137">
        <v>6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  <c r="AH47" s="31">
        <v>0</v>
      </c>
    </row>
    <row r="48" spans="1:34" x14ac:dyDescent="0.3">
      <c r="A48" s="12" t="s">
        <v>458</v>
      </c>
      <c r="B48" s="137">
        <v>2</v>
      </c>
      <c r="C48" s="31">
        <v>0</v>
      </c>
      <c r="D48" s="31">
        <v>0</v>
      </c>
      <c r="E48" s="31">
        <v>0</v>
      </c>
      <c r="F48" s="31">
        <v>5.3780000000000001</v>
      </c>
      <c r="G48" s="31">
        <v>0</v>
      </c>
      <c r="H48" s="31">
        <v>0</v>
      </c>
      <c r="I48" s="31">
        <v>5.3579999999999997</v>
      </c>
      <c r="J48" s="31">
        <v>2.4470000000000001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4.694</v>
      </c>
      <c r="U48" s="31">
        <v>0</v>
      </c>
      <c r="V48" s="31">
        <v>0</v>
      </c>
      <c r="W48" s="31">
        <v>5.375</v>
      </c>
      <c r="X48" s="31">
        <v>5.75</v>
      </c>
      <c r="Y48" s="31">
        <v>2.8360000000000003</v>
      </c>
      <c r="Z48" s="31">
        <v>2.141</v>
      </c>
      <c r="AA48" s="31">
        <v>12.190000000000001</v>
      </c>
      <c r="AB48" s="31">
        <v>0.72799999999999998</v>
      </c>
      <c r="AC48" s="31">
        <v>0</v>
      </c>
      <c r="AD48" s="31">
        <v>0.40600000000000003</v>
      </c>
      <c r="AE48" s="31">
        <v>0</v>
      </c>
      <c r="AF48" s="31">
        <v>0</v>
      </c>
      <c r="AG48" s="31">
        <v>0</v>
      </c>
      <c r="AH48" s="31">
        <v>2.1325000000000003</v>
      </c>
    </row>
    <row r="49" spans="1:34" x14ac:dyDescent="0.3">
      <c r="A49" s="12" t="s">
        <v>224</v>
      </c>
      <c r="B49" s="137">
        <v>5</v>
      </c>
      <c r="C49" s="31">
        <v>31.354999999999997</v>
      </c>
      <c r="D49" s="31">
        <v>23.914999999999999</v>
      </c>
      <c r="E49" s="31">
        <v>35.563000000000002</v>
      </c>
      <c r="F49" s="31">
        <v>34.366</v>
      </c>
      <c r="G49" s="31">
        <v>33.619999999999997</v>
      </c>
      <c r="H49" s="31">
        <v>18.38</v>
      </c>
      <c r="I49" s="31">
        <v>41.082000000000001</v>
      </c>
      <c r="J49" s="31">
        <v>31.588000000000005</v>
      </c>
      <c r="K49" s="31">
        <v>29.413000000000004</v>
      </c>
      <c r="L49" s="31">
        <v>40.523000000000003</v>
      </c>
      <c r="M49" s="31">
        <v>27.212</v>
      </c>
      <c r="N49" s="31">
        <v>33.650999999999996</v>
      </c>
      <c r="O49" s="31">
        <v>16.051000000000002</v>
      </c>
      <c r="P49" s="31">
        <v>34.875</v>
      </c>
      <c r="Q49" s="31">
        <v>32.073999999999998</v>
      </c>
      <c r="R49" s="31">
        <v>33.468000000000004</v>
      </c>
      <c r="S49" s="31">
        <v>43.198</v>
      </c>
      <c r="T49" s="31">
        <v>35.943999999999996</v>
      </c>
      <c r="U49" s="31">
        <v>39.515000000000001</v>
      </c>
      <c r="V49" s="31">
        <v>36.917000000000002</v>
      </c>
      <c r="W49" s="31">
        <v>24.005000000000003</v>
      </c>
      <c r="X49" s="31">
        <v>32.192000000000007</v>
      </c>
      <c r="Y49" s="31">
        <v>37.353999999999999</v>
      </c>
      <c r="Z49" s="31">
        <v>31.217000000000002</v>
      </c>
      <c r="AA49" s="31">
        <v>27.962</v>
      </c>
      <c r="AB49" s="31">
        <v>22.835000000000001</v>
      </c>
      <c r="AC49" s="31">
        <v>29.048000000000002</v>
      </c>
      <c r="AD49" s="31">
        <v>31.943000000000001</v>
      </c>
      <c r="AE49" s="31">
        <v>37.491999999999997</v>
      </c>
      <c r="AF49" s="31">
        <v>37.593000000000004</v>
      </c>
      <c r="AG49" s="31">
        <v>40.172000000000004</v>
      </c>
      <c r="AH49" s="31">
        <v>33.803437500000001</v>
      </c>
    </row>
    <row r="50" spans="1:34" x14ac:dyDescent="0.3">
      <c r="A50" s="12" t="s">
        <v>230</v>
      </c>
      <c r="B50" s="137">
        <v>2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</row>
    <row r="51" spans="1:34" x14ac:dyDescent="0.3">
      <c r="A51" s="12" t="s">
        <v>231</v>
      </c>
      <c r="B51" s="137">
        <v>7</v>
      </c>
      <c r="C51" s="31">
        <v>60.225000000000001</v>
      </c>
      <c r="D51" s="31">
        <v>20.376999999999999</v>
      </c>
      <c r="E51" s="31">
        <v>89.435000000000016</v>
      </c>
      <c r="F51" s="31">
        <v>56.647999999999996</v>
      </c>
      <c r="G51" s="31">
        <v>2.95</v>
      </c>
      <c r="H51" s="31">
        <v>10.917999999999999</v>
      </c>
      <c r="I51" s="31">
        <v>58.176000000000002</v>
      </c>
      <c r="J51" s="31">
        <v>68.3</v>
      </c>
      <c r="K51" s="31">
        <v>55.833999999999996</v>
      </c>
      <c r="L51" s="31">
        <v>59.872</v>
      </c>
      <c r="M51" s="31">
        <v>59.494999999999997</v>
      </c>
      <c r="N51" s="31">
        <v>0</v>
      </c>
      <c r="O51" s="31">
        <v>0</v>
      </c>
      <c r="P51" s="31">
        <v>66.390999999999991</v>
      </c>
      <c r="Q51" s="31">
        <v>56.678999999999988</v>
      </c>
      <c r="R51" s="31">
        <v>66.876999999999995</v>
      </c>
      <c r="S51" s="31">
        <v>26.764000000000003</v>
      </c>
      <c r="T51" s="31">
        <v>54.353000000000009</v>
      </c>
      <c r="U51" s="31">
        <v>19.562000000000001</v>
      </c>
      <c r="V51" s="31">
        <v>14.891999999999999</v>
      </c>
      <c r="W51" s="31">
        <v>61.972000000000001</v>
      </c>
      <c r="X51" s="31">
        <v>91.234000000000009</v>
      </c>
      <c r="Y51" s="31">
        <v>71.954999999999998</v>
      </c>
      <c r="Z51" s="31">
        <v>65.158999999999992</v>
      </c>
      <c r="AA51" s="31">
        <v>92.345000000000013</v>
      </c>
      <c r="AB51" s="31">
        <v>7.7569999999999997</v>
      </c>
      <c r="AC51" s="31">
        <v>5.8330000000000002</v>
      </c>
      <c r="AD51" s="31">
        <v>26.980999999999995</v>
      </c>
      <c r="AE51" s="31">
        <v>75.662000000000006</v>
      </c>
      <c r="AF51" s="31">
        <v>75.19</v>
      </c>
      <c r="AG51" s="31">
        <v>12.909000000000001</v>
      </c>
      <c r="AH51" s="31">
        <v>48.090312499999989</v>
      </c>
    </row>
    <row r="52" spans="1:34" x14ac:dyDescent="0.3">
      <c r="A52" s="12" t="s">
        <v>207</v>
      </c>
      <c r="B52" s="137">
        <v>4</v>
      </c>
      <c r="C52" s="31">
        <v>101.67999999999999</v>
      </c>
      <c r="D52" s="31">
        <v>104.08999999999999</v>
      </c>
      <c r="E52" s="31">
        <v>41.540000000000006</v>
      </c>
      <c r="F52" s="31">
        <v>79.010000000000005</v>
      </c>
      <c r="G52" s="31">
        <v>137.69000000000003</v>
      </c>
      <c r="H52" s="31">
        <v>86.56</v>
      </c>
      <c r="I52" s="31">
        <v>128.28</v>
      </c>
      <c r="J52" s="31">
        <v>75.059999999999988</v>
      </c>
      <c r="K52" s="31">
        <v>138.36999999999998</v>
      </c>
      <c r="L52" s="31">
        <v>157.52000000000001</v>
      </c>
      <c r="M52" s="31">
        <v>122.64999999999998</v>
      </c>
      <c r="N52" s="31">
        <v>151.25</v>
      </c>
      <c r="O52" s="31">
        <v>135.20000000000002</v>
      </c>
      <c r="P52" s="31">
        <v>109.92000000000002</v>
      </c>
      <c r="Q52" s="31">
        <v>171.49000000000004</v>
      </c>
      <c r="R52" s="31">
        <v>82.260000000000019</v>
      </c>
      <c r="S52" s="31">
        <v>118.386</v>
      </c>
      <c r="T52" s="31">
        <v>89.070000000000007</v>
      </c>
      <c r="U52" s="31">
        <v>178.86999999999998</v>
      </c>
      <c r="V52" s="31">
        <v>123.02</v>
      </c>
      <c r="W52" s="31">
        <v>140.18</v>
      </c>
      <c r="X52" s="31">
        <v>128.72999999999999</v>
      </c>
      <c r="Y52" s="31">
        <v>190.11100000000002</v>
      </c>
      <c r="Z52" s="31">
        <v>109.38</v>
      </c>
      <c r="AA52" s="31">
        <v>88.85</v>
      </c>
      <c r="AB52" s="31">
        <v>66.299999999999983</v>
      </c>
      <c r="AC52" s="31">
        <v>79.11</v>
      </c>
      <c r="AD52" s="31">
        <v>38.660000000000004</v>
      </c>
      <c r="AE52" s="31">
        <v>91.33</v>
      </c>
      <c r="AF52" s="31">
        <v>34.07</v>
      </c>
      <c r="AG52" s="31">
        <v>81</v>
      </c>
      <c r="AH52" s="31">
        <v>102.45793749999999</v>
      </c>
    </row>
    <row r="53" spans="1:34" x14ac:dyDescent="0.3">
      <c r="A53" s="12" t="s">
        <v>214</v>
      </c>
      <c r="B53" s="137">
        <v>9</v>
      </c>
      <c r="C53" s="31">
        <v>191.31900000000002</v>
      </c>
      <c r="D53" s="31">
        <v>162.93800000000002</v>
      </c>
      <c r="E53" s="31">
        <v>134.86500000000001</v>
      </c>
      <c r="F53" s="31">
        <v>190.547</v>
      </c>
      <c r="G53" s="31">
        <v>155.43099999999995</v>
      </c>
      <c r="H53" s="31">
        <v>139.14499999999998</v>
      </c>
      <c r="I53" s="31">
        <v>146.98099999999999</v>
      </c>
      <c r="J53" s="31">
        <v>190.49500000000003</v>
      </c>
      <c r="K53" s="31">
        <v>182.63499999999996</v>
      </c>
      <c r="L53" s="31">
        <v>139.75300000000001</v>
      </c>
      <c r="M53" s="31">
        <v>112.45800000000001</v>
      </c>
      <c r="N53" s="31">
        <v>76.742999999999995</v>
      </c>
      <c r="O53" s="31">
        <v>49.191000000000003</v>
      </c>
      <c r="P53" s="31">
        <v>70.890000000000015</v>
      </c>
      <c r="Q53" s="31">
        <v>116.42800000000001</v>
      </c>
      <c r="R53" s="31">
        <v>105.97799999999998</v>
      </c>
      <c r="S53" s="31">
        <v>134.21699999999998</v>
      </c>
      <c r="T53" s="31">
        <v>103.27200000000001</v>
      </c>
      <c r="U53" s="31">
        <v>110.264</v>
      </c>
      <c r="V53" s="31">
        <v>153.542</v>
      </c>
      <c r="W53" s="31">
        <v>140.00899999999999</v>
      </c>
      <c r="X53" s="31">
        <v>99.165000000000006</v>
      </c>
      <c r="Y53" s="31">
        <v>140.36200000000005</v>
      </c>
      <c r="Z53" s="31">
        <v>133.03899999999999</v>
      </c>
      <c r="AA53" s="31">
        <v>143.23100000000002</v>
      </c>
      <c r="AB53" s="31">
        <v>151.63900000000001</v>
      </c>
      <c r="AC53" s="31">
        <v>122.20399999999999</v>
      </c>
      <c r="AD53" s="31">
        <v>82.882999999999996</v>
      </c>
      <c r="AE53" s="31">
        <v>165.5390000000001</v>
      </c>
      <c r="AF53" s="31">
        <v>139.39399999999998</v>
      </c>
      <c r="AG53" s="31">
        <v>135.57399999999998</v>
      </c>
      <c r="AH53" s="31">
        <v>128.76949999999999</v>
      </c>
    </row>
    <row r="54" spans="1:34" x14ac:dyDescent="0.3">
      <c r="A54" s="12" t="s">
        <v>431</v>
      </c>
      <c r="B54" s="137">
        <v>2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17.908999999999999</v>
      </c>
      <c r="J54" s="31">
        <v>9.0879999999999992</v>
      </c>
      <c r="K54" s="31">
        <v>4.1539999999999999</v>
      </c>
      <c r="L54" s="31">
        <v>0</v>
      </c>
      <c r="M54" s="31">
        <v>15.831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16.782</v>
      </c>
      <c r="T54" s="31">
        <v>8.8119999999999994</v>
      </c>
      <c r="U54" s="31">
        <v>0</v>
      </c>
      <c r="V54" s="31">
        <v>0</v>
      </c>
      <c r="W54" s="31">
        <v>0</v>
      </c>
      <c r="X54" s="31">
        <v>22.952999999999999</v>
      </c>
      <c r="Y54" s="31">
        <v>2.5509999999999997</v>
      </c>
      <c r="Z54" s="31">
        <v>8.2590000000000003</v>
      </c>
      <c r="AA54" s="31">
        <v>0</v>
      </c>
      <c r="AB54" s="31">
        <v>0</v>
      </c>
      <c r="AC54" s="31">
        <v>0</v>
      </c>
      <c r="AD54" s="31">
        <v>0</v>
      </c>
      <c r="AE54" s="31">
        <v>14.816000000000001</v>
      </c>
      <c r="AF54" s="31">
        <v>0</v>
      </c>
      <c r="AG54" s="31">
        <v>0</v>
      </c>
      <c r="AH54" s="31">
        <v>4.6358125000000001</v>
      </c>
    </row>
    <row r="55" spans="1:34" x14ac:dyDescent="0.3">
      <c r="A55" s="12" t="s">
        <v>457</v>
      </c>
      <c r="B55" s="137">
        <v>3</v>
      </c>
      <c r="C55" s="31">
        <v>12.587999999999999</v>
      </c>
      <c r="D55" s="31">
        <v>42.41</v>
      </c>
      <c r="E55" s="31">
        <v>14.237000000000002</v>
      </c>
      <c r="F55" s="31">
        <v>35.654000000000003</v>
      </c>
      <c r="G55" s="31">
        <v>31.858999999999998</v>
      </c>
      <c r="H55" s="31">
        <v>29.047000000000001</v>
      </c>
      <c r="I55" s="31">
        <v>19.439</v>
      </c>
      <c r="J55" s="31">
        <v>43.698</v>
      </c>
      <c r="K55" s="31">
        <v>31.959000000000003</v>
      </c>
      <c r="L55" s="31">
        <v>25.87</v>
      </c>
      <c r="M55" s="31">
        <v>19.134999999999998</v>
      </c>
      <c r="N55" s="31">
        <v>0</v>
      </c>
      <c r="O55" s="31">
        <v>26.225000000000001</v>
      </c>
      <c r="P55" s="31">
        <v>37.887</v>
      </c>
      <c r="Q55" s="31">
        <v>17.094999999999999</v>
      </c>
      <c r="R55" s="31">
        <v>27.564999999999998</v>
      </c>
      <c r="S55" s="31">
        <v>16.39</v>
      </c>
      <c r="T55" s="31">
        <v>31.940999999999995</v>
      </c>
      <c r="U55" s="31">
        <v>29.833000000000002</v>
      </c>
      <c r="V55" s="31">
        <v>33.332000000000001</v>
      </c>
      <c r="W55" s="31">
        <v>20.108000000000001</v>
      </c>
      <c r="X55" s="31">
        <v>22.970999999999997</v>
      </c>
      <c r="Y55" s="31">
        <v>37.803999999999995</v>
      </c>
      <c r="Z55" s="31">
        <v>22.924999999999997</v>
      </c>
      <c r="AA55" s="31">
        <v>30.834</v>
      </c>
      <c r="AB55" s="31">
        <v>36.243000000000002</v>
      </c>
      <c r="AC55" s="31">
        <v>18.096</v>
      </c>
      <c r="AD55" s="31">
        <v>52.634999999999998</v>
      </c>
      <c r="AE55" s="31">
        <v>32.388999999999996</v>
      </c>
      <c r="AF55" s="31">
        <v>57.056000000000004</v>
      </c>
      <c r="AG55" s="31">
        <v>35.724000000000004</v>
      </c>
      <c r="AH55" s="31">
        <v>31.615374999999997</v>
      </c>
    </row>
    <row r="56" spans="1:34" x14ac:dyDescent="0.3">
      <c r="A56" s="12" t="s">
        <v>393</v>
      </c>
      <c r="B56" s="137">
        <v>40</v>
      </c>
      <c r="C56" s="31">
        <v>132.73400000000001</v>
      </c>
      <c r="D56" s="31">
        <v>393.72099999999995</v>
      </c>
      <c r="E56" s="31">
        <v>343.20199999999994</v>
      </c>
      <c r="F56" s="31">
        <v>289.80700000000002</v>
      </c>
      <c r="G56" s="31">
        <v>326.99099999999987</v>
      </c>
      <c r="H56" s="31">
        <v>379.80100000000004</v>
      </c>
      <c r="I56" s="31">
        <v>334.04500000000013</v>
      </c>
      <c r="J56" s="31">
        <v>145.97199999999998</v>
      </c>
      <c r="K56" s="31">
        <v>308.21599999999995</v>
      </c>
      <c r="L56" s="31">
        <v>326.5209999999999</v>
      </c>
      <c r="M56" s="31">
        <v>347.55499999999989</v>
      </c>
      <c r="N56" s="31">
        <v>370.37400000000002</v>
      </c>
      <c r="O56" s="31">
        <v>467.40000000000015</v>
      </c>
      <c r="P56" s="31">
        <v>349.28099999999989</v>
      </c>
      <c r="Q56" s="31">
        <v>168.13399999999999</v>
      </c>
      <c r="R56" s="31">
        <v>332.08699999999988</v>
      </c>
      <c r="S56" s="31">
        <v>306.87099999999998</v>
      </c>
      <c r="T56" s="31">
        <v>290.20799999999997</v>
      </c>
      <c r="U56" s="31">
        <v>347.94800000000009</v>
      </c>
      <c r="V56" s="31">
        <v>392.77300000000002</v>
      </c>
      <c r="W56" s="31">
        <v>200.94300000000004</v>
      </c>
      <c r="X56" s="31">
        <v>193.553</v>
      </c>
      <c r="Y56" s="31">
        <v>280.66999999999996</v>
      </c>
      <c r="Z56" s="31">
        <v>204.33999999999997</v>
      </c>
      <c r="AA56" s="31">
        <v>298.27899999999988</v>
      </c>
      <c r="AB56" s="31">
        <v>323.15299999999991</v>
      </c>
      <c r="AC56" s="31">
        <v>490.88399999999973</v>
      </c>
      <c r="AD56" s="31">
        <v>446.46500000000003</v>
      </c>
      <c r="AE56" s="31">
        <v>206.82500000000002</v>
      </c>
      <c r="AF56" s="31">
        <v>278.31499999999994</v>
      </c>
      <c r="AG56" s="31">
        <v>36.939</v>
      </c>
      <c r="AH56" s="31">
        <v>289.39081249999998</v>
      </c>
    </row>
    <row r="57" spans="1:34" x14ac:dyDescent="0.3">
      <c r="A57" s="12" t="s">
        <v>228</v>
      </c>
      <c r="B57" s="137">
        <v>1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0</v>
      </c>
      <c r="AH57" s="31">
        <v>0</v>
      </c>
    </row>
    <row r="58" spans="1:34" x14ac:dyDescent="0.3">
      <c r="A58" s="12" t="s">
        <v>94</v>
      </c>
      <c r="B58" s="137">
        <v>2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  <c r="AH58" s="31">
        <v>0</v>
      </c>
    </row>
    <row r="59" spans="1:34" x14ac:dyDescent="0.3">
      <c r="A59" s="12" t="s">
        <v>117</v>
      </c>
      <c r="B59" s="137">
        <v>1</v>
      </c>
      <c r="C59" s="31">
        <v>0</v>
      </c>
      <c r="D59" s="31">
        <v>0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31">
        <v>0</v>
      </c>
      <c r="AF59" s="31">
        <v>0</v>
      </c>
      <c r="AG59" s="31">
        <v>0</v>
      </c>
      <c r="AH59" s="31">
        <v>0</v>
      </c>
    </row>
    <row r="60" spans="1:34" x14ac:dyDescent="0.3">
      <c r="A60" s="12" t="s">
        <v>115</v>
      </c>
      <c r="B60" s="137">
        <v>1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31">
        <v>0</v>
      </c>
      <c r="AD60" s="31">
        <v>0</v>
      </c>
      <c r="AE60" s="31">
        <v>0</v>
      </c>
      <c r="AF60" s="31">
        <v>0</v>
      </c>
      <c r="AG60" s="31">
        <v>0</v>
      </c>
      <c r="AH60" s="31">
        <v>0</v>
      </c>
    </row>
    <row r="61" spans="1:34" x14ac:dyDescent="0.3">
      <c r="A61" s="12" t="s">
        <v>223</v>
      </c>
      <c r="B61" s="137">
        <v>2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  <c r="AH61" s="31">
        <v>0</v>
      </c>
    </row>
    <row r="62" spans="1:34" x14ac:dyDescent="0.3">
      <c r="A62" s="12" t="s">
        <v>122</v>
      </c>
      <c r="B62" s="137">
        <v>3</v>
      </c>
      <c r="C62" s="31">
        <v>0</v>
      </c>
      <c r="D62" s="31">
        <v>0</v>
      </c>
      <c r="E62" s="3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1">
        <v>0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</row>
    <row r="63" spans="1:34" x14ac:dyDescent="0.3">
      <c r="A63" s="12" t="s">
        <v>208</v>
      </c>
      <c r="B63" s="137">
        <v>10</v>
      </c>
      <c r="C63" s="31">
        <v>201.053</v>
      </c>
      <c r="D63" s="31">
        <v>143.06200000000001</v>
      </c>
      <c r="E63" s="31">
        <v>216.47199999999998</v>
      </c>
      <c r="F63" s="31">
        <v>128.339</v>
      </c>
      <c r="G63" s="31">
        <v>148.471</v>
      </c>
      <c r="H63" s="31">
        <v>223.58100000000002</v>
      </c>
      <c r="I63" s="31">
        <v>129.94999999999999</v>
      </c>
      <c r="J63" s="31">
        <v>220.37899999999996</v>
      </c>
      <c r="K63" s="31">
        <v>56.878</v>
      </c>
      <c r="L63" s="31">
        <v>245.81800000000004</v>
      </c>
      <c r="M63" s="31">
        <v>127.565</v>
      </c>
      <c r="N63" s="31">
        <v>120.95499999999998</v>
      </c>
      <c r="O63" s="31">
        <v>9.277000000000001</v>
      </c>
      <c r="P63" s="31">
        <v>29.927000000000003</v>
      </c>
      <c r="Q63" s="31">
        <v>128.16</v>
      </c>
      <c r="R63" s="31">
        <v>58.072000000000003</v>
      </c>
      <c r="S63" s="31">
        <v>63.298000000000002</v>
      </c>
      <c r="T63" s="31">
        <v>827.74900000000002</v>
      </c>
      <c r="U63" s="31">
        <v>201.94</v>
      </c>
      <c r="V63" s="31">
        <v>65.734999999999999</v>
      </c>
      <c r="W63" s="31">
        <v>56.667999999999999</v>
      </c>
      <c r="X63" s="31">
        <v>317.43200000000002</v>
      </c>
      <c r="Y63" s="31">
        <v>119.59600000000002</v>
      </c>
      <c r="Z63" s="31">
        <v>137.876</v>
      </c>
      <c r="AA63" s="31">
        <v>184.92600000000002</v>
      </c>
      <c r="AB63" s="31">
        <v>143.22999999999999</v>
      </c>
      <c r="AC63" s="31">
        <v>174.45600000000002</v>
      </c>
      <c r="AD63" s="31">
        <v>139.6</v>
      </c>
      <c r="AE63" s="31">
        <v>166.607</v>
      </c>
      <c r="AF63" s="31">
        <v>130.56500000000003</v>
      </c>
      <c r="AG63" s="31">
        <v>34.838999999999999</v>
      </c>
      <c r="AH63" s="31">
        <v>176.41181249999997</v>
      </c>
    </row>
    <row r="64" spans="1:34" x14ac:dyDescent="0.3">
      <c r="A64" s="12" t="s">
        <v>244</v>
      </c>
      <c r="B64" s="137">
        <v>5</v>
      </c>
      <c r="C64" s="31">
        <v>6.9019999999999992</v>
      </c>
      <c r="D64" s="31">
        <v>18.350999999999999</v>
      </c>
      <c r="E64" s="31">
        <v>28.332999999999998</v>
      </c>
      <c r="F64" s="31">
        <v>16.354999999999997</v>
      </c>
      <c r="G64" s="31">
        <v>30.348999999999997</v>
      </c>
      <c r="H64" s="31">
        <v>24.436</v>
      </c>
      <c r="I64" s="31">
        <v>14.855</v>
      </c>
      <c r="J64" s="31">
        <v>10.215</v>
      </c>
      <c r="K64" s="31">
        <v>10.129000000000001</v>
      </c>
      <c r="L64" s="31">
        <v>39.840999999999994</v>
      </c>
      <c r="M64" s="31">
        <v>9.141</v>
      </c>
      <c r="N64" s="31">
        <v>19.989000000000001</v>
      </c>
      <c r="O64" s="31">
        <v>5.8319999999999999</v>
      </c>
      <c r="P64" s="31">
        <v>19.378</v>
      </c>
      <c r="Q64" s="31">
        <v>7.03</v>
      </c>
      <c r="R64" s="31">
        <v>0</v>
      </c>
      <c r="S64" s="31">
        <v>14.248000000000001</v>
      </c>
      <c r="T64" s="31">
        <v>3.0579999999999998</v>
      </c>
      <c r="U64" s="31">
        <v>29.373000000000005</v>
      </c>
      <c r="V64" s="31">
        <v>13.474999999999998</v>
      </c>
      <c r="W64" s="31">
        <v>12.371</v>
      </c>
      <c r="X64" s="31">
        <v>10.028999999999998</v>
      </c>
      <c r="Y64" s="31">
        <v>19.528000000000002</v>
      </c>
      <c r="Z64" s="31">
        <v>11.393000000000001</v>
      </c>
      <c r="AA64" s="31">
        <v>23.068000000000001</v>
      </c>
      <c r="AB64" s="31">
        <v>20.224999999999998</v>
      </c>
      <c r="AC64" s="31">
        <v>8.8970000000000002</v>
      </c>
      <c r="AD64" s="31">
        <v>9.1549999999999994</v>
      </c>
      <c r="AE64" s="31">
        <v>35.363</v>
      </c>
      <c r="AF64" s="31">
        <v>17.315999999999999</v>
      </c>
      <c r="AG64" s="31">
        <v>35.217999999999996</v>
      </c>
      <c r="AH64" s="31">
        <v>16.419812499999999</v>
      </c>
    </row>
    <row r="65" spans="1:34" x14ac:dyDescent="0.3">
      <c r="A65" s="12" t="s">
        <v>256</v>
      </c>
      <c r="B65" s="137">
        <v>6</v>
      </c>
      <c r="C65" s="31">
        <v>3.0259999999999998</v>
      </c>
      <c r="D65" s="31">
        <v>1.7050000000000001</v>
      </c>
      <c r="E65" s="31">
        <v>2.0859999999999999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</v>
      </c>
      <c r="AE65" s="31">
        <v>0</v>
      </c>
      <c r="AF65" s="31">
        <v>0</v>
      </c>
      <c r="AG65" s="31">
        <v>0</v>
      </c>
      <c r="AH65" s="31">
        <v>0</v>
      </c>
    </row>
    <row r="66" spans="1:34" x14ac:dyDescent="0.3">
      <c r="A66" s="12" t="s">
        <v>196</v>
      </c>
      <c r="B66" s="137">
        <v>21</v>
      </c>
      <c r="C66" s="31">
        <v>233.8829999999999</v>
      </c>
      <c r="D66" s="31">
        <v>226.58099999999999</v>
      </c>
      <c r="E66" s="31">
        <v>221.76</v>
      </c>
      <c r="F66" s="31">
        <v>249.91</v>
      </c>
      <c r="G66" s="31">
        <v>224.72899999999996</v>
      </c>
      <c r="H66" s="31">
        <v>238.31500000000003</v>
      </c>
      <c r="I66" s="31">
        <v>231.54700000000005</v>
      </c>
      <c r="J66" s="31">
        <v>248.26899999999995</v>
      </c>
      <c r="K66" s="31">
        <v>286.59899999999993</v>
      </c>
      <c r="L66" s="31">
        <v>310.36000000000007</v>
      </c>
      <c r="M66" s="31">
        <v>274.98199999999991</v>
      </c>
      <c r="N66" s="31">
        <v>208.95800000000003</v>
      </c>
      <c r="O66" s="31">
        <v>238.53899999999987</v>
      </c>
      <c r="P66" s="31">
        <v>210.78100000000001</v>
      </c>
      <c r="Q66" s="31">
        <v>312.42399999999998</v>
      </c>
      <c r="R66" s="31">
        <v>273.64599999999996</v>
      </c>
      <c r="S66" s="31">
        <v>201.89</v>
      </c>
      <c r="T66" s="31">
        <v>245.46699999999998</v>
      </c>
      <c r="U66" s="31">
        <v>301.43700000000001</v>
      </c>
      <c r="V66" s="31">
        <v>269.24299999999994</v>
      </c>
      <c r="W66" s="31">
        <v>268.03299999999996</v>
      </c>
      <c r="X66" s="31">
        <v>293.71100000000001</v>
      </c>
      <c r="Y66" s="31">
        <v>263.43900000000002</v>
      </c>
      <c r="Z66" s="31">
        <v>290.98400000000004</v>
      </c>
      <c r="AA66" s="31">
        <v>270.50399999999996</v>
      </c>
      <c r="AB66" s="31">
        <v>275.33299999999997</v>
      </c>
      <c r="AC66" s="31">
        <v>239.96199999999999</v>
      </c>
      <c r="AD66" s="31">
        <v>220.447</v>
      </c>
      <c r="AE66" s="31">
        <v>231.251</v>
      </c>
      <c r="AF66" s="31">
        <v>191.97800000000004</v>
      </c>
      <c r="AG66" s="31">
        <v>227.12700000000001</v>
      </c>
      <c r="AH66" s="31">
        <v>254.02824999999999</v>
      </c>
    </row>
    <row r="67" spans="1:34" x14ac:dyDescent="0.3">
      <c r="A67" s="12" t="s">
        <v>352</v>
      </c>
      <c r="B67" s="137">
        <v>10</v>
      </c>
      <c r="C67" s="31">
        <v>204.80500000000001</v>
      </c>
      <c r="D67" s="31">
        <v>85.333000000000013</v>
      </c>
      <c r="E67" s="31">
        <v>195.61699999999999</v>
      </c>
      <c r="F67" s="31">
        <v>174.76100000000002</v>
      </c>
      <c r="G67" s="31">
        <v>217.85700000000003</v>
      </c>
      <c r="H67" s="31">
        <v>115.28999999999999</v>
      </c>
      <c r="I67" s="31">
        <v>148.291</v>
      </c>
      <c r="J67" s="31">
        <v>187.13399999999999</v>
      </c>
      <c r="K67" s="31">
        <v>84.36999999999999</v>
      </c>
      <c r="L67" s="31">
        <v>198.06899999999996</v>
      </c>
      <c r="M67" s="31">
        <v>98.02600000000001</v>
      </c>
      <c r="N67" s="31">
        <v>180.48700000000002</v>
      </c>
      <c r="O67" s="31">
        <v>97.078999999999979</v>
      </c>
      <c r="P67" s="31">
        <v>168.70799999999997</v>
      </c>
      <c r="Q67" s="31">
        <v>164.71099999999998</v>
      </c>
      <c r="R67" s="31">
        <v>187.90300000000002</v>
      </c>
      <c r="S67" s="31">
        <v>128.28399999999999</v>
      </c>
      <c r="T67" s="31">
        <v>160.63799999999998</v>
      </c>
      <c r="U67" s="31">
        <v>155.38699999999997</v>
      </c>
      <c r="V67" s="31">
        <v>172.59799999999998</v>
      </c>
      <c r="W67" s="31">
        <v>154.63</v>
      </c>
      <c r="X67" s="31">
        <v>191.45599999999996</v>
      </c>
      <c r="Y67" s="31">
        <v>128.61599999999999</v>
      </c>
      <c r="Z67" s="31">
        <v>191.25200000000001</v>
      </c>
      <c r="AA67" s="31">
        <v>128.05600000000001</v>
      </c>
      <c r="AB67" s="31">
        <v>142.01499999999999</v>
      </c>
      <c r="AC67" s="31">
        <v>126.486</v>
      </c>
      <c r="AD67" s="31">
        <v>171.55200000000002</v>
      </c>
      <c r="AE67" s="31">
        <v>118.443</v>
      </c>
      <c r="AF67" s="31">
        <v>96.484000000000037</v>
      </c>
      <c r="AG67" s="31">
        <v>137.685</v>
      </c>
      <c r="AH67" s="31">
        <v>149.46781250000001</v>
      </c>
    </row>
    <row r="68" spans="1:34" x14ac:dyDescent="0.3">
      <c r="A68" s="12" t="s">
        <v>174</v>
      </c>
      <c r="B68" s="137">
        <v>11</v>
      </c>
      <c r="C68" s="31">
        <v>136.98200000000003</v>
      </c>
      <c r="D68" s="31">
        <v>136.66500000000002</v>
      </c>
      <c r="E68" s="31">
        <v>131.43499999999997</v>
      </c>
      <c r="F68" s="31">
        <v>131.46000000000004</v>
      </c>
      <c r="G68" s="31">
        <v>106.40900000000001</v>
      </c>
      <c r="H68" s="31">
        <v>142.37400000000002</v>
      </c>
      <c r="I68" s="31">
        <v>82.444000000000045</v>
      </c>
      <c r="J68" s="31">
        <v>132.30800000000002</v>
      </c>
      <c r="K68" s="31">
        <v>123.34700000000005</v>
      </c>
      <c r="L68" s="31">
        <v>155.66100000000006</v>
      </c>
      <c r="M68" s="31">
        <v>126.50700000000001</v>
      </c>
      <c r="N68" s="31">
        <v>142.06600000000006</v>
      </c>
      <c r="O68" s="31">
        <v>114.176</v>
      </c>
      <c r="P68" s="31">
        <v>101.922</v>
      </c>
      <c r="Q68" s="31">
        <v>66.820999999999984</v>
      </c>
      <c r="R68" s="31">
        <v>81.780000000000015</v>
      </c>
      <c r="S68" s="31">
        <v>61.334000000000003</v>
      </c>
      <c r="T68" s="31">
        <v>104.63800000000002</v>
      </c>
      <c r="U68" s="31">
        <v>102.19799999999999</v>
      </c>
      <c r="V68" s="31">
        <v>59.793999999999997</v>
      </c>
      <c r="W68" s="31">
        <v>79.023000000000025</v>
      </c>
      <c r="X68" s="31">
        <v>81.08</v>
      </c>
      <c r="Y68" s="31">
        <v>104.18600000000002</v>
      </c>
      <c r="Z68" s="31">
        <v>119.35600000000004</v>
      </c>
      <c r="AA68" s="31">
        <v>98.120000000000033</v>
      </c>
      <c r="AB68" s="31">
        <v>102.77199999999999</v>
      </c>
      <c r="AC68" s="31">
        <v>115.11000000000003</v>
      </c>
      <c r="AD68" s="31">
        <v>111.827</v>
      </c>
      <c r="AE68" s="31">
        <v>63.661999999999992</v>
      </c>
      <c r="AF68" s="31">
        <v>0</v>
      </c>
      <c r="AG68" s="31">
        <v>0</v>
      </c>
      <c r="AH68" s="31">
        <v>80.305000000000021</v>
      </c>
    </row>
    <row r="69" spans="1:34" x14ac:dyDescent="0.3">
      <c r="A69" s="12" t="s">
        <v>417</v>
      </c>
      <c r="B69" s="137">
        <v>2</v>
      </c>
      <c r="C69" s="31">
        <v>29.602</v>
      </c>
      <c r="D69" s="31">
        <v>15.451000000000001</v>
      </c>
      <c r="E69" s="31">
        <v>21.57</v>
      </c>
      <c r="F69" s="31">
        <v>17.286000000000001</v>
      </c>
      <c r="G69" s="31">
        <v>11.216000000000001</v>
      </c>
      <c r="H69" s="31">
        <v>1.034</v>
      </c>
      <c r="I69" s="31">
        <v>18.834</v>
      </c>
      <c r="J69" s="31">
        <v>5.4489999999999998</v>
      </c>
      <c r="K69" s="31">
        <v>7.1019999999999994</v>
      </c>
      <c r="L69" s="31">
        <v>2E-3</v>
      </c>
      <c r="M69" s="31">
        <v>19.184999999999999</v>
      </c>
      <c r="N69" s="31">
        <v>0.754</v>
      </c>
      <c r="O69" s="31">
        <v>0</v>
      </c>
      <c r="P69" s="31">
        <v>4.1609999999999996</v>
      </c>
      <c r="Q69" s="31">
        <v>4.6610000000000005</v>
      </c>
      <c r="R69" s="31">
        <v>2E-3</v>
      </c>
      <c r="S69" s="31">
        <v>5.1550000000000002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  <c r="AC69" s="31">
        <v>0</v>
      </c>
      <c r="AD69" s="31">
        <v>0</v>
      </c>
      <c r="AE69" s="31">
        <v>0</v>
      </c>
      <c r="AF69" s="31">
        <v>0</v>
      </c>
      <c r="AG69" s="31">
        <v>0</v>
      </c>
      <c r="AH69" s="31">
        <v>0.3223125</v>
      </c>
    </row>
    <row r="70" spans="1:34" x14ac:dyDescent="0.3">
      <c r="A70" s="12" t="s">
        <v>204</v>
      </c>
      <c r="B70" s="137">
        <v>6</v>
      </c>
      <c r="C70" s="31">
        <v>48.968000000000004</v>
      </c>
      <c r="D70" s="31">
        <v>45.116</v>
      </c>
      <c r="E70" s="31">
        <v>47.61</v>
      </c>
      <c r="F70" s="31">
        <v>48.957999999999998</v>
      </c>
      <c r="G70" s="31">
        <v>37.856000000000002</v>
      </c>
      <c r="H70" s="31">
        <v>41.77</v>
      </c>
      <c r="I70" s="31">
        <v>52.234999999999999</v>
      </c>
      <c r="J70" s="31">
        <v>45.677999999999997</v>
      </c>
      <c r="K70" s="31">
        <v>38.936999999999998</v>
      </c>
      <c r="L70" s="31">
        <v>29.722000000000001</v>
      </c>
      <c r="M70" s="31">
        <v>23.149000000000004</v>
      </c>
      <c r="N70" s="31">
        <v>34.433000000000007</v>
      </c>
      <c r="O70" s="31">
        <v>23.321999999999999</v>
      </c>
      <c r="P70" s="31">
        <v>18.803999999999998</v>
      </c>
      <c r="Q70" s="31">
        <v>41.789000000000001</v>
      </c>
      <c r="R70" s="31">
        <v>39.22</v>
      </c>
      <c r="S70" s="31">
        <v>34.542000000000002</v>
      </c>
      <c r="T70" s="31">
        <v>48.351999999999997</v>
      </c>
      <c r="U70" s="31">
        <v>35.424000000000007</v>
      </c>
      <c r="V70" s="31">
        <v>31.827999999999999</v>
      </c>
      <c r="W70" s="31">
        <v>33.585999999999991</v>
      </c>
      <c r="X70" s="31">
        <v>49.198000000000008</v>
      </c>
      <c r="Y70" s="31">
        <v>37.048000000000002</v>
      </c>
      <c r="Z70" s="31">
        <v>24.563000000000002</v>
      </c>
      <c r="AA70" s="31">
        <v>35.262999999999998</v>
      </c>
      <c r="AB70" s="31">
        <v>37.615000000000002</v>
      </c>
      <c r="AC70" s="31">
        <v>24.405000000000001</v>
      </c>
      <c r="AD70" s="31">
        <v>41.378999999999998</v>
      </c>
      <c r="AE70" s="31">
        <v>30.933999999999997</v>
      </c>
      <c r="AF70" s="31">
        <v>38.088999999999999</v>
      </c>
      <c r="AG70" s="31">
        <v>32.146000000000001</v>
      </c>
      <c r="AH70" s="31">
        <v>35.849499999999992</v>
      </c>
    </row>
    <row r="71" spans="1:34" x14ac:dyDescent="0.3">
      <c r="A71" s="12" t="s">
        <v>232</v>
      </c>
      <c r="B71" s="137">
        <v>20</v>
      </c>
      <c r="C71" s="31">
        <v>242.95400000000006</v>
      </c>
      <c r="D71" s="31">
        <v>106.01500000000001</v>
      </c>
      <c r="E71" s="31">
        <v>154.45100000000002</v>
      </c>
      <c r="F71" s="31">
        <v>158.17099999999999</v>
      </c>
      <c r="G71" s="31">
        <v>198.25300000000001</v>
      </c>
      <c r="H71" s="31">
        <v>152.81100000000001</v>
      </c>
      <c r="I71" s="31">
        <v>167.70400000000006</v>
      </c>
      <c r="J71" s="31">
        <v>144.87400000000005</v>
      </c>
      <c r="K71" s="31">
        <v>145.71099999999998</v>
      </c>
      <c r="L71" s="31">
        <v>140.80499999999998</v>
      </c>
      <c r="M71" s="31">
        <v>131.268</v>
      </c>
      <c r="N71" s="31">
        <v>94.076999999999998</v>
      </c>
      <c r="O71" s="31">
        <v>92.689000000000007</v>
      </c>
      <c r="P71" s="31">
        <v>122.68299999999999</v>
      </c>
      <c r="Q71" s="31">
        <v>108.11499999999998</v>
      </c>
      <c r="R71" s="31">
        <v>129.499</v>
      </c>
      <c r="S71" s="31">
        <v>157.45700000000005</v>
      </c>
      <c r="T71" s="31">
        <v>156.07600000000002</v>
      </c>
      <c r="U71" s="31">
        <v>160.83499999999998</v>
      </c>
      <c r="V71" s="31">
        <v>128.30899999999997</v>
      </c>
      <c r="W71" s="31">
        <v>90.472999999999985</v>
      </c>
      <c r="X71" s="31">
        <v>119.146</v>
      </c>
      <c r="Y71" s="31">
        <v>139.96099999999998</v>
      </c>
      <c r="Z71" s="31">
        <v>122.73000000000002</v>
      </c>
      <c r="AA71" s="31">
        <v>126.26100000000001</v>
      </c>
      <c r="AB71" s="31">
        <v>160.16000000000005</v>
      </c>
      <c r="AC71" s="31">
        <v>102.136</v>
      </c>
      <c r="AD71" s="31">
        <v>132.048</v>
      </c>
      <c r="AE71" s="31">
        <v>148.47099999999998</v>
      </c>
      <c r="AF71" s="31">
        <v>137.80199999999999</v>
      </c>
      <c r="AG71" s="31">
        <v>122.008</v>
      </c>
      <c r="AH71" s="31">
        <v>133.33574999999999</v>
      </c>
    </row>
    <row r="72" spans="1:34" x14ac:dyDescent="0.3">
      <c r="A72" s="12" t="s">
        <v>366</v>
      </c>
      <c r="B72" s="137">
        <v>5</v>
      </c>
      <c r="C72" s="31">
        <v>2.6909999999999998</v>
      </c>
      <c r="D72" s="31">
        <v>2.8439999999999999</v>
      </c>
      <c r="E72" s="31">
        <v>0</v>
      </c>
      <c r="F72" s="31">
        <v>7.04</v>
      </c>
      <c r="G72" s="31">
        <v>2.9390000000000001</v>
      </c>
      <c r="H72" s="31">
        <v>1.2469999999999999</v>
      </c>
      <c r="I72" s="31">
        <v>0</v>
      </c>
      <c r="J72" s="31">
        <v>2.9159999999999999</v>
      </c>
      <c r="K72" s="31">
        <v>6.117</v>
      </c>
      <c r="L72" s="31">
        <v>5.7829999999999995</v>
      </c>
      <c r="M72" s="31">
        <v>0.78100000000000003</v>
      </c>
      <c r="N72" s="31">
        <v>5.7939999999999996</v>
      </c>
      <c r="O72" s="31">
        <v>2.8540000000000001</v>
      </c>
      <c r="P72" s="31">
        <v>1.925</v>
      </c>
      <c r="Q72" s="31">
        <v>5.08</v>
      </c>
      <c r="R72" s="31">
        <v>3.6980000000000004</v>
      </c>
      <c r="S72" s="31">
        <v>12.372</v>
      </c>
      <c r="T72" s="31">
        <v>10.748000000000001</v>
      </c>
      <c r="U72" s="31">
        <v>6.7409999999999997</v>
      </c>
      <c r="V72" s="31">
        <v>7.8149999999999995</v>
      </c>
      <c r="W72" s="31">
        <v>5.7149999999999999</v>
      </c>
      <c r="X72" s="31">
        <v>7.2899999999999991</v>
      </c>
      <c r="Y72" s="31">
        <v>4.8220000000000001</v>
      </c>
      <c r="Z72" s="31">
        <v>9.3529999999999998</v>
      </c>
      <c r="AA72" s="31">
        <v>10.581</v>
      </c>
      <c r="AB72" s="31">
        <v>1E-3</v>
      </c>
      <c r="AC72" s="31">
        <v>4.2069999999999999</v>
      </c>
      <c r="AD72" s="31">
        <v>11.283999999999999</v>
      </c>
      <c r="AE72" s="31">
        <v>7.1219999999999999</v>
      </c>
      <c r="AF72" s="31">
        <v>3.528</v>
      </c>
      <c r="AG72" s="31">
        <v>3.6509999999999998</v>
      </c>
      <c r="AH72" s="31">
        <v>6.8080000000000007</v>
      </c>
    </row>
    <row r="73" spans="1:34" x14ac:dyDescent="0.3">
      <c r="A73" s="12" t="s">
        <v>357</v>
      </c>
      <c r="B73" s="137">
        <v>1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10.907999999999999</v>
      </c>
      <c r="N73" s="31">
        <v>2.6429999999999998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31">
        <v>0</v>
      </c>
      <c r="AD73" s="31">
        <v>0</v>
      </c>
      <c r="AE73" s="31">
        <v>0</v>
      </c>
      <c r="AF73" s="31">
        <v>0</v>
      </c>
      <c r="AG73" s="31">
        <v>0</v>
      </c>
      <c r="AH73" s="31">
        <v>0</v>
      </c>
    </row>
    <row r="74" spans="1:34" x14ac:dyDescent="0.3">
      <c r="A74" s="12" t="s">
        <v>473</v>
      </c>
      <c r="B74" s="137">
        <v>6</v>
      </c>
      <c r="C74" s="31">
        <v>670.88999999999987</v>
      </c>
      <c r="D74" s="31">
        <v>362.28</v>
      </c>
      <c r="E74" s="31">
        <v>482.20999999999992</v>
      </c>
      <c r="F74" s="31">
        <v>456.33900000000006</v>
      </c>
      <c r="G74" s="31">
        <v>254.67400000000001</v>
      </c>
      <c r="H74" s="31">
        <v>248.77100000000002</v>
      </c>
      <c r="I74" s="31">
        <v>401.43399999999997</v>
      </c>
      <c r="J74" s="31">
        <v>538.86900000000003</v>
      </c>
      <c r="K74" s="31">
        <v>466.69099999999997</v>
      </c>
      <c r="L74" s="31">
        <v>519.42700000000002</v>
      </c>
      <c r="M74" s="31">
        <v>323.822</v>
      </c>
      <c r="N74" s="31">
        <v>331.94</v>
      </c>
      <c r="O74" s="31">
        <v>209.27699999999999</v>
      </c>
      <c r="P74" s="31">
        <v>414.601</v>
      </c>
      <c r="Q74" s="31">
        <v>560.29999999999995</v>
      </c>
      <c r="R74" s="31">
        <v>629.39</v>
      </c>
      <c r="S74" s="31">
        <v>529.08400000000006</v>
      </c>
      <c r="T74" s="31">
        <v>537.03499999999997</v>
      </c>
      <c r="U74" s="31">
        <v>299.63099999999997</v>
      </c>
      <c r="V74" s="31">
        <v>175.14600000000002</v>
      </c>
      <c r="W74" s="31">
        <v>451.4</v>
      </c>
      <c r="X74" s="31">
        <v>589.93299999999999</v>
      </c>
      <c r="Y74" s="31">
        <v>654.33199999999999</v>
      </c>
      <c r="Z74" s="31">
        <v>543.46299999999997</v>
      </c>
      <c r="AA74" s="31">
        <v>482.8599999999999</v>
      </c>
      <c r="AB74" s="31">
        <v>387.09000000000003</v>
      </c>
      <c r="AC74" s="31">
        <v>145.78</v>
      </c>
      <c r="AD74" s="31">
        <v>384.78999999999996</v>
      </c>
      <c r="AE74" s="31">
        <v>515.69500000000005</v>
      </c>
      <c r="AF74" s="31">
        <v>451.25</v>
      </c>
      <c r="AG74" s="31">
        <v>299.83500000000004</v>
      </c>
      <c r="AH74" s="31">
        <v>442.294625</v>
      </c>
    </row>
    <row r="75" spans="1:34" x14ac:dyDescent="0.3">
      <c r="A75" s="12" t="s">
        <v>474</v>
      </c>
      <c r="B75" s="137">
        <v>5</v>
      </c>
      <c r="C75" s="31">
        <v>124.26799999999999</v>
      </c>
      <c r="D75" s="31">
        <v>72.644000000000005</v>
      </c>
      <c r="E75" s="31">
        <v>118.14200000000001</v>
      </c>
      <c r="F75" s="31">
        <v>132.51</v>
      </c>
      <c r="G75" s="31">
        <v>115.29599999999999</v>
      </c>
      <c r="H75" s="31">
        <v>131.185</v>
      </c>
      <c r="I75" s="31">
        <v>178.53600000000003</v>
      </c>
      <c r="J75" s="31">
        <v>82.174000000000007</v>
      </c>
      <c r="K75" s="31">
        <v>191.726</v>
      </c>
      <c r="L75" s="31">
        <v>97.405999999999977</v>
      </c>
      <c r="M75" s="31">
        <v>185.88899999999998</v>
      </c>
      <c r="N75" s="31">
        <v>131.38900000000001</v>
      </c>
      <c r="O75" s="31">
        <v>178.98000000000002</v>
      </c>
      <c r="P75" s="31">
        <v>190.101</v>
      </c>
      <c r="Q75" s="31">
        <v>187.17800000000003</v>
      </c>
      <c r="R75" s="31">
        <v>147.971</v>
      </c>
      <c r="S75" s="31">
        <v>185.904</v>
      </c>
      <c r="T75" s="31">
        <v>173.77900000000002</v>
      </c>
      <c r="U75" s="31">
        <v>135.43300000000005</v>
      </c>
      <c r="V75" s="31">
        <v>164.57499999999999</v>
      </c>
      <c r="W75" s="31">
        <v>109.60599999999998</v>
      </c>
      <c r="X75" s="31">
        <v>225.41499999999999</v>
      </c>
      <c r="Y75" s="31">
        <v>183.84399999999997</v>
      </c>
      <c r="Z75" s="31">
        <v>161.75900000000004</v>
      </c>
      <c r="AA75" s="31">
        <v>173.58300000000003</v>
      </c>
      <c r="AB75" s="31">
        <v>178.63500000000002</v>
      </c>
      <c r="AC75" s="31">
        <v>174.77199999999996</v>
      </c>
      <c r="AD75" s="31">
        <v>136.346</v>
      </c>
      <c r="AE75" s="31">
        <v>201.46100000000004</v>
      </c>
      <c r="AF75" s="31">
        <v>232.23500000000001</v>
      </c>
      <c r="AG75" s="31">
        <v>150.91600000000003</v>
      </c>
      <c r="AH75" s="31">
        <v>171.01462500000005</v>
      </c>
    </row>
    <row r="76" spans="1:34" x14ac:dyDescent="0.3">
      <c r="A76" s="12" t="s">
        <v>249</v>
      </c>
      <c r="B76" s="137">
        <v>8</v>
      </c>
      <c r="C76" s="31">
        <v>112.58600000000001</v>
      </c>
      <c r="D76" s="31">
        <v>88.103999999999999</v>
      </c>
      <c r="E76" s="31">
        <v>74.580000000000013</v>
      </c>
      <c r="F76" s="31">
        <v>104.11100000000002</v>
      </c>
      <c r="G76" s="31">
        <v>93.820999999999998</v>
      </c>
      <c r="H76" s="31">
        <v>61.613999999999997</v>
      </c>
      <c r="I76" s="31">
        <v>105.64700000000001</v>
      </c>
      <c r="J76" s="31">
        <v>53.585999999999991</v>
      </c>
      <c r="K76" s="31">
        <v>85.4</v>
      </c>
      <c r="L76" s="31">
        <v>72.768999999999977</v>
      </c>
      <c r="M76" s="31">
        <v>89.614000000000019</v>
      </c>
      <c r="N76" s="31">
        <v>35.845999999999997</v>
      </c>
      <c r="O76" s="31">
        <v>38.822000000000003</v>
      </c>
      <c r="P76" s="31">
        <v>80.435000000000002</v>
      </c>
      <c r="Q76" s="31">
        <v>77.562000000000012</v>
      </c>
      <c r="R76" s="31">
        <v>96.015000000000015</v>
      </c>
      <c r="S76" s="31">
        <v>67.570000000000007</v>
      </c>
      <c r="T76" s="31">
        <v>94.833000000000041</v>
      </c>
      <c r="U76" s="31">
        <v>54.118000000000002</v>
      </c>
      <c r="V76" s="31">
        <v>75.210999999999999</v>
      </c>
      <c r="W76" s="31">
        <v>85.361999999999995</v>
      </c>
      <c r="X76" s="31">
        <v>46.156999999999996</v>
      </c>
      <c r="Y76" s="31">
        <v>95.072999999999993</v>
      </c>
      <c r="Z76" s="31">
        <v>99.90100000000001</v>
      </c>
      <c r="AA76" s="31">
        <v>67.013000000000005</v>
      </c>
      <c r="AB76" s="31">
        <v>46.457999999999998</v>
      </c>
      <c r="AC76" s="31">
        <v>71.033000000000001</v>
      </c>
      <c r="AD76" s="31">
        <v>75.596000000000004</v>
      </c>
      <c r="AE76" s="31">
        <v>85.567999999999998</v>
      </c>
      <c r="AF76" s="31">
        <v>78.385000000000005</v>
      </c>
      <c r="AG76" s="31">
        <v>32.045999999999999</v>
      </c>
      <c r="AH76" s="31">
        <v>73.146187500000011</v>
      </c>
    </row>
    <row r="77" spans="1:34" x14ac:dyDescent="0.3">
      <c r="A77" s="12" t="s">
        <v>254</v>
      </c>
      <c r="B77" s="137">
        <v>15</v>
      </c>
      <c r="C77" s="31">
        <v>215.40799999999999</v>
      </c>
      <c r="D77" s="31">
        <v>206.73400000000004</v>
      </c>
      <c r="E77" s="31">
        <v>192.94800000000001</v>
      </c>
      <c r="F77" s="31">
        <v>203.55999999999997</v>
      </c>
      <c r="G77" s="31">
        <v>204.51899999999998</v>
      </c>
      <c r="H77" s="31">
        <v>158.06100000000001</v>
      </c>
      <c r="I77" s="31">
        <v>213.869</v>
      </c>
      <c r="J77" s="31">
        <v>235.69</v>
      </c>
      <c r="K77" s="31">
        <v>189.40899999999999</v>
      </c>
      <c r="L77" s="31">
        <v>240.09699999999995</v>
      </c>
      <c r="M77" s="31">
        <v>168.952</v>
      </c>
      <c r="N77" s="31">
        <v>227.65599999999995</v>
      </c>
      <c r="O77" s="31">
        <v>189.28699999999995</v>
      </c>
      <c r="P77" s="31">
        <v>171.34899999999996</v>
      </c>
      <c r="Q77" s="31">
        <v>219.53700000000003</v>
      </c>
      <c r="R77" s="31">
        <v>204.29300000000001</v>
      </c>
      <c r="S77" s="31">
        <v>219.78400000000005</v>
      </c>
      <c r="T77" s="31">
        <v>171.13600000000002</v>
      </c>
      <c r="U77" s="31">
        <v>208.04600000000005</v>
      </c>
      <c r="V77" s="31">
        <v>187.54600000000002</v>
      </c>
      <c r="W77" s="31">
        <v>218.49999999999994</v>
      </c>
      <c r="X77" s="31">
        <v>222.21099999999998</v>
      </c>
      <c r="Y77" s="31">
        <v>227.33700000000002</v>
      </c>
      <c r="Z77" s="31">
        <v>239.65999999999997</v>
      </c>
      <c r="AA77" s="31">
        <v>261.5</v>
      </c>
      <c r="AB77" s="31">
        <v>262.21499999999997</v>
      </c>
      <c r="AC77" s="31">
        <v>184.19000000000003</v>
      </c>
      <c r="AD77" s="31">
        <v>200.92399999999989</v>
      </c>
      <c r="AE77" s="31">
        <v>258.23799999999994</v>
      </c>
      <c r="AF77" s="31">
        <v>154.62800000000004</v>
      </c>
      <c r="AG77" s="31">
        <v>206.14</v>
      </c>
      <c r="AH77" s="31">
        <v>214.14675</v>
      </c>
    </row>
    <row r="78" spans="1:34" x14ac:dyDescent="0.3">
      <c r="A78" s="12" t="s">
        <v>355</v>
      </c>
      <c r="B78" s="137">
        <v>10</v>
      </c>
      <c r="C78" s="31">
        <v>168.38</v>
      </c>
      <c r="D78" s="31">
        <v>213.29900000000004</v>
      </c>
      <c r="E78" s="31">
        <v>198.203</v>
      </c>
      <c r="F78" s="31">
        <v>183.42599999999999</v>
      </c>
      <c r="G78" s="31">
        <v>190.50300000000001</v>
      </c>
      <c r="H78" s="31">
        <v>202.08600000000001</v>
      </c>
      <c r="I78" s="31">
        <v>212.51100000000002</v>
      </c>
      <c r="J78" s="31">
        <v>190.179</v>
      </c>
      <c r="K78" s="31">
        <v>174.221</v>
      </c>
      <c r="L78" s="31">
        <v>161.17500000000004</v>
      </c>
      <c r="M78" s="31">
        <v>103.71199999999999</v>
      </c>
      <c r="N78" s="31">
        <v>44.156000000000006</v>
      </c>
      <c r="O78" s="31">
        <v>60.351000000000006</v>
      </c>
      <c r="P78" s="31">
        <v>128.94800000000004</v>
      </c>
      <c r="Q78" s="31">
        <v>141.18200000000002</v>
      </c>
      <c r="R78" s="31">
        <v>151.09900000000002</v>
      </c>
      <c r="S78" s="31">
        <v>150.66999999999999</v>
      </c>
      <c r="T78" s="31">
        <v>189.624</v>
      </c>
      <c r="U78" s="31">
        <v>149.91800000000001</v>
      </c>
      <c r="V78" s="31">
        <v>163.19800000000001</v>
      </c>
      <c r="W78" s="31">
        <v>145.68900000000002</v>
      </c>
      <c r="X78" s="31">
        <v>169.88099999999997</v>
      </c>
      <c r="Y78" s="31">
        <v>177.09700000000004</v>
      </c>
      <c r="Z78" s="31">
        <v>187.203</v>
      </c>
      <c r="AA78" s="31">
        <v>157.52099999999999</v>
      </c>
      <c r="AB78" s="31">
        <v>196.27600000000004</v>
      </c>
      <c r="AC78" s="31">
        <v>198.65600000000001</v>
      </c>
      <c r="AD78" s="31">
        <v>179.65200000000002</v>
      </c>
      <c r="AE78" s="31">
        <v>174.07500000000002</v>
      </c>
      <c r="AF78" s="31">
        <v>190.392</v>
      </c>
      <c r="AG78" s="31">
        <v>48.042000000000002</v>
      </c>
      <c r="AH78" s="31">
        <v>164.31206249999997</v>
      </c>
    </row>
    <row r="79" spans="1:34" x14ac:dyDescent="0.3">
      <c r="A79" s="12" t="s">
        <v>270</v>
      </c>
      <c r="B79" s="137">
        <v>4</v>
      </c>
      <c r="C79" s="31">
        <v>98.031000000000006</v>
      </c>
      <c r="D79" s="31">
        <v>185.26599999999999</v>
      </c>
      <c r="E79" s="31">
        <v>88.472000000000008</v>
      </c>
      <c r="F79" s="31">
        <v>87.679000000000002</v>
      </c>
      <c r="G79" s="31">
        <v>176.20600000000002</v>
      </c>
      <c r="H79" s="31">
        <v>65.075999999999993</v>
      </c>
      <c r="I79" s="31">
        <v>110.11300000000001</v>
      </c>
      <c r="J79" s="31">
        <v>178.21800000000002</v>
      </c>
      <c r="K79" s="31">
        <v>160.65699999999998</v>
      </c>
      <c r="L79" s="31">
        <v>154.44299999999998</v>
      </c>
      <c r="M79" s="31">
        <v>62.191000000000003</v>
      </c>
      <c r="N79" s="31">
        <v>81.463999999999984</v>
      </c>
      <c r="O79" s="31">
        <v>15.488</v>
      </c>
      <c r="P79" s="31">
        <v>62.025000000000006</v>
      </c>
      <c r="Q79" s="31">
        <v>105.29200000000002</v>
      </c>
      <c r="R79" s="31">
        <v>112.70899999999999</v>
      </c>
      <c r="S79" s="31">
        <v>115.315</v>
      </c>
      <c r="T79" s="31">
        <v>139.26600000000002</v>
      </c>
      <c r="U79" s="31">
        <v>38.021000000000001</v>
      </c>
      <c r="V79" s="31">
        <v>10.137</v>
      </c>
      <c r="W79" s="31">
        <v>179.54399999999998</v>
      </c>
      <c r="X79" s="31">
        <v>59.500999999999998</v>
      </c>
      <c r="Y79" s="31">
        <v>132.298</v>
      </c>
      <c r="Z79" s="31">
        <v>100.777</v>
      </c>
      <c r="AA79" s="31">
        <v>117.85</v>
      </c>
      <c r="AB79" s="31">
        <v>108.608</v>
      </c>
      <c r="AC79" s="31">
        <v>39.394999999999996</v>
      </c>
      <c r="AD79" s="31">
        <v>91.494</v>
      </c>
      <c r="AE79" s="31">
        <v>99.453000000000003</v>
      </c>
      <c r="AF79" s="31">
        <v>106.024</v>
      </c>
      <c r="AG79" s="31">
        <v>78.030999999999992</v>
      </c>
      <c r="AH79" s="31">
        <v>95.5264375</v>
      </c>
    </row>
    <row r="80" spans="1:34" x14ac:dyDescent="0.3">
      <c r="A80" s="12" t="s">
        <v>269</v>
      </c>
      <c r="B80" s="137">
        <v>7</v>
      </c>
      <c r="C80" s="31">
        <v>190.14999999999992</v>
      </c>
      <c r="D80" s="31">
        <v>141.44500000000002</v>
      </c>
      <c r="E80" s="31">
        <v>143.75899999999996</v>
      </c>
      <c r="F80" s="31">
        <v>144.64700000000002</v>
      </c>
      <c r="G80" s="31">
        <v>116.38099999999996</v>
      </c>
      <c r="H80" s="31">
        <v>123.70400000000005</v>
      </c>
      <c r="I80" s="31">
        <v>112.712</v>
      </c>
      <c r="J80" s="31">
        <v>136.52799999999999</v>
      </c>
      <c r="K80" s="31">
        <v>136.18999999999997</v>
      </c>
      <c r="L80" s="31">
        <v>145.63200000000001</v>
      </c>
      <c r="M80" s="31">
        <v>119.38099999999999</v>
      </c>
      <c r="N80" s="31">
        <v>102.29100000000001</v>
      </c>
      <c r="O80" s="31">
        <v>100.75500000000002</v>
      </c>
      <c r="P80" s="31">
        <v>140.673</v>
      </c>
      <c r="Q80" s="31">
        <v>131.38499999999999</v>
      </c>
      <c r="R80" s="31">
        <v>117.79700000000004</v>
      </c>
      <c r="S80" s="31">
        <v>170.64699999999996</v>
      </c>
      <c r="T80" s="31">
        <v>161.72899999999998</v>
      </c>
      <c r="U80" s="31">
        <v>110.37200000000001</v>
      </c>
      <c r="V80" s="31">
        <v>188.01299999999998</v>
      </c>
      <c r="W80" s="31">
        <v>75.071999999999989</v>
      </c>
      <c r="X80" s="31">
        <v>102.245</v>
      </c>
      <c r="Y80" s="31">
        <v>94.122000000000014</v>
      </c>
      <c r="Z80" s="31">
        <v>74.864999999999995</v>
      </c>
      <c r="AA80" s="31">
        <v>156.334</v>
      </c>
      <c r="AB80" s="31">
        <v>130.95099999999999</v>
      </c>
      <c r="AC80" s="31">
        <v>116.93600000000001</v>
      </c>
      <c r="AD80" s="31">
        <v>128.06800000000001</v>
      </c>
      <c r="AE80" s="31">
        <v>103.37</v>
      </c>
      <c r="AF80" s="31">
        <v>164.18099999999998</v>
      </c>
      <c r="AG80" s="31">
        <v>126.94500000000002</v>
      </c>
      <c r="AH80" s="31">
        <v>126.35293750000001</v>
      </c>
    </row>
    <row r="81" spans="1:34" x14ac:dyDescent="0.3">
      <c r="A81" s="12" t="s">
        <v>203</v>
      </c>
      <c r="B81" s="137">
        <v>30</v>
      </c>
      <c r="C81" s="31">
        <v>949.726</v>
      </c>
      <c r="D81" s="31">
        <v>1132.5609999999995</v>
      </c>
      <c r="E81" s="31">
        <v>546.60400000000016</v>
      </c>
      <c r="F81" s="31">
        <v>962.82100000000003</v>
      </c>
      <c r="G81" s="31">
        <v>632.69700000000012</v>
      </c>
      <c r="H81" s="31">
        <v>692.45199999999988</v>
      </c>
      <c r="I81" s="31">
        <v>883.15500000000009</v>
      </c>
      <c r="J81" s="31">
        <v>840.63700000000006</v>
      </c>
      <c r="K81" s="31">
        <v>749.44399999999985</v>
      </c>
      <c r="L81" s="31">
        <v>651.23</v>
      </c>
      <c r="M81" s="31">
        <v>714.54899999999998</v>
      </c>
      <c r="N81" s="31">
        <v>749.77300000000014</v>
      </c>
      <c r="O81" s="31">
        <v>481.012</v>
      </c>
      <c r="P81" s="31">
        <v>670.40099999999984</v>
      </c>
      <c r="Q81" s="31">
        <v>800.46399999999994</v>
      </c>
      <c r="R81" s="31">
        <v>835.78600000000006</v>
      </c>
      <c r="S81" s="31">
        <v>722.20800000000008</v>
      </c>
      <c r="T81" s="31">
        <v>863.15100000000007</v>
      </c>
      <c r="U81" s="31">
        <v>847.2299999999999</v>
      </c>
      <c r="V81" s="31">
        <v>643.73400000000004</v>
      </c>
      <c r="W81" s="31">
        <v>954.86299999999994</v>
      </c>
      <c r="X81" s="31">
        <v>773.47800000000029</v>
      </c>
      <c r="Y81" s="31">
        <v>870.72499999999991</v>
      </c>
      <c r="Z81" s="31">
        <v>744.10599999999988</v>
      </c>
      <c r="AA81" s="31">
        <v>716.50699999999995</v>
      </c>
      <c r="AB81" s="31">
        <v>938.47900000000027</v>
      </c>
      <c r="AC81" s="31">
        <v>880.41099999999994</v>
      </c>
      <c r="AD81" s="31">
        <v>789.16</v>
      </c>
      <c r="AE81" s="31">
        <v>774.86800000000005</v>
      </c>
      <c r="AF81" s="31">
        <v>650.84500000000025</v>
      </c>
      <c r="AG81" s="31">
        <v>817.2900000000003</v>
      </c>
      <c r="AH81" s="31">
        <v>801.42756250000002</v>
      </c>
    </row>
    <row r="82" spans="1:34" x14ac:dyDescent="0.3">
      <c r="A82" s="12" t="s">
        <v>455</v>
      </c>
      <c r="B82" s="137">
        <v>5</v>
      </c>
      <c r="C82" s="31">
        <v>5.1110000000000007</v>
      </c>
      <c r="D82" s="31">
        <v>2.6909999999999998</v>
      </c>
      <c r="E82" s="31">
        <v>6.0020000000000007</v>
      </c>
      <c r="F82" s="31">
        <v>19.110000000000003</v>
      </c>
      <c r="G82" s="31">
        <v>8.3309999999999995</v>
      </c>
      <c r="H82" s="31">
        <v>16.914999999999999</v>
      </c>
      <c r="I82" s="31">
        <v>17.810000000000002</v>
      </c>
      <c r="J82" s="31">
        <v>15.766999999999999</v>
      </c>
      <c r="K82" s="31">
        <v>6.09</v>
      </c>
      <c r="L82" s="31">
        <v>22.584</v>
      </c>
      <c r="M82" s="31">
        <v>12.754999999999999</v>
      </c>
      <c r="N82" s="31">
        <v>16.753</v>
      </c>
      <c r="O82" s="31">
        <v>3.2509999999999999</v>
      </c>
      <c r="P82" s="31">
        <v>3.0680000000000001</v>
      </c>
      <c r="Q82" s="31">
        <v>5.4420000000000002</v>
      </c>
      <c r="R82" s="31">
        <v>33.929000000000002</v>
      </c>
      <c r="S82" s="31">
        <v>41.047999999999995</v>
      </c>
      <c r="T82" s="31">
        <v>6.008</v>
      </c>
      <c r="U82" s="31">
        <v>14.743</v>
      </c>
      <c r="V82" s="31">
        <v>29.558999999999997</v>
      </c>
      <c r="W82" s="31">
        <v>9.3990000000000009</v>
      </c>
      <c r="X82" s="31">
        <v>2.9429999999999996</v>
      </c>
      <c r="Y82" s="31">
        <v>14.683</v>
      </c>
      <c r="Z82" s="31">
        <v>27.649000000000001</v>
      </c>
      <c r="AA82" s="31">
        <v>9.097999999999999</v>
      </c>
      <c r="AB82" s="31">
        <v>14.974000000000002</v>
      </c>
      <c r="AC82" s="31">
        <v>20.326000000000001</v>
      </c>
      <c r="AD82" s="31">
        <v>15.202999999999999</v>
      </c>
      <c r="AE82" s="31">
        <v>7.995000000000001</v>
      </c>
      <c r="AF82" s="31">
        <v>45.027999999999999</v>
      </c>
      <c r="AG82" s="31">
        <v>14.981</v>
      </c>
      <c r="AH82" s="31">
        <v>19.222874999999998</v>
      </c>
    </row>
    <row r="83" spans="1:34" x14ac:dyDescent="0.3">
      <c r="A83" s="12" t="s">
        <v>283</v>
      </c>
      <c r="B83" s="137">
        <v>12</v>
      </c>
      <c r="C83" s="31">
        <v>87.875999999999991</v>
      </c>
      <c r="D83" s="31">
        <v>79.198000000000008</v>
      </c>
      <c r="E83" s="31">
        <v>157.94499999999999</v>
      </c>
      <c r="F83" s="31">
        <v>104.92099999999999</v>
      </c>
      <c r="G83" s="31">
        <v>81.835999999999999</v>
      </c>
      <c r="H83" s="31">
        <v>79.489999999999995</v>
      </c>
      <c r="I83" s="31">
        <v>72.617999999999995</v>
      </c>
      <c r="J83" s="31">
        <v>81.199000000000012</v>
      </c>
      <c r="K83" s="31">
        <v>84.354000000000013</v>
      </c>
      <c r="L83" s="31">
        <v>78.228999999999985</v>
      </c>
      <c r="M83" s="31">
        <v>80.454000000000022</v>
      </c>
      <c r="N83" s="31">
        <v>45.640000000000008</v>
      </c>
      <c r="O83" s="31">
        <v>29.517000000000007</v>
      </c>
      <c r="P83" s="31">
        <v>28.561</v>
      </c>
      <c r="Q83" s="31">
        <v>83.652000000000015</v>
      </c>
      <c r="R83" s="31">
        <v>75.837000000000003</v>
      </c>
      <c r="S83" s="31">
        <v>97.670999999999992</v>
      </c>
      <c r="T83" s="31">
        <v>86.282999999999973</v>
      </c>
      <c r="U83" s="31">
        <v>121.92500000000001</v>
      </c>
      <c r="V83" s="31">
        <v>108.97200000000001</v>
      </c>
      <c r="W83" s="31">
        <v>74.540000000000006</v>
      </c>
      <c r="X83" s="31">
        <v>125.03100000000001</v>
      </c>
      <c r="Y83" s="31">
        <v>136.22799999999998</v>
      </c>
      <c r="Z83" s="31">
        <v>162.73500000000004</v>
      </c>
      <c r="AA83" s="31">
        <v>209.41800000000003</v>
      </c>
      <c r="AB83" s="31">
        <v>161.89000000000001</v>
      </c>
      <c r="AC83" s="31">
        <v>184.35499999999996</v>
      </c>
      <c r="AD83" s="31">
        <v>160.47700000000003</v>
      </c>
      <c r="AE83" s="31">
        <v>173.01500000000007</v>
      </c>
      <c r="AF83" s="31">
        <v>211.51199999999997</v>
      </c>
      <c r="AG83" s="31">
        <v>196.03899999999999</v>
      </c>
      <c r="AH83" s="31">
        <v>142.87050000000005</v>
      </c>
    </row>
    <row r="84" spans="1:34" x14ac:dyDescent="0.3">
      <c r="A84" s="12" t="s">
        <v>318</v>
      </c>
      <c r="B84" s="137">
        <v>1</v>
      </c>
      <c r="C84" s="31">
        <v>0</v>
      </c>
      <c r="D84" s="31">
        <v>0</v>
      </c>
      <c r="E84" s="31">
        <v>2.698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2.504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0</v>
      </c>
      <c r="AC84" s="31">
        <v>0</v>
      </c>
      <c r="AD84" s="31">
        <v>0</v>
      </c>
      <c r="AE84" s="31">
        <v>0</v>
      </c>
      <c r="AF84" s="31">
        <v>0.95099999999999996</v>
      </c>
      <c r="AG84" s="31">
        <v>0</v>
      </c>
      <c r="AH84" s="31">
        <v>5.9437499999999997E-2</v>
      </c>
    </row>
    <row r="85" spans="1:34" x14ac:dyDescent="0.3">
      <c r="A85" s="12" t="s">
        <v>456</v>
      </c>
      <c r="B85" s="137">
        <v>4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31">
        <v>0</v>
      </c>
      <c r="AD85" s="31">
        <v>0</v>
      </c>
      <c r="AE85" s="31">
        <v>0</v>
      </c>
      <c r="AF85" s="31">
        <v>0</v>
      </c>
      <c r="AG85" s="31">
        <v>0</v>
      </c>
      <c r="AH85" s="31">
        <v>0</v>
      </c>
    </row>
    <row r="86" spans="1:34" x14ac:dyDescent="0.3">
      <c r="A86" s="12" t="s">
        <v>392</v>
      </c>
      <c r="B86" s="137">
        <v>9</v>
      </c>
      <c r="C86" s="31">
        <v>42.359999999999992</v>
      </c>
      <c r="D86" s="31">
        <v>41.665999999999997</v>
      </c>
      <c r="E86" s="31">
        <v>25.044999999999998</v>
      </c>
      <c r="F86" s="31">
        <v>35.593000000000004</v>
      </c>
      <c r="G86" s="31">
        <v>19.643999999999998</v>
      </c>
      <c r="H86" s="31">
        <v>42.287000000000006</v>
      </c>
      <c r="I86" s="31">
        <v>11.56</v>
      </c>
      <c r="J86" s="31">
        <v>22.385000000000002</v>
      </c>
      <c r="K86" s="31">
        <v>44.198999999999998</v>
      </c>
      <c r="L86" s="31">
        <v>15.515999999999998</v>
      </c>
      <c r="M86" s="31">
        <v>28.962999999999997</v>
      </c>
      <c r="N86" s="31">
        <v>19.974000000000004</v>
      </c>
      <c r="O86" s="31">
        <v>23.28</v>
      </c>
      <c r="P86" s="31">
        <v>32.510999999999996</v>
      </c>
      <c r="Q86" s="31">
        <v>56.677</v>
      </c>
      <c r="R86" s="31">
        <v>27.008000000000003</v>
      </c>
      <c r="S86" s="31">
        <v>60.033999999999999</v>
      </c>
      <c r="T86" s="31">
        <v>39.024999999999999</v>
      </c>
      <c r="U86" s="31">
        <v>47.998000000000005</v>
      </c>
      <c r="V86" s="31">
        <v>35.567999999999998</v>
      </c>
      <c r="W86" s="31">
        <v>23.530999999999999</v>
      </c>
      <c r="X86" s="31">
        <v>38.103000000000009</v>
      </c>
      <c r="Y86" s="31">
        <v>74.594999999999999</v>
      </c>
      <c r="Z86" s="31">
        <v>40.53</v>
      </c>
      <c r="AA86" s="31">
        <v>52.056999999999995</v>
      </c>
      <c r="AB86" s="31">
        <v>23.554000000000002</v>
      </c>
      <c r="AC86" s="31">
        <v>64.798999999999992</v>
      </c>
      <c r="AD86" s="31">
        <v>38.072000000000003</v>
      </c>
      <c r="AE86" s="31">
        <v>23.536999999999999</v>
      </c>
      <c r="AF86" s="31">
        <v>16.907</v>
      </c>
      <c r="AG86" s="31">
        <v>21.551000000000002</v>
      </c>
      <c r="AH86" s="31">
        <v>39.179312500000002</v>
      </c>
    </row>
    <row r="87" spans="1:34" x14ac:dyDescent="0.3">
      <c r="A87" s="12" t="s">
        <v>247</v>
      </c>
      <c r="B87" s="137">
        <v>5</v>
      </c>
      <c r="C87" s="31">
        <v>35.565999999999995</v>
      </c>
      <c r="D87" s="31">
        <v>20.564</v>
      </c>
      <c r="E87" s="31">
        <v>30.068999999999999</v>
      </c>
      <c r="F87" s="31">
        <v>17.898</v>
      </c>
      <c r="G87" s="31">
        <v>38.399000000000001</v>
      </c>
      <c r="H87" s="31">
        <v>29.337999999999997</v>
      </c>
      <c r="I87" s="31">
        <v>21.631999999999998</v>
      </c>
      <c r="J87" s="31">
        <v>33.461999999999996</v>
      </c>
      <c r="K87" s="31">
        <v>21.302000000000003</v>
      </c>
      <c r="L87" s="31">
        <v>22.514000000000003</v>
      </c>
      <c r="M87" s="31">
        <v>27.140999999999998</v>
      </c>
      <c r="N87" s="31">
        <v>32.411999999999999</v>
      </c>
      <c r="O87" s="31">
        <v>22.960999999999999</v>
      </c>
      <c r="P87" s="31">
        <v>19.866</v>
      </c>
      <c r="Q87" s="31">
        <v>20.733000000000001</v>
      </c>
      <c r="R87" s="31">
        <v>36.22</v>
      </c>
      <c r="S87" s="31">
        <v>39.230999999999995</v>
      </c>
      <c r="T87" s="31">
        <v>29.168999999999997</v>
      </c>
      <c r="U87" s="31">
        <v>9.3529999999999998</v>
      </c>
      <c r="V87" s="31">
        <v>46.082999999999998</v>
      </c>
      <c r="W87" s="31">
        <v>19.785999999999998</v>
      </c>
      <c r="X87" s="31">
        <v>37.418000000000006</v>
      </c>
      <c r="Y87" s="31">
        <v>31.581</v>
      </c>
      <c r="Z87" s="31">
        <v>28.065000000000001</v>
      </c>
      <c r="AA87" s="31">
        <v>20.603000000000002</v>
      </c>
      <c r="AB87" s="31">
        <v>43.762</v>
      </c>
      <c r="AC87" s="31">
        <v>18.245000000000001</v>
      </c>
      <c r="AD87" s="31">
        <v>27.412999999999997</v>
      </c>
      <c r="AE87" s="31">
        <v>38.120000000000005</v>
      </c>
      <c r="AF87" s="31">
        <v>35.832999999999998</v>
      </c>
      <c r="AG87" s="31">
        <v>28.995999999999999</v>
      </c>
      <c r="AH87" s="31">
        <v>30.617375000000003</v>
      </c>
    </row>
    <row r="88" spans="1:34" x14ac:dyDescent="0.3">
      <c r="A88" s="12" t="s">
        <v>354</v>
      </c>
      <c r="B88" s="137">
        <v>13</v>
      </c>
      <c r="C88" s="31">
        <v>102.71300000000001</v>
      </c>
      <c r="D88" s="31">
        <v>97.739000000000004</v>
      </c>
      <c r="E88" s="31">
        <v>133.976</v>
      </c>
      <c r="F88" s="31">
        <v>153.892</v>
      </c>
      <c r="G88" s="31">
        <v>136.60599999999997</v>
      </c>
      <c r="H88" s="31">
        <v>91.628999999999991</v>
      </c>
      <c r="I88" s="31">
        <v>112.111</v>
      </c>
      <c r="J88" s="31">
        <v>127.19999999999999</v>
      </c>
      <c r="K88" s="31">
        <v>118.65600000000002</v>
      </c>
      <c r="L88" s="31">
        <v>111.86600000000001</v>
      </c>
      <c r="M88" s="31">
        <v>121.88600000000001</v>
      </c>
      <c r="N88" s="31">
        <v>44.180999999999997</v>
      </c>
      <c r="O88" s="31">
        <v>92.919000000000011</v>
      </c>
      <c r="P88" s="31">
        <v>53.007999999999996</v>
      </c>
      <c r="Q88" s="31">
        <v>62.413000000000011</v>
      </c>
      <c r="R88" s="31">
        <v>145.75700000000001</v>
      </c>
      <c r="S88" s="31">
        <v>120.63999999999999</v>
      </c>
      <c r="T88" s="31">
        <v>99.324000000000012</v>
      </c>
      <c r="U88" s="31">
        <v>67.622</v>
      </c>
      <c r="V88" s="31">
        <v>100.96300000000002</v>
      </c>
      <c r="W88" s="31">
        <v>98.016999999999996</v>
      </c>
      <c r="X88" s="31">
        <v>117.84499999999997</v>
      </c>
      <c r="Y88" s="31">
        <v>135.50900000000004</v>
      </c>
      <c r="Z88" s="31">
        <v>127.14299999999999</v>
      </c>
      <c r="AA88" s="31">
        <v>88.278999999999982</v>
      </c>
      <c r="AB88" s="31">
        <v>117.72700000000003</v>
      </c>
      <c r="AC88" s="31">
        <v>115.40600000000001</v>
      </c>
      <c r="AD88" s="31">
        <v>89.638000000000005</v>
      </c>
      <c r="AE88" s="31">
        <v>96.257000000000005</v>
      </c>
      <c r="AF88" s="31">
        <v>108.327</v>
      </c>
      <c r="AG88" s="31">
        <v>117.29299999999999</v>
      </c>
      <c r="AH88" s="31">
        <v>109.1091875</v>
      </c>
    </row>
    <row r="89" spans="1:34" x14ac:dyDescent="0.3">
      <c r="A89" s="12" t="s">
        <v>216</v>
      </c>
      <c r="B89" s="137">
        <v>7</v>
      </c>
      <c r="C89" s="31">
        <v>202.941</v>
      </c>
      <c r="D89" s="31">
        <v>201.762</v>
      </c>
      <c r="E89" s="31">
        <v>187.60699999999997</v>
      </c>
      <c r="F89" s="31">
        <v>196.20499999999998</v>
      </c>
      <c r="G89" s="31">
        <v>203.79499999999999</v>
      </c>
      <c r="H89" s="31">
        <v>182.29000000000002</v>
      </c>
      <c r="I89" s="31">
        <v>157.83200000000002</v>
      </c>
      <c r="J89" s="31">
        <v>198.108</v>
      </c>
      <c r="K89" s="31">
        <v>128.09900000000002</v>
      </c>
      <c r="L89" s="31">
        <v>137.453</v>
      </c>
      <c r="M89" s="31">
        <v>123.395</v>
      </c>
      <c r="N89" s="31">
        <v>21.251999999999999</v>
      </c>
      <c r="O89" s="31">
        <v>103.267</v>
      </c>
      <c r="P89" s="31">
        <v>138.58800000000002</v>
      </c>
      <c r="Q89" s="31">
        <v>207.36799999999991</v>
      </c>
      <c r="R89" s="31">
        <v>181.55</v>
      </c>
      <c r="S89" s="31">
        <v>155.96799999999999</v>
      </c>
      <c r="T89" s="31">
        <v>187.86099999999999</v>
      </c>
      <c r="U89" s="31">
        <v>114.37100000000004</v>
      </c>
      <c r="V89" s="31">
        <v>145.48200000000003</v>
      </c>
      <c r="W89" s="31">
        <v>145.75999999999996</v>
      </c>
      <c r="X89" s="31">
        <v>156.239</v>
      </c>
      <c r="Y89" s="31">
        <v>148.393</v>
      </c>
      <c r="Z89" s="31">
        <v>169.24999999999997</v>
      </c>
      <c r="AA89" s="31">
        <v>172.34199999999993</v>
      </c>
      <c r="AB89" s="31">
        <v>173.65400000000002</v>
      </c>
      <c r="AC89" s="31">
        <v>125.45900000000002</v>
      </c>
      <c r="AD89" s="31">
        <v>126.229</v>
      </c>
      <c r="AE89" s="31">
        <v>178.346</v>
      </c>
      <c r="AF89" s="31">
        <v>153.554</v>
      </c>
      <c r="AG89" s="31">
        <v>147.84400000000002</v>
      </c>
      <c r="AH89" s="31">
        <v>155.14387500000001</v>
      </c>
    </row>
    <row r="90" spans="1:34" x14ac:dyDescent="0.3">
      <c r="A90" s="12" t="s">
        <v>243</v>
      </c>
      <c r="B90" s="137">
        <v>1</v>
      </c>
      <c r="C90" s="31">
        <v>0</v>
      </c>
      <c r="D90" s="31">
        <v>0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0</v>
      </c>
      <c r="Z90" s="31">
        <v>0</v>
      </c>
      <c r="AA90" s="31">
        <v>0</v>
      </c>
      <c r="AB90" s="31">
        <v>0</v>
      </c>
      <c r="AC90" s="31">
        <v>0</v>
      </c>
      <c r="AD90" s="31">
        <v>0</v>
      </c>
      <c r="AE90" s="31">
        <v>0</v>
      </c>
      <c r="AF90" s="31">
        <v>0</v>
      </c>
      <c r="AG90" s="31">
        <v>0</v>
      </c>
      <c r="AH90" s="31">
        <v>0</v>
      </c>
    </row>
    <row r="91" spans="1:34" x14ac:dyDescent="0.3">
      <c r="A91" s="12" t="s">
        <v>404</v>
      </c>
      <c r="B91" s="137">
        <v>1</v>
      </c>
      <c r="C91" s="31">
        <v>0</v>
      </c>
      <c r="D91" s="31">
        <v>0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31">
        <v>0</v>
      </c>
      <c r="AD91" s="31">
        <v>0</v>
      </c>
      <c r="AE91" s="31">
        <v>0</v>
      </c>
      <c r="AF91" s="31">
        <v>0</v>
      </c>
      <c r="AG91" s="31">
        <v>0</v>
      </c>
      <c r="AH91" s="31">
        <v>0</v>
      </c>
    </row>
    <row r="92" spans="1:34" x14ac:dyDescent="0.3">
      <c r="A92" s="12" t="s">
        <v>477</v>
      </c>
      <c r="B92" s="137">
        <v>1</v>
      </c>
      <c r="C92" s="31">
        <v>0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0</v>
      </c>
      <c r="P92" s="31">
        <v>0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0</v>
      </c>
      <c r="W92" s="31">
        <v>0</v>
      </c>
      <c r="X92" s="31">
        <v>0</v>
      </c>
      <c r="Y92" s="31">
        <v>0</v>
      </c>
      <c r="Z92" s="31">
        <v>0</v>
      </c>
      <c r="AA92" s="31">
        <v>0</v>
      </c>
      <c r="AB92" s="31">
        <v>0</v>
      </c>
      <c r="AC92" s="31">
        <v>0</v>
      </c>
      <c r="AD92" s="31">
        <v>0</v>
      </c>
      <c r="AE92" s="31">
        <v>0</v>
      </c>
      <c r="AF92" s="31">
        <v>0</v>
      </c>
      <c r="AG92" s="31">
        <v>0</v>
      </c>
      <c r="AH92" s="31">
        <v>0</v>
      </c>
    </row>
    <row r="93" spans="1:34" x14ac:dyDescent="0.3">
      <c r="A93" s="12" t="s">
        <v>500</v>
      </c>
      <c r="B93" s="137">
        <v>1</v>
      </c>
      <c r="C93" s="31">
        <v>0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10.055</v>
      </c>
      <c r="AB93" s="31">
        <v>7.8769999999999998</v>
      </c>
      <c r="AC93" s="31">
        <v>0</v>
      </c>
      <c r="AD93" s="31">
        <v>0</v>
      </c>
      <c r="AE93" s="31">
        <v>0</v>
      </c>
      <c r="AF93" s="31">
        <v>8.4920000000000009</v>
      </c>
      <c r="AG93" s="31">
        <v>0</v>
      </c>
      <c r="AH93" s="31">
        <v>1.6515</v>
      </c>
    </row>
    <row r="94" spans="1:34" x14ac:dyDescent="0.3">
      <c r="A94" s="12" t="s">
        <v>501</v>
      </c>
      <c r="B94" s="137">
        <v>1</v>
      </c>
      <c r="C94" s="31">
        <v>2.21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31">
        <v>0</v>
      </c>
      <c r="AD94" s="31">
        <v>0</v>
      </c>
      <c r="AE94" s="31">
        <v>0</v>
      </c>
      <c r="AF94" s="31">
        <v>0</v>
      </c>
      <c r="AG94" s="31">
        <v>0</v>
      </c>
      <c r="AH94" s="31">
        <v>0</v>
      </c>
    </row>
    <row r="95" spans="1:34" x14ac:dyDescent="0.3">
      <c r="A95" s="12" t="s">
        <v>323</v>
      </c>
      <c r="B95" s="137">
        <v>6</v>
      </c>
      <c r="C95" s="31">
        <v>47.499000000000002</v>
      </c>
      <c r="D95" s="31">
        <v>55.803999999999995</v>
      </c>
      <c r="E95" s="31">
        <v>40.106999999999999</v>
      </c>
      <c r="F95" s="31">
        <v>43.293999999999997</v>
      </c>
      <c r="G95" s="31">
        <v>90.724000000000018</v>
      </c>
      <c r="H95" s="31">
        <v>86.599000000000004</v>
      </c>
      <c r="I95" s="31">
        <v>107.49700000000001</v>
      </c>
      <c r="J95" s="31">
        <v>119.15600000000002</v>
      </c>
      <c r="K95" s="31">
        <v>92.681000000000026</v>
      </c>
      <c r="L95" s="31">
        <v>79.084000000000003</v>
      </c>
      <c r="M95" s="31">
        <v>87.831000000000017</v>
      </c>
      <c r="N95" s="31">
        <v>65.493000000000009</v>
      </c>
      <c r="O95" s="31">
        <v>69.620999999999995</v>
      </c>
      <c r="P95" s="31">
        <v>64.704999999999998</v>
      </c>
      <c r="Q95" s="31">
        <v>66.786000000000001</v>
      </c>
      <c r="R95" s="31">
        <v>59.762999999999998</v>
      </c>
      <c r="S95" s="31">
        <v>92.692000000000007</v>
      </c>
      <c r="T95" s="31">
        <v>102.14399999999999</v>
      </c>
      <c r="U95" s="31">
        <v>75.426000000000002</v>
      </c>
      <c r="V95" s="31">
        <v>108.408</v>
      </c>
      <c r="W95" s="31">
        <v>88.808999999999997</v>
      </c>
      <c r="X95" s="31">
        <v>93.709000000000003</v>
      </c>
      <c r="Y95" s="31">
        <v>99.808000000000007</v>
      </c>
      <c r="Z95" s="31">
        <v>96.212000000000018</v>
      </c>
      <c r="AA95" s="31">
        <v>77.155000000000001</v>
      </c>
      <c r="AB95" s="31">
        <v>109.095</v>
      </c>
      <c r="AC95" s="31">
        <v>103.74999999999999</v>
      </c>
      <c r="AD95" s="31">
        <v>84.635999999999996</v>
      </c>
      <c r="AE95" s="31">
        <v>71.870000000000019</v>
      </c>
      <c r="AF95" s="31">
        <v>65.206999999999979</v>
      </c>
      <c r="AG95" s="31">
        <v>44.156000000000006</v>
      </c>
      <c r="AH95" s="31">
        <v>85.802499999999995</v>
      </c>
    </row>
    <row r="96" spans="1:34" x14ac:dyDescent="0.3">
      <c r="A96" s="12" t="s">
        <v>405</v>
      </c>
      <c r="B96" s="137">
        <v>15</v>
      </c>
      <c r="C96" s="31">
        <v>66.031000000000006</v>
      </c>
      <c r="D96" s="31">
        <v>76.016000000000005</v>
      </c>
      <c r="E96" s="31">
        <v>40.158000000000001</v>
      </c>
      <c r="F96" s="31">
        <v>48.79</v>
      </c>
      <c r="G96" s="31">
        <v>54.682000000000002</v>
      </c>
      <c r="H96" s="31">
        <v>81.52</v>
      </c>
      <c r="I96" s="31">
        <v>69.721999999999994</v>
      </c>
      <c r="J96" s="31">
        <v>40.673999999999999</v>
      </c>
      <c r="K96" s="31">
        <v>61.228999999999992</v>
      </c>
      <c r="L96" s="31">
        <v>52.273999999999994</v>
      </c>
      <c r="M96" s="31">
        <v>84.885999999999981</v>
      </c>
      <c r="N96" s="31">
        <v>61.472000000000001</v>
      </c>
      <c r="O96" s="31">
        <v>73.335999999999999</v>
      </c>
      <c r="P96" s="31">
        <v>69.043999999999997</v>
      </c>
      <c r="Q96" s="31">
        <v>58.631</v>
      </c>
      <c r="R96" s="31">
        <v>59.678999999999988</v>
      </c>
      <c r="S96" s="31">
        <v>53.47</v>
      </c>
      <c r="T96" s="31">
        <v>64.191999999999993</v>
      </c>
      <c r="U96" s="31">
        <v>77.813000000000002</v>
      </c>
      <c r="V96" s="31">
        <v>70.275000000000006</v>
      </c>
      <c r="W96" s="31">
        <v>63.755000000000003</v>
      </c>
      <c r="X96" s="31">
        <v>68.945000000000007</v>
      </c>
      <c r="Y96" s="31">
        <v>42.773000000000003</v>
      </c>
      <c r="Z96" s="31">
        <v>55.155000000000001</v>
      </c>
      <c r="AA96" s="31">
        <v>79.938999999999993</v>
      </c>
      <c r="AB96" s="31">
        <v>57.238</v>
      </c>
      <c r="AC96" s="31">
        <v>78.411999999999992</v>
      </c>
      <c r="AD96" s="31">
        <v>63.137</v>
      </c>
      <c r="AE96" s="31">
        <v>81.23</v>
      </c>
      <c r="AF96" s="31">
        <v>62.385999999999996</v>
      </c>
      <c r="AG96" s="31">
        <v>69.885000000000005</v>
      </c>
      <c r="AH96" s="31">
        <v>65.517749999999992</v>
      </c>
    </row>
    <row r="97" spans="1:34" x14ac:dyDescent="0.3">
      <c r="A97" s="12" t="s">
        <v>260</v>
      </c>
      <c r="B97" s="137">
        <v>10</v>
      </c>
      <c r="C97" s="31">
        <v>195.20999999999998</v>
      </c>
      <c r="D97" s="31">
        <v>197.37099999999998</v>
      </c>
      <c r="E97" s="31">
        <v>167.12300000000002</v>
      </c>
      <c r="F97" s="31">
        <v>186.1760000000001</v>
      </c>
      <c r="G97" s="31">
        <v>209.696</v>
      </c>
      <c r="H97" s="31">
        <v>184.41300000000004</v>
      </c>
      <c r="I97" s="31">
        <v>177.51900000000003</v>
      </c>
      <c r="J97" s="31">
        <v>168.55500000000001</v>
      </c>
      <c r="K97" s="31">
        <v>136.07799999999997</v>
      </c>
      <c r="L97" s="31">
        <v>168.89500000000001</v>
      </c>
      <c r="M97" s="31">
        <v>134.53300000000002</v>
      </c>
      <c r="N97" s="31">
        <v>121.68600000000001</v>
      </c>
      <c r="O97" s="31">
        <v>75.216999999999985</v>
      </c>
      <c r="P97" s="31">
        <v>134.233</v>
      </c>
      <c r="Q97" s="31">
        <v>128.89000000000001</v>
      </c>
      <c r="R97" s="31">
        <v>189.34800000000001</v>
      </c>
      <c r="S97" s="31">
        <v>204.61</v>
      </c>
      <c r="T97" s="31">
        <v>144.79700000000003</v>
      </c>
      <c r="U97" s="31">
        <v>155.684</v>
      </c>
      <c r="V97" s="31">
        <v>177.15400000000002</v>
      </c>
      <c r="W97" s="31">
        <v>159.20500000000004</v>
      </c>
      <c r="X97" s="31">
        <v>150.70800000000003</v>
      </c>
      <c r="Y97" s="31">
        <v>190.60399999999998</v>
      </c>
      <c r="Z97" s="31">
        <v>183.178</v>
      </c>
      <c r="AA97" s="31">
        <v>164.29500000000004</v>
      </c>
      <c r="AB97" s="31">
        <v>181.048</v>
      </c>
      <c r="AC97" s="31">
        <v>165.04</v>
      </c>
      <c r="AD97" s="31">
        <v>171.31</v>
      </c>
      <c r="AE97" s="31">
        <v>190.17699999999996</v>
      </c>
      <c r="AF97" s="31">
        <v>138.27799999999999</v>
      </c>
      <c r="AG97" s="31">
        <v>148.51499999999999</v>
      </c>
      <c r="AH97" s="31">
        <v>169.6219375</v>
      </c>
    </row>
    <row r="98" spans="1:34" x14ac:dyDescent="0.3">
      <c r="A98" s="12" t="s">
        <v>475</v>
      </c>
      <c r="B98" s="137">
        <v>8</v>
      </c>
      <c r="C98" s="31">
        <v>71.908999999999992</v>
      </c>
      <c r="D98" s="31">
        <v>44.817</v>
      </c>
      <c r="E98" s="31">
        <v>65.545999999999992</v>
      </c>
      <c r="F98" s="31">
        <v>108.89900000000003</v>
      </c>
      <c r="G98" s="31">
        <v>90.472000000000008</v>
      </c>
      <c r="H98" s="31">
        <v>41.948</v>
      </c>
      <c r="I98" s="31">
        <v>157.90700000000004</v>
      </c>
      <c r="J98" s="31">
        <v>82.100999999999999</v>
      </c>
      <c r="K98" s="31">
        <v>36.899000000000001</v>
      </c>
      <c r="L98" s="31">
        <v>58.315999999999995</v>
      </c>
      <c r="M98" s="31">
        <v>152.53000000000003</v>
      </c>
      <c r="N98" s="31">
        <v>37.760000000000005</v>
      </c>
      <c r="O98" s="31">
        <v>50.00500000000001</v>
      </c>
      <c r="P98" s="31">
        <v>40.844999999999999</v>
      </c>
      <c r="Q98" s="31">
        <v>74.141999999999996</v>
      </c>
      <c r="R98" s="31">
        <v>141.97200000000004</v>
      </c>
      <c r="S98" s="31">
        <v>88.47399999999999</v>
      </c>
      <c r="T98" s="31">
        <v>35.876999999999995</v>
      </c>
      <c r="U98" s="31">
        <v>96.216000000000008</v>
      </c>
      <c r="V98" s="31">
        <v>70.933999999999997</v>
      </c>
      <c r="W98" s="31">
        <v>33.653000000000006</v>
      </c>
      <c r="X98" s="31">
        <v>155.82500000000002</v>
      </c>
      <c r="Y98" s="31">
        <v>199.55700000000004</v>
      </c>
      <c r="Z98" s="31">
        <v>118.14900000000003</v>
      </c>
      <c r="AA98" s="31">
        <v>148.34100000000001</v>
      </c>
      <c r="AB98" s="31">
        <v>56.417000000000002</v>
      </c>
      <c r="AC98" s="31">
        <v>104.41100000000002</v>
      </c>
      <c r="AD98" s="31">
        <v>88.718000000000004</v>
      </c>
      <c r="AE98" s="31">
        <v>131.90300000000002</v>
      </c>
      <c r="AF98" s="31">
        <v>155.17099999999999</v>
      </c>
      <c r="AG98" s="31">
        <v>96.718000000000004</v>
      </c>
      <c r="AH98" s="31">
        <v>107.64600000000002</v>
      </c>
    </row>
    <row r="99" spans="1:34" x14ac:dyDescent="0.3">
      <c r="A99" s="12" t="s">
        <v>440</v>
      </c>
      <c r="B99" s="137">
        <v>2</v>
      </c>
      <c r="C99" s="31">
        <v>217.34</v>
      </c>
      <c r="D99" s="31">
        <v>198.33500000000001</v>
      </c>
      <c r="E99" s="31">
        <v>163.43</v>
      </c>
      <c r="F99" s="31">
        <v>142.07799999999997</v>
      </c>
      <c r="G99" s="31">
        <v>172.12800000000001</v>
      </c>
      <c r="H99" s="31">
        <v>17.541</v>
      </c>
      <c r="I99" s="31">
        <v>96.268000000000001</v>
      </c>
      <c r="J99" s="31">
        <v>198.09100000000001</v>
      </c>
      <c r="K99" s="31">
        <v>221.07100000000003</v>
      </c>
      <c r="L99" s="31">
        <v>148.44999999999999</v>
      </c>
      <c r="M99" s="31">
        <v>111.13700000000001</v>
      </c>
      <c r="N99" s="31">
        <v>17.125999999999998</v>
      </c>
      <c r="O99" s="31">
        <v>55.082000000000008</v>
      </c>
      <c r="P99" s="31">
        <v>110.27200000000001</v>
      </c>
      <c r="Q99" s="31">
        <v>135.17500000000001</v>
      </c>
      <c r="R99" s="31">
        <v>133.673</v>
      </c>
      <c r="S99" s="31">
        <v>200.69400000000002</v>
      </c>
      <c r="T99" s="31">
        <v>231.15499999999997</v>
      </c>
      <c r="U99" s="31">
        <v>122.881</v>
      </c>
      <c r="V99" s="31">
        <v>0</v>
      </c>
      <c r="W99" s="31">
        <v>190.86599999999999</v>
      </c>
      <c r="X99" s="31">
        <v>168.32300000000001</v>
      </c>
      <c r="Y99" s="31">
        <v>229.27199999999999</v>
      </c>
      <c r="Z99" s="31">
        <v>140.76600000000002</v>
      </c>
      <c r="AA99" s="31">
        <v>188.077</v>
      </c>
      <c r="AB99" s="31">
        <v>65.040999999999997</v>
      </c>
      <c r="AC99" s="31">
        <v>22.341999999999999</v>
      </c>
      <c r="AD99" s="31">
        <v>134.09200000000001</v>
      </c>
      <c r="AE99" s="31">
        <v>214.94</v>
      </c>
      <c r="AF99" s="31">
        <v>132.12</v>
      </c>
      <c r="AG99" s="31">
        <v>78.567000000000007</v>
      </c>
      <c r="AH99" s="31">
        <v>140.80056250000001</v>
      </c>
    </row>
    <row r="100" spans="1:34" x14ac:dyDescent="0.3">
      <c r="A100" s="12" t="s">
        <v>484</v>
      </c>
      <c r="B100" s="137">
        <v>1</v>
      </c>
      <c r="C100" s="31">
        <v>0.32600000000000001</v>
      </c>
      <c r="D100" s="31">
        <v>0</v>
      </c>
      <c r="E100" s="31">
        <v>0.17699999999999999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2.7360000000000002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0</v>
      </c>
      <c r="Z100" s="31">
        <v>0</v>
      </c>
      <c r="AA100" s="31">
        <v>0</v>
      </c>
      <c r="AB100" s="31">
        <v>0</v>
      </c>
      <c r="AC100" s="31">
        <v>0</v>
      </c>
      <c r="AD100" s="31">
        <v>0</v>
      </c>
      <c r="AE100" s="31">
        <v>0</v>
      </c>
      <c r="AF100" s="31">
        <v>0</v>
      </c>
      <c r="AG100" s="31">
        <v>0</v>
      </c>
      <c r="AH100" s="31">
        <v>0.17100000000000001</v>
      </c>
    </row>
    <row r="101" spans="1:34" x14ac:dyDescent="0.3">
      <c r="A101" s="12" t="s">
        <v>110</v>
      </c>
      <c r="B101" s="137">
        <v>1</v>
      </c>
      <c r="C101" s="31">
        <v>0</v>
      </c>
      <c r="D101" s="31">
        <v>0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31">
        <v>0</v>
      </c>
      <c r="AD101" s="31">
        <v>0</v>
      </c>
      <c r="AE101" s="31">
        <v>0</v>
      </c>
      <c r="AF101" s="31">
        <v>0</v>
      </c>
      <c r="AG101" s="31">
        <v>0</v>
      </c>
      <c r="AH101" s="31">
        <v>0</v>
      </c>
    </row>
    <row r="102" spans="1:34" x14ac:dyDescent="0.3">
      <c r="A102" s="12" t="s">
        <v>504</v>
      </c>
      <c r="B102" s="137">
        <v>7</v>
      </c>
      <c r="C102" s="31">
        <v>0</v>
      </c>
      <c r="D102" s="31">
        <v>98.739000000000004</v>
      </c>
      <c r="E102" s="31">
        <v>44.350999999999992</v>
      </c>
      <c r="F102" s="31">
        <v>52.42</v>
      </c>
      <c r="G102" s="31">
        <v>62.845999999999997</v>
      </c>
      <c r="H102" s="31">
        <v>70.605999999999995</v>
      </c>
      <c r="I102" s="31">
        <v>54.041999999999994</v>
      </c>
      <c r="J102" s="31">
        <v>55.117999999999988</v>
      </c>
      <c r="K102" s="31">
        <v>40.300000000000004</v>
      </c>
      <c r="L102" s="31">
        <v>43.088000000000001</v>
      </c>
      <c r="M102" s="31">
        <v>72.59899999999999</v>
      </c>
      <c r="N102" s="31">
        <v>26.632999999999999</v>
      </c>
      <c r="O102" s="31">
        <v>37.112000000000002</v>
      </c>
      <c r="P102" s="31">
        <v>51.442000000000007</v>
      </c>
      <c r="Q102" s="31">
        <v>63.027999999999999</v>
      </c>
      <c r="R102" s="31">
        <v>54.933</v>
      </c>
      <c r="S102" s="31">
        <v>61.384999999999998</v>
      </c>
      <c r="T102" s="31">
        <v>44.853000000000002</v>
      </c>
      <c r="U102" s="31">
        <v>43.519000000000005</v>
      </c>
      <c r="V102" s="31">
        <v>47.311</v>
      </c>
      <c r="W102" s="31">
        <v>36.447000000000003</v>
      </c>
      <c r="X102" s="31">
        <v>38.463999999999999</v>
      </c>
      <c r="Y102" s="31">
        <v>56.414000000000001</v>
      </c>
      <c r="Z102" s="31">
        <v>39.302</v>
      </c>
      <c r="AA102" s="31">
        <v>47.939</v>
      </c>
      <c r="AB102" s="31">
        <v>70.030999999999992</v>
      </c>
      <c r="AC102" s="31">
        <v>38.891000000000005</v>
      </c>
      <c r="AD102" s="31">
        <v>54.920999999999999</v>
      </c>
      <c r="AE102" s="31">
        <v>26.713000000000001</v>
      </c>
      <c r="AF102" s="31">
        <v>35.471000000000004</v>
      </c>
      <c r="AG102" s="31">
        <v>48.195</v>
      </c>
      <c r="AH102" s="31">
        <v>46.549312499999999</v>
      </c>
    </row>
    <row r="103" spans="1:34" x14ac:dyDescent="0.3">
      <c r="A103" s="12" t="s">
        <v>518</v>
      </c>
      <c r="B103" s="137">
        <v>1</v>
      </c>
      <c r="C103" s="31"/>
      <c r="D103" s="31"/>
      <c r="E103" s="31"/>
      <c r="F103" s="31">
        <v>0</v>
      </c>
      <c r="G103" s="31">
        <v>0</v>
      </c>
      <c r="H103" s="31">
        <v>0</v>
      </c>
      <c r="I103" s="31">
        <v>0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0</v>
      </c>
      <c r="V103" s="31">
        <v>0</v>
      </c>
      <c r="W103" s="31">
        <v>0</v>
      </c>
      <c r="X103" s="31">
        <v>0</v>
      </c>
      <c r="Y103" s="31">
        <v>0</v>
      </c>
      <c r="Z103" s="31">
        <v>0</v>
      </c>
      <c r="AA103" s="31">
        <v>0</v>
      </c>
      <c r="AB103" s="31">
        <v>0</v>
      </c>
      <c r="AC103" s="31">
        <v>0</v>
      </c>
      <c r="AD103" s="31">
        <v>0</v>
      </c>
      <c r="AE103" s="31">
        <v>0</v>
      </c>
      <c r="AF103" s="31">
        <v>0</v>
      </c>
      <c r="AG103" s="31">
        <v>0</v>
      </c>
      <c r="AH103" s="31">
        <v>0</v>
      </c>
    </row>
    <row r="104" spans="1:34" x14ac:dyDescent="0.3">
      <c r="A104" s="12" t="s">
        <v>519</v>
      </c>
      <c r="B104" s="137">
        <v>10</v>
      </c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>
        <v>0</v>
      </c>
      <c r="Q104" s="31">
        <v>0.48</v>
      </c>
      <c r="R104" s="31">
        <v>0</v>
      </c>
      <c r="S104" s="31">
        <v>4.9589999999999996</v>
      </c>
      <c r="T104" s="31">
        <v>0</v>
      </c>
      <c r="U104" s="31">
        <v>0</v>
      </c>
      <c r="V104" s="31">
        <v>0</v>
      </c>
      <c r="W104" s="31">
        <v>1.974</v>
      </c>
      <c r="X104" s="31">
        <v>0</v>
      </c>
      <c r="Y104" s="31">
        <v>0</v>
      </c>
      <c r="Z104" s="31">
        <v>4.6579999999999995</v>
      </c>
      <c r="AA104" s="31">
        <v>9.7149999999999999</v>
      </c>
      <c r="AB104" s="31">
        <v>2.52</v>
      </c>
      <c r="AC104" s="31">
        <v>3.7640000000000002</v>
      </c>
      <c r="AD104" s="31">
        <v>0</v>
      </c>
      <c r="AE104" s="31">
        <v>8.3090000000000011</v>
      </c>
      <c r="AF104" s="31">
        <v>12.530000000000001</v>
      </c>
      <c r="AG104" s="31">
        <v>4.867</v>
      </c>
      <c r="AH104" s="31">
        <v>3.331</v>
      </c>
    </row>
    <row r="105" spans="1:34" x14ac:dyDescent="0.3">
      <c r="A105" s="12" t="s">
        <v>520</v>
      </c>
      <c r="B105" s="137">
        <v>1</v>
      </c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1">
        <v>0</v>
      </c>
      <c r="Y105" s="31">
        <v>0</v>
      </c>
      <c r="Z105" s="31">
        <v>0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1">
        <v>0</v>
      </c>
      <c r="AG105" s="31">
        <v>0</v>
      </c>
      <c r="AH105" s="31">
        <v>0</v>
      </c>
    </row>
    <row r="106" spans="1:34" x14ac:dyDescent="0.3">
      <c r="A106" s="12" t="s">
        <v>525</v>
      </c>
      <c r="B106" s="137">
        <v>2</v>
      </c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>
        <v>0.81899999999999995</v>
      </c>
      <c r="T106" s="31">
        <v>1.3640000000000001</v>
      </c>
      <c r="U106" s="31">
        <v>0</v>
      </c>
      <c r="V106" s="31">
        <v>0</v>
      </c>
      <c r="W106" s="31">
        <v>0</v>
      </c>
      <c r="X106" s="31">
        <v>28.811999999999998</v>
      </c>
      <c r="Y106" s="31">
        <v>18.532999999999998</v>
      </c>
      <c r="Z106" s="31">
        <v>2.306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1.633</v>
      </c>
      <c r="AG106" s="31">
        <v>1.6240000000000001</v>
      </c>
      <c r="AH106" s="31">
        <v>3.6727333333333334</v>
      </c>
    </row>
    <row r="107" spans="1:34" x14ac:dyDescent="0.3">
      <c r="A107" s="12" t="s">
        <v>530</v>
      </c>
      <c r="B107" s="137">
        <v>2</v>
      </c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2.585</v>
      </c>
      <c r="Z107" s="31">
        <v>1.946</v>
      </c>
      <c r="AA107" s="31">
        <v>0</v>
      </c>
      <c r="AB107" s="31">
        <v>3.1669999999999998</v>
      </c>
      <c r="AC107" s="31">
        <v>0</v>
      </c>
      <c r="AD107" s="31">
        <v>0</v>
      </c>
      <c r="AE107" s="31">
        <v>0</v>
      </c>
      <c r="AF107" s="31">
        <v>0</v>
      </c>
      <c r="AG107" s="31">
        <v>0</v>
      </c>
      <c r="AH107" s="31">
        <v>0.54985714285714282</v>
      </c>
    </row>
    <row r="108" spans="1:34" x14ac:dyDescent="0.3">
      <c r="A108" s="12" t="s">
        <v>534</v>
      </c>
      <c r="B108" s="137">
        <v>1</v>
      </c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>
        <v>0</v>
      </c>
      <c r="Z108" s="31">
        <v>0</v>
      </c>
      <c r="AA108" s="31">
        <v>6.3760000000000003</v>
      </c>
      <c r="AB108" s="31">
        <v>0</v>
      </c>
      <c r="AC108" s="31">
        <v>0</v>
      </c>
      <c r="AD108" s="31">
        <v>0</v>
      </c>
      <c r="AE108" s="31">
        <v>0</v>
      </c>
      <c r="AF108" s="31">
        <v>0</v>
      </c>
      <c r="AG108" s="31">
        <v>0</v>
      </c>
      <c r="AH108" s="31">
        <v>0.70844444444444443</v>
      </c>
    </row>
    <row r="109" spans="1:34" x14ac:dyDescent="0.3">
      <c r="A109" s="12" t="s">
        <v>83</v>
      </c>
      <c r="B109" s="137">
        <v>783</v>
      </c>
      <c r="C109" s="31">
        <v>6308.5269999999982</v>
      </c>
      <c r="D109" s="31">
        <v>6216.65</v>
      </c>
      <c r="E109" s="31">
        <v>5707.9130000000014</v>
      </c>
      <c r="F109" s="31">
        <v>6166.0419999999995</v>
      </c>
      <c r="G109" s="31">
        <v>5760.4939999999988</v>
      </c>
      <c r="H109" s="31">
        <v>5362.0160000000024</v>
      </c>
      <c r="I109" s="31">
        <v>5880.2760000000026</v>
      </c>
      <c r="J109" s="31">
        <v>6082.6770000000006</v>
      </c>
      <c r="K109" s="31">
        <v>5756.7510000000002</v>
      </c>
      <c r="L109" s="31">
        <v>6031.902</v>
      </c>
      <c r="M109" s="31">
        <v>5422.5460000000003</v>
      </c>
      <c r="N109" s="31">
        <v>4625.3280000000004</v>
      </c>
      <c r="O109" s="31">
        <v>4034.7319999999995</v>
      </c>
      <c r="P109" s="31">
        <v>4979.5640000000003</v>
      </c>
      <c r="Q109" s="31">
        <v>5776.232</v>
      </c>
      <c r="R109" s="31">
        <v>6168.1370000000006</v>
      </c>
      <c r="S109" s="31">
        <v>5925.5590000000011</v>
      </c>
      <c r="T109" s="31">
        <v>6766.0479999999989</v>
      </c>
      <c r="U109" s="31">
        <v>5708.9040000000023</v>
      </c>
      <c r="V109" s="31">
        <v>5190.4589999999989</v>
      </c>
      <c r="W109" s="31">
        <v>5595.7830000000013</v>
      </c>
      <c r="X109" s="31">
        <v>6173.878999999999</v>
      </c>
      <c r="Y109" s="31">
        <v>6704.3750000000009</v>
      </c>
      <c r="Z109" s="31">
        <v>6084.8189999999986</v>
      </c>
      <c r="AA109" s="31">
        <v>6146.3540000000003</v>
      </c>
      <c r="AB109" s="31">
        <v>6053.5590000000029</v>
      </c>
      <c r="AC109" s="31">
        <v>5581.6429999999982</v>
      </c>
      <c r="AD109" s="31">
        <v>5688.4949999999999</v>
      </c>
      <c r="AE109" s="31">
        <v>6012.1930000000002</v>
      </c>
      <c r="AF109" s="31">
        <v>5743.6810000000014</v>
      </c>
      <c r="AG109" s="31">
        <v>4698.8250000000007</v>
      </c>
      <c r="AH109" s="31">
        <v>5890.7777849206359</v>
      </c>
    </row>
    <row r="127" spans="1:32" x14ac:dyDescent="0.3">
      <c r="A127" s="30" t="s">
        <v>158</v>
      </c>
      <c r="B127" s="12" t="s">
        <v>502</v>
      </c>
      <c r="C127" s="12" t="s">
        <v>503</v>
      </c>
      <c r="D127" s="12" t="s">
        <v>505</v>
      </c>
      <c r="E127" s="12" t="s">
        <v>506</v>
      </c>
      <c r="F127" s="12" t="s">
        <v>507</v>
      </c>
      <c r="G127" s="12" t="s">
        <v>508</v>
      </c>
      <c r="H127" s="12" t="s">
        <v>509</v>
      </c>
      <c r="I127" s="12" t="s">
        <v>510</v>
      </c>
      <c r="J127" s="12" t="s">
        <v>511</v>
      </c>
      <c r="K127" s="12" t="s">
        <v>512</v>
      </c>
      <c r="L127" s="12" t="s">
        <v>513</v>
      </c>
      <c r="M127" s="12" t="s">
        <v>514</v>
      </c>
      <c r="N127" s="12" t="s">
        <v>515</v>
      </c>
      <c r="O127" s="12" t="s">
        <v>517</v>
      </c>
      <c r="P127" s="12" t="s">
        <v>522</v>
      </c>
      <c r="Q127" s="12" t="s">
        <v>523</v>
      </c>
      <c r="R127" s="12" t="s">
        <v>526</v>
      </c>
      <c r="S127" s="12" t="s">
        <v>527</v>
      </c>
      <c r="T127" s="12" t="s">
        <v>528</v>
      </c>
      <c r="U127" s="12" t="s">
        <v>529</v>
      </c>
      <c r="V127" s="12" t="s">
        <v>531</v>
      </c>
      <c r="W127" s="12" t="s">
        <v>532</v>
      </c>
      <c r="X127" s="12" t="s">
        <v>533</v>
      </c>
      <c r="Y127" s="12" t="s">
        <v>535</v>
      </c>
      <c r="Z127" s="12" t="s">
        <v>537</v>
      </c>
      <c r="AA127" s="12" t="s">
        <v>538</v>
      </c>
      <c r="AB127" s="12" t="s">
        <v>539</v>
      </c>
      <c r="AC127" s="12" t="s">
        <v>540</v>
      </c>
      <c r="AD127" s="12" t="s">
        <v>541</v>
      </c>
      <c r="AE127" s="12" t="s">
        <v>543</v>
      </c>
      <c r="AF127" s="12" t="s">
        <v>544</v>
      </c>
    </row>
    <row r="128" spans="1:32" x14ac:dyDescent="0.3">
      <c r="A128" s="12" t="s">
        <v>273</v>
      </c>
      <c r="B128" s="31">
        <v>4778.8650000000007</v>
      </c>
      <c r="C128" s="69">
        <v>4995.9229999999998</v>
      </c>
      <c r="D128" s="69">
        <v>4492.3200000000015</v>
      </c>
      <c r="E128" s="69">
        <v>4878.1030000000001</v>
      </c>
      <c r="F128" s="69">
        <v>4575.262999999999</v>
      </c>
      <c r="G128" s="69">
        <v>4545.8249999999989</v>
      </c>
      <c r="H128" s="69">
        <v>4593.6429999999982</v>
      </c>
      <c r="I128" s="69">
        <v>4653.2159999999985</v>
      </c>
      <c r="J128" s="69">
        <v>4396.2950000000001</v>
      </c>
      <c r="K128" s="69">
        <v>4619.2800000000007</v>
      </c>
      <c r="L128" s="69">
        <v>4340.2470000000021</v>
      </c>
      <c r="M128" s="69">
        <v>3727.5700000000006</v>
      </c>
      <c r="N128" s="69">
        <v>3450.0439999999999</v>
      </c>
      <c r="O128" s="69">
        <v>3931.5730000000003</v>
      </c>
      <c r="P128" s="69">
        <v>4405.6019999999999</v>
      </c>
      <c r="Q128" s="69">
        <v>4667.393</v>
      </c>
      <c r="R128" s="69">
        <v>4487.4110000000001</v>
      </c>
      <c r="S128" s="69">
        <v>5385.3009999999995</v>
      </c>
      <c r="T128" s="69">
        <v>4632.8440000000019</v>
      </c>
      <c r="U128" s="69">
        <v>4494.5450000000001</v>
      </c>
      <c r="V128" s="69">
        <v>4254.5110000000004</v>
      </c>
      <c r="W128" s="69">
        <v>4651.1259999999993</v>
      </c>
      <c r="X128" s="69">
        <v>4851.751000000002</v>
      </c>
      <c r="Y128" s="69">
        <v>4669.3540000000003</v>
      </c>
      <c r="Z128" s="69">
        <v>4679.0310000000018</v>
      </c>
      <c r="AA128" s="69">
        <v>5005.1200000000008</v>
      </c>
      <c r="AB128" s="69">
        <v>4893.2809999999999</v>
      </c>
      <c r="AC128" s="69">
        <v>4679.5259999999998</v>
      </c>
      <c r="AD128" s="69">
        <v>4532.8429999999998</v>
      </c>
      <c r="AE128" s="69">
        <v>4405.634</v>
      </c>
      <c r="AF128" s="69">
        <v>3793.0330000000004</v>
      </c>
    </row>
    <row r="129" spans="1:32" x14ac:dyDescent="0.3">
      <c r="A129" s="12" t="s">
        <v>160</v>
      </c>
      <c r="B129" s="69">
        <v>1529.6619999999998</v>
      </c>
      <c r="C129" s="69">
        <v>1220.7269999999999</v>
      </c>
      <c r="D129" s="69">
        <v>1212.895</v>
      </c>
      <c r="E129" s="69">
        <v>1287.9390000000001</v>
      </c>
      <c r="F129" s="69">
        <v>1185.2310000000002</v>
      </c>
      <c r="G129" s="69">
        <v>816.19099999999992</v>
      </c>
      <c r="H129" s="69">
        <v>1286.6329999999998</v>
      </c>
      <c r="I129" s="69">
        <v>1429.4609999999998</v>
      </c>
      <c r="J129" s="69">
        <v>1360.4559999999997</v>
      </c>
      <c r="K129" s="69">
        <v>1412.6220000000001</v>
      </c>
      <c r="L129" s="69">
        <v>1071.3909999999996</v>
      </c>
      <c r="M129" s="69">
        <v>895.11500000000012</v>
      </c>
      <c r="N129" s="69">
        <v>584.68799999999999</v>
      </c>
      <c r="O129" s="69">
        <v>1047.991</v>
      </c>
      <c r="P129" s="69">
        <v>1368.126</v>
      </c>
      <c r="Q129" s="69">
        <v>1500.7440000000001</v>
      </c>
      <c r="R129" s="69">
        <v>1438.1479999999997</v>
      </c>
      <c r="S129" s="69">
        <v>1380.7469999999998</v>
      </c>
      <c r="T129" s="69">
        <v>1076.06</v>
      </c>
      <c r="U129" s="69">
        <v>695.9140000000001</v>
      </c>
      <c r="V129" s="69">
        <v>1341.2719999999999</v>
      </c>
      <c r="W129" s="69">
        <v>1522.7529999999997</v>
      </c>
      <c r="X129" s="69">
        <v>1852.6239999999996</v>
      </c>
      <c r="Y129" s="69">
        <v>1415.4649999999997</v>
      </c>
      <c r="Z129" s="69">
        <v>1467.3229999999999</v>
      </c>
      <c r="AA129" s="69">
        <v>1048.4390000000001</v>
      </c>
      <c r="AB129" s="69">
        <v>688.36199999999997</v>
      </c>
      <c r="AC129" s="69">
        <v>1008.9689999999999</v>
      </c>
      <c r="AD129" s="69">
        <v>1479.35</v>
      </c>
      <c r="AE129" s="69">
        <v>1337.0959999999998</v>
      </c>
      <c r="AF129" s="69">
        <v>905.79200000000003</v>
      </c>
    </row>
    <row r="130" spans="1:32" x14ac:dyDescent="0.3">
      <c r="A130" s="12" t="s">
        <v>272</v>
      </c>
      <c r="B130" s="69">
        <v>0</v>
      </c>
      <c r="C130" s="69">
        <v>0</v>
      </c>
      <c r="D130" s="69">
        <v>2.698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10.907999999999999</v>
      </c>
      <c r="M130" s="69">
        <v>2.6429999999999998</v>
      </c>
      <c r="N130" s="69">
        <v>0</v>
      </c>
      <c r="O130" s="69">
        <v>0</v>
      </c>
      <c r="P130" s="69">
        <v>2.504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0.95099999999999996</v>
      </c>
      <c r="AF130" s="69">
        <v>0</v>
      </c>
    </row>
    <row r="131" spans="1:32" x14ac:dyDescent="0.3">
      <c r="A131" s="12" t="s">
        <v>83</v>
      </c>
      <c r="B131" s="69">
        <v>6308.527</v>
      </c>
      <c r="C131" s="69">
        <v>6216.65</v>
      </c>
      <c r="D131" s="69">
        <v>5707.9130000000023</v>
      </c>
      <c r="E131" s="69">
        <v>6166.0420000000004</v>
      </c>
      <c r="F131" s="69">
        <v>5760.4939999999988</v>
      </c>
      <c r="G131" s="69">
        <v>5362.0159999999987</v>
      </c>
      <c r="H131" s="69">
        <v>5880.275999999998</v>
      </c>
      <c r="I131" s="69">
        <v>6082.6769999999979</v>
      </c>
      <c r="J131" s="69">
        <v>5756.7510000000002</v>
      </c>
      <c r="K131" s="69">
        <v>6031.902000000001</v>
      </c>
      <c r="L131" s="69">
        <v>5422.5460000000021</v>
      </c>
      <c r="M131" s="69">
        <v>4625.3280000000004</v>
      </c>
      <c r="N131" s="69">
        <v>4034.732</v>
      </c>
      <c r="O131" s="69">
        <v>4979.5640000000003</v>
      </c>
      <c r="P131" s="69">
        <v>5776.232</v>
      </c>
      <c r="Q131" s="69">
        <v>6168.1370000000006</v>
      </c>
      <c r="R131" s="69">
        <v>5925.5589999999993</v>
      </c>
      <c r="S131" s="69">
        <v>6766.0479999999989</v>
      </c>
      <c r="T131" s="69">
        <v>5708.9040000000023</v>
      </c>
      <c r="U131" s="69">
        <v>5190.4589999999998</v>
      </c>
      <c r="V131" s="69">
        <v>5595.7830000000004</v>
      </c>
      <c r="W131" s="69">
        <v>6173.878999999999</v>
      </c>
      <c r="X131" s="69">
        <v>6704.3750000000018</v>
      </c>
      <c r="Y131" s="69">
        <v>6084.8189999999995</v>
      </c>
      <c r="Z131" s="69">
        <v>6146.3540000000012</v>
      </c>
      <c r="AA131" s="69">
        <v>6053.5590000000011</v>
      </c>
      <c r="AB131" s="69">
        <v>5581.643</v>
      </c>
      <c r="AC131" s="69">
        <v>5688.4949999999999</v>
      </c>
      <c r="AD131" s="69">
        <v>6012.1929999999993</v>
      </c>
      <c r="AE131" s="69">
        <v>5743.6809999999996</v>
      </c>
      <c r="AF131" s="69">
        <v>4698.8250000000007</v>
      </c>
    </row>
  </sheetData>
  <pageMargins left="0.7" right="0.7" top="0.75" bottom="0.75" header="0.3" footer="0.3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P133"/>
  <sheetViews>
    <sheetView topLeftCell="A79" zoomScale="102" zoomScaleNormal="100" workbookViewId="0">
      <pane xSplit="8" topLeftCell="AK1" activePane="topRight" state="frozen"/>
      <selection activeCell="F29" sqref="F29"/>
      <selection pane="topRight" activeCell="H95" sqref="H95"/>
    </sheetView>
  </sheetViews>
  <sheetFormatPr defaultRowHeight="14.4" x14ac:dyDescent="0.3"/>
  <cols>
    <col min="1" max="1" width="6.6640625" bestFit="1" customWidth="1"/>
    <col min="2" max="2" width="11" customWidth="1"/>
    <col min="3" max="3" width="47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13.33203125" bestFit="1" customWidth="1"/>
    <col min="9" max="9" width="17.44140625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40" width="10.44140625" customWidth="1"/>
    <col min="42" max="42" width="10.33203125" customWidth="1"/>
  </cols>
  <sheetData>
    <row r="1" spans="1:42" ht="30.75" customHeight="1" x14ac:dyDescent="0.3">
      <c r="A1" s="1" t="s">
        <v>0</v>
      </c>
      <c r="B1" s="2" t="s">
        <v>1</v>
      </c>
      <c r="C1" s="2" t="s">
        <v>394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45566</v>
      </c>
      <c r="K1" s="16">
        <v>45567</v>
      </c>
      <c r="L1" s="16">
        <v>45568</v>
      </c>
      <c r="M1" s="16">
        <v>45569</v>
      </c>
      <c r="N1" s="16">
        <v>45570</v>
      </c>
      <c r="O1" s="16">
        <v>45571</v>
      </c>
      <c r="P1" s="16">
        <v>45572</v>
      </c>
      <c r="Q1" s="16">
        <v>45573</v>
      </c>
      <c r="R1" s="16">
        <v>45574</v>
      </c>
      <c r="S1" s="16">
        <v>45575</v>
      </c>
      <c r="T1" s="16">
        <v>45576</v>
      </c>
      <c r="U1" s="16">
        <v>45577</v>
      </c>
      <c r="V1" s="16">
        <v>45578</v>
      </c>
      <c r="W1" s="16">
        <v>45579</v>
      </c>
      <c r="X1" s="16">
        <v>45580</v>
      </c>
      <c r="Y1" s="16">
        <v>45581</v>
      </c>
      <c r="Z1" s="16">
        <v>45582</v>
      </c>
      <c r="AA1" s="16">
        <v>45583</v>
      </c>
      <c r="AB1" s="16">
        <v>45584</v>
      </c>
      <c r="AC1" s="16">
        <v>45585</v>
      </c>
      <c r="AD1" s="16">
        <v>45586</v>
      </c>
      <c r="AE1" s="16">
        <v>45587</v>
      </c>
      <c r="AF1" s="16">
        <v>45588</v>
      </c>
      <c r="AG1" s="16">
        <v>45589</v>
      </c>
      <c r="AH1" s="16">
        <v>45590</v>
      </c>
      <c r="AI1" s="16">
        <v>45591</v>
      </c>
      <c r="AJ1" s="16">
        <v>45592</v>
      </c>
      <c r="AK1" s="16">
        <v>45593</v>
      </c>
      <c r="AL1" s="16">
        <v>45594</v>
      </c>
      <c r="AM1" s="16">
        <v>45595</v>
      </c>
      <c r="AN1" s="16">
        <v>45596</v>
      </c>
      <c r="AO1" s="13" t="s">
        <v>8</v>
      </c>
      <c r="AP1" s="66" t="s">
        <v>154</v>
      </c>
    </row>
    <row r="2" spans="1:42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5">
        <v>6</v>
      </c>
      <c r="I2" s="67" t="s">
        <v>160</v>
      </c>
      <c r="J2" s="46">
        <v>80.347999999999999</v>
      </c>
      <c r="K2" s="46">
        <v>55.890000000000008</v>
      </c>
      <c r="L2" s="46">
        <v>59.735000000000007</v>
      </c>
      <c r="M2" s="46">
        <v>100.965</v>
      </c>
      <c r="N2" s="46">
        <v>56.719000000000001</v>
      </c>
      <c r="O2" s="46">
        <v>74.616</v>
      </c>
      <c r="P2" s="46">
        <v>72.445999999999998</v>
      </c>
      <c r="Q2" s="46">
        <v>29.077999999999999</v>
      </c>
      <c r="R2" s="46">
        <v>6.9240000000000004</v>
      </c>
      <c r="S2" s="46">
        <v>22.281000000000002</v>
      </c>
      <c r="T2" s="10">
        <v>60.192</v>
      </c>
      <c r="U2" s="10">
        <v>41.669000000000004</v>
      </c>
      <c r="V2" s="10">
        <v>35.220999999999997</v>
      </c>
      <c r="W2" s="10">
        <v>85.551000000000016</v>
      </c>
      <c r="X2" s="10">
        <v>85.001000000000005</v>
      </c>
      <c r="Y2" s="10">
        <v>72.48899999999999</v>
      </c>
      <c r="Z2" s="10">
        <v>75.914000000000001</v>
      </c>
      <c r="AA2" s="10">
        <v>51.580000000000005</v>
      </c>
      <c r="AB2" s="10">
        <v>60.686</v>
      </c>
      <c r="AC2" s="10">
        <v>53.802999999999997</v>
      </c>
      <c r="AD2" s="10">
        <v>57.232000000000006</v>
      </c>
      <c r="AE2" s="10">
        <v>71.557000000000002</v>
      </c>
      <c r="AF2" s="10">
        <v>83.641999999999996</v>
      </c>
      <c r="AG2" s="10">
        <v>61.826000000000001</v>
      </c>
      <c r="AH2" s="10">
        <v>75.914999999999992</v>
      </c>
      <c r="AI2" s="10">
        <v>62.647999999999996</v>
      </c>
      <c r="AJ2" s="10">
        <v>60.997</v>
      </c>
      <c r="AK2" s="10">
        <v>49.31</v>
      </c>
      <c r="AL2" s="10">
        <v>51.714000000000006</v>
      </c>
      <c r="AM2" s="10">
        <v>62.699000000000005</v>
      </c>
      <c r="AN2" s="10">
        <v>24.425000000000001</v>
      </c>
      <c r="AO2" s="46">
        <f>AVERAGE(Y2:AN2)</f>
        <v>61.027312499999994</v>
      </c>
      <c r="AP2" s="7">
        <f>AO2/H2</f>
        <v>10.17121875</v>
      </c>
    </row>
    <row r="3" spans="1:42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5">
        <v>9</v>
      </c>
      <c r="I3" s="67" t="s">
        <v>160</v>
      </c>
      <c r="J3" s="46">
        <v>194.38699999999997</v>
      </c>
      <c r="K3" s="46">
        <v>208.05299999999994</v>
      </c>
      <c r="L3" s="46">
        <v>178.43199999999999</v>
      </c>
      <c r="M3" s="46">
        <v>188.87099999999992</v>
      </c>
      <c r="N3" s="46">
        <v>230.16900000000001</v>
      </c>
      <c r="O3" s="46">
        <v>219.30899999999997</v>
      </c>
      <c r="P3" s="46">
        <v>182.161</v>
      </c>
      <c r="Q3" s="46">
        <v>202.52500000000006</v>
      </c>
      <c r="R3" s="46">
        <v>203.25699999999995</v>
      </c>
      <c r="S3" s="46">
        <v>191.56500000000003</v>
      </c>
      <c r="T3" s="10">
        <v>125.604</v>
      </c>
      <c r="U3" s="10">
        <v>161.13000000000002</v>
      </c>
      <c r="V3" s="10">
        <v>66.925999999999988</v>
      </c>
      <c r="W3" s="10">
        <v>119.58400000000002</v>
      </c>
      <c r="X3" s="10">
        <v>135.01400000000004</v>
      </c>
      <c r="Y3" s="10">
        <v>191.69200000000004</v>
      </c>
      <c r="Z3" s="10">
        <v>196.19499999999994</v>
      </c>
      <c r="AA3" s="10">
        <v>187.66</v>
      </c>
      <c r="AB3" s="10">
        <v>178.21699999999998</v>
      </c>
      <c r="AC3" s="10">
        <v>171.81799999999998</v>
      </c>
      <c r="AD3" s="10">
        <v>183.39099999999996</v>
      </c>
      <c r="AE3" s="10">
        <v>157.92500000000001</v>
      </c>
      <c r="AF3" s="10">
        <v>204.63500000000002</v>
      </c>
      <c r="AG3" s="10">
        <v>195.959</v>
      </c>
      <c r="AH3" s="10">
        <v>191.11799999999999</v>
      </c>
      <c r="AI3" s="10">
        <v>216.107</v>
      </c>
      <c r="AJ3" s="10">
        <v>180.387</v>
      </c>
      <c r="AK3" s="10">
        <v>153.54500000000002</v>
      </c>
      <c r="AL3" s="10">
        <v>189.49199999999996</v>
      </c>
      <c r="AM3" s="10">
        <v>207.45200000000003</v>
      </c>
      <c r="AN3" s="10">
        <v>152.601</v>
      </c>
      <c r="AO3" s="46">
        <f t="shared" ref="AO3:AO66" si="0">AVERAGE(Y3:AN3)</f>
        <v>184.88712500000005</v>
      </c>
      <c r="AP3" s="7">
        <f t="shared" ref="AP3:AP66" si="1">AO3/H3</f>
        <v>20.543013888888893</v>
      </c>
    </row>
    <row r="4" spans="1:42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5">
        <v>3</v>
      </c>
      <c r="I4" s="67" t="s">
        <v>160</v>
      </c>
      <c r="J4" s="46">
        <v>0</v>
      </c>
      <c r="K4" s="45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6">
        <v>0</v>
      </c>
      <c r="Y4" s="46">
        <v>0</v>
      </c>
      <c r="Z4" s="45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f t="shared" si="0"/>
        <v>0</v>
      </c>
      <c r="AP4" s="7">
        <f t="shared" si="1"/>
        <v>0</v>
      </c>
    </row>
    <row r="5" spans="1:42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5">
        <v>8</v>
      </c>
      <c r="I5" s="74" t="s">
        <v>273</v>
      </c>
      <c r="J5" s="46">
        <v>92.018000000000001</v>
      </c>
      <c r="K5" s="46">
        <v>77.843999999999994</v>
      </c>
      <c r="L5" s="46">
        <v>104.883</v>
      </c>
      <c r="M5" s="46">
        <v>59.243999999999993</v>
      </c>
      <c r="N5" s="46">
        <v>82.591000000000008</v>
      </c>
      <c r="O5" s="46">
        <v>74.325000000000003</v>
      </c>
      <c r="P5" s="46">
        <v>64.927000000000007</v>
      </c>
      <c r="Q5" s="46">
        <v>64.87</v>
      </c>
      <c r="R5" s="46">
        <v>65.515999999999991</v>
      </c>
      <c r="S5" s="46">
        <v>113.99300000000001</v>
      </c>
      <c r="T5" s="10">
        <v>166.79299999999998</v>
      </c>
      <c r="U5" s="10">
        <v>65.055999999999997</v>
      </c>
      <c r="V5" s="10">
        <v>128.376</v>
      </c>
      <c r="W5" s="10">
        <v>100.45300000000002</v>
      </c>
      <c r="X5" s="10">
        <v>118.65900000000001</v>
      </c>
      <c r="Y5" s="10">
        <v>162.44900000000001</v>
      </c>
      <c r="Z5" s="10">
        <v>116.108</v>
      </c>
      <c r="AA5" s="10">
        <v>106.63399999999999</v>
      </c>
      <c r="AB5" s="10">
        <v>116.06099999999999</v>
      </c>
      <c r="AC5" s="10">
        <v>103.173</v>
      </c>
      <c r="AD5" s="10">
        <v>124.893</v>
      </c>
      <c r="AE5" s="10">
        <v>122.292</v>
      </c>
      <c r="AF5" s="10">
        <v>101</v>
      </c>
      <c r="AG5" s="10">
        <v>130.69300000000001</v>
      </c>
      <c r="AH5" s="10">
        <v>105.56099999999999</v>
      </c>
      <c r="AI5" s="10">
        <v>89.278999999999996</v>
      </c>
      <c r="AJ5" s="10">
        <v>113.03100000000001</v>
      </c>
      <c r="AK5" s="10">
        <v>94.466999999999999</v>
      </c>
      <c r="AL5" s="10">
        <v>101.08900000000001</v>
      </c>
      <c r="AM5" s="10">
        <v>141.04599999999999</v>
      </c>
      <c r="AN5" s="10">
        <v>93.543999999999997</v>
      </c>
      <c r="AO5" s="46">
        <f t="shared" si="0"/>
        <v>113.83250000000001</v>
      </c>
      <c r="AP5" s="7">
        <f t="shared" si="1"/>
        <v>14.229062500000001</v>
      </c>
    </row>
    <row r="6" spans="1:42" ht="15" customHeight="1" x14ac:dyDescent="0.3">
      <c r="A6" s="5">
        <v>5</v>
      </c>
      <c r="B6" s="6" t="s">
        <v>9</v>
      </c>
      <c r="C6" s="12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5">
        <v>26</v>
      </c>
      <c r="I6" s="74" t="s">
        <v>273</v>
      </c>
      <c r="J6" s="46">
        <v>949.726</v>
      </c>
      <c r="K6" s="46">
        <v>1132.5609999999995</v>
      </c>
      <c r="L6" s="46">
        <v>546.60400000000016</v>
      </c>
      <c r="M6" s="46">
        <v>962.82100000000003</v>
      </c>
      <c r="N6" s="46">
        <v>632.69700000000012</v>
      </c>
      <c r="O6" s="46">
        <v>692.45199999999988</v>
      </c>
      <c r="P6" s="46">
        <v>883.15500000000009</v>
      </c>
      <c r="Q6" s="46">
        <v>840.63700000000006</v>
      </c>
      <c r="R6" s="46">
        <v>749.44399999999985</v>
      </c>
      <c r="S6" s="46">
        <v>651.23</v>
      </c>
      <c r="T6" s="10">
        <v>714.54899999999998</v>
      </c>
      <c r="U6" s="10">
        <v>749.77300000000014</v>
      </c>
      <c r="V6" s="10">
        <v>481.012</v>
      </c>
      <c r="W6" s="10">
        <v>670.40099999999984</v>
      </c>
      <c r="X6" s="10">
        <v>800.46399999999994</v>
      </c>
      <c r="Y6" s="10">
        <v>835.78600000000006</v>
      </c>
      <c r="Z6" s="10">
        <v>722.09800000000007</v>
      </c>
      <c r="AA6" s="10">
        <v>863.15100000000007</v>
      </c>
      <c r="AB6" s="10">
        <v>847.2299999999999</v>
      </c>
      <c r="AC6" s="10">
        <v>643.73400000000004</v>
      </c>
      <c r="AD6" s="10">
        <v>954.86299999999994</v>
      </c>
      <c r="AE6" s="10">
        <v>773.47800000000029</v>
      </c>
      <c r="AF6" s="10">
        <v>870.72499999999991</v>
      </c>
      <c r="AG6" s="10">
        <v>744.10599999999988</v>
      </c>
      <c r="AH6" s="10">
        <v>716.50699999999995</v>
      </c>
      <c r="AI6" s="10">
        <v>930.22900000000027</v>
      </c>
      <c r="AJ6" s="10">
        <v>879.31099999999992</v>
      </c>
      <c r="AK6" s="10">
        <v>772.39</v>
      </c>
      <c r="AL6" s="10">
        <v>774.86800000000005</v>
      </c>
      <c r="AM6" s="10">
        <v>644.9250000000003</v>
      </c>
      <c r="AN6" s="10">
        <v>810.9200000000003</v>
      </c>
      <c r="AO6" s="46">
        <f t="shared" si="0"/>
        <v>799.02006249999999</v>
      </c>
      <c r="AP6" s="7">
        <f t="shared" si="1"/>
        <v>30.731540865384616</v>
      </c>
    </row>
    <row r="7" spans="1:42" ht="15.6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5">
        <v>1</v>
      </c>
      <c r="I7" s="74" t="s">
        <v>273</v>
      </c>
      <c r="J7" s="46">
        <v>0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10">
        <v>0.11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10">
        <v>8.25</v>
      </c>
      <c r="AJ7" s="10">
        <v>1.1000000000000001</v>
      </c>
      <c r="AK7" s="10">
        <v>16.77</v>
      </c>
      <c r="AL7" s="46">
        <v>0</v>
      </c>
      <c r="AM7" s="10">
        <v>5.92</v>
      </c>
      <c r="AN7" s="10">
        <v>6.37</v>
      </c>
      <c r="AO7" s="46">
        <f t="shared" si="0"/>
        <v>2.4074999999999998</v>
      </c>
      <c r="AP7" s="7">
        <f t="shared" si="1"/>
        <v>2.4074999999999998</v>
      </c>
    </row>
    <row r="8" spans="1:42" ht="15.6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64</v>
      </c>
      <c r="G8" s="6" t="s">
        <v>80</v>
      </c>
      <c r="H8" s="5">
        <v>1</v>
      </c>
      <c r="I8" s="74" t="s">
        <v>273</v>
      </c>
      <c r="J8" s="46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f t="shared" si="0"/>
        <v>0</v>
      </c>
      <c r="AP8" s="7">
        <f t="shared" si="1"/>
        <v>0</v>
      </c>
    </row>
    <row r="9" spans="1:42" ht="15.6" x14ac:dyDescent="0.3">
      <c r="A9" s="5">
        <v>8</v>
      </c>
      <c r="B9" s="6" t="s">
        <v>9</v>
      </c>
      <c r="C9" s="12" t="s">
        <v>203</v>
      </c>
      <c r="D9" s="6" t="s">
        <v>128</v>
      </c>
      <c r="E9" s="6" t="s">
        <v>12</v>
      </c>
      <c r="F9" s="6" t="s">
        <v>124</v>
      </c>
      <c r="G9" s="6" t="s">
        <v>80</v>
      </c>
      <c r="H9" s="5">
        <v>2</v>
      </c>
      <c r="I9" s="74" t="s">
        <v>273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>
        <f t="shared" si="0"/>
        <v>0</v>
      </c>
      <c r="AP9" s="7">
        <f t="shared" si="1"/>
        <v>0</v>
      </c>
    </row>
    <row r="10" spans="1:42" ht="15.6" x14ac:dyDescent="0.3">
      <c r="A10" s="5">
        <v>9</v>
      </c>
      <c r="B10" s="6" t="s">
        <v>9</v>
      </c>
      <c r="C10" s="12" t="s">
        <v>204</v>
      </c>
      <c r="D10" s="6" t="s">
        <v>128</v>
      </c>
      <c r="E10" s="6" t="s">
        <v>12</v>
      </c>
      <c r="F10" s="6" t="s">
        <v>13</v>
      </c>
      <c r="G10" s="6" t="s">
        <v>35</v>
      </c>
      <c r="H10" s="5">
        <v>6</v>
      </c>
      <c r="I10" s="74" t="s">
        <v>273</v>
      </c>
      <c r="J10" s="46">
        <v>48.968000000000004</v>
      </c>
      <c r="K10" s="46">
        <v>45.116</v>
      </c>
      <c r="L10" s="46">
        <v>47.61</v>
      </c>
      <c r="M10" s="46">
        <v>48.957999999999998</v>
      </c>
      <c r="N10" s="46">
        <v>37.856000000000002</v>
      </c>
      <c r="O10" s="46">
        <v>41.77</v>
      </c>
      <c r="P10" s="46">
        <v>52.234999999999999</v>
      </c>
      <c r="Q10" s="46">
        <v>45.677999999999997</v>
      </c>
      <c r="R10" s="46">
        <v>38.936999999999998</v>
      </c>
      <c r="S10" s="46">
        <v>29.722000000000001</v>
      </c>
      <c r="T10" s="10">
        <v>23.149000000000004</v>
      </c>
      <c r="U10" s="10">
        <v>34.433000000000007</v>
      </c>
      <c r="V10" s="10">
        <v>23.321999999999999</v>
      </c>
      <c r="W10" s="10">
        <v>18.803999999999998</v>
      </c>
      <c r="X10" s="10">
        <v>41.789000000000001</v>
      </c>
      <c r="Y10" s="10">
        <v>39.22</v>
      </c>
      <c r="Z10" s="10">
        <v>34.542000000000002</v>
      </c>
      <c r="AA10" s="10">
        <v>48.351999999999997</v>
      </c>
      <c r="AB10" s="10">
        <v>35.424000000000007</v>
      </c>
      <c r="AC10" s="10">
        <v>31.827999999999999</v>
      </c>
      <c r="AD10" s="10">
        <v>33.585999999999991</v>
      </c>
      <c r="AE10" s="10">
        <v>49.198000000000008</v>
      </c>
      <c r="AF10" s="10">
        <v>37.048000000000002</v>
      </c>
      <c r="AG10" s="10">
        <v>24.563000000000002</v>
      </c>
      <c r="AH10" s="10">
        <v>35.262999999999998</v>
      </c>
      <c r="AI10" s="10">
        <v>37.615000000000002</v>
      </c>
      <c r="AJ10" s="10">
        <v>24.405000000000001</v>
      </c>
      <c r="AK10" s="10">
        <v>41.378999999999998</v>
      </c>
      <c r="AL10" s="10">
        <v>30.933999999999997</v>
      </c>
      <c r="AM10" s="10">
        <v>38.088999999999999</v>
      </c>
      <c r="AN10" s="10">
        <v>32.146000000000001</v>
      </c>
      <c r="AO10" s="46">
        <f t="shared" si="0"/>
        <v>35.849499999999992</v>
      </c>
      <c r="AP10" s="7">
        <f t="shared" si="1"/>
        <v>5.9749166666666653</v>
      </c>
    </row>
    <row r="11" spans="1:42" ht="15.6" x14ac:dyDescent="0.3">
      <c r="A11" s="5">
        <v>10</v>
      </c>
      <c r="B11" s="6" t="s">
        <v>9</v>
      </c>
      <c r="C11" s="12" t="s">
        <v>205</v>
      </c>
      <c r="D11" s="6" t="s">
        <v>30</v>
      </c>
      <c r="E11" s="6" t="s">
        <v>12</v>
      </c>
      <c r="F11" s="6" t="s">
        <v>13</v>
      </c>
      <c r="G11" s="6" t="s">
        <v>35</v>
      </c>
      <c r="H11" s="5">
        <v>3</v>
      </c>
      <c r="I11" s="74" t="s">
        <v>273</v>
      </c>
      <c r="J11" s="46">
        <v>57.736000000000004</v>
      </c>
      <c r="K11" s="46">
        <v>73.293999999999997</v>
      </c>
      <c r="L11" s="46">
        <v>64.099000000000004</v>
      </c>
      <c r="M11" s="46">
        <v>67.182999999999993</v>
      </c>
      <c r="N11" s="46">
        <v>77.584000000000003</v>
      </c>
      <c r="O11" s="46">
        <v>58.751999999999995</v>
      </c>
      <c r="P11" s="46">
        <v>81.397999999999996</v>
      </c>
      <c r="Q11" s="46">
        <v>104.62700000000001</v>
      </c>
      <c r="R11" s="46">
        <v>83.091000000000008</v>
      </c>
      <c r="S11" s="46">
        <v>60.461000000000006</v>
      </c>
      <c r="T11" s="10">
        <v>57.906999999999996</v>
      </c>
      <c r="U11" s="10">
        <v>92.771999999999991</v>
      </c>
      <c r="V11" s="10">
        <v>63.942999999999998</v>
      </c>
      <c r="W11" s="10">
        <v>91.191000000000003</v>
      </c>
      <c r="X11" s="10">
        <v>89.316000000000017</v>
      </c>
      <c r="Y11" s="10">
        <v>92.925999999999988</v>
      </c>
      <c r="Z11" s="10">
        <v>73.656000000000006</v>
      </c>
      <c r="AA11" s="10">
        <v>83.846999999999994</v>
      </c>
      <c r="AB11" s="10">
        <v>80.537999999999997</v>
      </c>
      <c r="AC11" s="10">
        <v>97.478000000000009</v>
      </c>
      <c r="AD11" s="10">
        <v>92.928999999999988</v>
      </c>
      <c r="AE11" s="10">
        <v>103.902</v>
      </c>
      <c r="AF11" s="10">
        <v>92.567000000000007</v>
      </c>
      <c r="AG11" s="10">
        <v>111.12400000000004</v>
      </c>
      <c r="AH11" s="10">
        <v>68.159000000000006</v>
      </c>
      <c r="AI11" s="10">
        <v>93.915000000000006</v>
      </c>
      <c r="AJ11" s="10">
        <v>71.839999999999989</v>
      </c>
      <c r="AK11" s="10">
        <v>103.53100000000001</v>
      </c>
      <c r="AL11" s="10">
        <v>72.38900000000001</v>
      </c>
      <c r="AM11" s="10">
        <v>95.104000000000013</v>
      </c>
      <c r="AN11" s="10">
        <v>57.723999999999997</v>
      </c>
      <c r="AO11" s="46">
        <f t="shared" si="0"/>
        <v>86.976812499999994</v>
      </c>
      <c r="AP11" s="7">
        <f t="shared" si="1"/>
        <v>28.992270833333333</v>
      </c>
    </row>
    <row r="12" spans="1:42" x14ac:dyDescent="0.3">
      <c r="A12" s="5">
        <v>11</v>
      </c>
      <c r="B12" s="6" t="s">
        <v>9</v>
      </c>
      <c r="C12" s="12" t="s">
        <v>248</v>
      </c>
      <c r="D12" s="6" t="s">
        <v>128</v>
      </c>
      <c r="E12" s="6" t="s">
        <v>19</v>
      </c>
      <c r="F12" s="6" t="s">
        <v>13</v>
      </c>
      <c r="G12" s="6" t="s">
        <v>35</v>
      </c>
      <c r="H12" s="5">
        <v>1</v>
      </c>
      <c r="I12" s="67" t="s">
        <v>160</v>
      </c>
      <c r="J12" s="46">
        <v>3.411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3.411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10">
        <v>3.3969999999999998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10">
        <v>3.3809999999999998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10">
        <v>3.3860000000000001</v>
      </c>
      <c r="AN12" s="46">
        <v>0</v>
      </c>
      <c r="AO12" s="46">
        <f t="shared" si="0"/>
        <v>0.42293749999999997</v>
      </c>
      <c r="AP12" s="7">
        <f t="shared" si="1"/>
        <v>0.42293749999999997</v>
      </c>
    </row>
    <row r="13" spans="1:42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40</v>
      </c>
      <c r="G13" s="6" t="s">
        <v>35</v>
      </c>
      <c r="H13" s="5">
        <v>2</v>
      </c>
      <c r="I13" s="67" t="s">
        <v>160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5">
        <v>0</v>
      </c>
      <c r="W13" s="45">
        <v>0</v>
      </c>
      <c r="X13" s="46">
        <v>0</v>
      </c>
      <c r="Y13" s="46">
        <v>0</v>
      </c>
      <c r="Z13" s="10">
        <v>9.5559999999999992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0</v>
      </c>
      <c r="AL13" s="46">
        <v>0</v>
      </c>
      <c r="AM13" s="46">
        <v>0</v>
      </c>
      <c r="AN13" s="46">
        <v>0</v>
      </c>
      <c r="AO13" s="46">
        <f t="shared" si="0"/>
        <v>0.59724999999999995</v>
      </c>
      <c r="AP13" s="7">
        <f t="shared" si="1"/>
        <v>0.29862499999999997</v>
      </c>
    </row>
    <row r="14" spans="1:42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5">
        <v>2</v>
      </c>
      <c r="I14" s="67" t="s">
        <v>160</v>
      </c>
      <c r="J14" s="46">
        <v>101.67999999999999</v>
      </c>
      <c r="K14" s="46">
        <v>104.08999999999999</v>
      </c>
      <c r="L14" s="46">
        <v>41.540000000000006</v>
      </c>
      <c r="M14" s="46">
        <v>79.010000000000005</v>
      </c>
      <c r="N14" s="46">
        <v>137.69000000000003</v>
      </c>
      <c r="O14" s="46">
        <v>86.56</v>
      </c>
      <c r="P14" s="46">
        <v>128.28</v>
      </c>
      <c r="Q14" s="46">
        <v>75.059999999999988</v>
      </c>
      <c r="R14" s="46">
        <v>138.36999999999998</v>
      </c>
      <c r="S14" s="46">
        <v>157.52000000000001</v>
      </c>
      <c r="T14" s="10">
        <v>122.64999999999998</v>
      </c>
      <c r="U14" s="10">
        <v>151.25</v>
      </c>
      <c r="V14" s="10">
        <v>135.20000000000002</v>
      </c>
      <c r="W14" s="10">
        <v>109.92000000000002</v>
      </c>
      <c r="X14" s="10">
        <v>171.49000000000004</v>
      </c>
      <c r="Y14" s="10">
        <v>82.260000000000019</v>
      </c>
      <c r="Z14" s="10">
        <v>108.83</v>
      </c>
      <c r="AA14" s="10">
        <v>89.070000000000007</v>
      </c>
      <c r="AB14" s="10">
        <v>178.86999999999998</v>
      </c>
      <c r="AC14" s="10">
        <v>123.02</v>
      </c>
      <c r="AD14" s="10">
        <v>140.18</v>
      </c>
      <c r="AE14" s="10">
        <v>128.72999999999999</v>
      </c>
      <c r="AF14" s="10">
        <v>190.11100000000002</v>
      </c>
      <c r="AG14" s="10">
        <v>109.38</v>
      </c>
      <c r="AH14" s="10">
        <v>88.85</v>
      </c>
      <c r="AI14" s="10">
        <v>66.299999999999983</v>
      </c>
      <c r="AJ14" s="10">
        <v>79.11</v>
      </c>
      <c r="AK14" s="10">
        <v>38.660000000000004</v>
      </c>
      <c r="AL14" s="10">
        <v>91.33</v>
      </c>
      <c r="AM14" s="10">
        <v>34.07</v>
      </c>
      <c r="AN14" s="10">
        <v>81</v>
      </c>
      <c r="AO14" s="46">
        <f t="shared" si="0"/>
        <v>101.86068749999998</v>
      </c>
      <c r="AP14" s="7">
        <f t="shared" si="1"/>
        <v>50.930343749999992</v>
      </c>
    </row>
    <row r="15" spans="1:42" ht="15.6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5">
        <v>10</v>
      </c>
      <c r="I15" s="74" t="s">
        <v>273</v>
      </c>
      <c r="J15" s="46">
        <v>201.053</v>
      </c>
      <c r="K15" s="46">
        <v>143.06200000000001</v>
      </c>
      <c r="L15" s="46">
        <v>216.47199999999998</v>
      </c>
      <c r="M15" s="46">
        <v>128.339</v>
      </c>
      <c r="N15" s="46">
        <v>148.471</v>
      </c>
      <c r="O15" s="46">
        <v>223.58100000000002</v>
      </c>
      <c r="P15" s="46">
        <v>129.94999999999999</v>
      </c>
      <c r="Q15" s="46">
        <v>220.37899999999996</v>
      </c>
      <c r="R15" s="46">
        <v>56.878</v>
      </c>
      <c r="S15" s="46">
        <v>245.81800000000004</v>
      </c>
      <c r="T15" s="10">
        <v>127.565</v>
      </c>
      <c r="U15" s="10">
        <v>120.95499999999998</v>
      </c>
      <c r="V15" s="10">
        <v>9.277000000000001</v>
      </c>
      <c r="W15" s="10">
        <v>29.927000000000003</v>
      </c>
      <c r="X15" s="10">
        <v>128.16</v>
      </c>
      <c r="Y15" s="10">
        <v>58.072000000000003</v>
      </c>
      <c r="Z15" s="10">
        <v>63.298000000000002</v>
      </c>
      <c r="AA15" s="10">
        <v>827.74900000000002</v>
      </c>
      <c r="AB15" s="10">
        <v>201.94</v>
      </c>
      <c r="AC15" s="10">
        <v>65.734999999999999</v>
      </c>
      <c r="AD15" s="10">
        <v>56.667999999999999</v>
      </c>
      <c r="AE15" s="10">
        <v>317.43200000000002</v>
      </c>
      <c r="AF15" s="10">
        <v>119.59600000000002</v>
      </c>
      <c r="AG15" s="10">
        <v>137.876</v>
      </c>
      <c r="AH15" s="10">
        <v>184.92600000000002</v>
      </c>
      <c r="AI15" s="10">
        <v>143.22999999999999</v>
      </c>
      <c r="AJ15" s="10">
        <v>174.45600000000002</v>
      </c>
      <c r="AK15" s="10">
        <v>139.6</v>
      </c>
      <c r="AL15" s="10">
        <v>166.607</v>
      </c>
      <c r="AM15" s="10">
        <v>130.56500000000003</v>
      </c>
      <c r="AN15" s="10">
        <v>34.838999999999999</v>
      </c>
      <c r="AO15" s="46">
        <f>AVERAGE(Y15:AN15)</f>
        <v>176.41181249999997</v>
      </c>
      <c r="AP15" s="7">
        <f t="shared" si="1"/>
        <v>17.641181249999995</v>
      </c>
    </row>
    <row r="16" spans="1:42" x14ac:dyDescent="0.3">
      <c r="A16" s="5">
        <v>15</v>
      </c>
      <c r="B16" s="6" t="s">
        <v>9</v>
      </c>
      <c r="C16" s="12" t="s">
        <v>244</v>
      </c>
      <c r="D16" s="6" t="s">
        <v>128</v>
      </c>
      <c r="E16" s="6" t="s">
        <v>12</v>
      </c>
      <c r="F16" s="6" t="s">
        <v>13</v>
      </c>
      <c r="G16" s="6" t="s">
        <v>35</v>
      </c>
      <c r="H16" s="5">
        <v>4</v>
      </c>
      <c r="I16" s="67" t="s">
        <v>160</v>
      </c>
      <c r="J16" s="46">
        <v>6.9019999999999992</v>
      </c>
      <c r="K16" s="46">
        <v>18.350999999999999</v>
      </c>
      <c r="L16" s="46">
        <v>28.332999999999998</v>
      </c>
      <c r="M16" s="46">
        <v>16.354999999999997</v>
      </c>
      <c r="N16" s="46">
        <v>30.348999999999997</v>
      </c>
      <c r="O16" s="46">
        <v>24.436</v>
      </c>
      <c r="P16" s="46">
        <v>14.855</v>
      </c>
      <c r="Q16" s="46">
        <v>10.215</v>
      </c>
      <c r="R16" s="46">
        <v>10.129000000000001</v>
      </c>
      <c r="S16" s="46">
        <v>39.840999999999994</v>
      </c>
      <c r="T16" s="10">
        <v>9.141</v>
      </c>
      <c r="U16" s="10">
        <v>19.989000000000001</v>
      </c>
      <c r="V16" s="10">
        <v>5.8319999999999999</v>
      </c>
      <c r="W16" s="10">
        <v>19.378</v>
      </c>
      <c r="X16" s="10">
        <v>7.03</v>
      </c>
      <c r="Y16" s="46">
        <v>0</v>
      </c>
      <c r="Z16" s="10">
        <v>14.248000000000001</v>
      </c>
      <c r="AA16" s="10">
        <v>3.0579999999999998</v>
      </c>
      <c r="AB16" s="10">
        <v>29.373000000000005</v>
      </c>
      <c r="AC16" s="10">
        <v>13.474999999999998</v>
      </c>
      <c r="AD16" s="10">
        <v>12.371</v>
      </c>
      <c r="AE16" s="10">
        <v>10.028999999999998</v>
      </c>
      <c r="AF16" s="10">
        <v>19.528000000000002</v>
      </c>
      <c r="AG16" s="10">
        <v>11.393000000000001</v>
      </c>
      <c r="AH16" s="10">
        <v>23.068000000000001</v>
      </c>
      <c r="AI16" s="10">
        <v>20.224999999999998</v>
      </c>
      <c r="AJ16" s="10">
        <v>8.8970000000000002</v>
      </c>
      <c r="AK16" s="10">
        <v>9.1549999999999994</v>
      </c>
      <c r="AL16" s="10">
        <v>35.363</v>
      </c>
      <c r="AM16" s="10">
        <v>17.315999999999999</v>
      </c>
      <c r="AN16" s="10">
        <v>35.217999999999996</v>
      </c>
      <c r="AO16" s="46">
        <f t="shared" si="0"/>
        <v>16.419812499999999</v>
      </c>
      <c r="AP16" s="7">
        <f t="shared" si="1"/>
        <v>4.1049531249999998</v>
      </c>
    </row>
    <row r="17" spans="1:42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40</v>
      </c>
      <c r="G17" s="6" t="s">
        <v>35</v>
      </c>
      <c r="H17" s="5">
        <v>1</v>
      </c>
      <c r="I17" s="67" t="s">
        <v>160</v>
      </c>
      <c r="J17" s="46">
        <v>0</v>
      </c>
      <c r="K17" s="46">
        <v>0</v>
      </c>
      <c r="L17" s="45">
        <v>0</v>
      </c>
      <c r="M17" s="46">
        <v>0</v>
      </c>
      <c r="N17" s="45">
        <v>0</v>
      </c>
      <c r="O17" s="46">
        <v>0</v>
      </c>
      <c r="P17" s="46">
        <v>0</v>
      </c>
      <c r="Q17" s="46">
        <v>0</v>
      </c>
      <c r="R17" s="45">
        <v>0</v>
      </c>
      <c r="S17" s="45">
        <v>0</v>
      </c>
      <c r="T17" s="45">
        <v>0</v>
      </c>
      <c r="U17" s="45">
        <v>0</v>
      </c>
      <c r="V17" s="45">
        <v>0</v>
      </c>
      <c r="W17" s="45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60">
        <v>0</v>
      </c>
      <c r="AF17" s="60">
        <v>0</v>
      </c>
      <c r="AG17" s="46">
        <v>0</v>
      </c>
      <c r="AH17" s="46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46">
        <f t="shared" si="0"/>
        <v>0</v>
      </c>
      <c r="AP17" s="7">
        <f t="shared" si="1"/>
        <v>0</v>
      </c>
    </row>
    <row r="18" spans="1:42" ht="15.6" x14ac:dyDescent="0.3">
      <c r="A18" s="5">
        <v>17</v>
      </c>
      <c r="B18" s="6" t="s">
        <v>9</v>
      </c>
      <c r="C18" s="12" t="s">
        <v>196</v>
      </c>
      <c r="D18" s="6" t="s">
        <v>128</v>
      </c>
      <c r="E18" s="6" t="s">
        <v>12</v>
      </c>
      <c r="F18" s="6" t="s">
        <v>13</v>
      </c>
      <c r="G18" s="6" t="s">
        <v>35</v>
      </c>
      <c r="H18" s="5">
        <v>19</v>
      </c>
      <c r="I18" s="74" t="s">
        <v>273</v>
      </c>
      <c r="J18" s="46">
        <v>223.2229999999999</v>
      </c>
      <c r="K18" s="46">
        <v>226.58099999999999</v>
      </c>
      <c r="L18" s="46">
        <v>221.76</v>
      </c>
      <c r="M18" s="46">
        <v>248.12</v>
      </c>
      <c r="N18" s="46">
        <v>217.81899999999996</v>
      </c>
      <c r="O18" s="46">
        <v>221.77500000000003</v>
      </c>
      <c r="P18" s="46">
        <v>223.08700000000005</v>
      </c>
      <c r="Q18" s="46">
        <v>248.26899999999995</v>
      </c>
      <c r="R18" s="46">
        <v>286.59899999999993</v>
      </c>
      <c r="S18" s="46">
        <v>310.36000000000007</v>
      </c>
      <c r="T18" s="10">
        <v>274.98199999999991</v>
      </c>
      <c r="U18" s="10">
        <v>208.95800000000003</v>
      </c>
      <c r="V18" s="10">
        <v>238.53899999999987</v>
      </c>
      <c r="W18" s="10">
        <v>187.02100000000002</v>
      </c>
      <c r="X18" s="10">
        <v>235.904</v>
      </c>
      <c r="Y18" s="10">
        <v>210.04599999999999</v>
      </c>
      <c r="Z18" s="10">
        <v>127.15999999999998</v>
      </c>
      <c r="AA18" s="10">
        <v>181.70699999999999</v>
      </c>
      <c r="AB18" s="10">
        <v>211.72699999999998</v>
      </c>
      <c r="AC18" s="10">
        <v>195.43299999999996</v>
      </c>
      <c r="AD18" s="10">
        <v>216.56299999999996</v>
      </c>
      <c r="AE18" s="10">
        <v>190.86000000000004</v>
      </c>
      <c r="AF18" s="10">
        <v>166.05</v>
      </c>
      <c r="AG18" s="10">
        <v>203.29400000000004</v>
      </c>
      <c r="AH18" s="10">
        <v>212.79399999999998</v>
      </c>
      <c r="AI18" s="10">
        <v>240.96299999999997</v>
      </c>
      <c r="AJ18" s="10">
        <v>203.13199999999998</v>
      </c>
      <c r="AK18" s="10">
        <v>185.27699999999999</v>
      </c>
      <c r="AL18" s="10">
        <v>217.93100000000001</v>
      </c>
      <c r="AM18" s="10">
        <v>167.34800000000004</v>
      </c>
      <c r="AN18" s="10">
        <v>210.70699999999999</v>
      </c>
      <c r="AO18" s="46">
        <f t="shared" si="0"/>
        <v>196.31199999999998</v>
      </c>
      <c r="AP18" s="7">
        <f t="shared" si="1"/>
        <v>10.332210526315789</v>
      </c>
    </row>
    <row r="19" spans="1:42" ht="15.6" x14ac:dyDescent="0.3">
      <c r="A19" s="5">
        <v>18</v>
      </c>
      <c r="B19" s="6" t="s">
        <v>9</v>
      </c>
      <c r="C19" s="12" t="s">
        <v>196</v>
      </c>
      <c r="D19" s="6" t="s">
        <v>128</v>
      </c>
      <c r="E19" s="6" t="s">
        <v>12</v>
      </c>
      <c r="F19" s="6" t="s">
        <v>124</v>
      </c>
      <c r="G19" s="6" t="s">
        <v>80</v>
      </c>
      <c r="H19" s="5">
        <v>1</v>
      </c>
      <c r="I19" s="74" t="s">
        <v>273</v>
      </c>
      <c r="J19" s="46">
        <v>10.66</v>
      </c>
      <c r="K19" s="46">
        <v>0</v>
      </c>
      <c r="L19" s="46">
        <v>0</v>
      </c>
      <c r="M19" s="46">
        <v>1.79</v>
      </c>
      <c r="N19" s="46">
        <v>6.91</v>
      </c>
      <c r="O19" s="46">
        <v>16.540000000000003</v>
      </c>
      <c r="P19" s="46">
        <v>8.4600000000000009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v>0</v>
      </c>
      <c r="AN19" s="46">
        <v>0</v>
      </c>
      <c r="AO19" s="46">
        <f t="shared" si="0"/>
        <v>0</v>
      </c>
      <c r="AP19" s="7">
        <f t="shared" si="1"/>
        <v>0</v>
      </c>
    </row>
    <row r="20" spans="1:42" ht="15.6" x14ac:dyDescent="0.3">
      <c r="A20" s="5">
        <v>19</v>
      </c>
      <c r="B20" s="6" t="s">
        <v>9</v>
      </c>
      <c r="C20" s="12" t="s">
        <v>196</v>
      </c>
      <c r="D20" s="6" t="s">
        <v>128</v>
      </c>
      <c r="E20" s="6" t="s">
        <v>12</v>
      </c>
      <c r="F20" s="6" t="s">
        <v>516</v>
      </c>
      <c r="G20" s="6" t="s">
        <v>80</v>
      </c>
      <c r="H20" s="5">
        <v>1</v>
      </c>
      <c r="I20" s="74" t="s">
        <v>273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10">
        <v>23.76</v>
      </c>
      <c r="X20" s="10">
        <v>76.52</v>
      </c>
      <c r="Y20" s="10">
        <v>63.59999999999998</v>
      </c>
      <c r="Z20" s="10">
        <v>74.72999999999999</v>
      </c>
      <c r="AA20" s="10">
        <v>63.760000000000005</v>
      </c>
      <c r="AB20" s="10">
        <v>89.710000000000008</v>
      </c>
      <c r="AC20" s="10">
        <v>73.809999999999988</v>
      </c>
      <c r="AD20" s="10">
        <v>51.47</v>
      </c>
      <c r="AE20" s="10">
        <v>102.851</v>
      </c>
      <c r="AF20" s="10">
        <v>97.38900000000001</v>
      </c>
      <c r="AG20" s="10">
        <v>87.690000000000012</v>
      </c>
      <c r="AH20" s="10">
        <v>57.71</v>
      </c>
      <c r="AI20" s="10">
        <v>34.370000000000012</v>
      </c>
      <c r="AJ20" s="10">
        <v>36.830000000000005</v>
      </c>
      <c r="AK20" s="10">
        <v>35.170000000000009</v>
      </c>
      <c r="AL20" s="10">
        <v>13.319999999999999</v>
      </c>
      <c r="AM20" s="10">
        <v>24.630000000000003</v>
      </c>
      <c r="AN20" s="10">
        <v>16.420000000000002</v>
      </c>
      <c r="AO20" s="46">
        <f t="shared" si="0"/>
        <v>57.716250000000002</v>
      </c>
      <c r="AP20" s="7">
        <f t="shared" si="1"/>
        <v>57.716250000000002</v>
      </c>
    </row>
    <row r="21" spans="1:42" ht="15.6" x14ac:dyDescent="0.3">
      <c r="A21" s="5">
        <v>20</v>
      </c>
      <c r="B21" s="6" t="s">
        <v>9</v>
      </c>
      <c r="C21" s="12" t="s">
        <v>474</v>
      </c>
      <c r="D21" s="6" t="s">
        <v>128</v>
      </c>
      <c r="E21" s="6" t="s">
        <v>12</v>
      </c>
      <c r="F21" s="6" t="s">
        <v>13</v>
      </c>
      <c r="G21" s="6" t="s">
        <v>35</v>
      </c>
      <c r="H21" s="5">
        <v>5</v>
      </c>
      <c r="I21" s="74" t="s">
        <v>273</v>
      </c>
      <c r="J21" s="46">
        <v>124.26799999999999</v>
      </c>
      <c r="K21" s="46">
        <v>72.644000000000005</v>
      </c>
      <c r="L21" s="46">
        <v>118.14200000000001</v>
      </c>
      <c r="M21" s="46">
        <v>132.51</v>
      </c>
      <c r="N21" s="46">
        <v>115.29599999999999</v>
      </c>
      <c r="O21" s="46">
        <v>131.185</v>
      </c>
      <c r="P21" s="46">
        <v>178.53600000000003</v>
      </c>
      <c r="Q21" s="46">
        <v>82.174000000000007</v>
      </c>
      <c r="R21" s="46">
        <v>191.726</v>
      </c>
      <c r="S21" s="46">
        <v>97.405999999999977</v>
      </c>
      <c r="T21" s="10">
        <v>185.88899999999998</v>
      </c>
      <c r="U21" s="10">
        <v>131.38900000000001</v>
      </c>
      <c r="V21" s="10">
        <v>178.98000000000002</v>
      </c>
      <c r="W21" s="10">
        <v>190.101</v>
      </c>
      <c r="X21" s="10">
        <v>187.17800000000003</v>
      </c>
      <c r="Y21" s="10">
        <v>147.971</v>
      </c>
      <c r="Z21" s="10">
        <v>185.904</v>
      </c>
      <c r="AA21" s="10">
        <v>173.77900000000002</v>
      </c>
      <c r="AB21" s="10">
        <v>135.43300000000005</v>
      </c>
      <c r="AC21" s="10">
        <v>164.57499999999999</v>
      </c>
      <c r="AD21" s="10">
        <v>109.60599999999998</v>
      </c>
      <c r="AE21" s="10">
        <v>225.41499999999999</v>
      </c>
      <c r="AF21" s="10">
        <v>183.84399999999997</v>
      </c>
      <c r="AG21" s="10">
        <v>161.75900000000004</v>
      </c>
      <c r="AH21" s="10">
        <v>173.58300000000003</v>
      </c>
      <c r="AI21" s="10">
        <v>178.63500000000002</v>
      </c>
      <c r="AJ21" s="10">
        <v>174.77199999999996</v>
      </c>
      <c r="AK21" s="10">
        <v>136.346</v>
      </c>
      <c r="AL21" s="10">
        <v>201.46100000000004</v>
      </c>
      <c r="AM21" s="10">
        <v>232.23500000000001</v>
      </c>
      <c r="AN21" s="10">
        <v>150.91600000000003</v>
      </c>
      <c r="AO21" s="46">
        <f t="shared" si="0"/>
        <v>171.01462500000005</v>
      </c>
      <c r="AP21" s="7">
        <f t="shared" si="1"/>
        <v>34.202925000000008</v>
      </c>
    </row>
    <row r="22" spans="1:42" x14ac:dyDescent="0.3">
      <c r="A22" s="5">
        <v>21</v>
      </c>
      <c r="B22" s="6" t="s">
        <v>9</v>
      </c>
      <c r="C22" s="12" t="s">
        <v>473</v>
      </c>
      <c r="D22" s="6" t="s">
        <v>128</v>
      </c>
      <c r="E22" s="6" t="s">
        <v>12</v>
      </c>
      <c r="F22" s="6" t="s">
        <v>40</v>
      </c>
      <c r="G22" s="6" t="s">
        <v>35</v>
      </c>
      <c r="H22" s="5">
        <v>2</v>
      </c>
      <c r="I22" s="67" t="s">
        <v>160</v>
      </c>
      <c r="J22" s="46">
        <v>0</v>
      </c>
      <c r="K22" s="46">
        <v>0</v>
      </c>
      <c r="L22" s="46">
        <v>0</v>
      </c>
      <c r="M22" s="46">
        <v>14.78</v>
      </c>
      <c r="N22" s="45">
        <v>0</v>
      </c>
      <c r="O22" s="46">
        <v>0</v>
      </c>
      <c r="P22" s="46">
        <v>16.798999999999999</v>
      </c>
      <c r="Q22" s="46">
        <v>0</v>
      </c>
      <c r="R22" s="46">
        <v>0</v>
      </c>
      <c r="S22" s="46">
        <v>5.327</v>
      </c>
      <c r="T22" s="10">
        <v>2.903</v>
      </c>
      <c r="U22" s="46">
        <v>0</v>
      </c>
      <c r="V22" s="46">
        <v>0</v>
      </c>
      <c r="W22" s="10">
        <v>17.157</v>
      </c>
      <c r="X22" s="46">
        <v>0</v>
      </c>
      <c r="Y22" s="10">
        <v>2.1</v>
      </c>
      <c r="Z22" s="10">
        <v>0.13400000000000001</v>
      </c>
      <c r="AA22" s="10">
        <v>16.321999999999999</v>
      </c>
      <c r="AB22" s="46">
        <v>0</v>
      </c>
      <c r="AC22" s="10">
        <v>3.99</v>
      </c>
      <c r="AD22" s="10">
        <v>4.1150000000000002</v>
      </c>
      <c r="AE22" s="10">
        <v>2.3E-2</v>
      </c>
      <c r="AF22" s="10">
        <v>2.7E-2</v>
      </c>
      <c r="AG22" s="10">
        <v>3.0000000000000001E-3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v>0</v>
      </c>
      <c r="AO22" s="46">
        <f t="shared" si="0"/>
        <v>1.6696250000000001</v>
      </c>
      <c r="AP22" s="7">
        <f t="shared" si="1"/>
        <v>0.83481250000000007</v>
      </c>
    </row>
    <row r="23" spans="1:42" x14ac:dyDescent="0.3">
      <c r="A23" s="5">
        <v>22</v>
      </c>
      <c r="B23" s="6" t="s">
        <v>9</v>
      </c>
      <c r="C23" s="12" t="s">
        <v>473</v>
      </c>
      <c r="D23" s="6" t="s">
        <v>128</v>
      </c>
      <c r="E23" s="6" t="s">
        <v>12</v>
      </c>
      <c r="F23" s="6" t="s">
        <v>95</v>
      </c>
      <c r="G23" s="6" t="s">
        <v>80</v>
      </c>
      <c r="H23" s="5">
        <v>1</v>
      </c>
      <c r="I23" s="67" t="s">
        <v>160</v>
      </c>
      <c r="J23" s="46">
        <v>0</v>
      </c>
      <c r="K23" s="46">
        <v>0</v>
      </c>
      <c r="L23" s="46">
        <v>0</v>
      </c>
      <c r="M23" s="46">
        <v>17.469000000000001</v>
      </c>
      <c r="N23" s="46">
        <v>40.94</v>
      </c>
      <c r="O23" s="46">
        <v>36.92</v>
      </c>
      <c r="P23" s="46">
        <v>8.91</v>
      </c>
      <c r="Q23" s="46">
        <v>33.21</v>
      </c>
      <c r="R23" s="46">
        <v>32.47</v>
      </c>
      <c r="S23" s="46">
        <v>14.07</v>
      </c>
      <c r="T23" s="45">
        <v>0</v>
      </c>
      <c r="U23" s="10">
        <v>108.9</v>
      </c>
      <c r="V23" s="10">
        <v>5.17</v>
      </c>
      <c r="W23" s="10">
        <v>0.05</v>
      </c>
      <c r="X23" s="10">
        <v>0.02</v>
      </c>
      <c r="Y23" s="10">
        <v>0.04</v>
      </c>
      <c r="Z23" s="10">
        <v>19.5</v>
      </c>
      <c r="AA23" s="10">
        <v>29.260000000000005</v>
      </c>
      <c r="AB23" s="10">
        <v>60.58</v>
      </c>
      <c r="AC23" s="10">
        <v>29.090000000000003</v>
      </c>
      <c r="AD23" s="10">
        <v>18.520000000000003</v>
      </c>
      <c r="AE23" s="10">
        <v>39.74</v>
      </c>
      <c r="AF23" s="10">
        <v>55.000000000000007</v>
      </c>
      <c r="AG23" s="10">
        <v>31.15</v>
      </c>
      <c r="AH23" s="10">
        <v>24.4</v>
      </c>
      <c r="AI23" s="10">
        <v>1.23</v>
      </c>
      <c r="AJ23" s="46">
        <v>0</v>
      </c>
      <c r="AK23" s="10">
        <v>8.65</v>
      </c>
      <c r="AL23" s="10">
        <v>10.54</v>
      </c>
      <c r="AM23" s="10">
        <v>15</v>
      </c>
      <c r="AN23" s="46">
        <v>0</v>
      </c>
      <c r="AO23" s="46">
        <f t="shared" si="0"/>
        <v>21.418749999999999</v>
      </c>
      <c r="AP23" s="7">
        <f t="shared" si="1"/>
        <v>21.418749999999999</v>
      </c>
    </row>
    <row r="24" spans="1:42" x14ac:dyDescent="0.3">
      <c r="A24" s="5">
        <v>23</v>
      </c>
      <c r="B24" s="6" t="s">
        <v>9</v>
      </c>
      <c r="C24" s="12" t="s">
        <v>473</v>
      </c>
      <c r="D24" s="6" t="s">
        <v>128</v>
      </c>
      <c r="E24" s="6" t="s">
        <v>12</v>
      </c>
      <c r="F24" s="6" t="s">
        <v>309</v>
      </c>
      <c r="G24" s="6" t="s">
        <v>80</v>
      </c>
      <c r="H24" s="5">
        <v>1</v>
      </c>
      <c r="I24" s="67" t="s">
        <v>160</v>
      </c>
      <c r="J24" s="46">
        <v>38.78</v>
      </c>
      <c r="K24" s="46">
        <v>1.27</v>
      </c>
      <c r="L24" s="46">
        <v>18.399999999999999</v>
      </c>
      <c r="M24" s="46">
        <v>0</v>
      </c>
      <c r="N24" s="46">
        <v>1.9790000000000001</v>
      </c>
      <c r="O24" s="46">
        <v>1.5310000000000001</v>
      </c>
      <c r="P24" s="46">
        <v>14.33</v>
      </c>
      <c r="Q24" s="46">
        <v>13.379</v>
      </c>
      <c r="R24" s="46">
        <v>15.590999999999999</v>
      </c>
      <c r="S24" s="46">
        <v>6.49</v>
      </c>
      <c r="T24" s="10">
        <v>11.048999999999999</v>
      </c>
      <c r="U24" s="10">
        <v>1.33</v>
      </c>
      <c r="V24" s="10">
        <v>5.8409999999999993</v>
      </c>
      <c r="W24" s="10">
        <v>29.73</v>
      </c>
      <c r="X24" s="10">
        <v>37.309999999999995</v>
      </c>
      <c r="Y24" s="10">
        <v>30.29</v>
      </c>
      <c r="Z24" s="10">
        <v>37.799999999999997</v>
      </c>
      <c r="AA24" s="10">
        <v>25.088999999999999</v>
      </c>
      <c r="AB24" s="46">
        <v>0</v>
      </c>
      <c r="AC24" s="10">
        <v>2.2610000000000001</v>
      </c>
      <c r="AD24" s="10">
        <v>31.330000000000002</v>
      </c>
      <c r="AE24" s="10">
        <v>46.42</v>
      </c>
      <c r="AF24" s="10">
        <v>60.768999999999998</v>
      </c>
      <c r="AG24" s="10">
        <v>48.79</v>
      </c>
      <c r="AH24" s="10">
        <v>52.809999999999988</v>
      </c>
      <c r="AI24" s="10">
        <v>24.61</v>
      </c>
      <c r="AJ24" s="10">
        <v>16.84</v>
      </c>
      <c r="AK24" s="10">
        <v>53.35</v>
      </c>
      <c r="AL24" s="10">
        <v>56.800000000000004</v>
      </c>
      <c r="AM24" s="10">
        <v>12.129999999999999</v>
      </c>
      <c r="AN24" s="10">
        <v>1.67</v>
      </c>
      <c r="AO24" s="46">
        <f t="shared" si="0"/>
        <v>31.309937500000004</v>
      </c>
      <c r="AP24" s="7">
        <f t="shared" si="1"/>
        <v>31.309937500000004</v>
      </c>
    </row>
    <row r="25" spans="1:42" x14ac:dyDescent="0.3">
      <c r="A25" s="5">
        <v>24</v>
      </c>
      <c r="B25" s="6" t="s">
        <v>9</v>
      </c>
      <c r="C25" s="12" t="s">
        <v>473</v>
      </c>
      <c r="D25" s="6" t="s">
        <v>128</v>
      </c>
      <c r="E25" s="6" t="s">
        <v>12</v>
      </c>
      <c r="F25" s="6" t="s">
        <v>290</v>
      </c>
      <c r="G25" s="6" t="s">
        <v>80</v>
      </c>
      <c r="H25" s="5">
        <v>1</v>
      </c>
      <c r="I25" s="67" t="s">
        <v>160</v>
      </c>
      <c r="J25" s="46">
        <v>272.89999999999998</v>
      </c>
      <c r="K25" s="46">
        <v>178.89999999999998</v>
      </c>
      <c r="L25" s="46">
        <v>200.25</v>
      </c>
      <c r="M25" s="46">
        <v>202.95000000000005</v>
      </c>
      <c r="N25" s="46">
        <v>35.174999999999997</v>
      </c>
      <c r="O25" s="46">
        <v>109.7</v>
      </c>
      <c r="P25" s="46">
        <v>178.02499999999998</v>
      </c>
      <c r="Q25" s="46">
        <v>172.14999999999998</v>
      </c>
      <c r="R25" s="46">
        <v>215.05</v>
      </c>
      <c r="S25" s="46">
        <v>236.9</v>
      </c>
      <c r="T25" s="10">
        <v>119.55</v>
      </c>
      <c r="U25" s="10">
        <v>116.15</v>
      </c>
      <c r="V25" s="10">
        <v>68.775999999999996</v>
      </c>
      <c r="W25" s="10">
        <v>152.27399999999997</v>
      </c>
      <c r="X25" s="10">
        <v>205.44999999999996</v>
      </c>
      <c r="Y25" s="10">
        <v>244.74999999999997</v>
      </c>
      <c r="Z25" s="10">
        <v>192.50000000000003</v>
      </c>
      <c r="AA25" s="10">
        <v>176.67400000000004</v>
      </c>
      <c r="AB25" s="10">
        <v>18.451000000000001</v>
      </c>
      <c r="AC25" s="10">
        <v>11.075000000000001</v>
      </c>
      <c r="AD25" s="10">
        <v>171.02500000000001</v>
      </c>
      <c r="AE25" s="10">
        <v>169.6</v>
      </c>
      <c r="AF25" s="10">
        <v>255.97599999999997</v>
      </c>
      <c r="AG25" s="10">
        <v>178.2</v>
      </c>
      <c r="AH25" s="10">
        <v>79.3</v>
      </c>
      <c r="AI25" s="10">
        <v>96.95</v>
      </c>
      <c r="AJ25" s="10">
        <v>31.25</v>
      </c>
      <c r="AK25" s="10">
        <v>137</v>
      </c>
      <c r="AL25" s="10">
        <v>189.37500000000003</v>
      </c>
      <c r="AM25" s="10">
        <v>186.9</v>
      </c>
      <c r="AN25" s="10">
        <v>93.124999999999986</v>
      </c>
      <c r="AO25" s="46">
        <f t="shared" si="0"/>
        <v>139.50943749999999</v>
      </c>
      <c r="AP25" s="7">
        <f t="shared" si="1"/>
        <v>139.50943749999999</v>
      </c>
    </row>
    <row r="26" spans="1:42" x14ac:dyDescent="0.3">
      <c r="A26" s="5">
        <v>25</v>
      </c>
      <c r="B26" s="6" t="s">
        <v>9</v>
      </c>
      <c r="C26" s="12" t="s">
        <v>473</v>
      </c>
      <c r="D26" s="6" t="s">
        <v>128</v>
      </c>
      <c r="E26" s="6" t="s">
        <v>12</v>
      </c>
      <c r="F26" s="6" t="s">
        <v>409</v>
      </c>
      <c r="G26" s="6" t="s">
        <v>80</v>
      </c>
      <c r="H26" s="5">
        <v>1</v>
      </c>
      <c r="I26" s="67" t="s">
        <v>160</v>
      </c>
      <c r="J26" s="46">
        <v>359.20999999999992</v>
      </c>
      <c r="K26" s="46">
        <v>182.10999999999999</v>
      </c>
      <c r="L26" s="46">
        <v>263.55999999999995</v>
      </c>
      <c r="M26" s="46">
        <v>221.14</v>
      </c>
      <c r="N26" s="46">
        <v>176.58</v>
      </c>
      <c r="O26" s="46">
        <v>100.62</v>
      </c>
      <c r="P26" s="46">
        <v>183.36999999999998</v>
      </c>
      <c r="Q26" s="46">
        <v>320.13000000000005</v>
      </c>
      <c r="R26" s="46">
        <v>203.57999999999998</v>
      </c>
      <c r="S26" s="46">
        <v>256.64</v>
      </c>
      <c r="T26" s="10">
        <v>190.32</v>
      </c>
      <c r="U26" s="10">
        <v>105.56</v>
      </c>
      <c r="V26" s="10">
        <v>129.48999999999998</v>
      </c>
      <c r="W26" s="10">
        <v>215.39000000000001</v>
      </c>
      <c r="X26" s="10">
        <v>317.52</v>
      </c>
      <c r="Y26" s="10">
        <v>352.21000000000004</v>
      </c>
      <c r="Z26" s="10">
        <v>279.14999999999998</v>
      </c>
      <c r="AA26" s="10">
        <v>289.68999999999994</v>
      </c>
      <c r="AB26" s="10">
        <v>220.6</v>
      </c>
      <c r="AC26" s="10">
        <v>128.72999999999999</v>
      </c>
      <c r="AD26" s="10">
        <v>226.41</v>
      </c>
      <c r="AE26" s="10">
        <v>334.14999999999992</v>
      </c>
      <c r="AF26" s="10">
        <v>282.56</v>
      </c>
      <c r="AG26" s="10">
        <v>285.32</v>
      </c>
      <c r="AH26" s="10">
        <v>326.34999999999991</v>
      </c>
      <c r="AI26" s="10">
        <v>264.3</v>
      </c>
      <c r="AJ26" s="10">
        <v>97.69</v>
      </c>
      <c r="AK26" s="10">
        <v>185.79</v>
      </c>
      <c r="AL26" s="10">
        <v>258.98</v>
      </c>
      <c r="AM26" s="10">
        <v>237.22000000000003</v>
      </c>
      <c r="AN26" s="10">
        <v>205.04000000000005</v>
      </c>
      <c r="AO26" s="46">
        <f t="shared" si="0"/>
        <v>248.38687500000003</v>
      </c>
      <c r="AP26" s="7">
        <f t="shared" si="1"/>
        <v>248.38687500000003</v>
      </c>
    </row>
    <row r="27" spans="1:42" ht="15.6" x14ac:dyDescent="0.3">
      <c r="A27" s="5">
        <v>26</v>
      </c>
      <c r="B27" s="6" t="s">
        <v>9</v>
      </c>
      <c r="C27" s="12" t="s">
        <v>269</v>
      </c>
      <c r="D27" s="6" t="s">
        <v>128</v>
      </c>
      <c r="E27" s="6" t="s">
        <v>12</v>
      </c>
      <c r="F27" s="6" t="s">
        <v>13</v>
      </c>
      <c r="G27" s="6" t="s">
        <v>35</v>
      </c>
      <c r="H27" s="5">
        <v>7</v>
      </c>
      <c r="I27" s="74" t="s">
        <v>273</v>
      </c>
      <c r="J27" s="46">
        <v>190.14999999999992</v>
      </c>
      <c r="K27" s="46">
        <v>141.44500000000002</v>
      </c>
      <c r="L27" s="46">
        <v>143.75899999999996</v>
      </c>
      <c r="M27" s="46">
        <v>144.64700000000002</v>
      </c>
      <c r="N27" s="46">
        <v>116.38099999999996</v>
      </c>
      <c r="O27" s="46">
        <v>123.70400000000005</v>
      </c>
      <c r="P27" s="46">
        <v>112.712</v>
      </c>
      <c r="Q27" s="46">
        <v>136.52799999999999</v>
      </c>
      <c r="R27" s="46">
        <v>136.18999999999997</v>
      </c>
      <c r="S27" s="46">
        <v>145.63200000000001</v>
      </c>
      <c r="T27" s="10">
        <v>119.38099999999999</v>
      </c>
      <c r="U27" s="10">
        <v>102.29100000000001</v>
      </c>
      <c r="V27" s="10">
        <v>100.75500000000002</v>
      </c>
      <c r="W27" s="10">
        <v>140.673</v>
      </c>
      <c r="X27" s="10">
        <v>131.38499999999999</v>
      </c>
      <c r="Y27" s="10">
        <v>117.79700000000004</v>
      </c>
      <c r="Z27" s="10">
        <v>170.64699999999996</v>
      </c>
      <c r="AA27" s="10">
        <v>161.72899999999998</v>
      </c>
      <c r="AB27" s="10">
        <v>110.37200000000001</v>
      </c>
      <c r="AC27" s="10">
        <v>188.01299999999998</v>
      </c>
      <c r="AD27" s="10">
        <v>75.071999999999989</v>
      </c>
      <c r="AE27" s="10">
        <v>102.245</v>
      </c>
      <c r="AF27" s="10">
        <v>94.122000000000014</v>
      </c>
      <c r="AG27" s="10">
        <v>74.864999999999995</v>
      </c>
      <c r="AH27" s="10">
        <v>156.334</v>
      </c>
      <c r="AI27" s="10">
        <v>130.95099999999999</v>
      </c>
      <c r="AJ27" s="10">
        <v>116.93600000000001</v>
      </c>
      <c r="AK27" s="10">
        <v>128.06800000000001</v>
      </c>
      <c r="AL27" s="10">
        <v>103.37</v>
      </c>
      <c r="AM27" s="10">
        <v>164.18099999999998</v>
      </c>
      <c r="AN27" s="10">
        <v>126.94500000000002</v>
      </c>
      <c r="AO27" s="46">
        <f t="shared" si="0"/>
        <v>126.35293750000001</v>
      </c>
      <c r="AP27" s="7">
        <f t="shared" si="1"/>
        <v>18.050419642857143</v>
      </c>
    </row>
    <row r="28" spans="1:42" x14ac:dyDescent="0.3">
      <c r="A28" s="5">
        <v>27</v>
      </c>
      <c r="B28" s="6" t="s">
        <v>9</v>
      </c>
      <c r="C28" s="12" t="s">
        <v>270</v>
      </c>
      <c r="D28" s="6" t="s">
        <v>128</v>
      </c>
      <c r="E28" s="6" t="s">
        <v>12</v>
      </c>
      <c r="F28" s="6" t="s">
        <v>13</v>
      </c>
      <c r="G28" s="6" t="s">
        <v>35</v>
      </c>
      <c r="H28" s="5">
        <v>1</v>
      </c>
      <c r="I28" s="67" t="s">
        <v>160</v>
      </c>
      <c r="J28" s="46">
        <v>4.0650000000000004</v>
      </c>
      <c r="K28" s="46">
        <v>0</v>
      </c>
      <c r="L28" s="46">
        <v>6.3550000000000004</v>
      </c>
      <c r="M28" s="46">
        <v>5.6669999999999998</v>
      </c>
      <c r="N28" s="46">
        <v>6.085</v>
      </c>
      <c r="O28" s="46">
        <v>6.6559999999999988</v>
      </c>
      <c r="P28" s="46">
        <v>9.7009999999999987</v>
      </c>
      <c r="Q28" s="46">
        <v>8.2919999999999998</v>
      </c>
      <c r="R28" s="46">
        <v>7.8949999999999996</v>
      </c>
      <c r="S28" s="46">
        <v>14.870999999999999</v>
      </c>
      <c r="T28" s="10">
        <v>6.665</v>
      </c>
      <c r="U28" s="10">
        <v>3.0229999999999997</v>
      </c>
      <c r="V28" s="10">
        <v>6.4259999999999993</v>
      </c>
      <c r="W28" s="10">
        <v>9.2920000000000016</v>
      </c>
      <c r="X28" s="10">
        <v>12.384000000000002</v>
      </c>
      <c r="Y28" s="10">
        <v>7.0999999999999994E-2</v>
      </c>
      <c r="Z28" s="10">
        <v>1.944</v>
      </c>
      <c r="AA28" s="10">
        <v>2.74</v>
      </c>
      <c r="AB28" s="10">
        <v>3.3889999999999998</v>
      </c>
      <c r="AC28" s="10">
        <v>2.69</v>
      </c>
      <c r="AD28" s="46">
        <v>0</v>
      </c>
      <c r="AE28" s="10">
        <v>1.5450000000000002</v>
      </c>
      <c r="AF28" s="10">
        <v>5.0609999999999999</v>
      </c>
      <c r="AG28" s="10">
        <v>5.1750000000000007</v>
      </c>
      <c r="AH28" s="46">
        <v>0</v>
      </c>
      <c r="AI28" s="46">
        <v>0</v>
      </c>
      <c r="AJ28" s="10">
        <v>3.3410000000000002</v>
      </c>
      <c r="AK28" s="10">
        <v>3.2440000000000002</v>
      </c>
      <c r="AL28" s="10">
        <v>3.9619999999999997</v>
      </c>
      <c r="AM28" s="10">
        <v>8.3529999999999998</v>
      </c>
      <c r="AN28" s="10">
        <v>5.3620000000000001</v>
      </c>
      <c r="AO28" s="46">
        <f t="shared" si="0"/>
        <v>2.9298125000000002</v>
      </c>
      <c r="AP28" s="7">
        <f t="shared" si="1"/>
        <v>2.9298125000000002</v>
      </c>
    </row>
    <row r="29" spans="1:42" x14ac:dyDescent="0.3">
      <c r="A29" s="5">
        <v>28</v>
      </c>
      <c r="B29" s="6" t="s">
        <v>9</v>
      </c>
      <c r="C29" s="12" t="s">
        <v>270</v>
      </c>
      <c r="D29" s="6" t="s">
        <v>128</v>
      </c>
      <c r="E29" s="6" t="s">
        <v>12</v>
      </c>
      <c r="F29" s="6" t="s">
        <v>40</v>
      </c>
      <c r="G29" s="6" t="s">
        <v>35</v>
      </c>
      <c r="H29" s="5">
        <v>1</v>
      </c>
      <c r="I29" s="67" t="s">
        <v>160</v>
      </c>
      <c r="J29" s="46">
        <v>15.43</v>
      </c>
      <c r="K29" s="46">
        <v>44.042000000000002</v>
      </c>
      <c r="L29" s="46">
        <v>0</v>
      </c>
      <c r="M29" s="46">
        <v>16.542000000000002</v>
      </c>
      <c r="N29" s="46">
        <v>9.1310000000000002</v>
      </c>
      <c r="O29" s="45">
        <v>0</v>
      </c>
      <c r="P29" s="45">
        <v>0</v>
      </c>
      <c r="Q29" s="46">
        <v>13.438000000000001</v>
      </c>
      <c r="R29" s="46">
        <v>9.7409999999999997</v>
      </c>
      <c r="S29" s="46">
        <v>25.521000000000001</v>
      </c>
      <c r="T29" s="46">
        <v>0</v>
      </c>
      <c r="U29" s="46">
        <v>0</v>
      </c>
      <c r="V29" s="46">
        <v>0</v>
      </c>
      <c r="W29" s="10">
        <v>9.49</v>
      </c>
      <c r="X29" s="10">
        <v>13.23</v>
      </c>
      <c r="Y29" s="10">
        <v>38.69</v>
      </c>
      <c r="Z29" s="10">
        <v>11.738</v>
      </c>
      <c r="AA29" s="10">
        <v>20.192</v>
      </c>
      <c r="AB29" s="10">
        <v>10.803000000000001</v>
      </c>
      <c r="AC29" s="46">
        <v>0</v>
      </c>
      <c r="AD29" s="10">
        <v>15.411000000000001</v>
      </c>
      <c r="AE29" s="10">
        <v>1.2030000000000001</v>
      </c>
      <c r="AF29" s="10">
        <v>8.6739999999999995</v>
      </c>
      <c r="AG29" s="10">
        <v>3.4060000000000001</v>
      </c>
      <c r="AH29" s="46">
        <v>0</v>
      </c>
      <c r="AI29" s="10">
        <v>10.795999999999999</v>
      </c>
      <c r="AJ29" s="10">
        <v>14.702999999999999</v>
      </c>
      <c r="AK29" s="10">
        <v>18.411999999999999</v>
      </c>
      <c r="AL29" s="10">
        <v>13.971</v>
      </c>
      <c r="AM29" s="10">
        <v>12.179</v>
      </c>
      <c r="AN29" s="10">
        <v>14.754</v>
      </c>
      <c r="AO29" s="46">
        <f t="shared" si="0"/>
        <v>12.183250000000001</v>
      </c>
      <c r="AP29" s="7">
        <f t="shared" si="1"/>
        <v>12.183250000000001</v>
      </c>
    </row>
    <row r="30" spans="1:42" x14ac:dyDescent="0.3">
      <c r="A30" s="5">
        <v>29</v>
      </c>
      <c r="B30" s="6" t="s">
        <v>9</v>
      </c>
      <c r="C30" s="12" t="s">
        <v>270</v>
      </c>
      <c r="D30" s="6" t="s">
        <v>128</v>
      </c>
      <c r="E30" s="6" t="s">
        <v>12</v>
      </c>
      <c r="F30" s="6" t="s">
        <v>124</v>
      </c>
      <c r="G30" s="6" t="s">
        <v>80</v>
      </c>
      <c r="H30" s="5">
        <v>1</v>
      </c>
      <c r="I30" s="67" t="s">
        <v>160</v>
      </c>
      <c r="J30" s="46">
        <v>0</v>
      </c>
      <c r="K30" s="46">
        <v>22.189999999999998</v>
      </c>
      <c r="L30" s="46">
        <v>9.98</v>
      </c>
      <c r="M30" s="46">
        <v>15.32</v>
      </c>
      <c r="N30" s="46">
        <v>20.16</v>
      </c>
      <c r="O30" s="46">
        <v>8.61</v>
      </c>
      <c r="P30" s="46">
        <v>25.32</v>
      </c>
      <c r="Q30" s="46">
        <v>29.130000000000003</v>
      </c>
      <c r="R30" s="46">
        <v>8.2799999999999994</v>
      </c>
      <c r="S30" s="46">
        <v>0.02</v>
      </c>
      <c r="T30" s="45">
        <v>0</v>
      </c>
      <c r="U30" s="45">
        <v>0</v>
      </c>
      <c r="V30" s="45">
        <v>0</v>
      </c>
      <c r="W30" s="10">
        <v>0.05</v>
      </c>
      <c r="X30" s="10">
        <v>0.01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10">
        <v>4.8800000000000008</v>
      </c>
      <c r="AE30" s="10">
        <v>20.34</v>
      </c>
      <c r="AF30" s="10">
        <v>23.541000000000004</v>
      </c>
      <c r="AG30" s="10">
        <v>11.1</v>
      </c>
      <c r="AH30" s="10">
        <v>21.119999999999997</v>
      </c>
      <c r="AI30" s="10">
        <v>14.16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f t="shared" si="0"/>
        <v>5.9463124999999994</v>
      </c>
      <c r="AP30" s="7">
        <f t="shared" si="1"/>
        <v>5.9463124999999994</v>
      </c>
    </row>
    <row r="31" spans="1:42" x14ac:dyDescent="0.3">
      <c r="A31" s="5">
        <v>30</v>
      </c>
      <c r="B31" s="6" t="s">
        <v>9</v>
      </c>
      <c r="C31" s="12" t="s">
        <v>270</v>
      </c>
      <c r="D31" s="6" t="s">
        <v>128</v>
      </c>
      <c r="E31" s="6" t="s">
        <v>12</v>
      </c>
      <c r="F31" s="6" t="s">
        <v>251</v>
      </c>
      <c r="G31" s="6" t="s">
        <v>80</v>
      </c>
      <c r="H31" s="5">
        <v>1</v>
      </c>
      <c r="I31" s="67" t="s">
        <v>160</v>
      </c>
      <c r="J31" s="46">
        <v>78.536000000000001</v>
      </c>
      <c r="K31" s="46">
        <v>119.03399999999999</v>
      </c>
      <c r="L31" s="46">
        <v>72.137000000000015</v>
      </c>
      <c r="M31" s="46">
        <v>50.150000000000006</v>
      </c>
      <c r="N31" s="46">
        <v>140.83000000000001</v>
      </c>
      <c r="O31" s="46">
        <v>49.809999999999995</v>
      </c>
      <c r="P31" s="46">
        <v>75.092000000000013</v>
      </c>
      <c r="Q31" s="46">
        <v>127.358</v>
      </c>
      <c r="R31" s="46">
        <v>134.74099999999999</v>
      </c>
      <c r="S31" s="46">
        <v>114.03099999999999</v>
      </c>
      <c r="T31" s="10">
        <v>55.526000000000003</v>
      </c>
      <c r="U31" s="10">
        <v>78.440999999999988</v>
      </c>
      <c r="V31" s="10">
        <v>9.0619999999999994</v>
      </c>
      <c r="W31" s="10">
        <v>43.192999999999998</v>
      </c>
      <c r="X31" s="10">
        <v>79.668000000000006</v>
      </c>
      <c r="Y31" s="10">
        <v>73.947999999999993</v>
      </c>
      <c r="Z31" s="10">
        <v>101.633</v>
      </c>
      <c r="AA31" s="10">
        <v>116.334</v>
      </c>
      <c r="AB31" s="10">
        <v>23.829000000000001</v>
      </c>
      <c r="AC31" s="10">
        <v>7.4470000000000001</v>
      </c>
      <c r="AD31" s="10">
        <v>159.25299999999999</v>
      </c>
      <c r="AE31" s="10">
        <v>36.412999999999997</v>
      </c>
      <c r="AF31" s="10">
        <v>95.021999999999991</v>
      </c>
      <c r="AG31" s="10">
        <v>81.096000000000004</v>
      </c>
      <c r="AH31" s="10">
        <v>96.72999999999999</v>
      </c>
      <c r="AI31" s="10">
        <v>83.652000000000001</v>
      </c>
      <c r="AJ31" s="10">
        <v>21.350999999999999</v>
      </c>
      <c r="AK31" s="10">
        <v>69.838000000000008</v>
      </c>
      <c r="AL31" s="10">
        <v>81.52000000000001</v>
      </c>
      <c r="AM31" s="10">
        <v>85.492000000000004</v>
      </c>
      <c r="AN31" s="10">
        <v>57.914999999999992</v>
      </c>
      <c r="AO31" s="46">
        <f t="shared" si="0"/>
        <v>74.467062499999997</v>
      </c>
      <c r="AP31" s="7">
        <f t="shared" si="1"/>
        <v>74.467062499999997</v>
      </c>
    </row>
    <row r="32" spans="1:42" x14ac:dyDescent="0.3">
      <c r="A32" s="5">
        <v>31</v>
      </c>
      <c r="B32" s="6" t="s">
        <v>9</v>
      </c>
      <c r="C32" s="12" t="s">
        <v>243</v>
      </c>
      <c r="D32" s="6" t="s">
        <v>128</v>
      </c>
      <c r="E32" s="6" t="s">
        <v>12</v>
      </c>
      <c r="F32" s="6" t="s">
        <v>124</v>
      </c>
      <c r="G32" s="6" t="s">
        <v>80</v>
      </c>
      <c r="H32" s="5">
        <v>1</v>
      </c>
      <c r="I32" s="67" t="s">
        <v>160</v>
      </c>
      <c r="J32" s="46">
        <v>0</v>
      </c>
      <c r="K32" s="46">
        <v>0</v>
      </c>
      <c r="L32" s="46">
        <v>0</v>
      </c>
      <c r="M32" s="46">
        <v>0</v>
      </c>
      <c r="N32" s="45">
        <v>0</v>
      </c>
      <c r="O32" s="46">
        <v>0</v>
      </c>
      <c r="P32" s="46">
        <v>0</v>
      </c>
      <c r="Q32" s="46">
        <v>0</v>
      </c>
      <c r="R32" s="45">
        <v>0</v>
      </c>
      <c r="S32" s="45">
        <v>0</v>
      </c>
      <c r="T32" s="45">
        <v>0</v>
      </c>
      <c r="U32" s="45">
        <v>0</v>
      </c>
      <c r="V32" s="45">
        <v>0</v>
      </c>
      <c r="W32" s="45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f t="shared" si="0"/>
        <v>0</v>
      </c>
      <c r="AP32" s="7">
        <f t="shared" si="1"/>
        <v>0</v>
      </c>
    </row>
    <row r="33" spans="1:42" ht="15.6" x14ac:dyDescent="0.3">
      <c r="A33" s="5">
        <v>32</v>
      </c>
      <c r="B33" s="6" t="s">
        <v>9</v>
      </c>
      <c r="C33" s="12" t="s">
        <v>260</v>
      </c>
      <c r="D33" s="6" t="s">
        <v>128</v>
      </c>
      <c r="E33" s="6" t="s">
        <v>12</v>
      </c>
      <c r="F33" s="6" t="s">
        <v>13</v>
      </c>
      <c r="G33" s="6" t="s">
        <v>35</v>
      </c>
      <c r="H33" s="5">
        <v>9</v>
      </c>
      <c r="I33" s="74" t="s">
        <v>273</v>
      </c>
      <c r="J33" s="46">
        <v>142.24999999999997</v>
      </c>
      <c r="K33" s="46">
        <v>154.15099999999998</v>
      </c>
      <c r="L33" s="46">
        <v>127.54300000000002</v>
      </c>
      <c r="M33" s="46">
        <v>154.06600000000009</v>
      </c>
      <c r="N33" s="46">
        <v>164.95599999999999</v>
      </c>
      <c r="O33" s="46">
        <v>149.98300000000003</v>
      </c>
      <c r="P33" s="46">
        <v>137.20900000000003</v>
      </c>
      <c r="Q33" s="46">
        <v>141.495</v>
      </c>
      <c r="R33" s="46">
        <v>110.84799999999998</v>
      </c>
      <c r="S33" s="46">
        <v>143.52500000000001</v>
      </c>
      <c r="T33" s="10">
        <v>99.073000000000008</v>
      </c>
      <c r="U33" s="10">
        <v>107.69600000000001</v>
      </c>
      <c r="V33" s="10">
        <v>57.696999999999989</v>
      </c>
      <c r="W33" s="10">
        <v>103.33300000000001</v>
      </c>
      <c r="X33" s="10">
        <v>102.10000000000001</v>
      </c>
      <c r="Y33" s="10">
        <v>155.55800000000002</v>
      </c>
      <c r="Z33" s="10">
        <v>151.56000000000003</v>
      </c>
      <c r="AA33" s="10">
        <v>98.857000000000014</v>
      </c>
      <c r="AB33" s="10">
        <v>125.364</v>
      </c>
      <c r="AC33" s="10">
        <v>137.97400000000002</v>
      </c>
      <c r="AD33" s="10">
        <v>123.01500000000003</v>
      </c>
      <c r="AE33" s="10">
        <v>110.42800000000001</v>
      </c>
      <c r="AF33" s="10">
        <v>155.32399999999998</v>
      </c>
      <c r="AG33" s="10">
        <v>148.00799999999998</v>
      </c>
      <c r="AH33" s="10">
        <v>130.59500000000006</v>
      </c>
      <c r="AI33" s="10">
        <v>149.78800000000001</v>
      </c>
      <c r="AJ33" s="10">
        <v>139.35</v>
      </c>
      <c r="AK33" s="10">
        <v>144.16</v>
      </c>
      <c r="AL33" s="10">
        <v>156.49699999999996</v>
      </c>
      <c r="AM33" s="10">
        <v>107.35799999999999</v>
      </c>
      <c r="AN33" s="10">
        <v>133.595</v>
      </c>
      <c r="AO33" s="46">
        <f t="shared" si="0"/>
        <v>135.4644375</v>
      </c>
      <c r="AP33" s="7">
        <f t="shared" si="1"/>
        <v>15.051604166666667</v>
      </c>
    </row>
    <row r="34" spans="1:42" ht="15.6" x14ac:dyDescent="0.3">
      <c r="A34" s="5">
        <v>33</v>
      </c>
      <c r="B34" s="6" t="s">
        <v>9</v>
      </c>
      <c r="C34" s="12" t="s">
        <v>260</v>
      </c>
      <c r="D34" s="6" t="s">
        <v>128</v>
      </c>
      <c r="E34" s="6" t="s">
        <v>12</v>
      </c>
      <c r="F34" s="6" t="s">
        <v>309</v>
      </c>
      <c r="G34" s="6" t="s">
        <v>80</v>
      </c>
      <c r="H34" s="5">
        <v>1</v>
      </c>
      <c r="I34" s="74" t="s">
        <v>273</v>
      </c>
      <c r="J34" s="46">
        <v>52.96</v>
      </c>
      <c r="K34" s="46">
        <v>43.220000000000006</v>
      </c>
      <c r="L34" s="46">
        <v>39.58</v>
      </c>
      <c r="M34" s="46">
        <v>32.11</v>
      </c>
      <c r="N34" s="46">
        <v>44.740000000000009</v>
      </c>
      <c r="O34" s="46">
        <v>34.43</v>
      </c>
      <c r="P34" s="46">
        <v>40.31</v>
      </c>
      <c r="Q34" s="46">
        <v>27.060000000000002</v>
      </c>
      <c r="R34" s="46">
        <v>25.23</v>
      </c>
      <c r="S34" s="46">
        <v>25.37</v>
      </c>
      <c r="T34" s="10">
        <v>35.46</v>
      </c>
      <c r="U34" s="10">
        <v>13.99</v>
      </c>
      <c r="V34" s="10">
        <v>17.520000000000003</v>
      </c>
      <c r="W34" s="10">
        <v>30.9</v>
      </c>
      <c r="X34" s="10">
        <v>26.790000000000003</v>
      </c>
      <c r="Y34" s="10">
        <v>33.789999999999992</v>
      </c>
      <c r="Z34" s="10">
        <v>53.05</v>
      </c>
      <c r="AA34" s="10">
        <v>45.94</v>
      </c>
      <c r="AB34" s="10">
        <v>30.319999999999997</v>
      </c>
      <c r="AC34" s="10">
        <v>39.18</v>
      </c>
      <c r="AD34" s="10">
        <v>36.19</v>
      </c>
      <c r="AE34" s="10">
        <v>40.28</v>
      </c>
      <c r="AF34" s="10">
        <v>35.28</v>
      </c>
      <c r="AG34" s="10">
        <v>35.17</v>
      </c>
      <c r="AH34" s="10">
        <v>33.699999999999996</v>
      </c>
      <c r="AI34" s="10">
        <v>31.26</v>
      </c>
      <c r="AJ34" s="10">
        <v>25.69</v>
      </c>
      <c r="AK34" s="10">
        <v>27.150000000000002</v>
      </c>
      <c r="AL34" s="10">
        <v>33.68</v>
      </c>
      <c r="AM34" s="10">
        <v>30.92</v>
      </c>
      <c r="AN34" s="10">
        <v>14.92</v>
      </c>
      <c r="AO34" s="46">
        <f t="shared" si="0"/>
        <v>34.157499999999992</v>
      </c>
      <c r="AP34" s="7">
        <f t="shared" si="1"/>
        <v>34.157499999999992</v>
      </c>
    </row>
    <row r="35" spans="1:42" ht="15.6" x14ac:dyDescent="0.3">
      <c r="A35" s="5">
        <v>34</v>
      </c>
      <c r="B35" s="6" t="s">
        <v>9</v>
      </c>
      <c r="C35" s="12" t="s">
        <v>352</v>
      </c>
      <c r="D35" s="6" t="s">
        <v>128</v>
      </c>
      <c r="E35" s="6" t="s">
        <v>12</v>
      </c>
      <c r="F35" s="6" t="s">
        <v>13</v>
      </c>
      <c r="G35" s="6" t="s">
        <v>35</v>
      </c>
      <c r="H35" s="5">
        <v>8</v>
      </c>
      <c r="I35" s="74" t="s">
        <v>273</v>
      </c>
      <c r="J35" s="46">
        <v>161.86100000000002</v>
      </c>
      <c r="K35" s="46">
        <v>73.173000000000016</v>
      </c>
      <c r="L35" s="46">
        <v>134.804</v>
      </c>
      <c r="M35" s="46">
        <v>121.15400000000001</v>
      </c>
      <c r="N35" s="46">
        <v>172.55700000000002</v>
      </c>
      <c r="O35" s="46">
        <v>99.794999999999987</v>
      </c>
      <c r="P35" s="46">
        <v>113.28</v>
      </c>
      <c r="Q35" s="46">
        <v>146.50299999999999</v>
      </c>
      <c r="R35" s="46">
        <v>84.36999999999999</v>
      </c>
      <c r="S35" s="46">
        <v>135.29199999999997</v>
      </c>
      <c r="T35" s="10">
        <v>55.874000000000002</v>
      </c>
      <c r="U35" s="10">
        <v>141.94300000000001</v>
      </c>
      <c r="V35" s="10">
        <v>71.419999999999987</v>
      </c>
      <c r="W35" s="10">
        <v>132.53799999999998</v>
      </c>
      <c r="X35" s="10">
        <v>132.48999999999998</v>
      </c>
      <c r="Y35" s="10">
        <v>132.67500000000001</v>
      </c>
      <c r="Z35" s="10">
        <v>109.50699999999999</v>
      </c>
      <c r="AA35" s="10">
        <v>125.63899999999997</v>
      </c>
      <c r="AB35" s="10">
        <v>122.89099999999996</v>
      </c>
      <c r="AC35" s="10">
        <v>143.62299999999999</v>
      </c>
      <c r="AD35" s="10">
        <v>108.146</v>
      </c>
      <c r="AE35" s="10">
        <v>150.17899999999997</v>
      </c>
      <c r="AF35" s="10">
        <v>102.259</v>
      </c>
      <c r="AG35" s="10">
        <v>126.47900000000001</v>
      </c>
      <c r="AH35" s="10">
        <v>96.894000000000005</v>
      </c>
      <c r="AI35" s="10">
        <v>111.82599999999998</v>
      </c>
      <c r="AJ35" s="10">
        <v>82.228999999999999</v>
      </c>
      <c r="AK35" s="10">
        <v>102.83800000000001</v>
      </c>
      <c r="AL35" s="10">
        <v>97.036000000000001</v>
      </c>
      <c r="AM35" s="10">
        <v>82.847000000000037</v>
      </c>
      <c r="AN35" s="10">
        <v>114.50800000000001</v>
      </c>
      <c r="AO35" s="46">
        <f t="shared" si="0"/>
        <v>113.0985</v>
      </c>
      <c r="AP35" s="7">
        <f t="shared" si="1"/>
        <v>14.1373125</v>
      </c>
    </row>
    <row r="36" spans="1:42" ht="15.6" x14ac:dyDescent="0.3">
      <c r="A36" s="5">
        <v>35</v>
      </c>
      <c r="B36" s="6" t="s">
        <v>9</v>
      </c>
      <c r="C36" s="12" t="s">
        <v>352</v>
      </c>
      <c r="D36" s="6" t="s">
        <v>128</v>
      </c>
      <c r="E36" s="6" t="s">
        <v>12</v>
      </c>
      <c r="F36" s="6" t="s">
        <v>40</v>
      </c>
      <c r="G36" s="6" t="s">
        <v>35</v>
      </c>
      <c r="H36" s="5">
        <v>2</v>
      </c>
      <c r="I36" s="74" t="s">
        <v>273</v>
      </c>
      <c r="J36" s="46">
        <v>42.944000000000003</v>
      </c>
      <c r="K36" s="46">
        <v>12.16</v>
      </c>
      <c r="L36" s="46">
        <v>60.812999999999995</v>
      </c>
      <c r="M36" s="46">
        <v>53.606999999999999</v>
      </c>
      <c r="N36" s="46">
        <v>45.3</v>
      </c>
      <c r="O36" s="46">
        <v>15.494999999999999</v>
      </c>
      <c r="P36" s="46">
        <v>35.011000000000003</v>
      </c>
      <c r="Q36" s="46">
        <v>40.631</v>
      </c>
      <c r="R36" s="46">
        <v>0</v>
      </c>
      <c r="S36" s="46">
        <v>62.776999999999994</v>
      </c>
      <c r="T36" s="10">
        <v>42.152000000000001</v>
      </c>
      <c r="U36" s="10">
        <v>38.543999999999997</v>
      </c>
      <c r="V36" s="10">
        <v>25.658999999999999</v>
      </c>
      <c r="W36" s="10">
        <v>36.17</v>
      </c>
      <c r="X36" s="10">
        <v>32.221000000000004</v>
      </c>
      <c r="Y36" s="10">
        <v>55.228000000000002</v>
      </c>
      <c r="Z36" s="10">
        <v>18.777000000000001</v>
      </c>
      <c r="AA36" s="10">
        <v>34.999000000000002</v>
      </c>
      <c r="AB36" s="10">
        <v>32.496000000000002</v>
      </c>
      <c r="AC36" s="10">
        <v>28.975000000000001</v>
      </c>
      <c r="AD36" s="10">
        <v>46.484000000000002</v>
      </c>
      <c r="AE36" s="10">
        <v>41.277000000000001</v>
      </c>
      <c r="AF36" s="10">
        <v>26.356999999999999</v>
      </c>
      <c r="AG36" s="10">
        <v>64.772999999999996</v>
      </c>
      <c r="AH36" s="10">
        <v>31.161999999999999</v>
      </c>
      <c r="AI36" s="10">
        <v>30.189</v>
      </c>
      <c r="AJ36" s="10">
        <v>44.257000000000005</v>
      </c>
      <c r="AK36" s="10">
        <v>68.713999999999999</v>
      </c>
      <c r="AL36" s="10">
        <v>21.407</v>
      </c>
      <c r="AM36" s="10">
        <v>13.637</v>
      </c>
      <c r="AN36" s="10">
        <v>23.177</v>
      </c>
      <c r="AO36" s="46">
        <f t="shared" si="0"/>
        <v>36.369312499999999</v>
      </c>
      <c r="AP36" s="7">
        <f t="shared" si="1"/>
        <v>18.18465625</v>
      </c>
    </row>
    <row r="37" spans="1:42" ht="15.6" x14ac:dyDescent="0.3">
      <c r="A37" s="5">
        <v>36</v>
      </c>
      <c r="B37" s="6" t="s">
        <v>9</v>
      </c>
      <c r="C37" s="12" t="s">
        <v>370</v>
      </c>
      <c r="D37" s="6" t="s">
        <v>128</v>
      </c>
      <c r="E37" s="6" t="s">
        <v>12</v>
      </c>
      <c r="F37" s="6" t="s">
        <v>13</v>
      </c>
      <c r="G37" s="6" t="s">
        <v>35</v>
      </c>
      <c r="H37" s="5">
        <v>1</v>
      </c>
      <c r="I37" s="74" t="s">
        <v>273</v>
      </c>
      <c r="J37" s="46">
        <v>18.782</v>
      </c>
      <c r="K37" s="46">
        <v>24.361999999999998</v>
      </c>
      <c r="L37" s="46">
        <v>21.398999999999997</v>
      </c>
      <c r="M37" s="46">
        <v>16.748000000000001</v>
      </c>
      <c r="N37" s="46">
        <v>16.625</v>
      </c>
      <c r="O37" s="46">
        <v>10.850999999999999</v>
      </c>
      <c r="P37" s="46">
        <v>21.164000000000001</v>
      </c>
      <c r="Q37" s="46">
        <v>11.275</v>
      </c>
      <c r="R37" s="46">
        <v>14.809000000000001</v>
      </c>
      <c r="S37" s="46">
        <v>16.411000000000001</v>
      </c>
      <c r="T37" s="10">
        <v>14.062000000000001</v>
      </c>
      <c r="U37" s="10">
        <v>2.5859999999999999</v>
      </c>
      <c r="V37" s="10">
        <v>12.474</v>
      </c>
      <c r="W37" s="10">
        <v>10.045</v>
      </c>
      <c r="X37" s="10">
        <v>10.805000000000001</v>
      </c>
      <c r="Y37" s="10">
        <v>21.332999999999998</v>
      </c>
      <c r="Z37" s="10">
        <v>4.8579999999999997</v>
      </c>
      <c r="AA37" s="10">
        <v>13.286000000000001</v>
      </c>
      <c r="AB37" s="10">
        <v>7.3239999999999998</v>
      </c>
      <c r="AC37" s="10">
        <v>10.962</v>
      </c>
      <c r="AD37" s="10">
        <v>16.262</v>
      </c>
      <c r="AE37" s="10">
        <v>8.4469999999999992</v>
      </c>
      <c r="AF37" s="10">
        <v>16.549999999999997</v>
      </c>
      <c r="AG37" s="10">
        <v>14.832000000000001</v>
      </c>
      <c r="AH37" s="10">
        <v>21.701000000000001</v>
      </c>
      <c r="AI37" s="10">
        <v>17.758999999999997</v>
      </c>
      <c r="AJ37" s="10">
        <v>19.586000000000002</v>
      </c>
      <c r="AK37" s="10">
        <v>12.46</v>
      </c>
      <c r="AL37" s="10">
        <v>11.026</v>
      </c>
      <c r="AM37" s="10">
        <v>19.147000000000002</v>
      </c>
      <c r="AN37" s="10">
        <v>17.423999999999999</v>
      </c>
      <c r="AO37" s="46">
        <f t="shared" si="0"/>
        <v>14.559812500000001</v>
      </c>
      <c r="AP37" s="7">
        <f t="shared" si="1"/>
        <v>14.559812500000001</v>
      </c>
    </row>
    <row r="38" spans="1:42" ht="15.6" x14ac:dyDescent="0.3">
      <c r="A38" s="5">
        <v>37</v>
      </c>
      <c r="B38" s="6" t="s">
        <v>9</v>
      </c>
      <c r="C38" s="12" t="s">
        <v>283</v>
      </c>
      <c r="D38" s="6" t="s">
        <v>128</v>
      </c>
      <c r="E38" s="6" t="s">
        <v>12</v>
      </c>
      <c r="F38" s="6" t="s">
        <v>13</v>
      </c>
      <c r="G38" s="6" t="s">
        <v>35</v>
      </c>
      <c r="H38" s="5">
        <v>11</v>
      </c>
      <c r="I38" s="74" t="s">
        <v>273</v>
      </c>
      <c r="J38" s="46">
        <v>87.875999999999991</v>
      </c>
      <c r="K38" s="46">
        <v>79.198000000000008</v>
      </c>
      <c r="L38" s="46">
        <v>157.94499999999999</v>
      </c>
      <c r="M38" s="46">
        <v>104.92099999999999</v>
      </c>
      <c r="N38" s="46">
        <v>81.835999999999999</v>
      </c>
      <c r="O38" s="46">
        <v>79.489999999999995</v>
      </c>
      <c r="P38" s="46">
        <v>72.617999999999995</v>
      </c>
      <c r="Q38" s="46">
        <v>81.199000000000012</v>
      </c>
      <c r="R38" s="46">
        <v>84.354000000000013</v>
      </c>
      <c r="S38" s="46">
        <v>78.228999999999985</v>
      </c>
      <c r="T38" s="10">
        <v>80.454000000000022</v>
      </c>
      <c r="U38" s="10">
        <v>45.640000000000008</v>
      </c>
      <c r="V38" s="10">
        <v>29.517000000000007</v>
      </c>
      <c r="W38" s="10">
        <v>28.561</v>
      </c>
      <c r="X38" s="10">
        <v>83.652000000000015</v>
      </c>
      <c r="Y38" s="10">
        <v>75.837000000000003</v>
      </c>
      <c r="Z38" s="10">
        <v>97.670999999999992</v>
      </c>
      <c r="AA38" s="10">
        <v>86.282999999999973</v>
      </c>
      <c r="AB38" s="10">
        <v>121.92500000000001</v>
      </c>
      <c r="AC38" s="10">
        <v>108.97200000000001</v>
      </c>
      <c r="AD38" s="10">
        <v>74.540000000000006</v>
      </c>
      <c r="AE38" s="10">
        <v>125.03100000000001</v>
      </c>
      <c r="AF38" s="10">
        <v>136.22799999999998</v>
      </c>
      <c r="AG38" s="10">
        <v>162.73500000000004</v>
      </c>
      <c r="AH38" s="10">
        <v>209.41800000000003</v>
      </c>
      <c r="AI38" s="10">
        <v>161.89000000000001</v>
      </c>
      <c r="AJ38" s="10">
        <v>184.35499999999996</v>
      </c>
      <c r="AK38" s="10">
        <v>160.47700000000003</v>
      </c>
      <c r="AL38" s="10">
        <v>173.01500000000007</v>
      </c>
      <c r="AM38" s="10">
        <v>211.51199999999997</v>
      </c>
      <c r="AN38" s="10">
        <v>196.03899999999999</v>
      </c>
      <c r="AO38" s="46">
        <f t="shared" si="0"/>
        <v>142.87050000000005</v>
      </c>
      <c r="AP38" s="7">
        <f t="shared" si="1"/>
        <v>12.988227272727277</v>
      </c>
    </row>
    <row r="39" spans="1:42" ht="15.6" x14ac:dyDescent="0.3">
      <c r="A39" s="5">
        <v>38</v>
      </c>
      <c r="B39" s="6" t="s">
        <v>9</v>
      </c>
      <c r="C39" s="12" t="s">
        <v>283</v>
      </c>
      <c r="D39" s="6" t="s">
        <v>128</v>
      </c>
      <c r="E39" s="6" t="s">
        <v>12</v>
      </c>
      <c r="F39" s="6" t="s">
        <v>124</v>
      </c>
      <c r="G39" s="6" t="s">
        <v>80</v>
      </c>
      <c r="H39" s="5">
        <v>1</v>
      </c>
      <c r="I39" s="74" t="s">
        <v>273</v>
      </c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10"/>
      <c r="U39" s="10"/>
      <c r="V39" s="10"/>
      <c r="W39" s="10"/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0</v>
      </c>
      <c r="AN39" s="46">
        <v>0</v>
      </c>
      <c r="AO39" s="46">
        <f t="shared" si="0"/>
        <v>0</v>
      </c>
      <c r="AP39" s="7">
        <f t="shared" si="1"/>
        <v>0</v>
      </c>
    </row>
    <row r="40" spans="1:42" ht="15.6" x14ac:dyDescent="0.3">
      <c r="A40" s="5">
        <v>39</v>
      </c>
      <c r="B40" s="6" t="s">
        <v>9</v>
      </c>
      <c r="C40" s="12" t="s">
        <v>318</v>
      </c>
      <c r="D40" s="6" t="s">
        <v>128</v>
      </c>
      <c r="E40" s="6" t="s">
        <v>12</v>
      </c>
      <c r="F40" s="6" t="s">
        <v>13</v>
      </c>
      <c r="G40" s="6" t="s">
        <v>35</v>
      </c>
      <c r="H40" s="5">
        <v>1</v>
      </c>
      <c r="I40" s="74" t="s">
        <v>272</v>
      </c>
      <c r="J40" s="46">
        <v>0</v>
      </c>
      <c r="K40" s="46">
        <v>0</v>
      </c>
      <c r="L40" s="46">
        <v>2.698</v>
      </c>
      <c r="M40" s="46">
        <v>0</v>
      </c>
      <c r="N40" s="45">
        <v>0</v>
      </c>
      <c r="O40" s="46">
        <v>0</v>
      </c>
      <c r="P40" s="45">
        <v>0</v>
      </c>
      <c r="Q40" s="46">
        <v>0</v>
      </c>
      <c r="R40" s="45">
        <v>0</v>
      </c>
      <c r="S40" s="46">
        <v>0</v>
      </c>
      <c r="T40" s="45">
        <v>0</v>
      </c>
      <c r="U40" s="45">
        <v>0</v>
      </c>
      <c r="V40" s="45">
        <v>0</v>
      </c>
      <c r="W40" s="46">
        <v>0</v>
      </c>
      <c r="X40" s="10">
        <v>2.504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6">
        <v>0</v>
      </c>
      <c r="AM40" s="10">
        <v>0.95099999999999996</v>
      </c>
      <c r="AN40" s="46">
        <v>0</v>
      </c>
      <c r="AO40" s="46">
        <f t="shared" si="0"/>
        <v>5.9437499999999997E-2</v>
      </c>
      <c r="AP40" s="7">
        <f t="shared" si="1"/>
        <v>5.9437499999999997E-2</v>
      </c>
    </row>
    <row r="41" spans="1:42" ht="15.6" x14ac:dyDescent="0.3">
      <c r="A41" s="5">
        <v>40</v>
      </c>
      <c r="B41" s="6" t="s">
        <v>9</v>
      </c>
      <c r="C41" s="12" t="s">
        <v>323</v>
      </c>
      <c r="D41" s="6" t="s">
        <v>128</v>
      </c>
      <c r="E41" s="6" t="s">
        <v>12</v>
      </c>
      <c r="F41" s="6" t="s">
        <v>13</v>
      </c>
      <c r="G41" s="6" t="s">
        <v>35</v>
      </c>
      <c r="H41" s="5">
        <v>6</v>
      </c>
      <c r="I41" s="74" t="s">
        <v>273</v>
      </c>
      <c r="J41" s="46">
        <v>47.499000000000002</v>
      </c>
      <c r="K41" s="46">
        <v>55.803999999999995</v>
      </c>
      <c r="L41" s="46">
        <v>40.106999999999999</v>
      </c>
      <c r="M41" s="46">
        <v>43.293999999999997</v>
      </c>
      <c r="N41" s="46">
        <v>90.724000000000018</v>
      </c>
      <c r="O41" s="46">
        <v>86.599000000000004</v>
      </c>
      <c r="P41" s="46">
        <v>107.49700000000001</v>
      </c>
      <c r="Q41" s="46">
        <v>119.15600000000002</v>
      </c>
      <c r="R41" s="46">
        <v>92.681000000000026</v>
      </c>
      <c r="S41" s="46">
        <v>79.084000000000003</v>
      </c>
      <c r="T41" s="10">
        <v>87.831000000000017</v>
      </c>
      <c r="U41" s="10">
        <v>65.493000000000009</v>
      </c>
      <c r="V41" s="10">
        <v>69.620999999999995</v>
      </c>
      <c r="W41" s="10">
        <v>64.704999999999998</v>
      </c>
      <c r="X41" s="10">
        <v>66.786000000000001</v>
      </c>
      <c r="Y41" s="10">
        <v>59.762999999999998</v>
      </c>
      <c r="Z41" s="10">
        <v>92.692000000000007</v>
      </c>
      <c r="AA41" s="10">
        <v>102.14399999999999</v>
      </c>
      <c r="AB41" s="10">
        <v>75.426000000000002</v>
      </c>
      <c r="AC41" s="10">
        <v>108.408</v>
      </c>
      <c r="AD41" s="10">
        <v>88.808999999999997</v>
      </c>
      <c r="AE41" s="10">
        <v>93.709000000000003</v>
      </c>
      <c r="AF41" s="10">
        <v>99.808000000000007</v>
      </c>
      <c r="AG41" s="10">
        <v>96.212000000000018</v>
      </c>
      <c r="AH41" s="10">
        <v>77.155000000000001</v>
      </c>
      <c r="AI41" s="10">
        <v>109.095</v>
      </c>
      <c r="AJ41" s="10">
        <v>103.74999999999999</v>
      </c>
      <c r="AK41" s="10">
        <v>84.635999999999996</v>
      </c>
      <c r="AL41" s="10">
        <v>71.870000000000019</v>
      </c>
      <c r="AM41" s="10">
        <v>65.206999999999979</v>
      </c>
      <c r="AN41" s="10">
        <v>44.156000000000006</v>
      </c>
      <c r="AO41" s="46">
        <f t="shared" si="0"/>
        <v>85.802499999999995</v>
      </c>
      <c r="AP41" s="7">
        <f t="shared" si="1"/>
        <v>14.300416666666665</v>
      </c>
    </row>
    <row r="42" spans="1:42" ht="15.6" x14ac:dyDescent="0.3">
      <c r="A42" s="5">
        <v>41</v>
      </c>
      <c r="B42" s="6" t="s">
        <v>9</v>
      </c>
      <c r="C42" s="12" t="s">
        <v>354</v>
      </c>
      <c r="D42" s="6" t="s">
        <v>128</v>
      </c>
      <c r="E42" s="6" t="s">
        <v>12</v>
      </c>
      <c r="F42" s="6" t="s">
        <v>13</v>
      </c>
      <c r="G42" s="6" t="s">
        <v>35</v>
      </c>
      <c r="H42" s="5">
        <v>13</v>
      </c>
      <c r="I42" s="74" t="s">
        <v>273</v>
      </c>
      <c r="J42" s="46">
        <v>102.71300000000001</v>
      </c>
      <c r="K42" s="46">
        <v>97.739000000000004</v>
      </c>
      <c r="L42" s="46">
        <v>133.976</v>
      </c>
      <c r="M42" s="46">
        <v>153.892</v>
      </c>
      <c r="N42" s="46">
        <v>136.60599999999997</v>
      </c>
      <c r="O42" s="46">
        <v>91.628999999999991</v>
      </c>
      <c r="P42" s="46">
        <v>112.111</v>
      </c>
      <c r="Q42" s="46">
        <v>127.19999999999999</v>
      </c>
      <c r="R42" s="46">
        <v>118.65600000000002</v>
      </c>
      <c r="S42" s="46">
        <v>111.86600000000001</v>
      </c>
      <c r="T42" s="10">
        <v>121.88600000000001</v>
      </c>
      <c r="U42" s="10">
        <v>44.180999999999997</v>
      </c>
      <c r="V42" s="10">
        <v>92.919000000000011</v>
      </c>
      <c r="W42" s="10">
        <v>53.007999999999996</v>
      </c>
      <c r="X42" s="10">
        <v>62.413000000000011</v>
      </c>
      <c r="Y42" s="10">
        <v>145.75700000000001</v>
      </c>
      <c r="Z42" s="10">
        <v>120.63999999999999</v>
      </c>
      <c r="AA42" s="10">
        <v>99.324000000000012</v>
      </c>
      <c r="AB42" s="10">
        <v>67.622</v>
      </c>
      <c r="AC42" s="10">
        <v>100.96300000000002</v>
      </c>
      <c r="AD42" s="10">
        <v>98.016999999999996</v>
      </c>
      <c r="AE42" s="10">
        <v>117.84499999999997</v>
      </c>
      <c r="AF42" s="10">
        <v>135.50900000000004</v>
      </c>
      <c r="AG42" s="10">
        <v>127.14299999999999</v>
      </c>
      <c r="AH42" s="10">
        <v>88.278999999999982</v>
      </c>
      <c r="AI42" s="10">
        <v>117.72700000000003</v>
      </c>
      <c r="AJ42" s="10">
        <v>115.40600000000001</v>
      </c>
      <c r="AK42" s="10">
        <v>89.638000000000005</v>
      </c>
      <c r="AL42" s="10">
        <v>96.257000000000005</v>
      </c>
      <c r="AM42" s="10">
        <v>108.327</v>
      </c>
      <c r="AN42" s="10">
        <v>117.29299999999999</v>
      </c>
      <c r="AO42" s="46">
        <f t="shared" si="0"/>
        <v>109.1091875</v>
      </c>
      <c r="AP42" s="7">
        <f t="shared" si="1"/>
        <v>8.3930144230769237</v>
      </c>
    </row>
    <row r="43" spans="1:42" ht="15.6" x14ac:dyDescent="0.3">
      <c r="A43" s="5">
        <v>42</v>
      </c>
      <c r="B43" s="6" t="s">
        <v>9</v>
      </c>
      <c r="C43" s="12" t="s">
        <v>357</v>
      </c>
      <c r="D43" s="6" t="s">
        <v>128</v>
      </c>
      <c r="E43" s="6" t="s">
        <v>12</v>
      </c>
      <c r="F43" s="6" t="s">
        <v>353</v>
      </c>
      <c r="G43" s="6" t="s">
        <v>35</v>
      </c>
      <c r="H43" s="5">
        <v>1</v>
      </c>
      <c r="I43" s="74" t="s">
        <v>272</v>
      </c>
      <c r="J43" s="46">
        <v>0</v>
      </c>
      <c r="K43" s="46">
        <v>0</v>
      </c>
      <c r="L43" s="46">
        <v>0</v>
      </c>
      <c r="M43" s="46">
        <v>0</v>
      </c>
      <c r="N43" s="45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10">
        <v>10.907999999999999</v>
      </c>
      <c r="U43" s="10">
        <v>2.6429999999999998</v>
      </c>
      <c r="V43" s="45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f t="shared" si="0"/>
        <v>0</v>
      </c>
      <c r="AP43" s="7">
        <f t="shared" si="1"/>
        <v>0</v>
      </c>
    </row>
    <row r="44" spans="1:42" ht="15.6" x14ac:dyDescent="0.3">
      <c r="A44" s="5">
        <v>43</v>
      </c>
      <c r="B44" s="6" t="s">
        <v>9</v>
      </c>
      <c r="C44" s="39" t="s">
        <v>366</v>
      </c>
      <c r="D44" s="6" t="s">
        <v>128</v>
      </c>
      <c r="E44" s="6" t="s">
        <v>12</v>
      </c>
      <c r="F44" s="6" t="s">
        <v>13</v>
      </c>
      <c r="G44" s="6" t="s">
        <v>35</v>
      </c>
      <c r="H44" s="5">
        <v>5</v>
      </c>
      <c r="I44" s="74" t="s">
        <v>273</v>
      </c>
      <c r="J44" s="46">
        <v>2.6909999999999998</v>
      </c>
      <c r="K44" s="46">
        <v>2.8439999999999999</v>
      </c>
      <c r="L44" s="46">
        <v>0</v>
      </c>
      <c r="M44" s="46">
        <v>7.04</v>
      </c>
      <c r="N44" s="46">
        <v>2.9390000000000001</v>
      </c>
      <c r="O44" s="46">
        <v>1.2469999999999999</v>
      </c>
      <c r="P44" s="46">
        <v>0</v>
      </c>
      <c r="Q44" s="46">
        <v>2.9159999999999999</v>
      </c>
      <c r="R44" s="46">
        <v>6.117</v>
      </c>
      <c r="S44" s="46">
        <v>5.7829999999999995</v>
      </c>
      <c r="T44" s="10">
        <v>0.78100000000000003</v>
      </c>
      <c r="U44" s="10">
        <v>5.7939999999999996</v>
      </c>
      <c r="V44" s="10">
        <v>2.8540000000000001</v>
      </c>
      <c r="W44" s="10">
        <v>1.925</v>
      </c>
      <c r="X44" s="10">
        <v>5.08</v>
      </c>
      <c r="Y44" s="10">
        <v>3.6980000000000004</v>
      </c>
      <c r="Z44" s="10">
        <v>12.372</v>
      </c>
      <c r="AA44" s="10">
        <v>10.748000000000001</v>
      </c>
      <c r="AB44" s="10">
        <v>6.7409999999999997</v>
      </c>
      <c r="AC44" s="10">
        <v>7.8149999999999995</v>
      </c>
      <c r="AD44" s="10">
        <v>5.7149999999999999</v>
      </c>
      <c r="AE44" s="10">
        <v>7.2899999999999991</v>
      </c>
      <c r="AF44" s="10">
        <v>4.8220000000000001</v>
      </c>
      <c r="AG44" s="10">
        <v>9.3529999999999998</v>
      </c>
      <c r="AH44" s="10">
        <v>10.581</v>
      </c>
      <c r="AI44" s="10">
        <v>1E-3</v>
      </c>
      <c r="AJ44" s="10">
        <v>4.2069999999999999</v>
      </c>
      <c r="AK44" s="10">
        <v>11.283999999999999</v>
      </c>
      <c r="AL44" s="10">
        <v>7.1219999999999999</v>
      </c>
      <c r="AM44" s="10">
        <v>3.528</v>
      </c>
      <c r="AN44" s="10">
        <v>3.6509999999999998</v>
      </c>
      <c r="AO44" s="46">
        <f t="shared" si="0"/>
        <v>6.8080000000000007</v>
      </c>
      <c r="AP44" s="7">
        <f t="shared" si="1"/>
        <v>1.3616000000000001</v>
      </c>
    </row>
    <row r="45" spans="1:42" ht="15.6" x14ac:dyDescent="0.3">
      <c r="A45" s="5">
        <v>44</v>
      </c>
      <c r="B45" s="6" t="s">
        <v>9</v>
      </c>
      <c r="C45" s="12" t="s">
        <v>403</v>
      </c>
      <c r="D45" s="6" t="s">
        <v>30</v>
      </c>
      <c r="E45" s="6" t="s">
        <v>12</v>
      </c>
      <c r="F45" s="6" t="s">
        <v>13</v>
      </c>
      <c r="G45" s="6" t="s">
        <v>35</v>
      </c>
      <c r="H45" s="5">
        <v>1</v>
      </c>
      <c r="I45" s="74" t="s">
        <v>273</v>
      </c>
      <c r="J45" s="46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5">
        <v>0</v>
      </c>
      <c r="U45" s="45">
        <v>0</v>
      </c>
      <c r="V45" s="45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f t="shared" si="0"/>
        <v>0</v>
      </c>
      <c r="AP45" s="7">
        <f t="shared" si="1"/>
        <v>0</v>
      </c>
    </row>
    <row r="46" spans="1:42" x14ac:dyDescent="0.3">
      <c r="A46" s="5">
        <v>45</v>
      </c>
      <c r="B46" s="6" t="s">
        <v>9</v>
      </c>
      <c r="C46" s="12" t="s">
        <v>404</v>
      </c>
      <c r="D46" s="6" t="s">
        <v>128</v>
      </c>
      <c r="E46" s="6" t="s">
        <v>12</v>
      </c>
      <c r="F46" s="6" t="s">
        <v>13</v>
      </c>
      <c r="G46" s="6" t="s">
        <v>35</v>
      </c>
      <c r="H46" s="5">
        <v>1</v>
      </c>
      <c r="I46" s="67" t="s">
        <v>160</v>
      </c>
      <c r="J46" s="46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5">
        <v>0</v>
      </c>
      <c r="U46" s="45">
        <v>0</v>
      </c>
      <c r="V46" s="45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f t="shared" si="0"/>
        <v>0</v>
      </c>
      <c r="AP46" s="7">
        <f t="shared" si="1"/>
        <v>0</v>
      </c>
    </row>
    <row r="47" spans="1:42" ht="15.6" x14ac:dyDescent="0.3">
      <c r="A47" s="5">
        <v>46</v>
      </c>
      <c r="B47" s="6" t="s">
        <v>9</v>
      </c>
      <c r="C47" s="12" t="s">
        <v>433</v>
      </c>
      <c r="D47" s="6" t="s">
        <v>30</v>
      </c>
      <c r="E47" s="6" t="s">
        <v>12</v>
      </c>
      <c r="F47" s="6" t="s">
        <v>13</v>
      </c>
      <c r="G47" s="6" t="s">
        <v>35</v>
      </c>
      <c r="H47" s="5">
        <v>1</v>
      </c>
      <c r="I47" s="74" t="s">
        <v>273</v>
      </c>
      <c r="J47" s="46">
        <v>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5">
        <v>0</v>
      </c>
      <c r="U47" s="45">
        <v>0</v>
      </c>
      <c r="V47" s="45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f t="shared" si="0"/>
        <v>0</v>
      </c>
      <c r="AP47" s="7">
        <f t="shared" si="1"/>
        <v>0</v>
      </c>
    </row>
    <row r="48" spans="1:42" ht="15.6" x14ac:dyDescent="0.3">
      <c r="A48" s="5">
        <v>47</v>
      </c>
      <c r="B48" s="6" t="s">
        <v>9</v>
      </c>
      <c r="C48" s="12" t="s">
        <v>434</v>
      </c>
      <c r="D48" s="6" t="s">
        <v>30</v>
      </c>
      <c r="E48" s="6" t="s">
        <v>12</v>
      </c>
      <c r="F48" s="6" t="s">
        <v>13</v>
      </c>
      <c r="G48" s="6" t="s">
        <v>35</v>
      </c>
      <c r="H48" s="5">
        <v>1</v>
      </c>
      <c r="I48" s="74" t="s">
        <v>273</v>
      </c>
      <c r="J48" s="46">
        <v>0</v>
      </c>
      <c r="K48" s="46">
        <v>0</v>
      </c>
      <c r="L48" s="46">
        <v>0</v>
      </c>
      <c r="M48" s="46">
        <v>0</v>
      </c>
      <c r="N48" s="46">
        <v>0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5">
        <v>0</v>
      </c>
      <c r="U48" s="45">
        <v>0</v>
      </c>
      <c r="V48" s="45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0</v>
      </c>
      <c r="AD48" s="46">
        <v>0</v>
      </c>
      <c r="AE48" s="46">
        <v>0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0</v>
      </c>
      <c r="AL48" s="46">
        <v>0</v>
      </c>
      <c r="AM48" s="46">
        <v>0</v>
      </c>
      <c r="AN48" s="46">
        <v>0</v>
      </c>
      <c r="AO48" s="46">
        <f t="shared" si="0"/>
        <v>0</v>
      </c>
      <c r="AP48" s="7">
        <f t="shared" si="1"/>
        <v>0</v>
      </c>
    </row>
    <row r="49" spans="1:42" x14ac:dyDescent="0.3">
      <c r="A49" s="5">
        <v>48</v>
      </c>
      <c r="B49" s="6" t="s">
        <v>9</v>
      </c>
      <c r="C49" t="s">
        <v>440</v>
      </c>
      <c r="D49" s="6" t="s">
        <v>128</v>
      </c>
      <c r="E49" s="6" t="s">
        <v>12</v>
      </c>
      <c r="F49" s="6" t="s">
        <v>441</v>
      </c>
      <c r="G49" s="6" t="s">
        <v>80</v>
      </c>
      <c r="H49" s="5">
        <v>2</v>
      </c>
      <c r="I49" s="67" t="s">
        <v>160</v>
      </c>
      <c r="J49" s="46">
        <v>217.34</v>
      </c>
      <c r="K49" s="46">
        <v>198.33500000000001</v>
      </c>
      <c r="L49" s="46">
        <v>163.43</v>
      </c>
      <c r="M49" s="46">
        <v>142.07799999999997</v>
      </c>
      <c r="N49" s="46">
        <v>172.12800000000001</v>
      </c>
      <c r="O49" s="46">
        <v>17.541</v>
      </c>
      <c r="P49" s="46">
        <v>96.268000000000001</v>
      </c>
      <c r="Q49" s="46">
        <v>198.09100000000001</v>
      </c>
      <c r="R49" s="46">
        <v>221.07100000000003</v>
      </c>
      <c r="S49" s="46">
        <v>148.44999999999999</v>
      </c>
      <c r="T49" s="10">
        <v>111.13700000000001</v>
      </c>
      <c r="U49" s="10">
        <v>17.125999999999998</v>
      </c>
      <c r="V49" s="10">
        <v>55.082000000000008</v>
      </c>
      <c r="W49" s="10">
        <v>110.27200000000001</v>
      </c>
      <c r="X49" s="10">
        <v>135.17500000000001</v>
      </c>
      <c r="Y49" s="10">
        <v>133.673</v>
      </c>
      <c r="Z49" s="10">
        <v>200.69400000000002</v>
      </c>
      <c r="AA49" s="10">
        <v>231.15499999999997</v>
      </c>
      <c r="AB49" s="10">
        <v>122.881</v>
      </c>
      <c r="AC49" s="46">
        <v>0</v>
      </c>
      <c r="AD49" s="10">
        <v>190.86599999999999</v>
      </c>
      <c r="AE49" s="10">
        <v>168.32300000000001</v>
      </c>
      <c r="AF49" s="10">
        <v>229.27199999999999</v>
      </c>
      <c r="AG49" s="10">
        <v>140.76600000000002</v>
      </c>
      <c r="AH49" s="10">
        <v>188.077</v>
      </c>
      <c r="AI49" s="10">
        <v>65.040999999999997</v>
      </c>
      <c r="AJ49" s="10">
        <v>22.341999999999999</v>
      </c>
      <c r="AK49" s="10">
        <v>134.09200000000001</v>
      </c>
      <c r="AL49" s="10">
        <v>214.94</v>
      </c>
      <c r="AM49" s="10">
        <v>132.12</v>
      </c>
      <c r="AN49" s="10">
        <v>78.567000000000007</v>
      </c>
      <c r="AO49" s="46">
        <f t="shared" si="0"/>
        <v>140.80056250000001</v>
      </c>
      <c r="AP49" s="7">
        <f t="shared" si="1"/>
        <v>70.400281250000006</v>
      </c>
    </row>
    <row r="50" spans="1:42" x14ac:dyDescent="0.3">
      <c r="A50" s="5">
        <v>49</v>
      </c>
      <c r="B50" s="6" t="s">
        <v>9</v>
      </c>
      <c r="C50" s="12" t="s">
        <v>455</v>
      </c>
      <c r="D50" s="6" t="s">
        <v>128</v>
      </c>
      <c r="E50" s="6" t="s">
        <v>12</v>
      </c>
      <c r="F50" s="6" t="s">
        <v>13</v>
      </c>
      <c r="G50" s="6" t="s">
        <v>35</v>
      </c>
      <c r="H50" s="5">
        <v>5</v>
      </c>
      <c r="I50" s="67" t="s">
        <v>160</v>
      </c>
      <c r="J50" s="46">
        <v>5.1110000000000007</v>
      </c>
      <c r="K50" s="46">
        <v>2.6909999999999998</v>
      </c>
      <c r="L50" s="46">
        <v>6.0020000000000007</v>
      </c>
      <c r="M50" s="46">
        <v>19.110000000000003</v>
      </c>
      <c r="N50" s="46">
        <v>8.3309999999999995</v>
      </c>
      <c r="O50" s="46">
        <v>16.914999999999999</v>
      </c>
      <c r="P50" s="46">
        <v>17.810000000000002</v>
      </c>
      <c r="Q50" s="46">
        <v>15.766999999999999</v>
      </c>
      <c r="R50" s="46">
        <v>6.09</v>
      </c>
      <c r="S50" s="46">
        <v>22.584</v>
      </c>
      <c r="T50" s="10">
        <v>12.754999999999999</v>
      </c>
      <c r="U50" s="10">
        <v>16.753</v>
      </c>
      <c r="V50" s="10">
        <v>3.2509999999999999</v>
      </c>
      <c r="W50" s="10">
        <v>3.0680000000000001</v>
      </c>
      <c r="X50" s="10">
        <v>5.4420000000000002</v>
      </c>
      <c r="Y50" s="10">
        <v>33.929000000000002</v>
      </c>
      <c r="Z50" s="10">
        <v>41.047999999999995</v>
      </c>
      <c r="AA50" s="10">
        <v>6.008</v>
      </c>
      <c r="AB50" s="10">
        <v>14.743</v>
      </c>
      <c r="AC50" s="10">
        <v>29.558999999999997</v>
      </c>
      <c r="AD50" s="10">
        <v>9.3990000000000009</v>
      </c>
      <c r="AE50" s="10">
        <v>2.9429999999999996</v>
      </c>
      <c r="AF50" s="10">
        <v>14.683</v>
      </c>
      <c r="AG50" s="10">
        <v>27.649000000000001</v>
      </c>
      <c r="AH50" s="10">
        <v>9.097999999999999</v>
      </c>
      <c r="AI50" s="10">
        <v>14.974000000000002</v>
      </c>
      <c r="AJ50" s="10">
        <v>20.326000000000001</v>
      </c>
      <c r="AK50" s="10">
        <v>15.202999999999999</v>
      </c>
      <c r="AL50" s="10">
        <v>7.995000000000001</v>
      </c>
      <c r="AM50" s="10">
        <v>45.027999999999999</v>
      </c>
      <c r="AN50" s="10">
        <v>14.981</v>
      </c>
      <c r="AO50" s="46">
        <f t="shared" si="0"/>
        <v>19.222874999999998</v>
      </c>
      <c r="AP50" s="7">
        <f t="shared" si="1"/>
        <v>3.8445749999999999</v>
      </c>
    </row>
    <row r="51" spans="1:42" x14ac:dyDescent="0.3">
      <c r="A51" s="5">
        <v>50</v>
      </c>
      <c r="B51" s="6" t="s">
        <v>9</v>
      </c>
      <c r="C51" s="12" t="s">
        <v>456</v>
      </c>
      <c r="D51" s="6" t="s">
        <v>128</v>
      </c>
      <c r="E51" s="6" t="s">
        <v>12</v>
      </c>
      <c r="F51" s="6" t="s">
        <v>13</v>
      </c>
      <c r="G51" s="6" t="s">
        <v>35</v>
      </c>
      <c r="H51" s="5">
        <v>2</v>
      </c>
      <c r="I51" s="67" t="s">
        <v>160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5">
        <v>0</v>
      </c>
      <c r="U51" s="45">
        <v>0</v>
      </c>
      <c r="V51" s="45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f t="shared" si="0"/>
        <v>0</v>
      </c>
      <c r="AP51" s="7">
        <f t="shared" si="1"/>
        <v>0</v>
      </c>
    </row>
    <row r="52" spans="1:42" x14ac:dyDescent="0.3">
      <c r="A52" s="5">
        <v>51</v>
      </c>
      <c r="B52" s="6" t="s">
        <v>9</v>
      </c>
      <c r="C52" s="12" t="s">
        <v>456</v>
      </c>
      <c r="D52" s="6" t="s">
        <v>128</v>
      </c>
      <c r="E52" s="6" t="s">
        <v>12</v>
      </c>
      <c r="F52" s="6" t="s">
        <v>353</v>
      </c>
      <c r="G52" s="6" t="s">
        <v>35</v>
      </c>
      <c r="H52" s="5">
        <v>2</v>
      </c>
      <c r="I52" s="67" t="s">
        <v>160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5">
        <v>0</v>
      </c>
      <c r="U52" s="45">
        <v>0</v>
      </c>
      <c r="V52" s="45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>
        <v>0</v>
      </c>
      <c r="AO52" s="46">
        <f t="shared" si="0"/>
        <v>0</v>
      </c>
      <c r="AP52" s="7">
        <f t="shared" si="1"/>
        <v>0</v>
      </c>
    </row>
    <row r="53" spans="1:42" x14ac:dyDescent="0.3">
      <c r="A53" s="5">
        <v>52</v>
      </c>
      <c r="B53" s="6" t="s">
        <v>9</v>
      </c>
      <c r="C53" s="12" t="s">
        <v>525</v>
      </c>
      <c r="D53" s="6" t="s">
        <v>128</v>
      </c>
      <c r="E53" s="6" t="s">
        <v>12</v>
      </c>
      <c r="F53" s="6" t="s">
        <v>524</v>
      </c>
      <c r="G53" s="6" t="s">
        <v>35</v>
      </c>
      <c r="H53" s="5">
        <v>1</v>
      </c>
      <c r="I53" s="67" t="s">
        <v>160</v>
      </c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5"/>
      <c r="U53" s="45"/>
      <c r="V53" s="45"/>
      <c r="W53" s="46"/>
      <c r="X53" s="46"/>
      <c r="Y53" s="46"/>
      <c r="Z53" s="10">
        <v>0.81899999999999995</v>
      </c>
      <c r="AA53" s="10">
        <v>1.3640000000000001</v>
      </c>
      <c r="AB53" s="10">
        <v>0</v>
      </c>
      <c r="AC53" s="46">
        <v>0</v>
      </c>
      <c r="AD53" s="46">
        <v>0</v>
      </c>
      <c r="AE53" s="46">
        <v>0</v>
      </c>
      <c r="AF53" s="46">
        <v>0</v>
      </c>
      <c r="AG53" s="10">
        <v>2.306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10">
        <v>1.633</v>
      </c>
      <c r="AN53" s="10">
        <v>1.6240000000000001</v>
      </c>
      <c r="AO53" s="46">
        <f t="shared" si="0"/>
        <v>0.51640000000000008</v>
      </c>
      <c r="AP53" s="7">
        <f t="shared" si="1"/>
        <v>0.51640000000000008</v>
      </c>
    </row>
    <row r="54" spans="1:42" x14ac:dyDescent="0.3">
      <c r="A54" s="5">
        <v>53</v>
      </c>
      <c r="B54" s="6" t="s">
        <v>9</v>
      </c>
      <c r="C54" s="12" t="s">
        <v>525</v>
      </c>
      <c r="D54" s="6" t="s">
        <v>128</v>
      </c>
      <c r="E54" s="6" t="s">
        <v>12</v>
      </c>
      <c r="F54" s="6" t="s">
        <v>135</v>
      </c>
      <c r="G54" s="6" t="s">
        <v>35</v>
      </c>
      <c r="H54" s="5">
        <v>1</v>
      </c>
      <c r="I54" s="67" t="s">
        <v>160</v>
      </c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5"/>
      <c r="U54" s="45"/>
      <c r="V54" s="45"/>
      <c r="W54" s="46"/>
      <c r="X54" s="46"/>
      <c r="Y54" s="46"/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10">
        <v>28.811999999999998</v>
      </c>
      <c r="AF54" s="10">
        <v>18.532999999999998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f t="shared" si="0"/>
        <v>3.1563333333333334</v>
      </c>
      <c r="AP54" s="7">
        <f t="shared" si="1"/>
        <v>3.1563333333333334</v>
      </c>
    </row>
    <row r="55" spans="1:42" x14ac:dyDescent="0.3">
      <c r="A55" s="5">
        <v>54</v>
      </c>
      <c r="B55" s="6" t="s">
        <v>9</v>
      </c>
      <c r="C55" s="12" t="s">
        <v>475</v>
      </c>
      <c r="D55" s="6" t="s">
        <v>128</v>
      </c>
      <c r="E55" s="6" t="s">
        <v>12</v>
      </c>
      <c r="F55" s="6" t="s">
        <v>13</v>
      </c>
      <c r="G55" s="6" t="s">
        <v>35</v>
      </c>
      <c r="H55" s="5">
        <v>8</v>
      </c>
      <c r="I55" s="67" t="s">
        <v>160</v>
      </c>
      <c r="J55" s="46">
        <v>71.908999999999992</v>
      </c>
      <c r="K55" s="46">
        <v>44.817</v>
      </c>
      <c r="L55" s="46">
        <v>65.545999999999992</v>
      </c>
      <c r="M55" s="46">
        <v>108.89900000000003</v>
      </c>
      <c r="N55" s="46">
        <v>90.472000000000008</v>
      </c>
      <c r="O55" s="46">
        <v>41.948</v>
      </c>
      <c r="P55" s="46">
        <v>157.90700000000004</v>
      </c>
      <c r="Q55" s="46">
        <v>82.100999999999999</v>
      </c>
      <c r="R55" s="46">
        <v>36.899000000000001</v>
      </c>
      <c r="S55" s="46">
        <v>58.315999999999995</v>
      </c>
      <c r="T55" s="10">
        <v>152.53000000000003</v>
      </c>
      <c r="U55" s="10">
        <v>37.760000000000005</v>
      </c>
      <c r="V55" s="10">
        <v>50.00500000000001</v>
      </c>
      <c r="W55" s="10">
        <v>40.844999999999999</v>
      </c>
      <c r="X55" s="10">
        <v>74.141999999999996</v>
      </c>
      <c r="Y55" s="10">
        <v>141.97200000000004</v>
      </c>
      <c r="Z55" s="10">
        <v>88.47399999999999</v>
      </c>
      <c r="AA55" s="10">
        <v>35.876999999999995</v>
      </c>
      <c r="AB55" s="10">
        <v>96.216000000000008</v>
      </c>
      <c r="AC55" s="10">
        <v>70.933999999999997</v>
      </c>
      <c r="AD55" s="10">
        <v>33.653000000000006</v>
      </c>
      <c r="AE55" s="10">
        <v>155.82500000000002</v>
      </c>
      <c r="AF55" s="10">
        <v>199.55700000000004</v>
      </c>
      <c r="AG55" s="10">
        <v>118.14900000000003</v>
      </c>
      <c r="AH55" s="10">
        <v>148.34100000000001</v>
      </c>
      <c r="AI55" s="10">
        <v>56.417000000000002</v>
      </c>
      <c r="AJ55" s="10">
        <v>104.41100000000002</v>
      </c>
      <c r="AK55" s="10">
        <v>88.718000000000004</v>
      </c>
      <c r="AL55" s="10">
        <v>131.90300000000002</v>
      </c>
      <c r="AM55" s="10">
        <v>155.17099999999999</v>
      </c>
      <c r="AN55" s="10">
        <v>96.718000000000004</v>
      </c>
      <c r="AO55" s="46">
        <f t="shared" si="0"/>
        <v>107.64600000000002</v>
      </c>
      <c r="AP55" s="7">
        <f t="shared" si="1"/>
        <v>13.455750000000002</v>
      </c>
    </row>
    <row r="56" spans="1:42" x14ac:dyDescent="0.3">
      <c r="A56" s="5">
        <v>55</v>
      </c>
      <c r="B56" s="6" t="s">
        <v>9</v>
      </c>
      <c r="C56" s="12" t="s">
        <v>484</v>
      </c>
      <c r="D56" s="6" t="s">
        <v>128</v>
      </c>
      <c r="E56" s="6" t="s">
        <v>12</v>
      </c>
      <c r="F56" s="6" t="s">
        <v>13</v>
      </c>
      <c r="G56" s="6" t="s">
        <v>35</v>
      </c>
      <c r="H56" s="5">
        <v>1</v>
      </c>
      <c r="I56" s="67" t="s">
        <v>160</v>
      </c>
      <c r="J56" s="46">
        <v>0.32600000000000001</v>
      </c>
      <c r="K56" s="46">
        <v>0</v>
      </c>
      <c r="L56" s="46">
        <v>0.17699999999999999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10">
        <v>2.7360000000000002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f t="shared" si="0"/>
        <v>0.17100000000000001</v>
      </c>
      <c r="AP56" s="7">
        <f t="shared" si="1"/>
        <v>0.17100000000000001</v>
      </c>
    </row>
    <row r="57" spans="1:42" x14ac:dyDescent="0.3">
      <c r="A57" s="5">
        <v>56</v>
      </c>
      <c r="B57" s="6" t="s">
        <v>498</v>
      </c>
      <c r="C57" s="12" t="s">
        <v>501</v>
      </c>
      <c r="D57" s="6" t="s">
        <v>128</v>
      </c>
      <c r="E57" s="6" t="s">
        <v>12</v>
      </c>
      <c r="F57" s="6" t="s">
        <v>255</v>
      </c>
      <c r="G57" s="6" t="s">
        <v>80</v>
      </c>
      <c r="H57" s="5">
        <v>1</v>
      </c>
      <c r="I57" s="67" t="s">
        <v>160</v>
      </c>
      <c r="J57" s="46">
        <v>2.21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v>0</v>
      </c>
      <c r="AO57" s="46">
        <f t="shared" si="0"/>
        <v>0</v>
      </c>
      <c r="AP57" s="7">
        <f t="shared" si="1"/>
        <v>0</v>
      </c>
    </row>
    <row r="58" spans="1:42" ht="15.6" x14ac:dyDescent="0.3">
      <c r="A58" s="5">
        <v>57</v>
      </c>
      <c r="B58" s="6" t="s">
        <v>9</v>
      </c>
      <c r="C58" s="12" t="s">
        <v>518</v>
      </c>
      <c r="D58" s="6" t="s">
        <v>128</v>
      </c>
      <c r="E58" s="6" t="s">
        <v>12</v>
      </c>
      <c r="F58" s="6" t="s">
        <v>13</v>
      </c>
      <c r="G58" s="6" t="s">
        <v>35</v>
      </c>
      <c r="H58" s="5">
        <v>1</v>
      </c>
      <c r="I58" s="74" t="s">
        <v>273</v>
      </c>
      <c r="J58" s="46"/>
      <c r="K58" s="46"/>
      <c r="L58" s="46"/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0</v>
      </c>
      <c r="AH58" s="46">
        <v>0</v>
      </c>
      <c r="AI58" s="46">
        <v>0</v>
      </c>
      <c r="AJ58" s="46">
        <v>0</v>
      </c>
      <c r="AK58" s="46">
        <v>0</v>
      </c>
      <c r="AL58" s="46">
        <v>0</v>
      </c>
      <c r="AM58" s="46">
        <v>0</v>
      </c>
      <c r="AN58" s="46">
        <v>0</v>
      </c>
      <c r="AO58" s="46">
        <f t="shared" si="0"/>
        <v>0</v>
      </c>
      <c r="AP58" s="7">
        <f t="shared" si="1"/>
        <v>0</v>
      </c>
    </row>
    <row r="59" spans="1:42" ht="15.6" x14ac:dyDescent="0.3">
      <c r="A59" s="5">
        <v>58</v>
      </c>
      <c r="B59" s="6" t="s">
        <v>9</v>
      </c>
      <c r="C59" s="12" t="s">
        <v>519</v>
      </c>
      <c r="D59" s="6" t="s">
        <v>128</v>
      </c>
      <c r="E59" s="6" t="s">
        <v>12</v>
      </c>
      <c r="F59" s="6" t="s">
        <v>13</v>
      </c>
      <c r="G59" s="6" t="s">
        <v>35</v>
      </c>
      <c r="H59" s="5">
        <v>10</v>
      </c>
      <c r="I59" s="74" t="s">
        <v>273</v>
      </c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>
        <v>0</v>
      </c>
      <c r="X59" s="10">
        <v>0.48</v>
      </c>
      <c r="Y59" s="46">
        <v>0</v>
      </c>
      <c r="Z59" s="10">
        <v>4.9589999999999996</v>
      </c>
      <c r="AA59" s="46">
        <v>0</v>
      </c>
      <c r="AB59" s="46">
        <v>0</v>
      </c>
      <c r="AC59" s="46">
        <v>0</v>
      </c>
      <c r="AD59" s="10">
        <v>1.974</v>
      </c>
      <c r="AE59" s="46">
        <v>0</v>
      </c>
      <c r="AF59" s="46">
        <v>0</v>
      </c>
      <c r="AG59" s="10">
        <v>4.6579999999999995</v>
      </c>
      <c r="AH59" s="10">
        <v>9.7149999999999999</v>
      </c>
      <c r="AI59" s="10">
        <v>2.52</v>
      </c>
      <c r="AJ59" s="10">
        <v>3.7640000000000002</v>
      </c>
      <c r="AK59" s="46">
        <v>0</v>
      </c>
      <c r="AL59" s="10">
        <v>8.3090000000000011</v>
      </c>
      <c r="AM59" s="10">
        <v>12.530000000000001</v>
      </c>
      <c r="AN59" s="10">
        <v>4.867</v>
      </c>
      <c r="AO59" s="46">
        <f t="shared" si="0"/>
        <v>3.331</v>
      </c>
      <c r="AP59" s="7">
        <f t="shared" si="1"/>
        <v>0.33310000000000001</v>
      </c>
    </row>
    <row r="60" spans="1:42" ht="15.6" x14ac:dyDescent="0.3">
      <c r="A60" s="5">
        <v>59</v>
      </c>
      <c r="B60" s="6" t="s">
        <v>9</v>
      </c>
      <c r="C60" s="12" t="s">
        <v>530</v>
      </c>
      <c r="D60" s="6" t="s">
        <v>128</v>
      </c>
      <c r="E60" s="6" t="s">
        <v>12</v>
      </c>
      <c r="F60" s="6" t="s">
        <v>13</v>
      </c>
      <c r="G60" s="6" t="s">
        <v>35</v>
      </c>
      <c r="H60" s="5">
        <v>2</v>
      </c>
      <c r="I60" s="74" t="s">
        <v>273</v>
      </c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10"/>
      <c r="Y60" s="46"/>
      <c r="Z60" s="10"/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10">
        <v>2.585</v>
      </c>
      <c r="AG60" s="10">
        <v>1.946</v>
      </c>
      <c r="AH60" s="46">
        <v>0</v>
      </c>
      <c r="AI60" s="10">
        <v>3.1669999999999998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f t="shared" si="0"/>
        <v>0.54985714285714282</v>
      </c>
      <c r="AP60" s="7">
        <f t="shared" si="1"/>
        <v>0.27492857142857141</v>
      </c>
    </row>
    <row r="61" spans="1:42" x14ac:dyDescent="0.3">
      <c r="A61" s="5">
        <v>60</v>
      </c>
      <c r="B61" s="6" t="s">
        <v>9</v>
      </c>
      <c r="C61" s="6" t="s">
        <v>93</v>
      </c>
      <c r="D61" s="6" t="s">
        <v>26</v>
      </c>
      <c r="E61" s="6" t="s">
        <v>19</v>
      </c>
      <c r="F61" s="6" t="s">
        <v>13</v>
      </c>
      <c r="G61" s="6" t="s">
        <v>14</v>
      </c>
      <c r="H61" s="5">
        <v>1</v>
      </c>
      <c r="I61" s="67" t="s">
        <v>160</v>
      </c>
      <c r="J61" s="46">
        <v>0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0</v>
      </c>
      <c r="AE61" s="46">
        <v>0</v>
      </c>
      <c r="AF61" s="46">
        <v>0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46">
        <v>0</v>
      </c>
      <c r="AM61" s="46">
        <v>0</v>
      </c>
      <c r="AN61" s="46">
        <v>0</v>
      </c>
      <c r="AO61" s="46">
        <f t="shared" si="0"/>
        <v>0</v>
      </c>
      <c r="AP61" s="7">
        <f t="shared" si="1"/>
        <v>0</v>
      </c>
    </row>
    <row r="62" spans="1:42" x14ac:dyDescent="0.3">
      <c r="A62" s="5">
        <v>61</v>
      </c>
      <c r="B62" s="6" t="s">
        <v>536</v>
      </c>
      <c r="C62" s="6" t="s">
        <v>534</v>
      </c>
      <c r="D62" s="6" t="s">
        <v>128</v>
      </c>
      <c r="E62" s="6" t="s">
        <v>12</v>
      </c>
      <c r="F62" s="6" t="s">
        <v>255</v>
      </c>
      <c r="G62" s="6" t="s">
        <v>80</v>
      </c>
      <c r="H62" s="5">
        <v>1</v>
      </c>
      <c r="I62" s="67" t="s">
        <v>160</v>
      </c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>
        <v>0</v>
      </c>
      <c r="AG62" s="46">
        <v>0</v>
      </c>
      <c r="AH62" s="10">
        <v>6.3760000000000003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v>0</v>
      </c>
      <c r="AO62" s="46">
        <f t="shared" si="0"/>
        <v>0.70844444444444443</v>
      </c>
      <c r="AP62" s="7">
        <f t="shared" si="1"/>
        <v>0.70844444444444443</v>
      </c>
    </row>
    <row r="63" spans="1:42" x14ac:dyDescent="0.3">
      <c r="A63" s="5">
        <v>62</v>
      </c>
      <c r="B63" s="6" t="s">
        <v>9</v>
      </c>
      <c r="C63" s="6" t="s">
        <v>27</v>
      </c>
      <c r="D63" s="6" t="s">
        <v>28</v>
      </c>
      <c r="E63" s="6" t="s">
        <v>19</v>
      </c>
      <c r="F63" s="6" t="s">
        <v>13</v>
      </c>
      <c r="G63" s="6" t="s">
        <v>14</v>
      </c>
      <c r="H63" s="5">
        <v>4</v>
      </c>
      <c r="I63" s="67" t="s">
        <v>160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46">
        <v>0</v>
      </c>
      <c r="AA63" s="46">
        <v>0</v>
      </c>
      <c r="AB63" s="46">
        <v>0</v>
      </c>
      <c r="AC63" s="60">
        <v>0</v>
      </c>
      <c r="AD63" s="60">
        <v>0</v>
      </c>
      <c r="AE63" s="46">
        <v>0</v>
      </c>
      <c r="AF63" s="46">
        <v>0</v>
      </c>
      <c r="AG63" s="46">
        <v>0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>
        <v>0</v>
      </c>
      <c r="AO63" s="46">
        <f t="shared" si="0"/>
        <v>0</v>
      </c>
      <c r="AP63" s="7">
        <f t="shared" si="1"/>
        <v>0</v>
      </c>
    </row>
    <row r="64" spans="1:42" x14ac:dyDescent="0.3">
      <c r="A64" s="5">
        <v>63</v>
      </c>
      <c r="B64" s="6" t="s">
        <v>9</v>
      </c>
      <c r="C64" s="6" t="s">
        <v>94</v>
      </c>
      <c r="D64" s="6" t="s">
        <v>32</v>
      </c>
      <c r="E64" s="6" t="s">
        <v>19</v>
      </c>
      <c r="F64" s="6" t="s">
        <v>13</v>
      </c>
      <c r="G64" s="6" t="s">
        <v>14</v>
      </c>
      <c r="H64" s="5">
        <v>2</v>
      </c>
      <c r="I64" s="67" t="s">
        <v>160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46">
        <v>0</v>
      </c>
      <c r="AA64" s="46">
        <v>0</v>
      </c>
      <c r="AB64" s="46">
        <v>0</v>
      </c>
      <c r="AC64" s="60">
        <v>0</v>
      </c>
      <c r="AD64" s="60">
        <v>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v>0</v>
      </c>
      <c r="AN64" s="46">
        <v>0</v>
      </c>
      <c r="AO64" s="46">
        <f t="shared" si="0"/>
        <v>0</v>
      </c>
      <c r="AP64" s="7">
        <f t="shared" si="1"/>
        <v>0</v>
      </c>
    </row>
    <row r="65" spans="1:42" ht="15.6" x14ac:dyDescent="0.3">
      <c r="A65" s="5">
        <v>64</v>
      </c>
      <c r="B65" s="6" t="s">
        <v>49</v>
      </c>
      <c r="C65" s="12" t="s">
        <v>388</v>
      </c>
      <c r="D65" s="6" t="s">
        <v>128</v>
      </c>
      <c r="E65" s="6" t="s">
        <v>12</v>
      </c>
      <c r="F65" s="6" t="s">
        <v>13</v>
      </c>
      <c r="G65" s="6" t="s">
        <v>35</v>
      </c>
      <c r="H65" s="5">
        <v>5</v>
      </c>
      <c r="I65" s="74" t="s">
        <v>273</v>
      </c>
      <c r="J65" s="46">
        <v>2.4660000000000002</v>
      </c>
      <c r="K65" s="46">
        <v>0</v>
      </c>
      <c r="L65" s="46">
        <v>7.9119999999999999</v>
      </c>
      <c r="M65" s="46">
        <v>9.1909999999999989</v>
      </c>
      <c r="N65" s="46">
        <v>2.1970000000000001</v>
      </c>
      <c r="O65" s="46">
        <v>6.73</v>
      </c>
      <c r="P65" s="46">
        <v>9.5459999999999994</v>
      </c>
      <c r="Q65" s="46">
        <v>13.806999999999999</v>
      </c>
      <c r="R65" s="46">
        <v>4.641</v>
      </c>
      <c r="S65" s="46">
        <v>20.747</v>
      </c>
      <c r="T65" s="10">
        <v>8.7859999999999996</v>
      </c>
      <c r="U65" s="60">
        <v>0</v>
      </c>
      <c r="V65" s="60">
        <v>0</v>
      </c>
      <c r="W65" s="10">
        <v>7.0780000000000003</v>
      </c>
      <c r="X65" s="10">
        <v>14.713000000000001</v>
      </c>
      <c r="Y65" s="10">
        <v>8.1340000000000003</v>
      </c>
      <c r="Z65" s="10">
        <v>13.763999999999999</v>
      </c>
      <c r="AA65" s="10">
        <v>6.4820000000000002</v>
      </c>
      <c r="AB65" s="10">
        <v>4.306</v>
      </c>
      <c r="AC65" s="10">
        <v>4.9379999999999997</v>
      </c>
      <c r="AD65" s="10">
        <v>4.6100000000000003</v>
      </c>
      <c r="AE65" s="10">
        <v>3.4660000000000002</v>
      </c>
      <c r="AF65" s="10">
        <v>25.542999999999999</v>
      </c>
      <c r="AG65" s="10">
        <v>12.829000000000001</v>
      </c>
      <c r="AH65" s="10">
        <v>6.4</v>
      </c>
      <c r="AI65" s="10">
        <v>12.327</v>
      </c>
      <c r="AJ65" s="46">
        <v>0</v>
      </c>
      <c r="AK65" s="10">
        <v>14.649999999999999</v>
      </c>
      <c r="AL65" s="10">
        <v>7.9979999999999993</v>
      </c>
      <c r="AM65" s="46">
        <v>0</v>
      </c>
      <c r="AN65" s="10">
        <v>8.6869999999999994</v>
      </c>
      <c r="AO65" s="46">
        <f t="shared" si="0"/>
        <v>8.3833750000000009</v>
      </c>
      <c r="AP65" s="7">
        <f t="shared" si="1"/>
        <v>1.6766750000000001</v>
      </c>
    </row>
    <row r="66" spans="1:42" ht="15.6" x14ac:dyDescent="0.3">
      <c r="A66" s="5">
        <v>65</v>
      </c>
      <c r="B66" s="6" t="s">
        <v>49</v>
      </c>
      <c r="C66" s="12" t="s">
        <v>389</v>
      </c>
      <c r="D66" s="6" t="s">
        <v>128</v>
      </c>
      <c r="E66" s="6" t="s">
        <v>12</v>
      </c>
      <c r="F66" s="6" t="s">
        <v>13</v>
      </c>
      <c r="G66" s="6" t="s">
        <v>35</v>
      </c>
      <c r="H66" s="5">
        <v>10</v>
      </c>
      <c r="I66" s="74" t="s">
        <v>273</v>
      </c>
      <c r="J66" s="46">
        <v>60.507000000000005</v>
      </c>
      <c r="K66" s="46">
        <v>68.583999999999989</v>
      </c>
      <c r="L66" s="46">
        <v>95.626000000000005</v>
      </c>
      <c r="M66" s="46">
        <v>105.28100000000001</v>
      </c>
      <c r="N66" s="46">
        <v>72.333999999999989</v>
      </c>
      <c r="O66" s="46">
        <v>78.055000000000007</v>
      </c>
      <c r="P66" s="46">
        <v>44.69</v>
      </c>
      <c r="Q66" s="46">
        <v>89.927999999999997</v>
      </c>
      <c r="R66" s="46">
        <v>74.661000000000001</v>
      </c>
      <c r="S66" s="46">
        <v>98.38000000000001</v>
      </c>
      <c r="T66" s="10">
        <v>74.433999999999997</v>
      </c>
      <c r="U66" s="10">
        <v>45.600000000000009</v>
      </c>
      <c r="V66" s="10">
        <v>71.22499999999998</v>
      </c>
      <c r="W66" s="10">
        <v>68.426999999999992</v>
      </c>
      <c r="X66" s="10">
        <v>67.638999999999996</v>
      </c>
      <c r="Y66" s="10">
        <v>94.978999999999999</v>
      </c>
      <c r="Z66" s="10">
        <v>84.073999999999998</v>
      </c>
      <c r="AA66" s="10">
        <v>82.160000000000011</v>
      </c>
      <c r="AB66" s="10">
        <v>76.19</v>
      </c>
      <c r="AC66" s="10">
        <v>84.934999999999988</v>
      </c>
      <c r="AD66" s="10">
        <v>77.535999999999987</v>
      </c>
      <c r="AE66" s="10">
        <v>88.248999999999995</v>
      </c>
      <c r="AF66" s="10">
        <v>85.448000000000008</v>
      </c>
      <c r="AG66" s="10">
        <v>73.308999999999997</v>
      </c>
      <c r="AH66" s="10">
        <v>74.271000000000001</v>
      </c>
      <c r="AI66" s="10">
        <v>82.194999999999979</v>
      </c>
      <c r="AJ66" s="10">
        <v>105.65</v>
      </c>
      <c r="AK66" s="10">
        <v>76.367000000000004</v>
      </c>
      <c r="AL66" s="10">
        <v>58.478999999999999</v>
      </c>
      <c r="AM66" s="10">
        <v>100.542</v>
      </c>
      <c r="AN66" s="10">
        <v>106.95599999999999</v>
      </c>
      <c r="AO66" s="46">
        <f t="shared" si="0"/>
        <v>84.458749999999981</v>
      </c>
      <c r="AP66" s="7">
        <f t="shared" si="1"/>
        <v>8.4458749999999974</v>
      </c>
    </row>
    <row r="67" spans="1:42" ht="15.6" x14ac:dyDescent="0.3">
      <c r="A67" s="5">
        <v>66</v>
      </c>
      <c r="B67" s="6" t="s">
        <v>52</v>
      </c>
      <c r="C67" s="12" t="s">
        <v>390</v>
      </c>
      <c r="D67" s="6" t="s">
        <v>128</v>
      </c>
      <c r="E67" s="6" t="s">
        <v>12</v>
      </c>
      <c r="F67" s="6" t="s">
        <v>13</v>
      </c>
      <c r="G67" s="6" t="s">
        <v>35</v>
      </c>
      <c r="H67" s="5">
        <v>3</v>
      </c>
      <c r="I67" s="74" t="s">
        <v>273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60">
        <v>0</v>
      </c>
      <c r="U67" s="60">
        <v>0</v>
      </c>
      <c r="V67" s="60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f t="shared" ref="AO67:AO129" si="2">AVERAGE(Y67:AN67)</f>
        <v>0</v>
      </c>
      <c r="AP67" s="7">
        <f t="shared" ref="AP67:AP129" si="3">AO67/H67</f>
        <v>0</v>
      </c>
    </row>
    <row r="68" spans="1:42" ht="15.6" x14ac:dyDescent="0.3">
      <c r="A68" s="5">
        <v>67</v>
      </c>
      <c r="B68" s="6" t="s">
        <v>52</v>
      </c>
      <c r="C68" s="12" t="s">
        <v>212</v>
      </c>
      <c r="D68" s="6" t="s">
        <v>128</v>
      </c>
      <c r="E68" s="6" t="s">
        <v>12</v>
      </c>
      <c r="F68" s="6" t="s">
        <v>13</v>
      </c>
      <c r="G68" s="6" t="s">
        <v>35</v>
      </c>
      <c r="H68" s="5">
        <v>7</v>
      </c>
      <c r="I68" s="74" t="s">
        <v>273</v>
      </c>
      <c r="J68" s="46">
        <v>93.259000000000015</v>
      </c>
      <c r="K68" s="46">
        <v>124.342</v>
      </c>
      <c r="L68" s="46">
        <v>110.706</v>
      </c>
      <c r="M68" s="46">
        <v>102.03899999999999</v>
      </c>
      <c r="N68" s="46">
        <v>120.87299999999999</v>
      </c>
      <c r="O68" s="46">
        <v>104.08899999999998</v>
      </c>
      <c r="P68" s="46">
        <v>105.285</v>
      </c>
      <c r="Q68" s="46">
        <v>119.37699999999998</v>
      </c>
      <c r="R68" s="46">
        <v>110.44</v>
      </c>
      <c r="S68" s="46">
        <v>132.38199999999998</v>
      </c>
      <c r="T68" s="10">
        <v>98.295000000000002</v>
      </c>
      <c r="U68" s="10">
        <v>60.556000000000004</v>
      </c>
      <c r="V68" s="10">
        <v>85.909000000000006</v>
      </c>
      <c r="W68" s="10">
        <v>67.647000000000006</v>
      </c>
      <c r="X68" s="10">
        <v>114.69</v>
      </c>
      <c r="Y68" s="10">
        <v>121.15100000000002</v>
      </c>
      <c r="Z68" s="10">
        <v>81.348000000000013</v>
      </c>
      <c r="AA68" s="10">
        <v>109.01800000000001</v>
      </c>
      <c r="AB68" s="10">
        <v>80.899000000000001</v>
      </c>
      <c r="AC68" s="10">
        <v>94.311999999999983</v>
      </c>
      <c r="AD68" s="10">
        <v>120.00600000000001</v>
      </c>
      <c r="AE68" s="10">
        <v>108.90900000000001</v>
      </c>
      <c r="AF68" s="10">
        <v>109.19999999999999</v>
      </c>
      <c r="AG68" s="10">
        <v>95.854000000000013</v>
      </c>
      <c r="AH68" s="10">
        <v>116.84900000000002</v>
      </c>
      <c r="AI68" s="10">
        <v>103.67699999999999</v>
      </c>
      <c r="AJ68" s="10">
        <v>99.370000000000019</v>
      </c>
      <c r="AK68" s="10">
        <v>107.08900000000001</v>
      </c>
      <c r="AL68" s="10">
        <v>128.45099999999999</v>
      </c>
      <c r="AM68" s="10">
        <v>114.72900000000001</v>
      </c>
      <c r="AN68" s="10">
        <v>69.941000000000003</v>
      </c>
      <c r="AO68" s="46">
        <f t="shared" si="2"/>
        <v>103.80018750000001</v>
      </c>
      <c r="AP68" s="7">
        <f t="shared" si="3"/>
        <v>14.828598214285716</v>
      </c>
    </row>
    <row r="69" spans="1:42" ht="15.6" x14ac:dyDescent="0.3">
      <c r="A69" s="5">
        <v>68</v>
      </c>
      <c r="B69" s="6" t="s">
        <v>134</v>
      </c>
      <c r="C69" s="6" t="s">
        <v>504</v>
      </c>
      <c r="D69" s="6" t="s">
        <v>128</v>
      </c>
      <c r="E69" s="6" t="s">
        <v>12</v>
      </c>
      <c r="F69" s="6" t="s">
        <v>13</v>
      </c>
      <c r="G69" s="6" t="s">
        <v>35</v>
      </c>
      <c r="H69" s="5">
        <v>7</v>
      </c>
      <c r="I69" s="74" t="s">
        <v>273</v>
      </c>
      <c r="J69" s="46">
        <v>0</v>
      </c>
      <c r="K69" s="46">
        <v>98.739000000000004</v>
      </c>
      <c r="L69" s="46">
        <v>44.350999999999992</v>
      </c>
      <c r="M69" s="46">
        <v>52.42</v>
      </c>
      <c r="N69" s="46">
        <v>62.845999999999997</v>
      </c>
      <c r="O69" s="46">
        <v>70.605999999999995</v>
      </c>
      <c r="P69" s="46">
        <v>54.041999999999994</v>
      </c>
      <c r="Q69" s="46">
        <v>55.117999999999988</v>
      </c>
      <c r="R69" s="46">
        <v>40.300000000000004</v>
      </c>
      <c r="S69" s="46">
        <v>43.088000000000001</v>
      </c>
      <c r="T69" s="10">
        <v>72.59899999999999</v>
      </c>
      <c r="U69" s="10">
        <v>26.632999999999999</v>
      </c>
      <c r="V69" s="10">
        <v>37.112000000000002</v>
      </c>
      <c r="W69" s="10">
        <v>51.442000000000007</v>
      </c>
      <c r="X69" s="10">
        <v>63.027999999999999</v>
      </c>
      <c r="Y69" s="10">
        <v>54.933</v>
      </c>
      <c r="Z69" s="10">
        <v>61.384999999999998</v>
      </c>
      <c r="AA69" s="10">
        <v>44.853000000000002</v>
      </c>
      <c r="AB69" s="10">
        <v>43.519000000000005</v>
      </c>
      <c r="AC69" s="10">
        <v>47.311</v>
      </c>
      <c r="AD69" s="10">
        <v>36.447000000000003</v>
      </c>
      <c r="AE69" s="10">
        <v>38.463999999999999</v>
      </c>
      <c r="AF69" s="10">
        <v>56.414000000000001</v>
      </c>
      <c r="AG69" s="10">
        <v>39.302</v>
      </c>
      <c r="AH69" s="10">
        <v>47.939</v>
      </c>
      <c r="AI69" s="10">
        <v>70.030999999999992</v>
      </c>
      <c r="AJ69" s="10">
        <v>38.891000000000005</v>
      </c>
      <c r="AK69" s="10">
        <v>54.920999999999999</v>
      </c>
      <c r="AL69" s="10">
        <v>26.713000000000001</v>
      </c>
      <c r="AM69" s="10">
        <v>35.471000000000004</v>
      </c>
      <c r="AN69" s="10">
        <v>48.195</v>
      </c>
      <c r="AO69" s="46">
        <f t="shared" si="2"/>
        <v>46.549312499999999</v>
      </c>
      <c r="AP69" s="7">
        <f t="shared" si="3"/>
        <v>6.6499017857142855</v>
      </c>
    </row>
    <row r="70" spans="1:42" ht="15.6" x14ac:dyDescent="0.3">
      <c r="A70" s="5">
        <v>69</v>
      </c>
      <c r="B70" s="12" t="s">
        <v>246</v>
      </c>
      <c r="C70" s="12" t="s">
        <v>247</v>
      </c>
      <c r="D70" s="6" t="s">
        <v>128</v>
      </c>
      <c r="E70" s="6" t="s">
        <v>12</v>
      </c>
      <c r="F70" s="6" t="s">
        <v>13</v>
      </c>
      <c r="G70" s="6" t="s">
        <v>35</v>
      </c>
      <c r="H70" s="5">
        <v>5</v>
      </c>
      <c r="I70" s="74" t="s">
        <v>273</v>
      </c>
      <c r="J70" s="46">
        <v>35.565999999999995</v>
      </c>
      <c r="K70" s="46">
        <v>20.564</v>
      </c>
      <c r="L70" s="46">
        <v>30.068999999999999</v>
      </c>
      <c r="M70" s="46">
        <v>17.898</v>
      </c>
      <c r="N70" s="46">
        <v>38.399000000000001</v>
      </c>
      <c r="O70" s="46">
        <v>29.337999999999997</v>
      </c>
      <c r="P70" s="46">
        <v>21.631999999999998</v>
      </c>
      <c r="Q70" s="46">
        <v>33.461999999999996</v>
      </c>
      <c r="R70" s="46">
        <v>21.302000000000003</v>
      </c>
      <c r="S70" s="46">
        <v>22.514000000000003</v>
      </c>
      <c r="T70" s="10">
        <v>27.140999999999998</v>
      </c>
      <c r="U70" s="10">
        <v>32.411999999999999</v>
      </c>
      <c r="V70" s="10">
        <v>22.960999999999999</v>
      </c>
      <c r="W70" s="10">
        <v>19.866</v>
      </c>
      <c r="X70" s="10">
        <v>20.733000000000001</v>
      </c>
      <c r="Y70" s="10">
        <v>36.22</v>
      </c>
      <c r="Z70" s="10">
        <v>39.230999999999995</v>
      </c>
      <c r="AA70" s="10">
        <v>29.168999999999997</v>
      </c>
      <c r="AB70" s="10">
        <v>9.3529999999999998</v>
      </c>
      <c r="AC70" s="10">
        <v>46.082999999999998</v>
      </c>
      <c r="AD70" s="10">
        <v>19.785999999999998</v>
      </c>
      <c r="AE70" s="10">
        <v>37.418000000000006</v>
      </c>
      <c r="AF70" s="10">
        <v>31.581</v>
      </c>
      <c r="AG70" s="10">
        <v>28.065000000000001</v>
      </c>
      <c r="AH70" s="10">
        <v>20.603000000000002</v>
      </c>
      <c r="AI70" s="10">
        <v>43.762</v>
      </c>
      <c r="AJ70" s="10">
        <v>18.245000000000001</v>
      </c>
      <c r="AK70" s="10">
        <v>27.412999999999997</v>
      </c>
      <c r="AL70" s="10">
        <v>38.120000000000005</v>
      </c>
      <c r="AM70" s="10">
        <v>35.832999999999998</v>
      </c>
      <c r="AN70" s="10">
        <v>28.995999999999999</v>
      </c>
      <c r="AO70" s="46">
        <f t="shared" si="2"/>
        <v>30.617375000000003</v>
      </c>
      <c r="AP70" s="7">
        <f t="shared" si="3"/>
        <v>6.1234750000000009</v>
      </c>
    </row>
    <row r="71" spans="1:42" ht="15.6" x14ac:dyDescent="0.3">
      <c r="A71" s="5">
        <v>70</v>
      </c>
      <c r="B71" s="6" t="s">
        <v>58</v>
      </c>
      <c r="C71" s="12" t="s">
        <v>213</v>
      </c>
      <c r="D71" s="6" t="s">
        <v>61</v>
      </c>
      <c r="E71" s="6" t="s">
        <v>12</v>
      </c>
      <c r="F71" s="6" t="s">
        <v>13</v>
      </c>
      <c r="G71" s="6" t="s">
        <v>35</v>
      </c>
      <c r="H71" s="5">
        <v>4</v>
      </c>
      <c r="I71" s="74" t="s">
        <v>273</v>
      </c>
      <c r="J71" s="46">
        <v>89.583000000000013</v>
      </c>
      <c r="K71" s="46">
        <v>82.271000000000001</v>
      </c>
      <c r="L71" s="46">
        <v>82.548000000000002</v>
      </c>
      <c r="M71" s="46">
        <v>93.088000000000008</v>
      </c>
      <c r="N71" s="46">
        <v>97.110000000000028</v>
      </c>
      <c r="O71" s="46">
        <v>91.463999999999999</v>
      </c>
      <c r="P71" s="46">
        <v>80.73899999999999</v>
      </c>
      <c r="Q71" s="46">
        <v>70.181999999999988</v>
      </c>
      <c r="R71" s="46">
        <v>90.236000000000004</v>
      </c>
      <c r="S71" s="46">
        <v>80.772999999999996</v>
      </c>
      <c r="T71" s="10">
        <v>48.75200000000001</v>
      </c>
      <c r="U71" s="10">
        <v>50.966999999999999</v>
      </c>
      <c r="V71" s="10">
        <v>54.061999999999991</v>
      </c>
      <c r="W71" s="10">
        <v>54.527999999999999</v>
      </c>
      <c r="X71" s="10">
        <v>81.724000000000004</v>
      </c>
      <c r="Y71" s="10">
        <v>94.228000000000023</v>
      </c>
      <c r="Z71" s="10">
        <v>81.105000000000004</v>
      </c>
      <c r="AA71" s="10">
        <v>81.016999999999996</v>
      </c>
      <c r="AB71" s="10">
        <v>83.517999999999986</v>
      </c>
      <c r="AC71" s="10">
        <v>88.843999999999994</v>
      </c>
      <c r="AD71" s="10">
        <v>81.227000000000004</v>
      </c>
      <c r="AE71" s="10">
        <v>80.200999999999993</v>
      </c>
      <c r="AF71" s="10">
        <v>93.081999999999994</v>
      </c>
      <c r="AG71" s="10">
        <v>88.36999999999999</v>
      </c>
      <c r="AH71" s="10">
        <v>68.329000000000008</v>
      </c>
      <c r="AI71" s="10">
        <v>83.13000000000001</v>
      </c>
      <c r="AJ71" s="10">
        <v>76.787999999999997</v>
      </c>
      <c r="AK71" s="10">
        <v>101.15600000000001</v>
      </c>
      <c r="AL71" s="10">
        <v>77.816999999999993</v>
      </c>
      <c r="AM71" s="10">
        <v>106.477</v>
      </c>
      <c r="AN71" s="10">
        <v>82.549000000000007</v>
      </c>
      <c r="AO71" s="46">
        <f t="shared" si="2"/>
        <v>85.489875000000012</v>
      </c>
      <c r="AP71" s="7">
        <f t="shared" si="3"/>
        <v>21.372468750000003</v>
      </c>
    </row>
    <row r="72" spans="1:42" ht="15.6" x14ac:dyDescent="0.3">
      <c r="A72" s="5">
        <v>71</v>
      </c>
      <c r="B72" s="6" t="s">
        <v>58</v>
      </c>
      <c r="C72" s="12" t="s">
        <v>214</v>
      </c>
      <c r="D72" s="6" t="s">
        <v>61</v>
      </c>
      <c r="E72" s="6" t="s">
        <v>12</v>
      </c>
      <c r="F72" s="6" t="s">
        <v>13</v>
      </c>
      <c r="G72" s="6" t="s">
        <v>35</v>
      </c>
      <c r="H72" s="5">
        <v>9</v>
      </c>
      <c r="I72" s="74" t="s">
        <v>273</v>
      </c>
      <c r="J72" s="46">
        <v>191.31900000000002</v>
      </c>
      <c r="K72" s="46">
        <v>162.93800000000002</v>
      </c>
      <c r="L72" s="46">
        <v>134.86500000000001</v>
      </c>
      <c r="M72" s="46">
        <v>190.547</v>
      </c>
      <c r="N72" s="46">
        <v>155.43099999999995</v>
      </c>
      <c r="O72" s="46">
        <v>139.14499999999998</v>
      </c>
      <c r="P72" s="46">
        <v>146.98099999999999</v>
      </c>
      <c r="Q72" s="46">
        <v>190.49500000000003</v>
      </c>
      <c r="R72" s="46">
        <v>182.63499999999996</v>
      </c>
      <c r="S72" s="46">
        <v>139.75300000000001</v>
      </c>
      <c r="T72" s="10">
        <v>112.45800000000001</v>
      </c>
      <c r="U72" s="10">
        <v>76.742999999999995</v>
      </c>
      <c r="V72" s="10">
        <v>49.191000000000003</v>
      </c>
      <c r="W72" s="10">
        <v>70.890000000000015</v>
      </c>
      <c r="X72" s="10">
        <v>116.42800000000001</v>
      </c>
      <c r="Y72" s="10">
        <v>105.97799999999998</v>
      </c>
      <c r="Z72" s="10">
        <v>134.21699999999998</v>
      </c>
      <c r="AA72" s="10">
        <v>103.27200000000001</v>
      </c>
      <c r="AB72" s="10">
        <v>110.264</v>
      </c>
      <c r="AC72" s="10">
        <v>153.542</v>
      </c>
      <c r="AD72" s="10">
        <v>140.00899999999999</v>
      </c>
      <c r="AE72" s="10">
        <v>99.165000000000006</v>
      </c>
      <c r="AF72" s="10">
        <v>140.36200000000005</v>
      </c>
      <c r="AG72" s="10">
        <v>133.03899999999999</v>
      </c>
      <c r="AH72" s="10">
        <v>143.23100000000002</v>
      </c>
      <c r="AI72" s="10">
        <v>151.63900000000001</v>
      </c>
      <c r="AJ72" s="10">
        <v>122.20399999999999</v>
      </c>
      <c r="AK72" s="10">
        <v>82.882999999999996</v>
      </c>
      <c r="AL72" s="10">
        <v>165.5390000000001</v>
      </c>
      <c r="AM72" s="10">
        <v>139.39399999999998</v>
      </c>
      <c r="AN72" s="10">
        <v>135.57399999999998</v>
      </c>
      <c r="AO72" s="46">
        <f t="shared" si="2"/>
        <v>128.76949999999999</v>
      </c>
      <c r="AP72" s="7">
        <f t="shared" si="3"/>
        <v>14.307722222222221</v>
      </c>
    </row>
    <row r="73" spans="1:42" ht="15.6" x14ac:dyDescent="0.3">
      <c r="A73" s="5">
        <v>72</v>
      </c>
      <c r="B73" s="6" t="s">
        <v>58</v>
      </c>
      <c r="C73" s="12" t="s">
        <v>392</v>
      </c>
      <c r="D73" s="6" t="s">
        <v>63</v>
      </c>
      <c r="E73" s="6" t="s">
        <v>19</v>
      </c>
      <c r="F73" s="6" t="s">
        <v>13</v>
      </c>
      <c r="G73" s="12" t="s">
        <v>35</v>
      </c>
      <c r="H73" s="5">
        <v>8</v>
      </c>
      <c r="I73" s="74" t="s">
        <v>273</v>
      </c>
      <c r="J73" s="46">
        <v>42.359999999999992</v>
      </c>
      <c r="K73" s="46">
        <v>41.665999999999997</v>
      </c>
      <c r="L73" s="46">
        <v>25.044999999999998</v>
      </c>
      <c r="M73" s="46">
        <v>35.593000000000004</v>
      </c>
      <c r="N73" s="46">
        <v>19.643999999999998</v>
      </c>
      <c r="O73" s="46">
        <v>42.287000000000006</v>
      </c>
      <c r="P73" s="46">
        <v>11.56</v>
      </c>
      <c r="Q73" s="46">
        <v>22.385000000000002</v>
      </c>
      <c r="R73" s="46">
        <v>44.198999999999998</v>
      </c>
      <c r="S73" s="46">
        <v>15.515999999999998</v>
      </c>
      <c r="T73" s="10">
        <v>28.962999999999997</v>
      </c>
      <c r="U73" s="10">
        <v>19.974000000000004</v>
      </c>
      <c r="V73" s="10">
        <v>23.28</v>
      </c>
      <c r="W73" s="10">
        <v>32.510999999999996</v>
      </c>
      <c r="X73" s="10">
        <v>56.677</v>
      </c>
      <c r="Y73" s="10">
        <v>27.008000000000003</v>
      </c>
      <c r="Z73" s="10">
        <v>60.033999999999999</v>
      </c>
      <c r="AA73" s="10">
        <v>39.024999999999999</v>
      </c>
      <c r="AB73" s="10">
        <v>47.998000000000005</v>
      </c>
      <c r="AC73" s="10">
        <v>35.567999999999998</v>
      </c>
      <c r="AD73" s="10">
        <v>23.530999999999999</v>
      </c>
      <c r="AE73" s="10">
        <v>38.103000000000009</v>
      </c>
      <c r="AF73" s="10">
        <v>74.594999999999999</v>
      </c>
      <c r="AG73" s="10">
        <v>40.53</v>
      </c>
      <c r="AH73" s="10">
        <v>52.056999999999995</v>
      </c>
      <c r="AI73" s="10">
        <v>23.554000000000002</v>
      </c>
      <c r="AJ73" s="10">
        <v>64.798999999999992</v>
      </c>
      <c r="AK73" s="10">
        <v>38.072000000000003</v>
      </c>
      <c r="AL73" s="10">
        <v>23.536999999999999</v>
      </c>
      <c r="AM73" s="10">
        <v>16.907</v>
      </c>
      <c r="AN73" s="10">
        <v>21.551000000000002</v>
      </c>
      <c r="AO73" s="46">
        <f t="shared" si="2"/>
        <v>39.179312500000002</v>
      </c>
      <c r="AP73" s="7">
        <f t="shared" si="3"/>
        <v>4.8974140625000002</v>
      </c>
    </row>
    <row r="74" spans="1:42" ht="15" customHeight="1" x14ac:dyDescent="0.3">
      <c r="A74" s="5">
        <v>73</v>
      </c>
      <c r="B74" s="6" t="s">
        <v>58</v>
      </c>
      <c r="C74" s="12" t="s">
        <v>392</v>
      </c>
      <c r="D74" s="6" t="s">
        <v>63</v>
      </c>
      <c r="E74" s="6" t="s">
        <v>19</v>
      </c>
      <c r="F74" s="6" t="s">
        <v>64</v>
      </c>
      <c r="G74" s="6" t="s">
        <v>80</v>
      </c>
      <c r="H74" s="5">
        <v>1</v>
      </c>
      <c r="I74" s="74" t="s">
        <v>273</v>
      </c>
      <c r="J74" s="46">
        <v>0</v>
      </c>
      <c r="K74" s="45">
        <v>0</v>
      </c>
      <c r="L74" s="45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6">
        <v>0</v>
      </c>
      <c r="AN74" s="46">
        <v>0</v>
      </c>
      <c r="AO74" s="46">
        <f t="shared" si="2"/>
        <v>0</v>
      </c>
      <c r="AP74" s="7">
        <f t="shared" si="3"/>
        <v>0</v>
      </c>
    </row>
    <row r="75" spans="1:42" ht="15.6" x14ac:dyDescent="0.3">
      <c r="A75" s="5">
        <v>74</v>
      </c>
      <c r="B75" s="6" t="s">
        <v>58</v>
      </c>
      <c r="C75" s="12" t="s">
        <v>216</v>
      </c>
      <c r="D75" s="6" t="s">
        <v>128</v>
      </c>
      <c r="E75" s="6" t="s">
        <v>12</v>
      </c>
      <c r="F75" s="6" t="s">
        <v>13</v>
      </c>
      <c r="G75" s="12" t="s">
        <v>35</v>
      </c>
      <c r="H75" s="5">
        <v>7</v>
      </c>
      <c r="I75" s="74" t="s">
        <v>273</v>
      </c>
      <c r="J75" s="46">
        <v>202.941</v>
      </c>
      <c r="K75" s="46">
        <v>201.762</v>
      </c>
      <c r="L75" s="46">
        <v>187.60699999999997</v>
      </c>
      <c r="M75" s="46">
        <v>196.20499999999998</v>
      </c>
      <c r="N75" s="46">
        <v>203.79499999999999</v>
      </c>
      <c r="O75" s="46">
        <v>182.29000000000002</v>
      </c>
      <c r="P75" s="46">
        <v>157.83200000000002</v>
      </c>
      <c r="Q75" s="46">
        <v>198.108</v>
      </c>
      <c r="R75" s="46">
        <v>128.09900000000002</v>
      </c>
      <c r="S75" s="46">
        <v>137.453</v>
      </c>
      <c r="T75" s="10">
        <v>123.395</v>
      </c>
      <c r="U75" s="10">
        <v>21.251999999999999</v>
      </c>
      <c r="V75" s="10">
        <v>103.267</v>
      </c>
      <c r="W75" s="10">
        <v>138.58800000000002</v>
      </c>
      <c r="X75" s="10">
        <v>207.36799999999991</v>
      </c>
      <c r="Y75" s="10">
        <v>181.55</v>
      </c>
      <c r="Z75" s="10">
        <v>155.96799999999999</v>
      </c>
      <c r="AA75" s="10">
        <v>187.86099999999999</v>
      </c>
      <c r="AB75" s="10">
        <v>114.37100000000004</v>
      </c>
      <c r="AC75" s="10">
        <v>145.48200000000003</v>
      </c>
      <c r="AD75" s="10">
        <v>145.75999999999996</v>
      </c>
      <c r="AE75" s="10">
        <v>156.239</v>
      </c>
      <c r="AF75" s="10">
        <v>148.393</v>
      </c>
      <c r="AG75" s="10">
        <v>169.24999999999997</v>
      </c>
      <c r="AH75" s="10">
        <v>172.34199999999993</v>
      </c>
      <c r="AI75" s="10">
        <v>173.65400000000002</v>
      </c>
      <c r="AJ75" s="10">
        <v>125.45900000000002</v>
      </c>
      <c r="AK75" s="10">
        <v>126.229</v>
      </c>
      <c r="AL75" s="10">
        <v>178.346</v>
      </c>
      <c r="AM75" s="10">
        <v>153.554</v>
      </c>
      <c r="AN75" s="10">
        <v>147.84400000000002</v>
      </c>
      <c r="AO75" s="46">
        <f t="shared" si="2"/>
        <v>155.14387500000001</v>
      </c>
      <c r="AP75" s="7">
        <f t="shared" si="3"/>
        <v>22.163410714285714</v>
      </c>
    </row>
    <row r="76" spans="1:42" ht="15.6" x14ac:dyDescent="0.3">
      <c r="A76" s="5">
        <v>75</v>
      </c>
      <c r="B76" s="6" t="s">
        <v>58</v>
      </c>
      <c r="C76" s="12" t="s">
        <v>355</v>
      </c>
      <c r="D76" s="6" t="s">
        <v>128</v>
      </c>
      <c r="E76" s="6" t="s">
        <v>12</v>
      </c>
      <c r="F76" s="6" t="s">
        <v>13</v>
      </c>
      <c r="G76" s="12" t="s">
        <v>35</v>
      </c>
      <c r="H76" s="5">
        <v>10</v>
      </c>
      <c r="I76" s="74" t="s">
        <v>273</v>
      </c>
      <c r="J76" s="46">
        <v>168.38</v>
      </c>
      <c r="K76" s="46">
        <v>213.29900000000004</v>
      </c>
      <c r="L76" s="46">
        <v>198.203</v>
      </c>
      <c r="M76" s="46">
        <v>183.42599999999999</v>
      </c>
      <c r="N76" s="46">
        <v>190.50300000000001</v>
      </c>
      <c r="O76" s="46">
        <v>202.08600000000001</v>
      </c>
      <c r="P76" s="46">
        <v>212.51100000000002</v>
      </c>
      <c r="Q76" s="46">
        <v>190.179</v>
      </c>
      <c r="R76" s="46">
        <v>174.221</v>
      </c>
      <c r="S76" s="46">
        <v>161.17500000000004</v>
      </c>
      <c r="T76" s="10">
        <v>103.71199999999999</v>
      </c>
      <c r="U76" s="10">
        <v>44.156000000000006</v>
      </c>
      <c r="V76" s="10">
        <v>60.351000000000006</v>
      </c>
      <c r="W76" s="10">
        <v>128.94800000000004</v>
      </c>
      <c r="X76" s="10">
        <v>141.18200000000002</v>
      </c>
      <c r="Y76" s="10">
        <v>151.09900000000002</v>
      </c>
      <c r="Z76" s="10">
        <v>150.66999999999999</v>
      </c>
      <c r="AA76" s="10">
        <v>189.624</v>
      </c>
      <c r="AB76" s="10">
        <v>149.91800000000001</v>
      </c>
      <c r="AC76" s="10">
        <v>163.19800000000001</v>
      </c>
      <c r="AD76" s="10">
        <v>145.68900000000002</v>
      </c>
      <c r="AE76" s="10">
        <v>169.88099999999997</v>
      </c>
      <c r="AF76" s="10">
        <v>177.09700000000004</v>
      </c>
      <c r="AG76" s="10">
        <v>187.203</v>
      </c>
      <c r="AH76" s="10">
        <v>157.52099999999999</v>
      </c>
      <c r="AI76" s="10">
        <v>196.27600000000004</v>
      </c>
      <c r="AJ76" s="10">
        <v>198.65600000000001</v>
      </c>
      <c r="AK76" s="10">
        <v>179.65200000000002</v>
      </c>
      <c r="AL76" s="10">
        <v>174.07500000000002</v>
      </c>
      <c r="AM76" s="10">
        <v>190.392</v>
      </c>
      <c r="AN76" s="10">
        <v>48.042000000000002</v>
      </c>
      <c r="AO76" s="46">
        <f t="shared" si="2"/>
        <v>164.31206249999997</v>
      </c>
      <c r="AP76" s="7">
        <f t="shared" si="3"/>
        <v>16.431206249999995</v>
      </c>
    </row>
    <row r="77" spans="1:42" ht="15.6" x14ac:dyDescent="0.3">
      <c r="A77" s="5">
        <v>76</v>
      </c>
      <c r="B77" s="6" t="s">
        <v>58</v>
      </c>
      <c r="C77" s="12" t="s">
        <v>249</v>
      </c>
      <c r="D77" s="6" t="s">
        <v>128</v>
      </c>
      <c r="E77" s="6" t="s">
        <v>12</v>
      </c>
      <c r="F77" s="6" t="s">
        <v>13</v>
      </c>
      <c r="G77" s="12" t="s">
        <v>35</v>
      </c>
      <c r="H77" s="5">
        <v>8</v>
      </c>
      <c r="I77" s="74" t="s">
        <v>273</v>
      </c>
      <c r="J77" s="46">
        <v>112.58600000000001</v>
      </c>
      <c r="K77" s="46">
        <v>88.103999999999999</v>
      </c>
      <c r="L77" s="46">
        <v>74.580000000000013</v>
      </c>
      <c r="M77" s="46">
        <v>104.11100000000002</v>
      </c>
      <c r="N77" s="46">
        <v>93.820999999999998</v>
      </c>
      <c r="O77" s="46">
        <v>61.613999999999997</v>
      </c>
      <c r="P77" s="46">
        <v>105.64700000000001</v>
      </c>
      <c r="Q77" s="46">
        <v>53.585999999999991</v>
      </c>
      <c r="R77" s="46">
        <v>85.4</v>
      </c>
      <c r="S77" s="46">
        <v>72.768999999999977</v>
      </c>
      <c r="T77" s="10">
        <v>89.614000000000019</v>
      </c>
      <c r="U77" s="10">
        <v>35.845999999999997</v>
      </c>
      <c r="V77" s="10">
        <v>38.822000000000003</v>
      </c>
      <c r="W77" s="10">
        <v>80.435000000000002</v>
      </c>
      <c r="X77" s="10">
        <v>77.562000000000012</v>
      </c>
      <c r="Y77" s="10">
        <v>96.015000000000015</v>
      </c>
      <c r="Z77" s="10">
        <v>67.570000000000007</v>
      </c>
      <c r="AA77" s="10">
        <v>94.833000000000041</v>
      </c>
      <c r="AB77" s="10">
        <v>54.118000000000002</v>
      </c>
      <c r="AC77" s="10">
        <v>75.210999999999999</v>
      </c>
      <c r="AD77" s="10">
        <v>85.361999999999995</v>
      </c>
      <c r="AE77" s="10">
        <v>46.156999999999996</v>
      </c>
      <c r="AF77" s="10">
        <v>95.072999999999993</v>
      </c>
      <c r="AG77" s="10">
        <v>99.90100000000001</v>
      </c>
      <c r="AH77" s="10">
        <v>67.013000000000005</v>
      </c>
      <c r="AI77" s="10">
        <v>46.457999999999998</v>
      </c>
      <c r="AJ77" s="10">
        <v>71.033000000000001</v>
      </c>
      <c r="AK77" s="10">
        <v>75.596000000000004</v>
      </c>
      <c r="AL77" s="10">
        <v>85.567999999999998</v>
      </c>
      <c r="AM77" s="10">
        <v>78.385000000000005</v>
      </c>
      <c r="AN77" s="10">
        <v>32.045999999999999</v>
      </c>
      <c r="AO77" s="46">
        <f t="shared" si="2"/>
        <v>73.146187500000011</v>
      </c>
      <c r="AP77" s="7">
        <f t="shared" si="3"/>
        <v>9.1432734375000013</v>
      </c>
    </row>
    <row r="78" spans="1:42" ht="15.6" x14ac:dyDescent="0.3">
      <c r="A78" s="5">
        <v>77</v>
      </c>
      <c r="B78" s="6" t="s">
        <v>58</v>
      </c>
      <c r="C78" s="12" t="s">
        <v>256</v>
      </c>
      <c r="D78" s="6" t="s">
        <v>128</v>
      </c>
      <c r="E78" s="6" t="s">
        <v>12</v>
      </c>
      <c r="F78" s="6" t="s">
        <v>13</v>
      </c>
      <c r="G78" s="12" t="s">
        <v>35</v>
      </c>
      <c r="H78" s="5">
        <v>6</v>
      </c>
      <c r="I78" s="74" t="s">
        <v>273</v>
      </c>
      <c r="J78" s="46">
        <v>3.0259999999999998</v>
      </c>
      <c r="K78" s="46">
        <v>1.7050000000000001</v>
      </c>
      <c r="L78" s="46">
        <v>2.0859999999999999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0</v>
      </c>
      <c r="AL78" s="46">
        <v>0</v>
      </c>
      <c r="AM78" s="46">
        <v>0</v>
      </c>
      <c r="AN78" s="46">
        <v>0</v>
      </c>
      <c r="AO78" s="46">
        <f t="shared" si="2"/>
        <v>0</v>
      </c>
      <c r="AP78" s="7">
        <f t="shared" si="3"/>
        <v>0</v>
      </c>
    </row>
    <row r="79" spans="1:42" ht="15.6" x14ac:dyDescent="0.3">
      <c r="A79" s="5">
        <v>78</v>
      </c>
      <c r="B79" s="6" t="s">
        <v>58</v>
      </c>
      <c r="C79" s="12" t="s">
        <v>417</v>
      </c>
      <c r="D79" s="6" t="s">
        <v>128</v>
      </c>
      <c r="E79" s="6" t="s">
        <v>12</v>
      </c>
      <c r="F79" s="6" t="s">
        <v>13</v>
      </c>
      <c r="G79" s="12" t="s">
        <v>35</v>
      </c>
      <c r="H79" s="5">
        <v>2</v>
      </c>
      <c r="I79" s="74" t="s">
        <v>273</v>
      </c>
      <c r="J79" s="46">
        <v>29.602</v>
      </c>
      <c r="K79" s="46">
        <v>15.451000000000001</v>
      </c>
      <c r="L79" s="46">
        <v>21.57</v>
      </c>
      <c r="M79" s="46">
        <v>17.286000000000001</v>
      </c>
      <c r="N79" s="46">
        <v>11.216000000000001</v>
      </c>
      <c r="O79" s="46">
        <v>1.034</v>
      </c>
      <c r="P79" s="46">
        <v>18.834</v>
      </c>
      <c r="Q79" s="46">
        <v>5.4489999999999998</v>
      </c>
      <c r="R79" s="46">
        <v>7.1019999999999994</v>
      </c>
      <c r="S79" s="46">
        <v>2E-3</v>
      </c>
      <c r="T79" s="10">
        <v>19.184999999999999</v>
      </c>
      <c r="U79" s="10">
        <v>0.754</v>
      </c>
      <c r="V79" s="46">
        <v>0</v>
      </c>
      <c r="W79" s="10">
        <v>4.1609999999999996</v>
      </c>
      <c r="X79" s="10">
        <v>4.6610000000000005</v>
      </c>
      <c r="Y79" s="10">
        <v>2E-3</v>
      </c>
      <c r="Z79" s="10">
        <v>5.1550000000000002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v>0</v>
      </c>
      <c r="AO79" s="46">
        <f t="shared" si="2"/>
        <v>0.3223125</v>
      </c>
      <c r="AP79" s="7">
        <f t="shared" si="3"/>
        <v>0.16115625</v>
      </c>
    </row>
    <row r="80" spans="1:42" x14ac:dyDescent="0.3">
      <c r="A80" s="5">
        <v>79</v>
      </c>
      <c r="B80" s="6" t="s">
        <v>476</v>
      </c>
      <c r="C80" s="12" t="s">
        <v>477</v>
      </c>
      <c r="D80" s="6" t="s">
        <v>128</v>
      </c>
      <c r="E80" s="6" t="s">
        <v>12</v>
      </c>
      <c r="F80" s="6" t="s">
        <v>13</v>
      </c>
      <c r="G80" s="12" t="s">
        <v>35</v>
      </c>
      <c r="H80" s="5">
        <v>1</v>
      </c>
      <c r="I80" s="67" t="s">
        <v>160</v>
      </c>
      <c r="J80" s="46">
        <v>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f t="shared" si="2"/>
        <v>0</v>
      </c>
      <c r="AP80" s="7">
        <f t="shared" si="3"/>
        <v>0</v>
      </c>
    </row>
    <row r="81" spans="1:42" ht="15.6" x14ac:dyDescent="0.3">
      <c r="A81" s="5">
        <v>80</v>
      </c>
      <c r="B81" s="6" t="s">
        <v>119</v>
      </c>
      <c r="C81" s="12" t="s">
        <v>217</v>
      </c>
      <c r="D81" s="6" t="s">
        <v>30</v>
      </c>
      <c r="E81" s="6" t="s">
        <v>12</v>
      </c>
      <c r="F81" s="6" t="s">
        <v>121</v>
      </c>
      <c r="G81" s="6" t="s">
        <v>35</v>
      </c>
      <c r="H81" s="5">
        <v>20</v>
      </c>
      <c r="I81" s="74" t="s">
        <v>273</v>
      </c>
      <c r="J81" s="46">
        <v>9.3060000000000009</v>
      </c>
      <c r="K81" s="46">
        <v>5.7949999999999999</v>
      </c>
      <c r="L81" s="46">
        <v>18.297000000000004</v>
      </c>
      <c r="M81" s="46">
        <v>18.251999999999999</v>
      </c>
      <c r="N81" s="46">
        <v>8.968</v>
      </c>
      <c r="O81" s="46">
        <v>12.288</v>
      </c>
      <c r="P81" s="46">
        <v>23.073999999999998</v>
      </c>
      <c r="Q81" s="46">
        <v>18.189</v>
      </c>
      <c r="R81" s="46">
        <v>16.376000000000001</v>
      </c>
      <c r="S81" s="46">
        <v>17.535</v>
      </c>
      <c r="T81" s="10">
        <v>14.8</v>
      </c>
      <c r="U81" s="10">
        <v>9.4760000000000009</v>
      </c>
      <c r="V81" s="46">
        <v>0</v>
      </c>
      <c r="W81" s="10">
        <v>6.5280000000000005</v>
      </c>
      <c r="X81" s="10">
        <v>4.9980000000000002</v>
      </c>
      <c r="Y81" s="10">
        <v>8.2729999999999997</v>
      </c>
      <c r="Z81" s="10">
        <v>10.403</v>
      </c>
      <c r="AA81" s="10">
        <v>5.0760000000000005</v>
      </c>
      <c r="AB81" s="10">
        <v>4.9320000000000004</v>
      </c>
      <c r="AC81" s="10">
        <v>5.1649999999999991</v>
      </c>
      <c r="AD81" s="10">
        <v>1.819</v>
      </c>
      <c r="AE81" s="10">
        <v>2.42</v>
      </c>
      <c r="AF81" s="10">
        <v>4.8860000000000001</v>
      </c>
      <c r="AG81" s="10">
        <v>22.301000000000002</v>
      </c>
      <c r="AH81" s="10">
        <v>1.7470000000000001</v>
      </c>
      <c r="AI81" s="10">
        <v>6.8090000000000002</v>
      </c>
      <c r="AJ81" s="10">
        <v>2.2120000000000002</v>
      </c>
      <c r="AK81" s="10">
        <v>5.2140000000000004</v>
      </c>
      <c r="AL81" s="10">
        <v>7.0280000000000005</v>
      </c>
      <c r="AM81" s="10">
        <v>10.131</v>
      </c>
      <c r="AN81" s="46">
        <v>0</v>
      </c>
      <c r="AO81" s="46">
        <f t="shared" si="2"/>
        <v>6.1510000000000007</v>
      </c>
      <c r="AP81" s="7">
        <f t="shared" si="3"/>
        <v>0.30755000000000005</v>
      </c>
    </row>
    <row r="82" spans="1:42" ht="15.6" x14ac:dyDescent="0.3">
      <c r="A82" s="5">
        <v>81</v>
      </c>
      <c r="B82" s="6" t="s">
        <v>119</v>
      </c>
      <c r="C82" s="12" t="s">
        <v>218</v>
      </c>
      <c r="D82" s="6" t="s">
        <v>128</v>
      </c>
      <c r="E82" s="6" t="s">
        <v>12</v>
      </c>
      <c r="F82" s="6" t="s">
        <v>121</v>
      </c>
      <c r="G82" s="6" t="s">
        <v>35</v>
      </c>
      <c r="H82" s="5">
        <v>3</v>
      </c>
      <c r="I82" s="74" t="s">
        <v>273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v>0</v>
      </c>
      <c r="AO82" s="46">
        <f t="shared" si="2"/>
        <v>0</v>
      </c>
      <c r="AP82" s="7">
        <f t="shared" si="3"/>
        <v>0</v>
      </c>
    </row>
    <row r="83" spans="1:42" ht="15.6" x14ac:dyDescent="0.3">
      <c r="A83" s="5">
        <v>82</v>
      </c>
      <c r="B83" s="6" t="s">
        <v>119</v>
      </c>
      <c r="C83" s="12" t="s">
        <v>457</v>
      </c>
      <c r="D83" s="6" t="s">
        <v>30</v>
      </c>
      <c r="E83" s="6" t="s">
        <v>12</v>
      </c>
      <c r="F83" s="6" t="s">
        <v>121</v>
      </c>
      <c r="G83" s="6" t="s">
        <v>35</v>
      </c>
      <c r="H83" s="5">
        <v>3</v>
      </c>
      <c r="I83" s="74" t="s">
        <v>273</v>
      </c>
      <c r="J83" s="46">
        <v>12.587999999999999</v>
      </c>
      <c r="K83" s="46">
        <v>42.41</v>
      </c>
      <c r="L83" s="46">
        <v>14.237000000000002</v>
      </c>
      <c r="M83" s="46">
        <v>35.654000000000003</v>
      </c>
      <c r="N83" s="46">
        <v>31.858999999999998</v>
      </c>
      <c r="O83" s="46">
        <v>29.047000000000001</v>
      </c>
      <c r="P83" s="46">
        <v>19.439</v>
      </c>
      <c r="Q83" s="46">
        <v>43.698</v>
      </c>
      <c r="R83" s="46">
        <v>31.959000000000003</v>
      </c>
      <c r="S83" s="46">
        <v>25.87</v>
      </c>
      <c r="T83" s="10">
        <v>19.134999999999998</v>
      </c>
      <c r="U83" s="46">
        <v>0</v>
      </c>
      <c r="V83" s="10">
        <v>26.225000000000001</v>
      </c>
      <c r="W83" s="10">
        <v>37.887</v>
      </c>
      <c r="X83" s="10">
        <v>17.094999999999999</v>
      </c>
      <c r="Y83" s="10">
        <v>27.564999999999998</v>
      </c>
      <c r="Z83" s="10">
        <v>16.39</v>
      </c>
      <c r="AA83" s="10">
        <v>31.940999999999995</v>
      </c>
      <c r="AB83" s="10">
        <v>29.833000000000002</v>
      </c>
      <c r="AC83" s="10">
        <v>33.332000000000001</v>
      </c>
      <c r="AD83" s="10">
        <v>20.108000000000001</v>
      </c>
      <c r="AE83" s="10">
        <v>22.970999999999997</v>
      </c>
      <c r="AF83" s="10">
        <v>37.803999999999995</v>
      </c>
      <c r="AG83" s="10">
        <v>22.924999999999997</v>
      </c>
      <c r="AH83" s="10">
        <v>30.834</v>
      </c>
      <c r="AI83" s="10">
        <v>36.243000000000002</v>
      </c>
      <c r="AJ83" s="10">
        <v>18.096</v>
      </c>
      <c r="AK83" s="10">
        <v>52.634999999999998</v>
      </c>
      <c r="AL83" s="10">
        <v>32.388999999999996</v>
      </c>
      <c r="AM83" s="10">
        <v>57.056000000000004</v>
      </c>
      <c r="AN83" s="10">
        <v>35.724000000000004</v>
      </c>
      <c r="AO83" s="46">
        <f t="shared" si="2"/>
        <v>31.615374999999997</v>
      </c>
      <c r="AP83" s="7">
        <f t="shared" si="3"/>
        <v>10.538458333333333</v>
      </c>
    </row>
    <row r="84" spans="1:42" x14ac:dyDescent="0.3">
      <c r="A84" s="5">
        <v>83</v>
      </c>
      <c r="B84" s="6" t="s">
        <v>499</v>
      </c>
      <c r="C84" s="12" t="s">
        <v>500</v>
      </c>
      <c r="D84" s="6" t="s">
        <v>128</v>
      </c>
      <c r="E84" s="6" t="s">
        <v>12</v>
      </c>
      <c r="F84" s="6" t="s">
        <v>255</v>
      </c>
      <c r="G84" s="6" t="s">
        <v>80</v>
      </c>
      <c r="H84" s="5">
        <v>1</v>
      </c>
      <c r="I84" s="67" t="s">
        <v>160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46">
        <v>0</v>
      </c>
      <c r="AH84" s="10">
        <v>10.055</v>
      </c>
      <c r="AI84" s="10">
        <v>7.8769999999999998</v>
      </c>
      <c r="AJ84" s="46">
        <v>0</v>
      </c>
      <c r="AK84" s="46">
        <v>0</v>
      </c>
      <c r="AL84" s="46">
        <v>0</v>
      </c>
      <c r="AM84" s="10">
        <v>8.4920000000000009</v>
      </c>
      <c r="AN84" s="46">
        <v>0</v>
      </c>
      <c r="AO84" s="46">
        <f t="shared" si="2"/>
        <v>1.6515</v>
      </c>
      <c r="AP84" s="7">
        <f t="shared" si="3"/>
        <v>1.6515</v>
      </c>
    </row>
    <row r="85" spans="1:42" ht="15.6" x14ac:dyDescent="0.3">
      <c r="A85" s="5">
        <v>84</v>
      </c>
      <c r="B85" s="6" t="s">
        <v>55</v>
      </c>
      <c r="C85" s="12" t="s">
        <v>393</v>
      </c>
      <c r="D85" s="6" t="s">
        <v>57</v>
      </c>
      <c r="E85" s="6" t="s">
        <v>12</v>
      </c>
      <c r="F85" s="6" t="s">
        <v>13</v>
      </c>
      <c r="G85" s="6" t="s">
        <v>35</v>
      </c>
      <c r="H85" s="5">
        <v>40</v>
      </c>
      <c r="I85" s="74" t="s">
        <v>273</v>
      </c>
      <c r="J85" s="46">
        <v>132.73400000000001</v>
      </c>
      <c r="K85" s="46">
        <v>393.72099999999995</v>
      </c>
      <c r="L85" s="46">
        <v>343.20199999999994</v>
      </c>
      <c r="M85" s="46">
        <v>289.80700000000002</v>
      </c>
      <c r="N85" s="46">
        <v>326.99099999999987</v>
      </c>
      <c r="O85" s="46">
        <v>379.80100000000004</v>
      </c>
      <c r="P85" s="46">
        <v>334.04500000000013</v>
      </c>
      <c r="Q85" s="46">
        <v>145.97199999999998</v>
      </c>
      <c r="R85" s="46">
        <v>308.21599999999995</v>
      </c>
      <c r="S85" s="46">
        <v>326.5209999999999</v>
      </c>
      <c r="T85" s="10">
        <v>347.55499999999989</v>
      </c>
      <c r="U85" s="10">
        <v>370.37400000000002</v>
      </c>
      <c r="V85" s="10">
        <v>467.40000000000015</v>
      </c>
      <c r="W85" s="10">
        <v>349.28099999999989</v>
      </c>
      <c r="X85" s="10">
        <v>168.13399999999999</v>
      </c>
      <c r="Y85" s="10">
        <v>332.08699999999988</v>
      </c>
      <c r="Z85" s="10">
        <v>306.87099999999998</v>
      </c>
      <c r="AA85" s="10">
        <v>290.20799999999997</v>
      </c>
      <c r="AB85" s="10">
        <v>347.94800000000009</v>
      </c>
      <c r="AC85" s="10">
        <v>392.77300000000002</v>
      </c>
      <c r="AD85" s="10">
        <v>200.94300000000004</v>
      </c>
      <c r="AE85" s="10">
        <v>193.553</v>
      </c>
      <c r="AF85" s="10">
        <v>280.66999999999996</v>
      </c>
      <c r="AG85" s="10">
        <v>204.33999999999997</v>
      </c>
      <c r="AH85" s="10">
        <v>298.27899999999988</v>
      </c>
      <c r="AI85" s="10">
        <v>323.15299999999991</v>
      </c>
      <c r="AJ85" s="10">
        <v>490.88399999999973</v>
      </c>
      <c r="AK85" s="10">
        <v>446.46500000000003</v>
      </c>
      <c r="AL85" s="10">
        <v>206.82500000000002</v>
      </c>
      <c r="AM85" s="10">
        <v>278.31499999999994</v>
      </c>
      <c r="AN85" s="10">
        <v>36.939</v>
      </c>
      <c r="AO85" s="46">
        <f t="shared" si="2"/>
        <v>289.39081249999998</v>
      </c>
      <c r="AP85" s="7">
        <f t="shared" si="3"/>
        <v>7.2347703124999994</v>
      </c>
    </row>
    <row r="86" spans="1:42" ht="15.6" x14ac:dyDescent="0.3">
      <c r="A86" s="5">
        <v>85</v>
      </c>
      <c r="B86" s="12" t="s">
        <v>221</v>
      </c>
      <c r="C86" s="12" t="s">
        <v>220</v>
      </c>
      <c r="D86" s="6" t="s">
        <v>30</v>
      </c>
      <c r="E86" s="6" t="s">
        <v>12</v>
      </c>
      <c r="F86" s="6" t="s">
        <v>13</v>
      </c>
      <c r="G86" s="6" t="s">
        <v>35</v>
      </c>
      <c r="H86" s="5">
        <v>19</v>
      </c>
      <c r="I86" s="74" t="s">
        <v>273</v>
      </c>
      <c r="J86" s="46">
        <v>2.306</v>
      </c>
      <c r="K86" s="46">
        <v>2.2829999999999999</v>
      </c>
      <c r="L86" s="46">
        <v>3.2519999999999998</v>
      </c>
      <c r="M86" s="46">
        <v>4.194</v>
      </c>
      <c r="N86" s="46">
        <v>2.8860000000000001</v>
      </c>
      <c r="O86" s="46">
        <v>3.9169999999999998</v>
      </c>
      <c r="P86" s="46">
        <v>3.6420000000000003</v>
      </c>
      <c r="Q86" s="46">
        <v>1.994</v>
      </c>
      <c r="R86" s="46">
        <v>2.3119999999999998</v>
      </c>
      <c r="S86" s="46">
        <v>3.198</v>
      </c>
      <c r="T86" s="46">
        <v>0</v>
      </c>
      <c r="U86" s="10">
        <v>2.427</v>
      </c>
      <c r="V86" s="10">
        <v>2.0699999999999998</v>
      </c>
      <c r="W86" s="10">
        <v>2.101</v>
      </c>
      <c r="X86" s="10">
        <v>2.4209999999999998</v>
      </c>
      <c r="Y86" s="10">
        <v>2.2749999999999999</v>
      </c>
      <c r="Z86" s="10">
        <v>2.4009999999999998</v>
      </c>
      <c r="AA86" s="10">
        <v>3.2069999999999999</v>
      </c>
      <c r="AB86" s="10">
        <v>3.3839999999999999</v>
      </c>
      <c r="AC86" s="10">
        <v>2.29</v>
      </c>
      <c r="AD86" s="10">
        <v>3.891</v>
      </c>
      <c r="AE86" s="10">
        <v>2.1659999999999999</v>
      </c>
      <c r="AF86" s="10">
        <v>2.0390000000000001</v>
      </c>
      <c r="AG86" s="10">
        <v>2.323</v>
      </c>
      <c r="AH86" s="10">
        <v>2.137</v>
      </c>
      <c r="AI86" s="10">
        <v>2.419</v>
      </c>
      <c r="AJ86" s="10">
        <v>2.806</v>
      </c>
      <c r="AK86" s="10">
        <v>2.2789999999999999</v>
      </c>
      <c r="AL86" s="10">
        <v>1.86</v>
      </c>
      <c r="AM86" s="10">
        <v>1.337</v>
      </c>
      <c r="AN86" s="46">
        <v>0</v>
      </c>
      <c r="AO86" s="46">
        <f t="shared" si="2"/>
        <v>2.3008750000000004</v>
      </c>
      <c r="AP86" s="7">
        <f t="shared" si="3"/>
        <v>0.12109868421052634</v>
      </c>
    </row>
    <row r="87" spans="1:42" x14ac:dyDescent="0.3">
      <c r="A87" s="5">
        <v>86</v>
      </c>
      <c r="B87" s="12" t="s">
        <v>222</v>
      </c>
      <c r="C87" s="12" t="s">
        <v>223</v>
      </c>
      <c r="D87" s="6" t="s">
        <v>69</v>
      </c>
      <c r="E87" s="6" t="s">
        <v>12</v>
      </c>
      <c r="F87" s="6" t="s">
        <v>40</v>
      </c>
      <c r="G87" s="6" t="s">
        <v>35</v>
      </c>
      <c r="H87" s="5">
        <v>2</v>
      </c>
      <c r="I87" s="67" t="s">
        <v>272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0</v>
      </c>
      <c r="AJ87" s="46">
        <v>0</v>
      </c>
      <c r="AK87" s="46">
        <v>0</v>
      </c>
      <c r="AL87" s="46">
        <v>0</v>
      </c>
      <c r="AM87" s="46">
        <v>0</v>
      </c>
      <c r="AN87" s="46">
        <v>0</v>
      </c>
      <c r="AO87" s="46">
        <f t="shared" si="2"/>
        <v>0</v>
      </c>
      <c r="AP87" s="7">
        <f t="shared" si="3"/>
        <v>0</v>
      </c>
    </row>
    <row r="88" spans="1:42" ht="15.6" x14ac:dyDescent="0.3">
      <c r="A88" s="5">
        <v>87</v>
      </c>
      <c r="B88" s="12" t="s">
        <v>175</v>
      </c>
      <c r="C88" s="12" t="s">
        <v>174</v>
      </c>
      <c r="D88" s="6" t="s">
        <v>128</v>
      </c>
      <c r="E88" s="6" t="s">
        <v>12</v>
      </c>
      <c r="F88" s="6" t="s">
        <v>121</v>
      </c>
      <c r="G88" s="6" t="s">
        <v>35</v>
      </c>
      <c r="H88" s="5">
        <v>10</v>
      </c>
      <c r="I88" s="74" t="s">
        <v>273</v>
      </c>
      <c r="J88" s="46">
        <v>136.98200000000003</v>
      </c>
      <c r="K88" s="46">
        <v>136.66500000000002</v>
      </c>
      <c r="L88" s="46">
        <v>131.43499999999997</v>
      </c>
      <c r="M88" s="46">
        <v>131.46000000000004</v>
      </c>
      <c r="N88" s="46">
        <v>106.40900000000001</v>
      </c>
      <c r="O88" s="46">
        <v>142.37400000000002</v>
      </c>
      <c r="P88" s="46">
        <v>82.444000000000045</v>
      </c>
      <c r="Q88" s="46">
        <v>132.30800000000002</v>
      </c>
      <c r="R88" s="46">
        <v>123.34700000000005</v>
      </c>
      <c r="S88" s="46">
        <v>155.66100000000006</v>
      </c>
      <c r="T88" s="10">
        <v>126.50700000000001</v>
      </c>
      <c r="U88" s="10">
        <v>142.06600000000006</v>
      </c>
      <c r="V88" s="10">
        <v>114.176</v>
      </c>
      <c r="W88" s="10">
        <v>101.922</v>
      </c>
      <c r="X88" s="10">
        <v>66.820999999999984</v>
      </c>
      <c r="Y88" s="10">
        <v>81.780000000000015</v>
      </c>
      <c r="Z88" s="10">
        <v>61.334000000000003</v>
      </c>
      <c r="AA88" s="10">
        <v>104.63800000000002</v>
      </c>
      <c r="AB88" s="10">
        <v>102.19799999999999</v>
      </c>
      <c r="AC88" s="10">
        <v>59.793999999999997</v>
      </c>
      <c r="AD88" s="10">
        <v>79.023000000000025</v>
      </c>
      <c r="AE88" s="10">
        <v>81.08</v>
      </c>
      <c r="AF88" s="10">
        <v>104.18600000000002</v>
      </c>
      <c r="AG88" s="10">
        <v>119.35600000000004</v>
      </c>
      <c r="AH88" s="10">
        <v>98.120000000000033</v>
      </c>
      <c r="AI88" s="10">
        <v>102.77199999999999</v>
      </c>
      <c r="AJ88" s="10">
        <v>115.11000000000003</v>
      </c>
      <c r="AK88" s="10">
        <v>111.827</v>
      </c>
      <c r="AL88" s="10">
        <v>63.661999999999992</v>
      </c>
      <c r="AM88" s="46">
        <v>0</v>
      </c>
      <c r="AN88" s="46">
        <v>0</v>
      </c>
      <c r="AO88" s="46">
        <f t="shared" si="2"/>
        <v>80.305000000000021</v>
      </c>
      <c r="AP88" s="7">
        <f t="shared" si="3"/>
        <v>8.0305000000000017</v>
      </c>
    </row>
    <row r="89" spans="1:42" ht="15.6" x14ac:dyDescent="0.3">
      <c r="A89" s="5">
        <v>88</v>
      </c>
      <c r="B89" s="12" t="s">
        <v>175</v>
      </c>
      <c r="C89" s="12" t="s">
        <v>174</v>
      </c>
      <c r="D89" s="6" t="s">
        <v>128</v>
      </c>
      <c r="E89" s="6" t="s">
        <v>12</v>
      </c>
      <c r="F89" s="6" t="s">
        <v>40</v>
      </c>
      <c r="G89" s="6" t="s">
        <v>35</v>
      </c>
      <c r="H89" s="5">
        <v>1</v>
      </c>
      <c r="I89" s="74" t="s">
        <v>273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v>0</v>
      </c>
      <c r="AN89" s="46">
        <v>0</v>
      </c>
      <c r="AO89" s="46">
        <f t="shared" si="2"/>
        <v>0</v>
      </c>
      <c r="AP89" s="7">
        <f t="shared" si="3"/>
        <v>0</v>
      </c>
    </row>
    <row r="90" spans="1:42" x14ac:dyDescent="0.3">
      <c r="A90" s="5">
        <v>89</v>
      </c>
      <c r="B90" s="12" t="s">
        <v>175</v>
      </c>
      <c r="C90" s="12" t="s">
        <v>241</v>
      </c>
      <c r="D90" s="6" t="s">
        <v>128</v>
      </c>
      <c r="E90" s="6" t="s">
        <v>12</v>
      </c>
      <c r="F90" s="6" t="s">
        <v>124</v>
      </c>
      <c r="G90" s="6" t="s">
        <v>80</v>
      </c>
      <c r="H90" s="5">
        <v>1</v>
      </c>
      <c r="I90" s="67" t="s">
        <v>160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v>0</v>
      </c>
      <c r="AN90" s="46">
        <v>0</v>
      </c>
      <c r="AO90" s="46">
        <f t="shared" si="2"/>
        <v>0</v>
      </c>
      <c r="AP90" s="7">
        <f t="shared" si="3"/>
        <v>0</v>
      </c>
    </row>
    <row r="91" spans="1:42" x14ac:dyDescent="0.3">
      <c r="A91" s="5">
        <v>90</v>
      </c>
      <c r="B91" s="12" t="s">
        <v>175</v>
      </c>
      <c r="C91" s="12" t="s">
        <v>240</v>
      </c>
      <c r="D91" s="6" t="s">
        <v>128</v>
      </c>
      <c r="E91" s="6" t="s">
        <v>12</v>
      </c>
      <c r="F91" s="6" t="s">
        <v>124</v>
      </c>
      <c r="G91" s="6" t="s">
        <v>80</v>
      </c>
      <c r="H91" s="5">
        <v>1</v>
      </c>
      <c r="I91" s="67" t="s">
        <v>160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0</v>
      </c>
      <c r="AL91" s="46">
        <v>0</v>
      </c>
      <c r="AM91" s="46">
        <v>0</v>
      </c>
      <c r="AN91" s="46">
        <v>0</v>
      </c>
      <c r="AO91" s="46">
        <f t="shared" si="2"/>
        <v>0</v>
      </c>
      <c r="AP91" s="7">
        <f t="shared" si="3"/>
        <v>0</v>
      </c>
    </row>
    <row r="92" spans="1:42" x14ac:dyDescent="0.3">
      <c r="A92" s="5">
        <v>91</v>
      </c>
      <c r="B92" s="12" t="s">
        <v>175</v>
      </c>
      <c r="C92" s="12" t="s">
        <v>242</v>
      </c>
      <c r="D92" s="6" t="s">
        <v>128</v>
      </c>
      <c r="E92" s="6" t="s">
        <v>12</v>
      </c>
      <c r="F92" s="6" t="s">
        <v>124</v>
      </c>
      <c r="G92" s="6" t="s">
        <v>80</v>
      </c>
      <c r="H92" s="5">
        <v>1</v>
      </c>
      <c r="I92" s="67" t="s">
        <v>160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f t="shared" si="2"/>
        <v>0</v>
      </c>
      <c r="AP92" s="7">
        <f t="shared" si="3"/>
        <v>0</v>
      </c>
    </row>
    <row r="93" spans="1:42" ht="15.6" x14ac:dyDescent="0.3">
      <c r="A93" s="5">
        <v>92</v>
      </c>
      <c r="B93" s="6" t="s">
        <v>65</v>
      </c>
      <c r="C93" s="12" t="s">
        <v>224</v>
      </c>
      <c r="D93" s="6" t="s">
        <v>30</v>
      </c>
      <c r="E93" s="6" t="s">
        <v>12</v>
      </c>
      <c r="F93" s="6" t="s">
        <v>13</v>
      </c>
      <c r="G93" s="6" t="s">
        <v>35</v>
      </c>
      <c r="H93" s="5">
        <v>5</v>
      </c>
      <c r="I93" s="74" t="s">
        <v>273</v>
      </c>
      <c r="J93" s="46">
        <v>31.354999999999997</v>
      </c>
      <c r="K93" s="46">
        <v>23.914999999999999</v>
      </c>
      <c r="L93" s="46">
        <v>35.563000000000002</v>
      </c>
      <c r="M93" s="46">
        <v>34.366</v>
      </c>
      <c r="N93" s="46">
        <v>33.619999999999997</v>
      </c>
      <c r="O93" s="46">
        <v>18.38</v>
      </c>
      <c r="P93" s="46">
        <v>41.082000000000001</v>
      </c>
      <c r="Q93" s="46">
        <v>31.588000000000005</v>
      </c>
      <c r="R93" s="46">
        <v>29.413000000000004</v>
      </c>
      <c r="S93" s="46">
        <v>40.523000000000003</v>
      </c>
      <c r="T93" s="10">
        <v>27.212</v>
      </c>
      <c r="U93" s="10">
        <v>33.650999999999996</v>
      </c>
      <c r="V93" s="10">
        <v>16.051000000000002</v>
      </c>
      <c r="W93" s="10">
        <v>34.875</v>
      </c>
      <c r="X93" s="10">
        <v>32.073999999999998</v>
      </c>
      <c r="Y93" s="10">
        <v>33.468000000000004</v>
      </c>
      <c r="Z93" s="10">
        <v>43.198</v>
      </c>
      <c r="AA93" s="10">
        <v>35.943999999999996</v>
      </c>
      <c r="AB93" s="10">
        <v>39.515000000000001</v>
      </c>
      <c r="AC93" s="10">
        <v>36.917000000000002</v>
      </c>
      <c r="AD93" s="10">
        <v>24.005000000000003</v>
      </c>
      <c r="AE93" s="10">
        <v>32.192000000000007</v>
      </c>
      <c r="AF93" s="10">
        <v>37.353999999999999</v>
      </c>
      <c r="AG93" s="10">
        <v>31.217000000000002</v>
      </c>
      <c r="AH93" s="10">
        <v>27.962</v>
      </c>
      <c r="AI93" s="10">
        <v>22.835000000000001</v>
      </c>
      <c r="AJ93" s="10">
        <v>29.048000000000002</v>
      </c>
      <c r="AK93" s="10">
        <v>31.943000000000001</v>
      </c>
      <c r="AL93" s="10">
        <v>37.491999999999997</v>
      </c>
      <c r="AM93" s="10">
        <v>37.593000000000004</v>
      </c>
      <c r="AN93" s="10">
        <v>40.172000000000004</v>
      </c>
      <c r="AO93" s="46">
        <f t="shared" si="2"/>
        <v>33.803437500000001</v>
      </c>
      <c r="AP93" s="7">
        <f t="shared" si="3"/>
        <v>6.7606875000000004</v>
      </c>
    </row>
    <row r="94" spans="1:42" ht="15.6" x14ac:dyDescent="0.3">
      <c r="A94" s="5">
        <v>93</v>
      </c>
      <c r="B94" s="6" t="s">
        <v>65</v>
      </c>
      <c r="C94" s="12" t="s">
        <v>225</v>
      </c>
      <c r="D94" s="6" t="s">
        <v>30</v>
      </c>
      <c r="E94" s="6" t="s">
        <v>12</v>
      </c>
      <c r="F94" s="6" t="s">
        <v>13</v>
      </c>
      <c r="G94" s="6" t="s">
        <v>35</v>
      </c>
      <c r="H94" s="5">
        <v>16</v>
      </c>
      <c r="I94" s="74" t="s">
        <v>273</v>
      </c>
      <c r="J94" s="46">
        <v>8.2509999999999994</v>
      </c>
      <c r="K94" s="46">
        <v>12.860000000000001</v>
      </c>
      <c r="L94" s="46">
        <v>3.3969999999999998</v>
      </c>
      <c r="M94" s="46">
        <v>1.752</v>
      </c>
      <c r="N94" s="46">
        <v>15.079000000000001</v>
      </c>
      <c r="O94" s="46">
        <v>0.48899999999999999</v>
      </c>
      <c r="P94" s="46">
        <v>0</v>
      </c>
      <c r="Q94" s="46">
        <v>1.147</v>
      </c>
      <c r="R94" s="46">
        <v>6.23</v>
      </c>
      <c r="S94" s="46">
        <v>8.391</v>
      </c>
      <c r="T94" s="46">
        <v>0</v>
      </c>
      <c r="U94" s="10">
        <v>14.99</v>
      </c>
      <c r="V94" s="10">
        <v>0.63700000000000001</v>
      </c>
      <c r="W94" s="10">
        <v>28.732999999999997</v>
      </c>
      <c r="X94" s="10">
        <v>11.225</v>
      </c>
      <c r="Y94" s="10">
        <v>7.61</v>
      </c>
      <c r="Z94" s="10">
        <v>16.962</v>
      </c>
      <c r="AA94" s="10">
        <v>10.480999999999998</v>
      </c>
      <c r="AB94" s="10">
        <v>12.377999999999998</v>
      </c>
      <c r="AC94" s="10">
        <v>5.6349999999999998</v>
      </c>
      <c r="AD94" s="10">
        <v>9.9320000000000022</v>
      </c>
      <c r="AE94" s="10">
        <v>17.122</v>
      </c>
      <c r="AF94" s="10">
        <v>10.707000000000001</v>
      </c>
      <c r="AG94" s="10">
        <v>8.3529999999999998</v>
      </c>
      <c r="AH94" s="10">
        <v>3.7839999999999998</v>
      </c>
      <c r="AI94" s="10">
        <v>17.451000000000001</v>
      </c>
      <c r="AJ94" s="10">
        <v>8.5009999999999994</v>
      </c>
      <c r="AK94" s="10">
        <v>11.079000000000001</v>
      </c>
      <c r="AL94" s="10">
        <v>4.3330000000000002</v>
      </c>
      <c r="AM94" s="46">
        <v>0</v>
      </c>
      <c r="AN94" s="46">
        <v>0</v>
      </c>
      <c r="AO94" s="46">
        <f t="shared" si="2"/>
        <v>9.0205000000000002</v>
      </c>
      <c r="AP94" s="7">
        <f t="shared" si="3"/>
        <v>0.56378125000000001</v>
      </c>
    </row>
    <row r="95" spans="1:42" ht="15.6" x14ac:dyDescent="0.3">
      <c r="A95" s="5">
        <v>94</v>
      </c>
      <c r="B95" s="6" t="s">
        <v>65</v>
      </c>
      <c r="C95" s="12" t="s">
        <v>226</v>
      </c>
      <c r="D95" s="6" t="s">
        <v>30</v>
      </c>
      <c r="E95" s="6" t="s">
        <v>12</v>
      </c>
      <c r="F95" s="6" t="s">
        <v>13</v>
      </c>
      <c r="G95" s="6" t="s">
        <v>35</v>
      </c>
      <c r="H95" s="5">
        <v>10</v>
      </c>
      <c r="I95" s="74" t="s">
        <v>273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f t="shared" si="2"/>
        <v>0</v>
      </c>
      <c r="AP95" s="7">
        <f t="shared" si="3"/>
        <v>0</v>
      </c>
    </row>
    <row r="96" spans="1:42" ht="15.6" x14ac:dyDescent="0.3">
      <c r="A96" s="5">
        <v>95</v>
      </c>
      <c r="B96" s="6" t="s">
        <v>65</v>
      </c>
      <c r="C96" s="12" t="s">
        <v>227</v>
      </c>
      <c r="D96" s="6" t="s">
        <v>30</v>
      </c>
      <c r="E96" s="6" t="s">
        <v>12</v>
      </c>
      <c r="F96" s="6" t="s">
        <v>13</v>
      </c>
      <c r="G96" s="6" t="s">
        <v>35</v>
      </c>
      <c r="H96" s="5">
        <v>13</v>
      </c>
      <c r="I96" s="74" t="s">
        <v>273</v>
      </c>
      <c r="J96" s="46">
        <v>12.563000000000001</v>
      </c>
      <c r="K96" s="46">
        <v>52.170999999999999</v>
      </c>
      <c r="L96" s="46">
        <v>35.173000000000002</v>
      </c>
      <c r="M96" s="46">
        <v>30.756999999999998</v>
      </c>
      <c r="N96" s="46">
        <v>35.301000000000002</v>
      </c>
      <c r="O96" s="46">
        <v>44.812000000000005</v>
      </c>
      <c r="P96" s="46">
        <v>31.510999999999996</v>
      </c>
      <c r="Q96" s="46">
        <v>45.036000000000001</v>
      </c>
      <c r="R96" s="46">
        <v>28.926000000000002</v>
      </c>
      <c r="S96" s="46">
        <v>48.942</v>
      </c>
      <c r="T96" s="10">
        <v>55.802000000000007</v>
      </c>
      <c r="U96" s="10">
        <v>37.814999999999998</v>
      </c>
      <c r="V96" s="10">
        <v>39.864999999999995</v>
      </c>
      <c r="W96" s="10">
        <v>28.964000000000002</v>
      </c>
      <c r="X96" s="10">
        <v>49.51100000000001</v>
      </c>
      <c r="Y96" s="10">
        <v>29.622999999999998</v>
      </c>
      <c r="Z96" s="10">
        <v>53.302999999999997</v>
      </c>
      <c r="AA96" s="10">
        <v>24.82</v>
      </c>
      <c r="AB96" s="10">
        <v>43.521000000000001</v>
      </c>
      <c r="AC96" s="10">
        <v>20.164000000000001</v>
      </c>
      <c r="AD96" s="10">
        <v>40.849000000000004</v>
      </c>
      <c r="AE96" s="10">
        <v>21.5</v>
      </c>
      <c r="AF96" s="10">
        <v>50.852000000000004</v>
      </c>
      <c r="AG96" s="10">
        <v>18.891999999999999</v>
      </c>
      <c r="AH96" s="10">
        <v>51.856999999999999</v>
      </c>
      <c r="AI96" s="10">
        <v>23.687000000000001</v>
      </c>
      <c r="AJ96" s="10">
        <v>27.564</v>
      </c>
      <c r="AK96" s="10">
        <v>43.809000000000012</v>
      </c>
      <c r="AL96" s="10">
        <v>29.479999999999997</v>
      </c>
      <c r="AM96" s="10">
        <v>20.447000000000003</v>
      </c>
      <c r="AN96" s="10">
        <v>13.712</v>
      </c>
      <c r="AO96" s="46">
        <f t="shared" si="2"/>
        <v>32.130000000000003</v>
      </c>
      <c r="AP96" s="7">
        <f t="shared" si="3"/>
        <v>2.4715384615384619</v>
      </c>
    </row>
    <row r="97" spans="1:42" ht="15.6" x14ac:dyDescent="0.3">
      <c r="A97" s="5">
        <v>96</v>
      </c>
      <c r="B97" s="6" t="s">
        <v>65</v>
      </c>
      <c r="C97" s="12" t="s">
        <v>356</v>
      </c>
      <c r="D97" s="6" t="s">
        <v>30</v>
      </c>
      <c r="E97" s="6" t="s">
        <v>12</v>
      </c>
      <c r="F97" s="6" t="s">
        <v>13</v>
      </c>
      <c r="G97" s="6" t="s">
        <v>35</v>
      </c>
      <c r="H97" s="5">
        <v>20</v>
      </c>
      <c r="I97" s="74" t="s">
        <v>273</v>
      </c>
      <c r="J97" s="46">
        <v>318.34800000000007</v>
      </c>
      <c r="K97" s="46">
        <v>362.71500000000009</v>
      </c>
      <c r="L97" s="46">
        <v>323.74200000000002</v>
      </c>
      <c r="M97" s="46">
        <v>333.81100000000004</v>
      </c>
      <c r="N97" s="46">
        <v>296.63900000000001</v>
      </c>
      <c r="O97" s="46">
        <v>359.98400000000004</v>
      </c>
      <c r="P97" s="46">
        <v>264.1520000000001</v>
      </c>
      <c r="Q97" s="46">
        <v>329.37300000000005</v>
      </c>
      <c r="R97" s="46">
        <v>344.48500000000001</v>
      </c>
      <c r="S97" s="46">
        <v>321.95200000000006</v>
      </c>
      <c r="T97" s="10">
        <v>348.14899999999989</v>
      </c>
      <c r="U97" s="10">
        <v>345.19400000000002</v>
      </c>
      <c r="V97" s="10">
        <v>278.24300000000005</v>
      </c>
      <c r="W97" s="10">
        <v>340.1690000000001</v>
      </c>
      <c r="X97" s="10">
        <v>368.44299999999987</v>
      </c>
      <c r="Y97" s="10">
        <v>368.43800000000022</v>
      </c>
      <c r="Z97" s="10">
        <v>376.97799999999989</v>
      </c>
      <c r="AA97" s="10">
        <v>392.34</v>
      </c>
      <c r="AB97" s="10">
        <v>409.4430000000001</v>
      </c>
      <c r="AC97" s="10">
        <v>362.27</v>
      </c>
      <c r="AD97" s="10">
        <v>306.44800000000004</v>
      </c>
      <c r="AE97" s="10">
        <v>319.40900000000005</v>
      </c>
      <c r="AF97" s="10">
        <v>391.04100000000017</v>
      </c>
      <c r="AG97" s="10">
        <v>387.17099999999999</v>
      </c>
      <c r="AH97" s="10">
        <v>350.01900000000012</v>
      </c>
      <c r="AI97" s="10">
        <v>380.77600000000001</v>
      </c>
      <c r="AJ97" s="10">
        <v>394.82</v>
      </c>
      <c r="AK97" s="10">
        <v>339.7829999999999</v>
      </c>
      <c r="AL97" s="10">
        <v>339.00399999999996</v>
      </c>
      <c r="AM97" s="10">
        <v>375.19900000000001</v>
      </c>
      <c r="AN97" s="10">
        <v>327.91099999999994</v>
      </c>
      <c r="AO97" s="46">
        <f t="shared" si="2"/>
        <v>363.81562499999995</v>
      </c>
      <c r="AP97" s="7">
        <f t="shared" si="3"/>
        <v>18.190781249999997</v>
      </c>
    </row>
    <row r="98" spans="1:42" x14ac:dyDescent="0.3">
      <c r="A98" s="5">
        <v>97</v>
      </c>
      <c r="B98" s="6" t="s">
        <v>65</v>
      </c>
      <c r="C98" s="12" t="s">
        <v>228</v>
      </c>
      <c r="D98" s="6" t="s">
        <v>30</v>
      </c>
      <c r="E98" s="6" t="s">
        <v>12</v>
      </c>
      <c r="F98" s="6" t="s">
        <v>13</v>
      </c>
      <c r="G98" s="6" t="s">
        <v>35</v>
      </c>
      <c r="H98" s="5">
        <v>1</v>
      </c>
      <c r="I98" s="67" t="s">
        <v>272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v>0</v>
      </c>
      <c r="AN98" s="46">
        <v>0</v>
      </c>
      <c r="AO98" s="46">
        <f t="shared" si="2"/>
        <v>0</v>
      </c>
      <c r="AP98" s="7">
        <f t="shared" si="3"/>
        <v>0</v>
      </c>
    </row>
    <row r="99" spans="1:42" x14ac:dyDescent="0.3">
      <c r="A99" s="5">
        <v>98</v>
      </c>
      <c r="B99" s="6" t="s">
        <v>65</v>
      </c>
      <c r="C99" s="12" t="s">
        <v>110</v>
      </c>
      <c r="D99" s="6" t="s">
        <v>30</v>
      </c>
      <c r="E99" s="6" t="s">
        <v>12</v>
      </c>
      <c r="F99" s="6" t="s">
        <v>13</v>
      </c>
      <c r="G99" s="6" t="s">
        <v>35</v>
      </c>
      <c r="H99" s="5">
        <v>1</v>
      </c>
      <c r="I99" s="67" t="s">
        <v>272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f t="shared" si="2"/>
        <v>0</v>
      </c>
      <c r="AP99" s="7">
        <f t="shared" si="3"/>
        <v>0</v>
      </c>
    </row>
    <row r="100" spans="1:42" x14ac:dyDescent="0.3">
      <c r="A100" s="5">
        <v>99</v>
      </c>
      <c r="B100" s="6" t="s">
        <v>65</v>
      </c>
      <c r="C100" s="12" t="s">
        <v>229</v>
      </c>
      <c r="D100" s="6" t="s">
        <v>128</v>
      </c>
      <c r="E100" s="6" t="s">
        <v>12</v>
      </c>
      <c r="F100" s="6" t="s">
        <v>40</v>
      </c>
      <c r="G100" s="6" t="s">
        <v>35</v>
      </c>
      <c r="H100" s="5">
        <v>2</v>
      </c>
      <c r="I100" s="67" t="s">
        <v>160</v>
      </c>
      <c r="J100" s="46">
        <v>0</v>
      </c>
      <c r="K100" s="46">
        <v>0</v>
      </c>
      <c r="L100" s="46">
        <v>4.9800000000000004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12.57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10">
        <v>13.114000000000001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0</v>
      </c>
      <c r="AN100" s="46">
        <v>0</v>
      </c>
      <c r="AO100" s="46">
        <f t="shared" si="2"/>
        <v>0.81962500000000005</v>
      </c>
      <c r="AP100" s="7">
        <f t="shared" si="3"/>
        <v>0.40981250000000002</v>
      </c>
    </row>
    <row r="101" spans="1:42" x14ac:dyDescent="0.3">
      <c r="A101" s="5">
        <v>100</v>
      </c>
      <c r="B101" s="6" t="s">
        <v>65</v>
      </c>
      <c r="C101" s="12" t="s">
        <v>230</v>
      </c>
      <c r="D101" s="6"/>
      <c r="E101" s="6" t="s">
        <v>130</v>
      </c>
      <c r="F101" s="6" t="s">
        <v>121</v>
      </c>
      <c r="G101" s="6" t="s">
        <v>35</v>
      </c>
      <c r="H101" s="5">
        <v>2</v>
      </c>
      <c r="I101" s="67" t="s">
        <v>160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v>0</v>
      </c>
      <c r="AO101" s="46">
        <f t="shared" si="2"/>
        <v>0</v>
      </c>
      <c r="AP101" s="7">
        <f t="shared" si="3"/>
        <v>0</v>
      </c>
    </row>
    <row r="102" spans="1:42" x14ac:dyDescent="0.3">
      <c r="A102" s="5">
        <v>101</v>
      </c>
      <c r="B102" s="6" t="s">
        <v>65</v>
      </c>
      <c r="C102" s="12" t="s">
        <v>231</v>
      </c>
      <c r="D102" s="6" t="s">
        <v>128</v>
      </c>
      <c r="E102" s="6" t="s">
        <v>19</v>
      </c>
      <c r="F102" s="6" t="s">
        <v>13</v>
      </c>
      <c r="G102" s="6" t="s">
        <v>35</v>
      </c>
      <c r="H102" s="5">
        <v>6</v>
      </c>
      <c r="I102" s="67" t="s">
        <v>160</v>
      </c>
      <c r="J102" s="46">
        <v>60.225000000000001</v>
      </c>
      <c r="K102" s="46">
        <v>20.376999999999999</v>
      </c>
      <c r="L102" s="46">
        <v>89.435000000000016</v>
      </c>
      <c r="M102" s="46">
        <v>56.647999999999996</v>
      </c>
      <c r="N102" s="46">
        <v>2.95</v>
      </c>
      <c r="O102" s="46">
        <v>10.917999999999999</v>
      </c>
      <c r="P102" s="46">
        <v>58.176000000000002</v>
      </c>
      <c r="Q102" s="46">
        <v>68.3</v>
      </c>
      <c r="R102" s="46">
        <v>55.833999999999996</v>
      </c>
      <c r="S102" s="46">
        <v>59.872</v>
      </c>
      <c r="T102" s="10">
        <v>59.494999999999997</v>
      </c>
      <c r="U102" s="46">
        <v>0</v>
      </c>
      <c r="V102" s="46">
        <v>0</v>
      </c>
      <c r="W102" s="10">
        <v>66.390999999999991</v>
      </c>
      <c r="X102" s="10">
        <v>56.678999999999988</v>
      </c>
      <c r="Y102" s="10">
        <v>66.876999999999995</v>
      </c>
      <c r="Z102" s="10">
        <v>26.764000000000003</v>
      </c>
      <c r="AA102" s="10">
        <v>54.353000000000009</v>
      </c>
      <c r="AB102" s="10">
        <v>19.562000000000001</v>
      </c>
      <c r="AC102" s="10">
        <v>14.891999999999999</v>
      </c>
      <c r="AD102" s="10">
        <v>61.972000000000001</v>
      </c>
      <c r="AE102" s="10">
        <v>91.234000000000009</v>
      </c>
      <c r="AF102" s="10">
        <v>71.954999999999998</v>
      </c>
      <c r="AG102" s="10">
        <v>65.158999999999992</v>
      </c>
      <c r="AH102" s="10">
        <v>92.345000000000013</v>
      </c>
      <c r="AI102" s="10">
        <v>7.7569999999999997</v>
      </c>
      <c r="AJ102" s="10">
        <v>5.8330000000000002</v>
      </c>
      <c r="AK102" s="10">
        <v>26.980999999999995</v>
      </c>
      <c r="AL102" s="10">
        <v>75.662000000000006</v>
      </c>
      <c r="AM102" s="10">
        <v>75.19</v>
      </c>
      <c r="AN102" s="10">
        <v>12.909000000000001</v>
      </c>
      <c r="AO102" s="46">
        <f t="shared" si="2"/>
        <v>48.090312499999989</v>
      </c>
      <c r="AP102" s="7">
        <f t="shared" si="3"/>
        <v>8.0150520833333321</v>
      </c>
    </row>
    <row r="103" spans="1:42" x14ac:dyDescent="0.3">
      <c r="A103" s="5">
        <v>102</v>
      </c>
      <c r="B103" s="6" t="s">
        <v>65</v>
      </c>
      <c r="C103" s="12" t="s">
        <v>231</v>
      </c>
      <c r="D103" s="6" t="s">
        <v>128</v>
      </c>
      <c r="E103" s="6" t="s">
        <v>19</v>
      </c>
      <c r="F103" s="6" t="s">
        <v>40</v>
      </c>
      <c r="G103" s="6" t="s">
        <v>35</v>
      </c>
      <c r="H103" s="5">
        <v>1</v>
      </c>
      <c r="I103" s="67" t="s">
        <v>160</v>
      </c>
      <c r="J103" s="51">
        <v>0</v>
      </c>
      <c r="K103" s="51">
        <v>0</v>
      </c>
      <c r="L103" s="51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51">
        <v>0</v>
      </c>
      <c r="T103" s="51">
        <v>0</v>
      </c>
      <c r="U103" s="51">
        <v>0</v>
      </c>
      <c r="V103" s="51">
        <v>0</v>
      </c>
      <c r="W103" s="51">
        <v>0</v>
      </c>
      <c r="X103" s="51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0</v>
      </c>
      <c r="AN103" s="46">
        <v>0</v>
      </c>
      <c r="AO103" s="46">
        <f t="shared" si="2"/>
        <v>0</v>
      </c>
      <c r="AP103" s="7">
        <f t="shared" si="3"/>
        <v>0</v>
      </c>
    </row>
    <row r="104" spans="1:42" ht="15.6" x14ac:dyDescent="0.3">
      <c r="A104" s="5">
        <v>103</v>
      </c>
      <c r="B104" s="6" t="s">
        <v>65</v>
      </c>
      <c r="C104" s="12" t="s">
        <v>232</v>
      </c>
      <c r="D104" s="6" t="s">
        <v>128</v>
      </c>
      <c r="E104" s="6" t="s">
        <v>12</v>
      </c>
      <c r="F104" s="6" t="s">
        <v>121</v>
      </c>
      <c r="G104" s="6" t="s">
        <v>35</v>
      </c>
      <c r="H104" s="5">
        <v>20</v>
      </c>
      <c r="I104" s="74" t="s">
        <v>273</v>
      </c>
      <c r="J104" s="46">
        <v>242.95400000000006</v>
      </c>
      <c r="K104" s="46">
        <v>106.01500000000001</v>
      </c>
      <c r="L104" s="46">
        <v>154.45100000000002</v>
      </c>
      <c r="M104" s="46">
        <v>158.17099999999999</v>
      </c>
      <c r="N104" s="46">
        <v>198.25300000000001</v>
      </c>
      <c r="O104" s="46">
        <v>152.81100000000001</v>
      </c>
      <c r="P104" s="46">
        <v>167.70400000000006</v>
      </c>
      <c r="Q104" s="46">
        <v>144.87400000000005</v>
      </c>
      <c r="R104" s="46">
        <v>145.71099999999998</v>
      </c>
      <c r="S104" s="46">
        <v>140.80499999999998</v>
      </c>
      <c r="T104" s="10">
        <v>131.268</v>
      </c>
      <c r="U104" s="10">
        <v>94.076999999999998</v>
      </c>
      <c r="V104" s="10">
        <v>92.689000000000007</v>
      </c>
      <c r="W104" s="10">
        <v>122.68299999999999</v>
      </c>
      <c r="X104" s="10">
        <v>108.11499999999998</v>
      </c>
      <c r="Y104" s="10">
        <v>129.499</v>
      </c>
      <c r="Z104" s="10">
        <v>157.45700000000005</v>
      </c>
      <c r="AA104" s="10">
        <v>156.07600000000002</v>
      </c>
      <c r="AB104" s="10">
        <v>160.83499999999998</v>
      </c>
      <c r="AC104" s="10">
        <v>128.30899999999997</v>
      </c>
      <c r="AD104" s="10">
        <v>90.472999999999985</v>
      </c>
      <c r="AE104" s="10">
        <v>119.146</v>
      </c>
      <c r="AF104" s="10">
        <v>139.96099999999998</v>
      </c>
      <c r="AG104" s="10">
        <v>122.73000000000002</v>
      </c>
      <c r="AH104" s="10">
        <v>126.26100000000001</v>
      </c>
      <c r="AI104" s="10">
        <v>160.16000000000005</v>
      </c>
      <c r="AJ104" s="10">
        <v>102.136</v>
      </c>
      <c r="AK104" s="10">
        <v>132.048</v>
      </c>
      <c r="AL104" s="10">
        <v>148.47099999999998</v>
      </c>
      <c r="AM104" s="10">
        <v>137.80199999999999</v>
      </c>
      <c r="AN104" s="10">
        <v>122.008</v>
      </c>
      <c r="AO104" s="46">
        <f t="shared" si="2"/>
        <v>133.33574999999999</v>
      </c>
      <c r="AP104" s="7">
        <f t="shared" si="3"/>
        <v>6.6667874999999999</v>
      </c>
    </row>
    <row r="105" spans="1:42" ht="15.6" x14ac:dyDescent="0.3">
      <c r="A105" s="5">
        <v>104</v>
      </c>
      <c r="B105" s="6" t="s">
        <v>65</v>
      </c>
      <c r="C105" s="12" t="s">
        <v>254</v>
      </c>
      <c r="D105" s="6" t="s">
        <v>128</v>
      </c>
      <c r="E105" s="6" t="s">
        <v>12</v>
      </c>
      <c r="F105" s="6" t="s">
        <v>121</v>
      </c>
      <c r="G105" s="6" t="s">
        <v>35</v>
      </c>
      <c r="H105" s="5">
        <v>15</v>
      </c>
      <c r="I105" s="74" t="s">
        <v>273</v>
      </c>
      <c r="J105" s="46">
        <v>215.40799999999999</v>
      </c>
      <c r="K105" s="46">
        <v>206.73400000000004</v>
      </c>
      <c r="L105" s="46">
        <v>192.94800000000001</v>
      </c>
      <c r="M105" s="46">
        <v>203.55999999999997</v>
      </c>
      <c r="N105" s="46">
        <v>204.51899999999998</v>
      </c>
      <c r="O105" s="46">
        <v>158.06100000000001</v>
      </c>
      <c r="P105" s="46">
        <v>213.869</v>
      </c>
      <c r="Q105" s="46">
        <v>235.69</v>
      </c>
      <c r="R105" s="46">
        <v>189.40899999999999</v>
      </c>
      <c r="S105" s="46">
        <v>240.09699999999995</v>
      </c>
      <c r="T105" s="10">
        <v>168.952</v>
      </c>
      <c r="U105" s="10">
        <v>227.65599999999995</v>
      </c>
      <c r="V105" s="10">
        <v>189.28699999999995</v>
      </c>
      <c r="W105" s="10">
        <v>171.34899999999996</v>
      </c>
      <c r="X105" s="10">
        <v>219.53700000000003</v>
      </c>
      <c r="Y105" s="10">
        <v>204.29300000000001</v>
      </c>
      <c r="Z105" s="10">
        <v>219.78400000000005</v>
      </c>
      <c r="AA105" s="10">
        <v>171.13600000000002</v>
      </c>
      <c r="AB105" s="10">
        <v>208.04600000000005</v>
      </c>
      <c r="AC105" s="10">
        <v>187.54600000000002</v>
      </c>
      <c r="AD105" s="10">
        <v>218.49999999999994</v>
      </c>
      <c r="AE105" s="10">
        <v>222.21099999999998</v>
      </c>
      <c r="AF105" s="10">
        <v>227.33700000000002</v>
      </c>
      <c r="AG105" s="10">
        <v>239.65999999999997</v>
      </c>
      <c r="AH105" s="10">
        <v>261.5</v>
      </c>
      <c r="AI105" s="10">
        <v>262.21499999999997</v>
      </c>
      <c r="AJ105" s="10">
        <v>184.19000000000003</v>
      </c>
      <c r="AK105" s="10">
        <v>200.92399999999989</v>
      </c>
      <c r="AL105" s="10">
        <v>258.23799999999994</v>
      </c>
      <c r="AM105" s="10">
        <v>154.62800000000004</v>
      </c>
      <c r="AN105" s="10">
        <v>206.14</v>
      </c>
      <c r="AO105" s="46">
        <f t="shared" si="2"/>
        <v>214.14675</v>
      </c>
      <c r="AP105" s="7">
        <f t="shared" si="3"/>
        <v>14.276450000000001</v>
      </c>
    </row>
    <row r="106" spans="1:42" x14ac:dyDescent="0.3">
      <c r="A106" s="5">
        <v>105</v>
      </c>
      <c r="B106" s="6" t="s">
        <v>65</v>
      </c>
      <c r="C106" s="12" t="s">
        <v>233</v>
      </c>
      <c r="D106" s="6" t="s">
        <v>128</v>
      </c>
      <c r="E106" s="6" t="s">
        <v>12</v>
      </c>
      <c r="F106" s="6" t="s">
        <v>121</v>
      </c>
      <c r="G106" s="6" t="s">
        <v>35</v>
      </c>
      <c r="H106" s="5">
        <v>4</v>
      </c>
      <c r="I106" s="67" t="s">
        <v>272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v>0</v>
      </c>
      <c r="AN106" s="46">
        <v>0</v>
      </c>
      <c r="AO106" s="46">
        <f t="shared" si="2"/>
        <v>0</v>
      </c>
      <c r="AP106" s="7">
        <f t="shared" si="3"/>
        <v>0</v>
      </c>
    </row>
    <row r="107" spans="1:42" x14ac:dyDescent="0.3">
      <c r="A107" s="5">
        <v>106</v>
      </c>
      <c r="B107" s="6" t="s">
        <v>65</v>
      </c>
      <c r="C107" s="12" t="s">
        <v>233</v>
      </c>
      <c r="D107" s="6" t="s">
        <v>128</v>
      </c>
      <c r="E107" s="6" t="s">
        <v>12</v>
      </c>
      <c r="F107" s="6" t="s">
        <v>40</v>
      </c>
      <c r="G107" s="6" t="s">
        <v>35</v>
      </c>
      <c r="H107" s="5">
        <v>2</v>
      </c>
      <c r="I107" s="67" t="s">
        <v>272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0</v>
      </c>
      <c r="AO107" s="46">
        <f t="shared" si="2"/>
        <v>0</v>
      </c>
      <c r="AP107" s="7">
        <f t="shared" si="3"/>
        <v>0</v>
      </c>
    </row>
    <row r="108" spans="1:42" x14ac:dyDescent="0.3">
      <c r="A108" s="5">
        <v>107</v>
      </c>
      <c r="B108" s="6" t="s">
        <v>65</v>
      </c>
      <c r="C108" s="12" t="s">
        <v>442</v>
      </c>
      <c r="D108" s="6" t="s">
        <v>236</v>
      </c>
      <c r="E108" s="6" t="s">
        <v>12</v>
      </c>
      <c r="F108" s="6" t="s">
        <v>121</v>
      </c>
      <c r="G108" s="6" t="s">
        <v>35</v>
      </c>
      <c r="H108" s="5">
        <v>2</v>
      </c>
      <c r="I108" s="67" t="s">
        <v>160</v>
      </c>
      <c r="J108" s="46">
        <v>0</v>
      </c>
      <c r="K108" s="46">
        <v>9.7729999999999997</v>
      </c>
      <c r="L108" s="46">
        <v>0</v>
      </c>
      <c r="M108" s="46">
        <v>9.8800000000000008</v>
      </c>
      <c r="N108" s="46">
        <v>17.823</v>
      </c>
      <c r="O108" s="46">
        <v>4.5049999999999999</v>
      </c>
      <c r="P108" s="46">
        <v>0</v>
      </c>
      <c r="Q108" s="46">
        <v>10.464</v>
      </c>
      <c r="R108" s="46">
        <v>19</v>
      </c>
      <c r="S108" s="46">
        <v>0</v>
      </c>
      <c r="T108" s="10">
        <v>10.782999999999999</v>
      </c>
      <c r="U108" s="10">
        <v>11.949</v>
      </c>
      <c r="V108" s="10">
        <v>8.4060000000000006</v>
      </c>
      <c r="W108" s="46">
        <v>0</v>
      </c>
      <c r="X108" s="10">
        <v>10.254</v>
      </c>
      <c r="Y108" s="46">
        <v>0</v>
      </c>
      <c r="Z108" s="46">
        <v>0</v>
      </c>
      <c r="AA108" s="10">
        <v>11.957000000000001</v>
      </c>
      <c r="AB108" s="10">
        <v>23.402999999999999</v>
      </c>
      <c r="AC108" s="10">
        <v>4.702</v>
      </c>
      <c r="AD108" s="46">
        <v>0</v>
      </c>
      <c r="AE108" s="10">
        <v>11.504</v>
      </c>
      <c r="AF108" s="10">
        <v>10.827999999999999</v>
      </c>
      <c r="AG108" s="10">
        <v>7.2720000000000002</v>
      </c>
      <c r="AH108" s="46">
        <v>0</v>
      </c>
      <c r="AI108" s="10">
        <v>10.848000000000001</v>
      </c>
      <c r="AJ108" s="10">
        <v>12.608000000000001</v>
      </c>
      <c r="AK108" s="10">
        <v>2E-3</v>
      </c>
      <c r="AL108" s="10">
        <v>7.78</v>
      </c>
      <c r="AM108" s="10">
        <v>9.077</v>
      </c>
      <c r="AN108" s="10">
        <v>8.9570000000000007</v>
      </c>
      <c r="AO108" s="46">
        <f t="shared" si="2"/>
        <v>7.4336249999999993</v>
      </c>
      <c r="AP108" s="7">
        <f t="shared" si="3"/>
        <v>3.7168124999999996</v>
      </c>
    </row>
    <row r="109" spans="1:42" x14ac:dyDescent="0.3">
      <c r="A109" s="5">
        <v>108</v>
      </c>
      <c r="B109" s="6" t="s">
        <v>65</v>
      </c>
      <c r="C109" s="12" t="s">
        <v>252</v>
      </c>
      <c r="D109" s="6" t="s">
        <v>236</v>
      </c>
      <c r="E109" s="6" t="s">
        <v>12</v>
      </c>
      <c r="F109" s="6" t="s">
        <v>121</v>
      </c>
      <c r="G109" s="6" t="s">
        <v>35</v>
      </c>
      <c r="H109" s="5">
        <v>3</v>
      </c>
      <c r="I109" s="67" t="s">
        <v>160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0</v>
      </c>
      <c r="AF109" s="46">
        <v>0</v>
      </c>
      <c r="AG109" s="46">
        <v>0</v>
      </c>
      <c r="AH109" s="46">
        <v>0</v>
      </c>
      <c r="AI109" s="46">
        <v>0</v>
      </c>
      <c r="AJ109" s="46">
        <v>0</v>
      </c>
      <c r="AK109" s="46">
        <v>0</v>
      </c>
      <c r="AL109" s="46">
        <v>0</v>
      </c>
      <c r="AM109" s="46">
        <v>0</v>
      </c>
      <c r="AN109" s="46">
        <v>0</v>
      </c>
      <c r="AO109" s="46">
        <f t="shared" si="2"/>
        <v>0</v>
      </c>
      <c r="AP109" s="7">
        <f t="shared" si="3"/>
        <v>0</v>
      </c>
    </row>
    <row r="110" spans="1:42" x14ac:dyDescent="0.3">
      <c r="A110" s="5">
        <v>109</v>
      </c>
      <c r="B110" s="6" t="s">
        <v>65</v>
      </c>
      <c r="C110" s="12" t="s">
        <v>238</v>
      </c>
      <c r="D110" s="6" t="s">
        <v>236</v>
      </c>
      <c r="E110" s="6" t="s">
        <v>12</v>
      </c>
      <c r="F110" s="6" t="s">
        <v>121</v>
      </c>
      <c r="G110" s="6" t="s">
        <v>35</v>
      </c>
      <c r="H110" s="5">
        <v>3</v>
      </c>
      <c r="I110" s="67" t="s">
        <v>160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v>0</v>
      </c>
      <c r="AN110" s="46">
        <v>0</v>
      </c>
      <c r="AO110" s="46">
        <f t="shared" si="2"/>
        <v>0</v>
      </c>
      <c r="AP110" s="7">
        <f t="shared" si="3"/>
        <v>0</v>
      </c>
    </row>
    <row r="111" spans="1:42" x14ac:dyDescent="0.3">
      <c r="A111" s="5">
        <v>110</v>
      </c>
      <c r="B111" s="6" t="s">
        <v>65</v>
      </c>
      <c r="C111" s="12" t="s">
        <v>238</v>
      </c>
      <c r="D111" s="6" t="s">
        <v>236</v>
      </c>
      <c r="E111" s="6" t="s">
        <v>12</v>
      </c>
      <c r="F111" s="6" t="s">
        <v>95</v>
      </c>
      <c r="G111" s="6" t="s">
        <v>80</v>
      </c>
      <c r="H111" s="5">
        <v>1</v>
      </c>
      <c r="I111" s="67" t="s">
        <v>160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0</v>
      </c>
      <c r="AO111" s="46">
        <f t="shared" si="2"/>
        <v>0</v>
      </c>
      <c r="AP111" s="7">
        <f t="shared" si="3"/>
        <v>0</v>
      </c>
    </row>
    <row r="112" spans="1:42" x14ac:dyDescent="0.3">
      <c r="A112" s="5">
        <v>111</v>
      </c>
      <c r="B112" s="6" t="s">
        <v>65</v>
      </c>
      <c r="C112" s="12" t="s">
        <v>235</v>
      </c>
      <c r="D112" s="6" t="s">
        <v>236</v>
      </c>
      <c r="E112" s="6" t="s">
        <v>12</v>
      </c>
      <c r="F112" s="6" t="s">
        <v>121</v>
      </c>
      <c r="G112" s="6" t="s">
        <v>35</v>
      </c>
      <c r="H112" s="5">
        <v>3</v>
      </c>
      <c r="I112" s="67" t="s">
        <v>160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f t="shared" si="2"/>
        <v>0</v>
      </c>
      <c r="AP112" s="7">
        <f t="shared" si="3"/>
        <v>0</v>
      </c>
    </row>
    <row r="113" spans="1:42" x14ac:dyDescent="0.3">
      <c r="A113" s="5">
        <v>112</v>
      </c>
      <c r="B113" s="6" t="s">
        <v>65</v>
      </c>
      <c r="C113" s="12" t="s">
        <v>237</v>
      </c>
      <c r="D113" s="6" t="s">
        <v>236</v>
      </c>
      <c r="E113" s="6" t="s">
        <v>12</v>
      </c>
      <c r="F113" s="6" t="s">
        <v>121</v>
      </c>
      <c r="G113" s="6" t="s">
        <v>35</v>
      </c>
      <c r="H113" s="5">
        <v>3</v>
      </c>
      <c r="I113" s="67" t="s">
        <v>160</v>
      </c>
      <c r="J113" s="46">
        <v>10.706</v>
      </c>
      <c r="K113" s="46">
        <v>10.804</v>
      </c>
      <c r="L113" s="46">
        <v>4.6029999999999998</v>
      </c>
      <c r="M113" s="46">
        <v>12.929</v>
      </c>
      <c r="N113" s="46">
        <v>7.72</v>
      </c>
      <c r="O113" s="46">
        <v>5.5960000000000001</v>
      </c>
      <c r="P113" s="46">
        <v>10.474</v>
      </c>
      <c r="Q113" s="46">
        <v>9.2379999999999995</v>
      </c>
      <c r="R113" s="46">
        <v>8.3919999999999995</v>
      </c>
      <c r="S113" s="46">
        <v>27.434999999999999</v>
      </c>
      <c r="T113" s="10">
        <v>5.26</v>
      </c>
      <c r="U113" s="10">
        <v>24.085000000000001</v>
      </c>
      <c r="V113" s="46">
        <v>0</v>
      </c>
      <c r="W113" s="10">
        <v>16.355999999999998</v>
      </c>
      <c r="X113" s="10">
        <v>18.91</v>
      </c>
      <c r="Y113" s="10">
        <v>24.686</v>
      </c>
      <c r="Z113" s="10">
        <v>11.689</v>
      </c>
      <c r="AA113" s="10">
        <v>18.858000000000001</v>
      </c>
      <c r="AB113" s="10">
        <v>14.457000000000001</v>
      </c>
      <c r="AC113" s="10">
        <v>28.427999999999997</v>
      </c>
      <c r="AD113" s="10">
        <v>2.7750000000000004</v>
      </c>
      <c r="AE113" s="10">
        <v>17.734000000000002</v>
      </c>
      <c r="AF113" s="10">
        <v>17.863</v>
      </c>
      <c r="AG113" s="10">
        <v>17.585000000000001</v>
      </c>
      <c r="AH113" s="10">
        <v>21.18</v>
      </c>
      <c r="AI113" s="10">
        <v>23.819000000000003</v>
      </c>
      <c r="AJ113" s="10">
        <v>8.2759999999999998</v>
      </c>
      <c r="AK113" s="10">
        <v>14.643000000000001</v>
      </c>
      <c r="AL113" s="10">
        <v>23.539000000000001</v>
      </c>
      <c r="AM113" s="10">
        <v>19.070999999999998</v>
      </c>
      <c r="AN113" s="10">
        <v>20.925999999999998</v>
      </c>
      <c r="AO113" s="46">
        <f t="shared" si="2"/>
        <v>17.845562500000003</v>
      </c>
      <c r="AP113" s="7">
        <f t="shared" si="3"/>
        <v>5.9485208333333341</v>
      </c>
    </row>
    <row r="114" spans="1:42" x14ac:dyDescent="0.3">
      <c r="A114" s="5">
        <v>113</v>
      </c>
      <c r="B114" s="6" t="s">
        <v>65</v>
      </c>
      <c r="C114" s="12" t="s">
        <v>245</v>
      </c>
      <c r="D114" s="6" t="s">
        <v>236</v>
      </c>
      <c r="E114" s="6" t="s">
        <v>12</v>
      </c>
      <c r="F114" s="6" t="s">
        <v>121</v>
      </c>
      <c r="G114" s="6" t="s">
        <v>35</v>
      </c>
      <c r="H114" s="5">
        <v>3</v>
      </c>
      <c r="I114" s="67" t="s">
        <v>160</v>
      </c>
      <c r="J114" s="46">
        <v>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0</v>
      </c>
      <c r="AD114" s="46">
        <v>0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0</v>
      </c>
      <c r="AL114" s="46">
        <v>0</v>
      </c>
      <c r="AM114" s="46">
        <v>0</v>
      </c>
      <c r="AN114" s="46">
        <v>0</v>
      </c>
      <c r="AO114" s="46">
        <f t="shared" si="2"/>
        <v>0</v>
      </c>
      <c r="AP114" s="7">
        <f t="shared" si="3"/>
        <v>0</v>
      </c>
    </row>
    <row r="115" spans="1:42" x14ac:dyDescent="0.3">
      <c r="A115" s="5">
        <v>114</v>
      </c>
      <c r="B115" s="6" t="s">
        <v>65</v>
      </c>
      <c r="C115" s="12" t="s">
        <v>253</v>
      </c>
      <c r="D115" s="6" t="s">
        <v>236</v>
      </c>
      <c r="E115" s="6" t="s">
        <v>12</v>
      </c>
      <c r="F115" s="6" t="s">
        <v>121</v>
      </c>
      <c r="G115" s="6" t="s">
        <v>35</v>
      </c>
      <c r="H115" s="5">
        <v>3</v>
      </c>
      <c r="I115" s="67" t="s">
        <v>160</v>
      </c>
      <c r="J115" s="46">
        <v>0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v>0</v>
      </c>
      <c r="AN115" s="46">
        <v>0</v>
      </c>
      <c r="AO115" s="46">
        <f t="shared" si="2"/>
        <v>0</v>
      </c>
      <c r="AP115" s="7">
        <f t="shared" si="3"/>
        <v>0</v>
      </c>
    </row>
    <row r="116" spans="1:42" x14ac:dyDescent="0.3">
      <c r="A116" s="5">
        <v>115</v>
      </c>
      <c r="B116" s="6" t="s">
        <v>65</v>
      </c>
      <c r="C116" s="12" t="s">
        <v>261</v>
      </c>
      <c r="D116" s="6" t="s">
        <v>236</v>
      </c>
      <c r="E116" s="6" t="s">
        <v>12</v>
      </c>
      <c r="F116" s="6" t="s">
        <v>121</v>
      </c>
      <c r="G116" s="6" t="s">
        <v>35</v>
      </c>
      <c r="H116" s="5">
        <v>10</v>
      </c>
      <c r="I116" s="67" t="s">
        <v>160</v>
      </c>
      <c r="J116" s="46">
        <v>0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46">
        <v>0</v>
      </c>
      <c r="AM116" s="46">
        <v>0</v>
      </c>
      <c r="AN116" s="46">
        <v>0</v>
      </c>
      <c r="AO116" s="46">
        <f t="shared" si="2"/>
        <v>0</v>
      </c>
      <c r="AP116" s="7">
        <f t="shared" si="3"/>
        <v>0</v>
      </c>
    </row>
    <row r="117" spans="1:42" ht="15.6" x14ac:dyDescent="0.3">
      <c r="A117" s="5">
        <v>116</v>
      </c>
      <c r="B117" s="6" t="s">
        <v>65</v>
      </c>
      <c r="C117" s="12" t="s">
        <v>298</v>
      </c>
      <c r="D117" s="6" t="s">
        <v>30</v>
      </c>
      <c r="E117" s="6" t="s">
        <v>12</v>
      </c>
      <c r="F117" s="6" t="s">
        <v>121</v>
      </c>
      <c r="G117" s="6" t="s">
        <v>35</v>
      </c>
      <c r="H117" s="5">
        <v>4</v>
      </c>
      <c r="I117" s="74" t="s">
        <v>273</v>
      </c>
      <c r="J117" s="46">
        <v>1.0660000000000001</v>
      </c>
      <c r="K117" s="46">
        <v>0</v>
      </c>
      <c r="L117" s="46">
        <v>1.8009999999999999</v>
      </c>
      <c r="M117" s="46">
        <v>0</v>
      </c>
      <c r="N117" s="46">
        <v>0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10">
        <v>0.85899999999999999</v>
      </c>
      <c r="U117" s="10">
        <v>1.9850000000000001</v>
      </c>
      <c r="V117" s="46">
        <v>0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10">
        <v>8.2899999999999991</v>
      </c>
      <c r="AG117" s="46">
        <v>0</v>
      </c>
      <c r="AH117" s="46">
        <v>0</v>
      </c>
      <c r="AI117" s="46">
        <v>0</v>
      </c>
      <c r="AJ117" s="46">
        <v>0</v>
      </c>
      <c r="AK117" s="46">
        <v>0</v>
      </c>
      <c r="AL117" s="46">
        <v>0</v>
      </c>
      <c r="AM117" s="46">
        <v>0</v>
      </c>
      <c r="AN117" s="46">
        <v>0</v>
      </c>
      <c r="AO117" s="46">
        <f t="shared" si="2"/>
        <v>0.51812499999999995</v>
      </c>
      <c r="AP117" s="7">
        <f t="shared" si="3"/>
        <v>0.12953124999999999</v>
      </c>
    </row>
    <row r="118" spans="1:42" ht="15.6" x14ac:dyDescent="0.3">
      <c r="A118" s="5">
        <v>117</v>
      </c>
      <c r="B118" s="6" t="s">
        <v>65</v>
      </c>
      <c r="C118" s="12" t="s">
        <v>405</v>
      </c>
      <c r="D118" s="6" t="s">
        <v>128</v>
      </c>
      <c r="E118" s="6" t="s">
        <v>12</v>
      </c>
      <c r="F118" s="6" t="s">
        <v>121</v>
      </c>
      <c r="G118" s="6" t="s">
        <v>35</v>
      </c>
      <c r="H118" s="5">
        <v>15</v>
      </c>
      <c r="I118" s="74" t="s">
        <v>273</v>
      </c>
      <c r="J118" s="46">
        <v>66.031000000000006</v>
      </c>
      <c r="K118" s="46">
        <v>76.016000000000005</v>
      </c>
      <c r="L118" s="46">
        <v>40.158000000000001</v>
      </c>
      <c r="M118" s="46">
        <v>48.79</v>
      </c>
      <c r="N118" s="46">
        <v>54.682000000000002</v>
      </c>
      <c r="O118" s="46">
        <v>81.52</v>
      </c>
      <c r="P118" s="46">
        <v>69.721999999999994</v>
      </c>
      <c r="Q118" s="46">
        <v>40.673999999999999</v>
      </c>
      <c r="R118" s="46">
        <v>61.228999999999992</v>
      </c>
      <c r="S118" s="46">
        <v>52.273999999999994</v>
      </c>
      <c r="T118" s="10">
        <v>84.885999999999981</v>
      </c>
      <c r="U118" s="10">
        <v>61.472000000000001</v>
      </c>
      <c r="V118" s="10">
        <v>73.335999999999999</v>
      </c>
      <c r="W118" s="10">
        <v>69.043999999999997</v>
      </c>
      <c r="X118" s="10">
        <v>58.631</v>
      </c>
      <c r="Y118" s="10">
        <v>59.678999999999988</v>
      </c>
      <c r="Z118" s="10">
        <v>53.47</v>
      </c>
      <c r="AA118" s="10">
        <v>64.191999999999993</v>
      </c>
      <c r="AB118" s="10">
        <v>77.813000000000002</v>
      </c>
      <c r="AC118" s="10">
        <v>70.275000000000006</v>
      </c>
      <c r="AD118" s="10">
        <v>63.755000000000003</v>
      </c>
      <c r="AE118" s="10">
        <v>68.945000000000007</v>
      </c>
      <c r="AF118" s="10">
        <v>42.773000000000003</v>
      </c>
      <c r="AG118" s="10">
        <v>55.155000000000001</v>
      </c>
      <c r="AH118" s="10">
        <v>79.938999999999993</v>
      </c>
      <c r="AI118" s="10">
        <v>57.238</v>
      </c>
      <c r="AJ118" s="10">
        <v>78.411999999999992</v>
      </c>
      <c r="AK118" s="10">
        <v>63.137</v>
      </c>
      <c r="AL118" s="10">
        <v>81.23</v>
      </c>
      <c r="AM118" s="10">
        <v>62.385999999999996</v>
      </c>
      <c r="AN118" s="10">
        <v>69.885000000000005</v>
      </c>
      <c r="AO118" s="46">
        <f t="shared" si="2"/>
        <v>65.517749999999992</v>
      </c>
      <c r="AP118" s="7">
        <f t="shared" si="3"/>
        <v>4.3678499999999998</v>
      </c>
    </row>
    <row r="119" spans="1:42" x14ac:dyDescent="0.3">
      <c r="A119" s="5">
        <v>118</v>
      </c>
      <c r="B119" s="6" t="s">
        <v>65</v>
      </c>
      <c r="C119" s="12" t="s">
        <v>406</v>
      </c>
      <c r="D119" s="6" t="s">
        <v>407</v>
      </c>
      <c r="E119" s="6" t="s">
        <v>19</v>
      </c>
      <c r="F119" s="6" t="s">
        <v>121</v>
      </c>
      <c r="G119" s="6" t="s">
        <v>35</v>
      </c>
      <c r="H119" s="5">
        <v>2</v>
      </c>
      <c r="I119" s="67" t="s">
        <v>160</v>
      </c>
      <c r="J119" s="46">
        <v>6.1859999999999999</v>
      </c>
      <c r="K119" s="46">
        <v>0</v>
      </c>
      <c r="L119" s="46">
        <v>0</v>
      </c>
      <c r="M119" s="46">
        <v>3.798</v>
      </c>
      <c r="N119" s="46">
        <v>0</v>
      </c>
      <c r="O119" s="46">
        <v>0</v>
      </c>
      <c r="P119" s="46">
        <v>10.031000000000001</v>
      </c>
      <c r="Q119" s="46">
        <v>0</v>
      </c>
      <c r="R119" s="46">
        <v>10.417999999999999</v>
      </c>
      <c r="S119" s="46">
        <v>10.888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10">
        <v>11.067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10">
        <v>1.97</v>
      </c>
      <c r="AL119" s="10">
        <v>19.667999999999999</v>
      </c>
      <c r="AM119" s="10">
        <v>9.1170000000000009</v>
      </c>
      <c r="AN119" s="46">
        <v>0</v>
      </c>
      <c r="AO119" s="46">
        <f>AVERAGE(Y119:AN119)</f>
        <v>2.6138750000000002</v>
      </c>
      <c r="AP119" s="7">
        <f t="shared" si="3"/>
        <v>1.3069375000000001</v>
      </c>
    </row>
    <row r="120" spans="1:42" x14ac:dyDescent="0.3">
      <c r="A120" s="5">
        <v>119</v>
      </c>
      <c r="B120" s="6" t="s">
        <v>65</v>
      </c>
      <c r="C120" s="12" t="s">
        <v>431</v>
      </c>
      <c r="D120" s="6" t="s">
        <v>432</v>
      </c>
      <c r="E120" s="6" t="s">
        <v>19</v>
      </c>
      <c r="F120" s="6" t="s">
        <v>121</v>
      </c>
      <c r="G120" s="6" t="s">
        <v>35</v>
      </c>
      <c r="H120" s="5">
        <v>2</v>
      </c>
      <c r="I120" s="67" t="s">
        <v>160</v>
      </c>
      <c r="J120" s="46">
        <v>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17.908999999999999</v>
      </c>
      <c r="Q120" s="46">
        <v>9.0879999999999992</v>
      </c>
      <c r="R120" s="46">
        <v>4.1539999999999999</v>
      </c>
      <c r="S120" s="46">
        <v>0</v>
      </c>
      <c r="T120" s="10">
        <v>15.831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10">
        <v>16.782</v>
      </c>
      <c r="AA120" s="10">
        <v>8.8119999999999994</v>
      </c>
      <c r="AB120" s="46">
        <v>0</v>
      </c>
      <c r="AC120" s="46">
        <v>0</v>
      </c>
      <c r="AD120" s="46">
        <v>0</v>
      </c>
      <c r="AE120" s="10">
        <v>22.952999999999999</v>
      </c>
      <c r="AF120" s="10">
        <v>2.5509999999999997</v>
      </c>
      <c r="AG120" s="10">
        <v>8.2590000000000003</v>
      </c>
      <c r="AH120" s="46">
        <v>0</v>
      </c>
      <c r="AI120" s="46">
        <v>0</v>
      </c>
      <c r="AJ120" s="46">
        <v>0</v>
      </c>
      <c r="AK120" s="46">
        <v>0</v>
      </c>
      <c r="AL120" s="10">
        <v>14.816000000000001</v>
      </c>
      <c r="AM120" s="46">
        <v>0</v>
      </c>
      <c r="AN120" s="46">
        <v>0</v>
      </c>
      <c r="AO120" s="46">
        <f t="shared" si="2"/>
        <v>4.6358125000000001</v>
      </c>
      <c r="AP120" s="7">
        <f t="shared" si="3"/>
        <v>2.3179062500000001</v>
      </c>
    </row>
    <row r="121" spans="1:42" x14ac:dyDescent="0.3">
      <c r="A121" s="5">
        <v>120</v>
      </c>
      <c r="B121" s="6" t="s">
        <v>65</v>
      </c>
      <c r="C121" s="12" t="s">
        <v>435</v>
      </c>
      <c r="D121" s="6" t="s">
        <v>407</v>
      </c>
      <c r="E121" s="6" t="s">
        <v>19</v>
      </c>
      <c r="F121" s="6" t="s">
        <v>121</v>
      </c>
      <c r="G121" s="6" t="s">
        <v>35</v>
      </c>
      <c r="H121" s="5">
        <v>1</v>
      </c>
      <c r="I121" s="67" t="s">
        <v>160</v>
      </c>
      <c r="J121" s="46">
        <v>0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f t="shared" si="2"/>
        <v>0</v>
      </c>
      <c r="AP121" s="7">
        <f t="shared" si="3"/>
        <v>0</v>
      </c>
    </row>
    <row r="122" spans="1:42" x14ac:dyDescent="0.3">
      <c r="A122" s="5">
        <v>121</v>
      </c>
      <c r="B122" s="6" t="s">
        <v>65</v>
      </c>
      <c r="C122" s="12" t="s">
        <v>458</v>
      </c>
      <c r="D122" s="6" t="s">
        <v>432</v>
      </c>
      <c r="E122" s="6" t="s">
        <v>19</v>
      </c>
      <c r="F122" s="6" t="s">
        <v>121</v>
      </c>
      <c r="G122" s="6" t="s">
        <v>35</v>
      </c>
      <c r="H122" s="5">
        <v>2</v>
      </c>
      <c r="I122" s="67" t="s">
        <v>160</v>
      </c>
      <c r="J122" s="46">
        <v>0</v>
      </c>
      <c r="K122" s="46">
        <v>0</v>
      </c>
      <c r="L122" s="46">
        <v>0</v>
      </c>
      <c r="M122" s="46">
        <v>5.3780000000000001</v>
      </c>
      <c r="N122" s="46">
        <v>0</v>
      </c>
      <c r="O122" s="46">
        <v>0</v>
      </c>
      <c r="P122" s="46">
        <v>5.3579999999999997</v>
      </c>
      <c r="Q122" s="46">
        <v>2.4470000000000001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10">
        <v>4.694</v>
      </c>
      <c r="AB122" s="46">
        <v>0</v>
      </c>
      <c r="AC122" s="46">
        <v>0</v>
      </c>
      <c r="AD122" s="10">
        <v>5.375</v>
      </c>
      <c r="AE122" s="10">
        <v>5.75</v>
      </c>
      <c r="AF122" s="10">
        <v>2.8360000000000003</v>
      </c>
      <c r="AG122" s="10">
        <v>2.141</v>
      </c>
      <c r="AH122" s="10">
        <v>12.190000000000001</v>
      </c>
      <c r="AI122" s="10">
        <v>0.72799999999999998</v>
      </c>
      <c r="AJ122" s="46">
        <v>0</v>
      </c>
      <c r="AK122" s="10">
        <v>0.40600000000000003</v>
      </c>
      <c r="AL122" s="46">
        <v>0</v>
      </c>
      <c r="AM122" s="46">
        <v>0</v>
      </c>
      <c r="AN122" s="46">
        <v>0</v>
      </c>
      <c r="AO122" s="46">
        <f t="shared" si="2"/>
        <v>2.1325000000000003</v>
      </c>
      <c r="AP122" s="7">
        <f t="shared" si="3"/>
        <v>1.0662500000000001</v>
      </c>
    </row>
    <row r="123" spans="1:42" x14ac:dyDescent="0.3">
      <c r="A123" s="5">
        <v>122</v>
      </c>
      <c r="B123" s="6" t="s">
        <v>65</v>
      </c>
      <c r="C123" s="12" t="s">
        <v>520</v>
      </c>
      <c r="D123" s="6" t="s">
        <v>521</v>
      </c>
      <c r="E123" s="6" t="s">
        <v>19</v>
      </c>
      <c r="F123" s="6" t="s">
        <v>121</v>
      </c>
      <c r="G123" s="6" t="s">
        <v>35</v>
      </c>
      <c r="H123" s="5">
        <v>1</v>
      </c>
      <c r="I123" s="67" t="s">
        <v>160</v>
      </c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f t="shared" si="2"/>
        <v>0</v>
      </c>
      <c r="AP123" s="7">
        <f t="shared" si="3"/>
        <v>0</v>
      </c>
    </row>
    <row r="124" spans="1:42" x14ac:dyDescent="0.3">
      <c r="A124" s="5">
        <v>123</v>
      </c>
      <c r="B124" s="6" t="s">
        <v>65</v>
      </c>
      <c r="C124" s="39" t="s">
        <v>115</v>
      </c>
      <c r="D124" s="6" t="s">
        <v>113</v>
      </c>
      <c r="E124" s="6" t="s">
        <v>19</v>
      </c>
      <c r="F124" s="6" t="s">
        <v>116</v>
      </c>
      <c r="G124" s="6" t="s">
        <v>80</v>
      </c>
      <c r="H124" s="5">
        <v>1</v>
      </c>
      <c r="I124" s="67" t="s">
        <v>160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f t="shared" si="2"/>
        <v>0</v>
      </c>
      <c r="AP124" s="7">
        <f t="shared" si="3"/>
        <v>0</v>
      </c>
    </row>
    <row r="125" spans="1:42" x14ac:dyDescent="0.3">
      <c r="A125" s="5">
        <v>124</v>
      </c>
      <c r="B125" s="6" t="s">
        <v>65</v>
      </c>
      <c r="C125" s="39" t="s">
        <v>117</v>
      </c>
      <c r="D125" s="6" t="s">
        <v>113</v>
      </c>
      <c r="E125" s="6" t="s">
        <v>19</v>
      </c>
      <c r="F125" s="6" t="s">
        <v>116</v>
      </c>
      <c r="G125" s="6" t="s">
        <v>80</v>
      </c>
      <c r="H125" s="5">
        <v>1</v>
      </c>
      <c r="I125" s="67" t="s">
        <v>160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0</v>
      </c>
      <c r="AN125" s="46">
        <v>0</v>
      </c>
      <c r="AO125" s="46">
        <f t="shared" si="2"/>
        <v>0</v>
      </c>
      <c r="AP125" s="7">
        <f t="shared" si="3"/>
        <v>0</v>
      </c>
    </row>
    <row r="126" spans="1:42" x14ac:dyDescent="0.3">
      <c r="A126" s="5">
        <v>125</v>
      </c>
      <c r="B126" s="6" t="s">
        <v>65</v>
      </c>
      <c r="C126" s="6" t="s">
        <v>66</v>
      </c>
      <c r="D126" s="6" t="s">
        <v>67</v>
      </c>
      <c r="E126" s="6" t="s">
        <v>12</v>
      </c>
      <c r="F126" s="6" t="s">
        <v>13</v>
      </c>
      <c r="G126" s="6" t="s">
        <v>14</v>
      </c>
      <c r="H126" s="5">
        <v>87</v>
      </c>
      <c r="I126" s="67" t="s">
        <v>160</v>
      </c>
      <c r="J126" s="60">
        <v>0</v>
      </c>
      <c r="K126" s="60">
        <v>0</v>
      </c>
      <c r="L126" s="60">
        <v>0</v>
      </c>
      <c r="M126" s="60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f t="shared" si="2"/>
        <v>0</v>
      </c>
      <c r="AP126" s="7">
        <f t="shared" si="3"/>
        <v>0</v>
      </c>
    </row>
    <row r="127" spans="1:42" x14ac:dyDescent="0.3">
      <c r="A127" s="5">
        <v>126</v>
      </c>
      <c r="B127" s="6" t="s">
        <v>65</v>
      </c>
      <c r="C127" s="6" t="s">
        <v>70</v>
      </c>
      <c r="D127" s="6"/>
      <c r="E127" s="6" t="s">
        <v>12</v>
      </c>
      <c r="F127" s="6" t="s">
        <v>13</v>
      </c>
      <c r="G127" s="6" t="s">
        <v>14</v>
      </c>
      <c r="H127" s="5">
        <v>82</v>
      </c>
      <c r="I127" s="67" t="s">
        <v>160</v>
      </c>
      <c r="J127" s="60">
        <v>0</v>
      </c>
      <c r="K127" s="60">
        <v>0</v>
      </c>
      <c r="L127" s="60">
        <v>0</v>
      </c>
      <c r="M127" s="60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f t="shared" si="2"/>
        <v>0</v>
      </c>
      <c r="AP127" s="7">
        <f t="shared" si="3"/>
        <v>0</v>
      </c>
    </row>
    <row r="128" spans="1:42" x14ac:dyDescent="0.3">
      <c r="A128" s="5">
        <v>127</v>
      </c>
      <c r="B128" s="6" t="s">
        <v>65</v>
      </c>
      <c r="C128" s="6" t="s">
        <v>74</v>
      </c>
      <c r="D128" s="6" t="s">
        <v>30</v>
      </c>
      <c r="E128" s="6" t="s">
        <v>19</v>
      </c>
      <c r="F128" s="6" t="s">
        <v>13</v>
      </c>
      <c r="G128" s="6" t="s">
        <v>14</v>
      </c>
      <c r="H128" s="5">
        <v>2</v>
      </c>
      <c r="I128" s="67" t="s">
        <v>160</v>
      </c>
      <c r="J128" s="60">
        <v>0</v>
      </c>
      <c r="K128" s="60">
        <v>0</v>
      </c>
      <c r="L128" s="60">
        <v>0</v>
      </c>
      <c r="M128" s="60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f t="shared" si="2"/>
        <v>0</v>
      </c>
      <c r="AP128" s="7">
        <f t="shared" si="3"/>
        <v>0</v>
      </c>
    </row>
    <row r="129" spans="1:42" x14ac:dyDescent="0.3">
      <c r="A129" s="5">
        <v>128</v>
      </c>
      <c r="B129" s="6" t="s">
        <v>65</v>
      </c>
      <c r="C129" s="39" t="s">
        <v>122</v>
      </c>
      <c r="D129" s="6" t="s">
        <v>30</v>
      </c>
      <c r="E129" s="6" t="s">
        <v>19</v>
      </c>
      <c r="F129" s="6" t="s">
        <v>13</v>
      </c>
      <c r="G129" s="6" t="s">
        <v>14</v>
      </c>
      <c r="H129" s="5">
        <v>3</v>
      </c>
      <c r="I129" s="67" t="s">
        <v>160</v>
      </c>
      <c r="J129" s="60">
        <v>0</v>
      </c>
      <c r="K129" s="60">
        <v>0</v>
      </c>
      <c r="L129" s="60">
        <v>0</v>
      </c>
      <c r="M129" s="60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f t="shared" si="2"/>
        <v>0</v>
      </c>
      <c r="AP129" s="7">
        <f t="shared" si="3"/>
        <v>0</v>
      </c>
    </row>
    <row r="130" spans="1:42" x14ac:dyDescent="0.3">
      <c r="A130" s="5"/>
      <c r="B130" s="6"/>
      <c r="C130" s="39"/>
      <c r="D130" s="6"/>
      <c r="E130" s="6"/>
      <c r="F130" s="6"/>
      <c r="G130" s="6"/>
      <c r="H130" s="5"/>
      <c r="I130" s="67"/>
      <c r="J130" s="45"/>
      <c r="K130" s="45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7"/>
    </row>
    <row r="131" spans="1:42" x14ac:dyDescent="0.3">
      <c r="A131" s="5"/>
      <c r="B131" s="6"/>
      <c r="C131" s="14"/>
      <c r="D131" s="14"/>
      <c r="E131" s="13"/>
      <c r="F131" s="13"/>
      <c r="G131" s="13" t="s">
        <v>79</v>
      </c>
      <c r="H131" s="52">
        <f>SUM(H2:H129)</f>
        <v>783</v>
      </c>
      <c r="I131" s="52"/>
      <c r="J131" s="44">
        <f t="shared" ref="J131:AN131" si="4">SUM(J2:J129)</f>
        <v>6308.5269999999991</v>
      </c>
      <c r="K131" s="44">
        <f t="shared" si="4"/>
        <v>6216.6500000000005</v>
      </c>
      <c r="L131" s="44">
        <f t="shared" si="4"/>
        <v>5707.9130000000032</v>
      </c>
      <c r="M131" s="44">
        <f t="shared" si="4"/>
        <v>6166.0420000000013</v>
      </c>
      <c r="N131" s="44">
        <f t="shared" si="4"/>
        <v>5760.4940000000006</v>
      </c>
      <c r="O131" s="44">
        <f t="shared" si="4"/>
        <v>5362.0159999999987</v>
      </c>
      <c r="P131" s="44">
        <f t="shared" si="4"/>
        <v>5880.2760000000007</v>
      </c>
      <c r="Q131" s="44">
        <f t="shared" si="4"/>
        <v>6082.6769999999997</v>
      </c>
      <c r="R131" s="44">
        <f t="shared" si="4"/>
        <v>5756.7509999999984</v>
      </c>
      <c r="S131" s="44">
        <f t="shared" si="4"/>
        <v>6031.902000000001</v>
      </c>
      <c r="T131" s="44">
        <f t="shared" si="4"/>
        <v>5422.546000000003</v>
      </c>
      <c r="U131" s="44">
        <f t="shared" si="4"/>
        <v>4625.3279999999995</v>
      </c>
      <c r="V131" s="44">
        <f t="shared" si="4"/>
        <v>4034.7319999999991</v>
      </c>
      <c r="W131" s="44">
        <f t="shared" si="4"/>
        <v>4979.5639999999994</v>
      </c>
      <c r="X131" s="44">
        <f t="shared" si="4"/>
        <v>5776.232</v>
      </c>
      <c r="Y131" s="44">
        <f t="shared" si="4"/>
        <v>6168.1369999999988</v>
      </c>
      <c r="Z131" s="44">
        <f t="shared" si="4"/>
        <v>5925.5590000000002</v>
      </c>
      <c r="AA131" s="44">
        <f t="shared" si="4"/>
        <v>6766.047999999998</v>
      </c>
      <c r="AB131" s="44">
        <f t="shared" si="4"/>
        <v>5708.9040000000014</v>
      </c>
      <c r="AC131" s="44">
        <f t="shared" si="4"/>
        <v>5190.4590000000007</v>
      </c>
      <c r="AD131" s="44">
        <f t="shared" si="4"/>
        <v>5595.7830000000013</v>
      </c>
      <c r="AE131" s="44">
        <f t="shared" si="4"/>
        <v>6173.8789999999999</v>
      </c>
      <c r="AF131" s="44">
        <f t="shared" si="4"/>
        <v>6704.3750000000036</v>
      </c>
      <c r="AG131" s="44">
        <f t="shared" si="4"/>
        <v>6084.8190000000004</v>
      </c>
      <c r="AH131" s="44">
        <f t="shared" si="4"/>
        <v>6146.3540000000012</v>
      </c>
      <c r="AI131" s="44">
        <f t="shared" si="4"/>
        <v>6053.559000000002</v>
      </c>
      <c r="AJ131" s="44">
        <f t="shared" si="4"/>
        <v>5581.6429999999982</v>
      </c>
      <c r="AK131" s="44">
        <f t="shared" si="4"/>
        <v>5688.4950000000017</v>
      </c>
      <c r="AL131" s="44">
        <f t="shared" si="4"/>
        <v>6012.1929999999984</v>
      </c>
      <c r="AM131" s="44">
        <f t="shared" si="4"/>
        <v>5743.6809999999996</v>
      </c>
      <c r="AN131" s="44">
        <f t="shared" si="4"/>
        <v>4698.8250000000007</v>
      </c>
      <c r="AO131" s="46">
        <f t="shared" ref="AO131" si="5">AVERAGE(Y131:AN131)</f>
        <v>5890.1695625000002</v>
      </c>
      <c r="AP131" s="7">
        <f t="shared" ref="AP131" si="6">AO131/H131</f>
        <v>7.5225664910600258</v>
      </c>
    </row>
    <row r="132" spans="1:42" x14ac:dyDescent="0.3">
      <c r="I132" s="28"/>
      <c r="J132" s="27"/>
      <c r="K132" s="28"/>
      <c r="L132"/>
      <c r="AL132" s="50"/>
      <c r="AM132" s="50"/>
      <c r="AN132" s="50"/>
    </row>
    <row r="133" spans="1:42" x14ac:dyDescent="0.3">
      <c r="AJ133" s="81"/>
      <c r="AO133" s="50"/>
    </row>
  </sheetData>
  <autoFilter ref="A1:I129" xr:uid="{00000000-0009-0000-0000-00002D000000}"/>
  <pageMargins left="0.7" right="0.7" top="0.75" bottom="0.75" header="0.3" footer="0.3"/>
  <pageSetup scale="1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3:R35"/>
  <sheetViews>
    <sheetView workbookViewId="0">
      <selection activeCell="F29" sqref="F29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9.44140625" bestFit="1" customWidth="1"/>
    <col min="4" max="4" width="10.88671875" bestFit="1" customWidth="1"/>
    <col min="5" max="5" width="9" bestFit="1" customWidth="1"/>
    <col min="6" max="6" width="9.77734375" bestFit="1" customWidth="1"/>
    <col min="7" max="7" width="7" bestFit="1" customWidth="1"/>
    <col min="8" max="8" width="10.21875" bestFit="1" customWidth="1"/>
    <col min="9" max="10" width="8.6640625" bestFit="1" customWidth="1"/>
    <col min="11" max="11" width="7.21875" bestFit="1" customWidth="1"/>
    <col min="12" max="12" width="6" bestFit="1" customWidth="1"/>
    <col min="13" max="13" width="12.44140625" bestFit="1" customWidth="1"/>
    <col min="14" max="14" width="10.77734375" bestFit="1" customWidth="1"/>
    <col min="15" max="15" width="14.21875" bestFit="1" customWidth="1"/>
    <col min="16" max="16" width="9" bestFit="1" customWidth="1"/>
    <col min="17" max="17" width="6.21875" bestFit="1" customWidth="1"/>
    <col min="18" max="18" width="10.77734375" bestFit="1" customWidth="1"/>
    <col min="19" max="30" width="17.33203125" bestFit="1" customWidth="1"/>
    <col min="31" max="32" width="22.33203125" bestFit="1" customWidth="1"/>
  </cols>
  <sheetData>
    <row r="3" spans="1:18" x14ac:dyDescent="0.3">
      <c r="B3" s="29" t="s">
        <v>144</v>
      </c>
    </row>
    <row r="4" spans="1:18" x14ac:dyDescent="0.3">
      <c r="A4" s="29" t="s">
        <v>131</v>
      </c>
      <c r="B4" t="s">
        <v>175</v>
      </c>
      <c r="C4" t="s">
        <v>58</v>
      </c>
      <c r="D4" t="s">
        <v>476</v>
      </c>
      <c r="E4" t="s">
        <v>65</v>
      </c>
      <c r="F4" t="s">
        <v>222</v>
      </c>
      <c r="G4" t="s">
        <v>134</v>
      </c>
      <c r="H4" t="s">
        <v>9</v>
      </c>
      <c r="I4" t="s">
        <v>55</v>
      </c>
      <c r="J4" t="s">
        <v>499</v>
      </c>
      <c r="K4" t="s">
        <v>119</v>
      </c>
      <c r="L4" t="s">
        <v>221</v>
      </c>
      <c r="M4" t="s">
        <v>246</v>
      </c>
      <c r="N4" t="s">
        <v>49</v>
      </c>
      <c r="O4" t="s">
        <v>52</v>
      </c>
      <c r="P4" t="s">
        <v>498</v>
      </c>
      <c r="Q4" t="s">
        <v>536</v>
      </c>
      <c r="R4" t="s">
        <v>83</v>
      </c>
    </row>
    <row r="5" spans="1:18" x14ac:dyDescent="0.3">
      <c r="A5" s="26" t="s">
        <v>502</v>
      </c>
      <c r="B5" s="136">
        <v>136.98200000000003</v>
      </c>
      <c r="C5" s="136">
        <v>839.79700000000003</v>
      </c>
      <c r="D5" s="136">
        <v>0</v>
      </c>
      <c r="E5" s="136">
        <v>973.09300000000019</v>
      </c>
      <c r="F5" s="136">
        <v>0</v>
      </c>
      <c r="G5" s="136">
        <v>0</v>
      </c>
      <c r="H5" s="136">
        <v>4007.7130000000006</v>
      </c>
      <c r="I5" s="136">
        <v>132.73400000000001</v>
      </c>
      <c r="J5" s="136">
        <v>0</v>
      </c>
      <c r="K5" s="136">
        <v>21.893999999999998</v>
      </c>
      <c r="L5" s="136">
        <v>2.306</v>
      </c>
      <c r="M5" s="136">
        <v>35.565999999999995</v>
      </c>
      <c r="N5" s="136">
        <v>62.973000000000006</v>
      </c>
      <c r="O5" s="136">
        <v>93.259000000000015</v>
      </c>
      <c r="P5" s="136">
        <v>2.21</v>
      </c>
      <c r="Q5" s="136"/>
      <c r="R5" s="136">
        <v>6308.527000000001</v>
      </c>
    </row>
    <row r="6" spans="1:18" x14ac:dyDescent="0.3">
      <c r="A6" s="26" t="s">
        <v>503</v>
      </c>
      <c r="B6" s="136">
        <v>136.66500000000002</v>
      </c>
      <c r="C6" s="136">
        <v>807.19600000000014</v>
      </c>
      <c r="D6" s="136">
        <v>0</v>
      </c>
      <c r="E6" s="136">
        <v>881.38000000000011</v>
      </c>
      <c r="F6" s="136">
        <v>0</v>
      </c>
      <c r="G6" s="136">
        <v>98.739000000000004</v>
      </c>
      <c r="H6" s="136">
        <v>3634.971</v>
      </c>
      <c r="I6" s="136">
        <v>393.72099999999995</v>
      </c>
      <c r="J6" s="136">
        <v>0</v>
      </c>
      <c r="K6" s="136">
        <v>48.204999999999998</v>
      </c>
      <c r="L6" s="136">
        <v>2.2829999999999999</v>
      </c>
      <c r="M6" s="136">
        <v>20.564</v>
      </c>
      <c r="N6" s="136">
        <v>68.583999999999989</v>
      </c>
      <c r="O6" s="136">
        <v>124.342</v>
      </c>
      <c r="P6" s="136">
        <v>0</v>
      </c>
      <c r="Q6" s="136"/>
      <c r="R6" s="136">
        <v>6216.65</v>
      </c>
    </row>
    <row r="7" spans="1:18" x14ac:dyDescent="0.3">
      <c r="A7" s="26" t="s">
        <v>505</v>
      </c>
      <c r="B7" s="136">
        <v>131.43499999999997</v>
      </c>
      <c r="C7" s="136">
        <v>726.50400000000002</v>
      </c>
      <c r="D7" s="136">
        <v>0</v>
      </c>
      <c r="E7" s="136">
        <v>886.25099999999998</v>
      </c>
      <c r="F7" s="136">
        <v>0</v>
      </c>
      <c r="G7" s="136">
        <v>44.350999999999992</v>
      </c>
      <c r="H7" s="136">
        <v>3296.0710000000008</v>
      </c>
      <c r="I7" s="136">
        <v>343.20199999999994</v>
      </c>
      <c r="J7" s="136">
        <v>0</v>
      </c>
      <c r="K7" s="136">
        <v>32.534000000000006</v>
      </c>
      <c r="L7" s="136">
        <v>3.2519999999999998</v>
      </c>
      <c r="M7" s="136">
        <v>30.068999999999999</v>
      </c>
      <c r="N7" s="136">
        <v>103.53800000000001</v>
      </c>
      <c r="O7" s="136">
        <v>110.706</v>
      </c>
      <c r="P7" s="136">
        <v>0</v>
      </c>
      <c r="Q7" s="136"/>
      <c r="R7" s="136">
        <v>5707.9130000000023</v>
      </c>
    </row>
    <row r="8" spans="1:18" x14ac:dyDescent="0.3">
      <c r="A8" s="26" t="s">
        <v>506</v>
      </c>
      <c r="B8" s="136">
        <v>131.46000000000004</v>
      </c>
      <c r="C8" s="136">
        <v>820.25599999999986</v>
      </c>
      <c r="D8" s="136">
        <v>0</v>
      </c>
      <c r="E8" s="136">
        <v>899.84</v>
      </c>
      <c r="F8" s="136">
        <v>0</v>
      </c>
      <c r="G8" s="136">
        <v>52.42</v>
      </c>
      <c r="H8" s="136">
        <v>3679.7499999999995</v>
      </c>
      <c r="I8" s="136">
        <v>289.80700000000002</v>
      </c>
      <c r="J8" s="136">
        <v>0</v>
      </c>
      <c r="K8" s="136">
        <v>53.906000000000006</v>
      </c>
      <c r="L8" s="136">
        <v>4.194</v>
      </c>
      <c r="M8" s="136">
        <v>17.898</v>
      </c>
      <c r="N8" s="136">
        <v>114.47200000000001</v>
      </c>
      <c r="O8" s="136">
        <v>102.03899999999999</v>
      </c>
      <c r="P8" s="136">
        <v>0</v>
      </c>
      <c r="Q8" s="136"/>
      <c r="R8" s="136">
        <v>6166.0419999999995</v>
      </c>
    </row>
    <row r="9" spans="1:18" x14ac:dyDescent="0.3">
      <c r="A9" s="26" t="s">
        <v>507</v>
      </c>
      <c r="B9" s="136">
        <v>106.40900000000001</v>
      </c>
      <c r="C9" s="136">
        <v>771.5200000000001</v>
      </c>
      <c r="D9" s="136">
        <v>0</v>
      </c>
      <c r="E9" s="136">
        <v>866.58600000000001</v>
      </c>
      <c r="F9" s="136">
        <v>0</v>
      </c>
      <c r="G9" s="136">
        <v>62.845999999999997</v>
      </c>
      <c r="H9" s="136">
        <v>3348.6260000000002</v>
      </c>
      <c r="I9" s="136">
        <v>326.99099999999987</v>
      </c>
      <c r="J9" s="136">
        <v>0</v>
      </c>
      <c r="K9" s="136">
        <v>40.826999999999998</v>
      </c>
      <c r="L9" s="136">
        <v>2.8860000000000001</v>
      </c>
      <c r="M9" s="136">
        <v>38.399000000000001</v>
      </c>
      <c r="N9" s="136">
        <v>74.530999999999992</v>
      </c>
      <c r="O9" s="136">
        <v>120.87299999999999</v>
      </c>
      <c r="P9" s="136">
        <v>0</v>
      </c>
      <c r="Q9" s="136"/>
      <c r="R9" s="136">
        <v>5760.4940000000006</v>
      </c>
    </row>
    <row r="10" spans="1:18" x14ac:dyDescent="0.3">
      <c r="A10" s="26" t="s">
        <v>508</v>
      </c>
      <c r="B10" s="136">
        <v>142.37400000000002</v>
      </c>
      <c r="C10" s="136">
        <v>719.92</v>
      </c>
      <c r="D10" s="136">
        <v>0</v>
      </c>
      <c r="E10" s="136">
        <v>837.07600000000002</v>
      </c>
      <c r="F10" s="136">
        <v>0</v>
      </c>
      <c r="G10" s="136">
        <v>70.605999999999995</v>
      </c>
      <c r="H10" s="136">
        <v>2948.7749999999996</v>
      </c>
      <c r="I10" s="136">
        <v>379.80100000000004</v>
      </c>
      <c r="J10" s="136">
        <v>0</v>
      </c>
      <c r="K10" s="136">
        <v>41.335000000000001</v>
      </c>
      <c r="L10" s="136">
        <v>3.9169999999999998</v>
      </c>
      <c r="M10" s="136">
        <v>29.337999999999997</v>
      </c>
      <c r="N10" s="136">
        <v>84.785000000000011</v>
      </c>
      <c r="O10" s="136">
        <v>104.08899999999998</v>
      </c>
      <c r="P10" s="136">
        <v>0</v>
      </c>
      <c r="Q10" s="136"/>
      <c r="R10" s="136">
        <v>5362.0159999999996</v>
      </c>
    </row>
    <row r="11" spans="1:18" x14ac:dyDescent="0.3">
      <c r="A11" s="26" t="s">
        <v>509</v>
      </c>
      <c r="B11" s="136">
        <v>82.444000000000045</v>
      </c>
      <c r="C11" s="136">
        <v>734.10400000000004</v>
      </c>
      <c r="D11" s="136">
        <v>0</v>
      </c>
      <c r="E11" s="136">
        <v>889.98800000000017</v>
      </c>
      <c r="F11" s="136">
        <v>0</v>
      </c>
      <c r="G11" s="136">
        <v>54.041999999999994</v>
      </c>
      <c r="H11" s="136">
        <v>3558.3450000000003</v>
      </c>
      <c r="I11" s="136">
        <v>334.04500000000013</v>
      </c>
      <c r="J11" s="136">
        <v>0</v>
      </c>
      <c r="K11" s="136">
        <v>42.512999999999998</v>
      </c>
      <c r="L11" s="136">
        <v>3.6420000000000003</v>
      </c>
      <c r="M11" s="136">
        <v>21.631999999999998</v>
      </c>
      <c r="N11" s="136">
        <v>54.235999999999997</v>
      </c>
      <c r="O11" s="136">
        <v>105.285</v>
      </c>
      <c r="P11" s="136">
        <v>0</v>
      </c>
      <c r="Q11" s="136"/>
      <c r="R11" s="136">
        <v>5880.2759999999998</v>
      </c>
    </row>
    <row r="12" spans="1:18" x14ac:dyDescent="0.3">
      <c r="A12" s="26" t="s">
        <v>510</v>
      </c>
      <c r="B12" s="136">
        <v>132.30800000000002</v>
      </c>
      <c r="C12" s="136">
        <v>730.38400000000001</v>
      </c>
      <c r="D12" s="136">
        <v>0</v>
      </c>
      <c r="E12" s="136">
        <v>927.91899999999998</v>
      </c>
      <c r="F12" s="136">
        <v>0</v>
      </c>
      <c r="G12" s="136">
        <v>55.117999999999988</v>
      </c>
      <c r="H12" s="136">
        <v>3770.5209999999997</v>
      </c>
      <c r="I12" s="136">
        <v>145.97199999999998</v>
      </c>
      <c r="J12" s="136">
        <v>0</v>
      </c>
      <c r="K12" s="136">
        <v>61.887</v>
      </c>
      <c r="L12" s="136">
        <v>1.994</v>
      </c>
      <c r="M12" s="136">
        <v>33.461999999999996</v>
      </c>
      <c r="N12" s="136">
        <v>103.735</v>
      </c>
      <c r="O12" s="136">
        <v>119.37699999999998</v>
      </c>
      <c r="P12" s="136">
        <v>0</v>
      </c>
      <c r="Q12" s="136"/>
      <c r="R12" s="136">
        <v>6082.6769999999997</v>
      </c>
    </row>
    <row r="13" spans="1:18" x14ac:dyDescent="0.3">
      <c r="A13" s="26" t="s">
        <v>511</v>
      </c>
      <c r="B13" s="136">
        <v>123.34700000000005</v>
      </c>
      <c r="C13" s="136">
        <v>711.89199999999994</v>
      </c>
      <c r="D13" s="136">
        <v>0</v>
      </c>
      <c r="E13" s="136">
        <v>915.77100000000007</v>
      </c>
      <c r="F13" s="136">
        <v>0</v>
      </c>
      <c r="G13" s="136">
        <v>40.300000000000004</v>
      </c>
      <c r="H13" s="136">
        <v>3395.5339999999997</v>
      </c>
      <c r="I13" s="136">
        <v>308.21599999999995</v>
      </c>
      <c r="J13" s="136">
        <v>0</v>
      </c>
      <c r="K13" s="136">
        <v>48.335000000000008</v>
      </c>
      <c r="L13" s="136">
        <v>2.3119999999999998</v>
      </c>
      <c r="M13" s="136">
        <v>21.302000000000003</v>
      </c>
      <c r="N13" s="136">
        <v>79.302000000000007</v>
      </c>
      <c r="O13" s="136">
        <v>110.44</v>
      </c>
      <c r="P13" s="136">
        <v>0</v>
      </c>
      <c r="Q13" s="136"/>
      <c r="R13" s="136">
        <v>5756.7509999999993</v>
      </c>
    </row>
    <row r="14" spans="1:18" x14ac:dyDescent="0.3">
      <c r="A14" s="26" t="s">
        <v>512</v>
      </c>
      <c r="B14" s="136">
        <v>155.66100000000006</v>
      </c>
      <c r="C14" s="136">
        <v>607.44100000000003</v>
      </c>
      <c r="D14" s="136">
        <v>0</v>
      </c>
      <c r="E14" s="136">
        <v>951.17899999999997</v>
      </c>
      <c r="F14" s="136">
        <v>0</v>
      </c>
      <c r="G14" s="136">
        <v>43.088000000000001</v>
      </c>
      <c r="H14" s="136">
        <v>3627.3859999999991</v>
      </c>
      <c r="I14" s="136">
        <v>326.5209999999999</v>
      </c>
      <c r="J14" s="136">
        <v>0</v>
      </c>
      <c r="K14" s="136">
        <v>43.405000000000001</v>
      </c>
      <c r="L14" s="136">
        <v>3.198</v>
      </c>
      <c r="M14" s="136">
        <v>22.514000000000003</v>
      </c>
      <c r="N14" s="136">
        <v>119.12700000000001</v>
      </c>
      <c r="O14" s="136">
        <v>132.38199999999998</v>
      </c>
      <c r="P14" s="136">
        <v>0</v>
      </c>
      <c r="Q14" s="136"/>
      <c r="R14" s="136">
        <v>6031.9019999999991</v>
      </c>
    </row>
    <row r="15" spans="1:18" x14ac:dyDescent="0.3">
      <c r="A15" s="26" t="s">
        <v>513</v>
      </c>
      <c r="B15" s="136">
        <v>126.50700000000001</v>
      </c>
      <c r="C15" s="136">
        <v>526.07900000000006</v>
      </c>
      <c r="D15" s="136">
        <v>0</v>
      </c>
      <c r="E15" s="136">
        <v>908.49699999999996</v>
      </c>
      <c r="F15" s="136">
        <v>0</v>
      </c>
      <c r="G15" s="136">
        <v>72.59899999999999</v>
      </c>
      <c r="H15" s="136">
        <v>3198.7179999999998</v>
      </c>
      <c r="I15" s="136">
        <v>347.55499999999989</v>
      </c>
      <c r="J15" s="136">
        <v>0</v>
      </c>
      <c r="K15" s="136">
        <v>33.935000000000002</v>
      </c>
      <c r="L15" s="136">
        <v>0</v>
      </c>
      <c r="M15" s="136">
        <v>27.140999999999998</v>
      </c>
      <c r="N15" s="136">
        <v>83.22</v>
      </c>
      <c r="O15" s="136">
        <v>98.295000000000002</v>
      </c>
      <c r="P15" s="136">
        <v>0</v>
      </c>
      <c r="Q15" s="136"/>
      <c r="R15" s="136">
        <v>5422.5460000000003</v>
      </c>
    </row>
    <row r="16" spans="1:18" x14ac:dyDescent="0.3">
      <c r="A16" s="26" t="s">
        <v>514</v>
      </c>
      <c r="B16" s="136">
        <v>142.06600000000006</v>
      </c>
      <c r="C16" s="136">
        <v>249.69200000000001</v>
      </c>
      <c r="D16" s="136">
        <v>0</v>
      </c>
      <c r="E16" s="136">
        <v>852.87399999999991</v>
      </c>
      <c r="F16" s="136">
        <v>0</v>
      </c>
      <c r="G16" s="136">
        <v>26.632999999999999</v>
      </c>
      <c r="H16" s="136">
        <v>2833.2180000000003</v>
      </c>
      <c r="I16" s="136">
        <v>370.37400000000002</v>
      </c>
      <c r="J16" s="136">
        <v>0</v>
      </c>
      <c r="K16" s="136">
        <v>9.4760000000000009</v>
      </c>
      <c r="L16" s="136">
        <v>2.427</v>
      </c>
      <c r="M16" s="136">
        <v>32.411999999999999</v>
      </c>
      <c r="N16" s="136">
        <v>45.600000000000009</v>
      </c>
      <c r="O16" s="136">
        <v>60.556000000000004</v>
      </c>
      <c r="P16" s="136">
        <v>0</v>
      </c>
      <c r="Q16" s="136"/>
      <c r="R16" s="136">
        <v>4625.3279999999995</v>
      </c>
    </row>
    <row r="17" spans="1:18" x14ac:dyDescent="0.3">
      <c r="A17" s="26" t="s">
        <v>515</v>
      </c>
      <c r="B17" s="136">
        <v>114.176</v>
      </c>
      <c r="C17" s="136">
        <v>328.97300000000001</v>
      </c>
      <c r="D17" s="136">
        <v>0</v>
      </c>
      <c r="E17" s="136">
        <v>698.51400000000001</v>
      </c>
      <c r="F17" s="136">
        <v>0</v>
      </c>
      <c r="G17" s="136">
        <v>37.112000000000002</v>
      </c>
      <c r="H17" s="136">
        <v>2180.1669999999999</v>
      </c>
      <c r="I17" s="136">
        <v>467.40000000000015</v>
      </c>
      <c r="J17" s="136">
        <v>0</v>
      </c>
      <c r="K17" s="136">
        <v>26.225000000000001</v>
      </c>
      <c r="L17" s="136">
        <v>2.0699999999999998</v>
      </c>
      <c r="M17" s="136">
        <v>22.960999999999999</v>
      </c>
      <c r="N17" s="136">
        <v>71.22499999999998</v>
      </c>
      <c r="O17" s="136">
        <v>85.909000000000006</v>
      </c>
      <c r="P17" s="136">
        <v>0</v>
      </c>
      <c r="Q17" s="136"/>
      <c r="R17" s="136">
        <v>4034.732</v>
      </c>
    </row>
    <row r="18" spans="1:18" x14ac:dyDescent="0.3">
      <c r="A18" s="26" t="s">
        <v>517</v>
      </c>
      <c r="B18" s="136">
        <v>101.922</v>
      </c>
      <c r="C18" s="136">
        <v>510.06100000000009</v>
      </c>
      <c r="D18" s="136">
        <v>0</v>
      </c>
      <c r="E18" s="136">
        <v>878.56399999999996</v>
      </c>
      <c r="F18" s="136">
        <v>0</v>
      </c>
      <c r="G18" s="136">
        <v>51.442000000000007</v>
      </c>
      <c r="H18" s="136">
        <v>2878.76</v>
      </c>
      <c r="I18" s="136">
        <v>349.28099999999989</v>
      </c>
      <c r="J18" s="136">
        <v>0</v>
      </c>
      <c r="K18" s="136">
        <v>44.414999999999999</v>
      </c>
      <c r="L18" s="136">
        <v>2.101</v>
      </c>
      <c r="M18" s="136">
        <v>19.866</v>
      </c>
      <c r="N18" s="136">
        <v>75.504999999999995</v>
      </c>
      <c r="O18" s="136">
        <v>67.647000000000006</v>
      </c>
      <c r="P18" s="136">
        <v>0</v>
      </c>
      <c r="Q18" s="136"/>
      <c r="R18" s="136">
        <v>4979.5639999999994</v>
      </c>
    </row>
    <row r="19" spans="1:18" x14ac:dyDescent="0.3">
      <c r="A19" s="26" t="s">
        <v>522</v>
      </c>
      <c r="B19" s="136">
        <v>66.820999999999984</v>
      </c>
      <c r="C19" s="136">
        <v>685.60199999999986</v>
      </c>
      <c r="D19" s="136">
        <v>0</v>
      </c>
      <c r="E19" s="136">
        <v>933.37899999999991</v>
      </c>
      <c r="F19" s="136">
        <v>0</v>
      </c>
      <c r="G19" s="136">
        <v>63.027999999999999</v>
      </c>
      <c r="H19" s="136">
        <v>3616.9789999999998</v>
      </c>
      <c r="I19" s="136">
        <v>168.13399999999999</v>
      </c>
      <c r="J19" s="136">
        <v>0</v>
      </c>
      <c r="K19" s="136">
        <v>22.093</v>
      </c>
      <c r="L19" s="136">
        <v>2.4209999999999998</v>
      </c>
      <c r="M19" s="136">
        <v>20.733000000000001</v>
      </c>
      <c r="N19" s="136">
        <v>82.352000000000004</v>
      </c>
      <c r="O19" s="136">
        <v>114.69</v>
      </c>
      <c r="P19" s="136">
        <v>0</v>
      </c>
      <c r="Q19" s="136"/>
      <c r="R19" s="136">
        <v>5776.2319999999991</v>
      </c>
    </row>
    <row r="20" spans="1:18" x14ac:dyDescent="0.3">
      <c r="A20" s="26" t="s">
        <v>523</v>
      </c>
      <c r="B20" s="136">
        <v>81.780000000000015</v>
      </c>
      <c r="C20" s="136">
        <v>655.88</v>
      </c>
      <c r="D20" s="136">
        <v>0</v>
      </c>
      <c r="E20" s="136">
        <v>935.24000000000024</v>
      </c>
      <c r="F20" s="136">
        <v>0</v>
      </c>
      <c r="G20" s="136">
        <v>54.933</v>
      </c>
      <c r="H20" s="136">
        <v>3809.6200000000003</v>
      </c>
      <c r="I20" s="136">
        <v>332.08699999999988</v>
      </c>
      <c r="J20" s="136">
        <v>0</v>
      </c>
      <c r="K20" s="136">
        <v>35.837999999999994</v>
      </c>
      <c r="L20" s="136">
        <v>2.2749999999999999</v>
      </c>
      <c r="M20" s="136">
        <v>36.22</v>
      </c>
      <c r="N20" s="136">
        <v>103.113</v>
      </c>
      <c r="O20" s="136">
        <v>121.15100000000002</v>
      </c>
      <c r="P20" s="136">
        <v>0</v>
      </c>
      <c r="Q20" s="136"/>
      <c r="R20" s="136">
        <v>6168.1369999999997</v>
      </c>
    </row>
    <row r="21" spans="1:18" x14ac:dyDescent="0.3">
      <c r="A21" s="26" t="s">
        <v>526</v>
      </c>
      <c r="B21" s="136">
        <v>61.334000000000003</v>
      </c>
      <c r="C21" s="136">
        <v>654.71899999999994</v>
      </c>
      <c r="D21" s="136">
        <v>0</v>
      </c>
      <c r="E21" s="136">
        <v>976.38700000000017</v>
      </c>
      <c r="F21" s="136">
        <v>0</v>
      </c>
      <c r="G21" s="136">
        <v>61.384999999999998</v>
      </c>
      <c r="H21" s="136">
        <v>3617.251999999999</v>
      </c>
      <c r="I21" s="136">
        <v>306.87099999999998</v>
      </c>
      <c r="J21" s="136">
        <v>0</v>
      </c>
      <c r="K21" s="136">
        <v>26.792999999999999</v>
      </c>
      <c r="L21" s="136">
        <v>2.4009999999999998</v>
      </c>
      <c r="M21" s="136">
        <v>39.230999999999995</v>
      </c>
      <c r="N21" s="136">
        <v>97.837999999999994</v>
      </c>
      <c r="O21" s="136">
        <v>81.348000000000013</v>
      </c>
      <c r="P21" s="136">
        <v>0</v>
      </c>
      <c r="Q21" s="136"/>
      <c r="R21" s="136">
        <v>5925.5589999999984</v>
      </c>
    </row>
    <row r="22" spans="1:18" x14ac:dyDescent="0.3">
      <c r="A22" s="26" t="s">
        <v>527</v>
      </c>
      <c r="B22" s="136">
        <v>104.63800000000002</v>
      </c>
      <c r="C22" s="136">
        <v>695.63200000000006</v>
      </c>
      <c r="D22" s="136">
        <v>0</v>
      </c>
      <c r="E22" s="136">
        <v>953.66300000000001</v>
      </c>
      <c r="F22" s="136">
        <v>0</v>
      </c>
      <c r="G22" s="136">
        <v>44.853000000000002</v>
      </c>
      <c r="H22" s="136">
        <v>4410.0009999999984</v>
      </c>
      <c r="I22" s="136">
        <v>290.20799999999997</v>
      </c>
      <c r="J22" s="136">
        <v>0</v>
      </c>
      <c r="K22" s="136">
        <v>37.016999999999996</v>
      </c>
      <c r="L22" s="136">
        <v>3.2069999999999999</v>
      </c>
      <c r="M22" s="136">
        <v>29.168999999999997</v>
      </c>
      <c r="N22" s="136">
        <v>88.64200000000001</v>
      </c>
      <c r="O22" s="136">
        <v>109.01800000000001</v>
      </c>
      <c r="P22" s="136">
        <v>0</v>
      </c>
      <c r="Q22" s="136"/>
      <c r="R22" s="136">
        <v>6766.047999999998</v>
      </c>
    </row>
    <row r="23" spans="1:18" x14ac:dyDescent="0.3">
      <c r="A23" s="26" t="s">
        <v>528</v>
      </c>
      <c r="B23" s="136">
        <v>102.19799999999999</v>
      </c>
      <c r="C23" s="136">
        <v>560.18700000000001</v>
      </c>
      <c r="D23" s="136">
        <v>0</v>
      </c>
      <c r="E23" s="136">
        <v>1008.9730000000002</v>
      </c>
      <c r="F23" s="136">
        <v>0</v>
      </c>
      <c r="G23" s="136">
        <v>43.519000000000005</v>
      </c>
      <c r="H23" s="136">
        <v>3437.1819999999998</v>
      </c>
      <c r="I23" s="136">
        <v>347.94800000000009</v>
      </c>
      <c r="J23" s="136">
        <v>0</v>
      </c>
      <c r="K23" s="136">
        <v>34.765000000000001</v>
      </c>
      <c r="L23" s="136">
        <v>3.3839999999999999</v>
      </c>
      <c r="M23" s="136">
        <v>9.3529999999999998</v>
      </c>
      <c r="N23" s="136">
        <v>80.495999999999995</v>
      </c>
      <c r="O23" s="136">
        <v>80.899000000000001</v>
      </c>
      <c r="P23" s="136">
        <v>0</v>
      </c>
      <c r="Q23" s="136"/>
      <c r="R23" s="136">
        <v>5708.9040000000014</v>
      </c>
    </row>
    <row r="24" spans="1:18" x14ac:dyDescent="0.3">
      <c r="A24" s="26" t="s">
        <v>529</v>
      </c>
      <c r="B24" s="136">
        <v>59.793999999999997</v>
      </c>
      <c r="C24" s="136">
        <v>661.84500000000003</v>
      </c>
      <c r="D24" s="136">
        <v>0</v>
      </c>
      <c r="E24" s="136">
        <v>859.13799999999992</v>
      </c>
      <c r="F24" s="136">
        <v>0</v>
      </c>
      <c r="G24" s="136">
        <v>47.311</v>
      </c>
      <c r="H24" s="136">
        <v>2898.5430000000006</v>
      </c>
      <c r="I24" s="136">
        <v>392.77300000000002</v>
      </c>
      <c r="J24" s="136">
        <v>0</v>
      </c>
      <c r="K24" s="136">
        <v>38.497</v>
      </c>
      <c r="L24" s="136">
        <v>2.29</v>
      </c>
      <c r="M24" s="136">
        <v>46.082999999999998</v>
      </c>
      <c r="N24" s="136">
        <v>89.87299999999999</v>
      </c>
      <c r="O24" s="136">
        <v>94.311999999999983</v>
      </c>
      <c r="P24" s="136">
        <v>0</v>
      </c>
      <c r="Q24" s="136"/>
      <c r="R24" s="136">
        <v>5190.4589999999998</v>
      </c>
    </row>
    <row r="25" spans="1:18" x14ac:dyDescent="0.3">
      <c r="A25" s="26" t="s">
        <v>531</v>
      </c>
      <c r="B25" s="136">
        <v>79.023000000000025</v>
      </c>
      <c r="C25" s="136">
        <v>621.57799999999986</v>
      </c>
      <c r="D25" s="136">
        <v>0</v>
      </c>
      <c r="E25" s="136">
        <v>837.19799999999987</v>
      </c>
      <c r="F25" s="136">
        <v>0</v>
      </c>
      <c r="G25" s="136">
        <v>36.447000000000003</v>
      </c>
      <c r="H25" s="136">
        <v>3572.8380000000006</v>
      </c>
      <c r="I25" s="136">
        <v>200.94300000000004</v>
      </c>
      <c r="J25" s="136">
        <v>0</v>
      </c>
      <c r="K25" s="136">
        <v>21.927</v>
      </c>
      <c r="L25" s="136">
        <v>3.891</v>
      </c>
      <c r="M25" s="136">
        <v>19.785999999999998</v>
      </c>
      <c r="N25" s="136">
        <v>82.145999999999987</v>
      </c>
      <c r="O25" s="136">
        <v>120.00600000000001</v>
      </c>
      <c r="P25" s="136">
        <v>0</v>
      </c>
      <c r="Q25" s="136"/>
      <c r="R25" s="136">
        <v>5595.7830000000004</v>
      </c>
    </row>
    <row r="26" spans="1:18" x14ac:dyDescent="0.3">
      <c r="A26" s="26" t="s">
        <v>532</v>
      </c>
      <c r="B26" s="136">
        <v>81.08</v>
      </c>
      <c r="C26" s="136">
        <v>589.74599999999998</v>
      </c>
      <c r="D26" s="136">
        <v>0</v>
      </c>
      <c r="E26" s="136">
        <v>949.70000000000016</v>
      </c>
      <c r="F26" s="136">
        <v>0</v>
      </c>
      <c r="G26" s="136">
        <v>38.463999999999999</v>
      </c>
      <c r="H26" s="136">
        <v>4055.7370000000005</v>
      </c>
      <c r="I26" s="136">
        <v>193.553</v>
      </c>
      <c r="J26" s="136">
        <v>0</v>
      </c>
      <c r="K26" s="136">
        <v>25.390999999999998</v>
      </c>
      <c r="L26" s="136">
        <v>2.1659999999999999</v>
      </c>
      <c r="M26" s="136">
        <v>37.418000000000006</v>
      </c>
      <c r="N26" s="136">
        <v>91.714999999999989</v>
      </c>
      <c r="O26" s="136">
        <v>108.90900000000001</v>
      </c>
      <c r="P26" s="136">
        <v>0</v>
      </c>
      <c r="Q26" s="136"/>
      <c r="R26" s="136">
        <v>6173.8789999999999</v>
      </c>
    </row>
    <row r="27" spans="1:18" x14ac:dyDescent="0.3">
      <c r="A27" s="26" t="s">
        <v>533</v>
      </c>
      <c r="B27" s="136">
        <v>104.18600000000002</v>
      </c>
      <c r="C27" s="136">
        <v>728.60199999999998</v>
      </c>
      <c r="D27" s="136">
        <v>0</v>
      </c>
      <c r="E27" s="136">
        <v>1014.3480000000002</v>
      </c>
      <c r="F27" s="136">
        <v>0</v>
      </c>
      <c r="G27" s="136">
        <v>56.414000000000001</v>
      </c>
      <c r="H27" s="136">
        <v>4223.6540000000005</v>
      </c>
      <c r="I27" s="136">
        <v>280.66999999999996</v>
      </c>
      <c r="J27" s="136">
        <v>0</v>
      </c>
      <c r="K27" s="136">
        <v>42.69</v>
      </c>
      <c r="L27" s="136">
        <v>2.0390000000000001</v>
      </c>
      <c r="M27" s="136">
        <v>31.581</v>
      </c>
      <c r="N27" s="136">
        <v>110.99100000000001</v>
      </c>
      <c r="O27" s="136">
        <v>109.19999999999999</v>
      </c>
      <c r="P27" s="136">
        <v>0</v>
      </c>
      <c r="Q27" s="136">
        <v>0</v>
      </c>
      <c r="R27" s="136">
        <v>6704.375</v>
      </c>
    </row>
    <row r="28" spans="1:18" x14ac:dyDescent="0.3">
      <c r="A28" s="26" t="s">
        <v>535</v>
      </c>
      <c r="B28" s="136">
        <v>119.35600000000004</v>
      </c>
      <c r="C28" s="136">
        <v>718.29299999999989</v>
      </c>
      <c r="D28" s="136">
        <v>0</v>
      </c>
      <c r="E28" s="136">
        <v>963.59399999999994</v>
      </c>
      <c r="F28" s="136">
        <v>0</v>
      </c>
      <c r="G28" s="136">
        <v>39.302</v>
      </c>
      <c r="H28" s="136">
        <v>3782.328</v>
      </c>
      <c r="I28" s="136">
        <v>204.33999999999997</v>
      </c>
      <c r="J28" s="136">
        <v>0</v>
      </c>
      <c r="K28" s="136">
        <v>45.225999999999999</v>
      </c>
      <c r="L28" s="136">
        <v>2.323</v>
      </c>
      <c r="M28" s="136">
        <v>28.065000000000001</v>
      </c>
      <c r="N28" s="136">
        <v>86.138000000000005</v>
      </c>
      <c r="O28" s="136">
        <v>95.854000000000013</v>
      </c>
      <c r="P28" s="136">
        <v>0</v>
      </c>
      <c r="Q28" s="136">
        <v>0</v>
      </c>
      <c r="R28" s="136">
        <v>6084.8189999999995</v>
      </c>
    </row>
    <row r="29" spans="1:18" x14ac:dyDescent="0.3">
      <c r="A29" s="26" t="s">
        <v>537</v>
      </c>
      <c r="B29" s="136">
        <v>98.120000000000033</v>
      </c>
      <c r="C29" s="136">
        <v>660.49299999999994</v>
      </c>
      <c r="D29" s="136">
        <v>0</v>
      </c>
      <c r="E29" s="136">
        <v>1027.037</v>
      </c>
      <c r="F29" s="136">
        <v>0</v>
      </c>
      <c r="G29" s="136">
        <v>47.939</v>
      </c>
      <c r="H29" s="136">
        <v>3745.2140000000004</v>
      </c>
      <c r="I29" s="136">
        <v>298.27899999999988</v>
      </c>
      <c r="J29" s="136">
        <v>10.055</v>
      </c>
      <c r="K29" s="136">
        <v>32.581000000000003</v>
      </c>
      <c r="L29" s="136">
        <v>2.137</v>
      </c>
      <c r="M29" s="136">
        <v>20.603000000000002</v>
      </c>
      <c r="N29" s="136">
        <v>80.671000000000006</v>
      </c>
      <c r="O29" s="136">
        <v>116.84900000000002</v>
      </c>
      <c r="P29" s="136">
        <v>0</v>
      </c>
      <c r="Q29" s="136">
        <v>6.3760000000000003</v>
      </c>
      <c r="R29" s="136">
        <v>6146.3540000000012</v>
      </c>
    </row>
    <row r="30" spans="1:18" x14ac:dyDescent="0.3">
      <c r="A30" s="26" t="s">
        <v>538</v>
      </c>
      <c r="B30" s="136">
        <v>102.77199999999999</v>
      </c>
      <c r="C30" s="136">
        <v>674.71100000000001</v>
      </c>
      <c r="D30" s="136">
        <v>0</v>
      </c>
      <c r="E30" s="136">
        <v>967.51400000000001</v>
      </c>
      <c r="F30" s="136">
        <v>0</v>
      </c>
      <c r="G30" s="136">
        <v>70.030999999999992</v>
      </c>
      <c r="H30" s="136">
        <v>3620.0690000000004</v>
      </c>
      <c r="I30" s="136">
        <v>323.15299999999991</v>
      </c>
      <c r="J30" s="136">
        <v>7.8769999999999998</v>
      </c>
      <c r="K30" s="136">
        <v>43.052</v>
      </c>
      <c r="L30" s="136">
        <v>2.419</v>
      </c>
      <c r="M30" s="136">
        <v>43.762</v>
      </c>
      <c r="N30" s="136">
        <v>94.521999999999977</v>
      </c>
      <c r="O30" s="136">
        <v>103.67699999999999</v>
      </c>
      <c r="P30" s="136">
        <v>0</v>
      </c>
      <c r="Q30" s="136">
        <v>0</v>
      </c>
      <c r="R30" s="136">
        <v>6053.5589999999993</v>
      </c>
    </row>
    <row r="31" spans="1:18" x14ac:dyDescent="0.3">
      <c r="A31" s="26" t="s">
        <v>539</v>
      </c>
      <c r="B31" s="136">
        <v>115.11000000000003</v>
      </c>
      <c r="C31" s="136">
        <v>658.93899999999996</v>
      </c>
      <c r="D31" s="136">
        <v>0</v>
      </c>
      <c r="E31" s="136">
        <v>851.38800000000003</v>
      </c>
      <c r="F31" s="136">
        <v>0</v>
      </c>
      <c r="G31" s="136">
        <v>38.891000000000005</v>
      </c>
      <c r="H31" s="136">
        <v>3180.0519999999992</v>
      </c>
      <c r="I31" s="136">
        <v>490.88399999999973</v>
      </c>
      <c r="J31" s="136">
        <v>0</v>
      </c>
      <c r="K31" s="136">
        <v>20.308</v>
      </c>
      <c r="L31" s="136">
        <v>2.806</v>
      </c>
      <c r="M31" s="136">
        <v>18.245000000000001</v>
      </c>
      <c r="N31" s="136">
        <v>105.65</v>
      </c>
      <c r="O31" s="136">
        <v>99.370000000000019</v>
      </c>
      <c r="P31" s="136">
        <v>0</v>
      </c>
      <c r="Q31" s="136">
        <v>0</v>
      </c>
      <c r="R31" s="136">
        <v>5581.6429999999982</v>
      </c>
    </row>
    <row r="32" spans="1:18" x14ac:dyDescent="0.3">
      <c r="A32" s="26" t="s">
        <v>540</v>
      </c>
      <c r="B32" s="136">
        <v>111.827</v>
      </c>
      <c r="C32" s="136">
        <v>603.58799999999997</v>
      </c>
      <c r="D32" s="136">
        <v>0</v>
      </c>
      <c r="E32" s="136">
        <v>866.72499999999968</v>
      </c>
      <c r="F32" s="136">
        <v>0</v>
      </c>
      <c r="G32" s="136">
        <v>54.920999999999999</v>
      </c>
      <c r="H32" s="136">
        <v>3319.3220000000001</v>
      </c>
      <c r="I32" s="136">
        <v>446.46500000000003</v>
      </c>
      <c r="J32" s="136">
        <v>0</v>
      </c>
      <c r="K32" s="136">
        <v>57.848999999999997</v>
      </c>
      <c r="L32" s="136">
        <v>2.2789999999999999</v>
      </c>
      <c r="M32" s="136">
        <v>27.412999999999997</v>
      </c>
      <c r="N32" s="136">
        <v>91.016999999999996</v>
      </c>
      <c r="O32" s="136">
        <v>107.08900000000001</v>
      </c>
      <c r="P32" s="136">
        <v>0</v>
      </c>
      <c r="Q32" s="136">
        <v>0</v>
      </c>
      <c r="R32" s="136">
        <v>5688.4949999999999</v>
      </c>
    </row>
    <row r="33" spans="1:18" x14ac:dyDescent="0.3">
      <c r="A33" s="26" t="s">
        <v>541</v>
      </c>
      <c r="B33" s="136">
        <v>63.661999999999992</v>
      </c>
      <c r="C33" s="136">
        <v>704.88200000000006</v>
      </c>
      <c r="D33" s="136">
        <v>0</v>
      </c>
      <c r="E33" s="136">
        <v>1039.713</v>
      </c>
      <c r="F33" s="136">
        <v>0</v>
      </c>
      <c r="G33" s="136">
        <v>26.713000000000001</v>
      </c>
      <c r="H33" s="136">
        <v>3696.0729999999994</v>
      </c>
      <c r="I33" s="136">
        <v>206.82500000000002</v>
      </c>
      <c r="J33" s="136">
        <v>0</v>
      </c>
      <c r="K33" s="136">
        <v>39.416999999999994</v>
      </c>
      <c r="L33" s="136">
        <v>1.86</v>
      </c>
      <c r="M33" s="136">
        <v>38.120000000000005</v>
      </c>
      <c r="N33" s="136">
        <v>66.477000000000004</v>
      </c>
      <c r="O33" s="136">
        <v>128.45099999999999</v>
      </c>
      <c r="P33" s="136">
        <v>0</v>
      </c>
      <c r="Q33" s="136">
        <v>0</v>
      </c>
      <c r="R33" s="136">
        <v>6012.1929999999993</v>
      </c>
    </row>
    <row r="34" spans="1:18" x14ac:dyDescent="0.3">
      <c r="A34" s="26" t="s">
        <v>543</v>
      </c>
      <c r="B34" s="136">
        <v>0</v>
      </c>
      <c r="C34" s="136">
        <v>685.10899999999992</v>
      </c>
      <c r="D34" s="136">
        <v>0</v>
      </c>
      <c r="E34" s="136">
        <v>900.51</v>
      </c>
      <c r="F34" s="136">
        <v>0</v>
      </c>
      <c r="G34" s="136">
        <v>35.471000000000004</v>
      </c>
      <c r="H34" s="136">
        <v>3516.1560000000009</v>
      </c>
      <c r="I34" s="136">
        <v>278.31499999999994</v>
      </c>
      <c r="J34" s="136">
        <v>8.4920000000000009</v>
      </c>
      <c r="K34" s="136">
        <v>67.187000000000012</v>
      </c>
      <c r="L34" s="136">
        <v>1.337</v>
      </c>
      <c r="M34" s="136">
        <v>35.832999999999998</v>
      </c>
      <c r="N34" s="136">
        <v>100.542</v>
      </c>
      <c r="O34" s="136">
        <v>114.72900000000001</v>
      </c>
      <c r="P34" s="136">
        <v>0</v>
      </c>
      <c r="Q34" s="136">
        <v>0</v>
      </c>
      <c r="R34" s="136">
        <v>5743.6810000000014</v>
      </c>
    </row>
    <row r="35" spans="1:18" x14ac:dyDescent="0.3">
      <c r="A35" s="26" t="s">
        <v>544</v>
      </c>
      <c r="B35" s="136">
        <v>0</v>
      </c>
      <c r="C35" s="136">
        <v>467.60600000000005</v>
      </c>
      <c r="D35" s="136">
        <v>0</v>
      </c>
      <c r="E35" s="136">
        <v>822.62</v>
      </c>
      <c r="F35" s="136">
        <v>0</v>
      </c>
      <c r="G35" s="136">
        <v>48.195</v>
      </c>
      <c r="H35" s="136">
        <v>3073.1610000000001</v>
      </c>
      <c r="I35" s="136">
        <v>36.939</v>
      </c>
      <c r="J35" s="136">
        <v>0</v>
      </c>
      <c r="K35" s="136">
        <v>35.724000000000004</v>
      </c>
      <c r="L35" s="136">
        <v>0</v>
      </c>
      <c r="M35" s="136">
        <v>28.995999999999999</v>
      </c>
      <c r="N35" s="136">
        <v>115.64299999999999</v>
      </c>
      <c r="O35" s="136">
        <v>69.941000000000003</v>
      </c>
      <c r="P35" s="136">
        <v>0</v>
      </c>
      <c r="Q35" s="136">
        <v>0</v>
      </c>
      <c r="R35" s="136">
        <v>4698.8250000000007</v>
      </c>
    </row>
  </sheetData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50"/>
  <sheetViews>
    <sheetView topLeftCell="A130" workbookViewId="0">
      <selection activeCell="C150" sqref="C150"/>
    </sheetView>
  </sheetViews>
  <sheetFormatPr defaultRowHeight="14.4" x14ac:dyDescent="0.3"/>
  <cols>
    <col min="1" max="1" width="60.77734375" bestFit="1" customWidth="1"/>
    <col min="2" max="2" width="20.6640625" bestFit="1" customWidth="1"/>
    <col min="3" max="32" width="18.33203125" bestFit="1" customWidth="1"/>
    <col min="33" max="33" width="15.77734375" bestFit="1" customWidth="1"/>
  </cols>
  <sheetData>
    <row r="1" spans="1:33" x14ac:dyDescent="0.3">
      <c r="A1" s="29" t="s">
        <v>1</v>
      </c>
      <c r="B1" t="s">
        <v>82</v>
      </c>
    </row>
    <row r="2" spans="1:33" x14ac:dyDescent="0.3">
      <c r="A2" s="29" t="s">
        <v>158</v>
      </c>
      <c r="B2" t="s">
        <v>82</v>
      </c>
    </row>
    <row r="4" spans="1:33" x14ac:dyDescent="0.3">
      <c r="A4" s="29" t="s">
        <v>542</v>
      </c>
      <c r="B4" t="s">
        <v>84</v>
      </c>
      <c r="C4" s="82" t="s">
        <v>545</v>
      </c>
      <c r="D4" s="82" t="s">
        <v>546</v>
      </c>
      <c r="E4" s="82" t="s">
        <v>547</v>
      </c>
      <c r="F4" s="82" t="s">
        <v>548</v>
      </c>
      <c r="G4" s="82" t="s">
        <v>549</v>
      </c>
      <c r="H4" s="82" t="s">
        <v>550</v>
      </c>
      <c r="I4" s="82" t="s">
        <v>551</v>
      </c>
      <c r="J4" s="82" t="s">
        <v>552</v>
      </c>
      <c r="K4" s="82" t="s">
        <v>553</v>
      </c>
      <c r="L4" s="82" t="s">
        <v>554</v>
      </c>
      <c r="M4" s="82" t="s">
        <v>556</v>
      </c>
      <c r="N4" s="82" t="s">
        <v>562</v>
      </c>
      <c r="O4" s="82" t="s">
        <v>566</v>
      </c>
      <c r="P4" s="82" t="s">
        <v>567</v>
      </c>
      <c r="Q4" s="82" t="s">
        <v>573</v>
      </c>
      <c r="R4" s="82" t="s">
        <v>579</v>
      </c>
      <c r="S4" s="82" t="s">
        <v>580</v>
      </c>
      <c r="T4" s="82" t="s">
        <v>581</v>
      </c>
      <c r="U4" s="82" t="s">
        <v>582</v>
      </c>
      <c r="V4" s="82" t="s">
        <v>583</v>
      </c>
      <c r="W4" s="82" t="s">
        <v>584</v>
      </c>
      <c r="X4" s="82" t="s">
        <v>585</v>
      </c>
      <c r="Y4" s="82" t="s">
        <v>586</v>
      </c>
      <c r="Z4" s="82" t="s">
        <v>587</v>
      </c>
      <c r="AA4" s="82" t="s">
        <v>588</v>
      </c>
      <c r="AB4" s="82" t="s">
        <v>592</v>
      </c>
      <c r="AC4" s="82" t="s">
        <v>593</v>
      </c>
      <c r="AD4" s="82" t="s">
        <v>594</v>
      </c>
      <c r="AE4" s="82" t="s">
        <v>595</v>
      </c>
      <c r="AF4" s="82" t="s">
        <v>596</v>
      </c>
      <c r="AG4" s="82" t="s">
        <v>85</v>
      </c>
    </row>
    <row r="5" spans="1:33" x14ac:dyDescent="0.3">
      <c r="A5" s="39" t="s">
        <v>242</v>
      </c>
      <c r="B5" s="139">
        <v>1</v>
      </c>
      <c r="C5" s="83">
        <v>0</v>
      </c>
      <c r="D5" s="83">
        <v>0</v>
      </c>
      <c r="E5" s="83">
        <v>0</v>
      </c>
      <c r="F5" s="83">
        <v>0</v>
      </c>
      <c r="G5" s="83">
        <v>0</v>
      </c>
      <c r="H5" s="83">
        <v>0</v>
      </c>
      <c r="I5" s="83">
        <v>0</v>
      </c>
      <c r="J5" s="83">
        <v>0</v>
      </c>
      <c r="K5" s="83">
        <v>0</v>
      </c>
      <c r="L5" s="83">
        <v>0</v>
      </c>
      <c r="M5" s="83">
        <v>0</v>
      </c>
      <c r="N5" s="83">
        <v>0</v>
      </c>
      <c r="O5" s="83">
        <v>0</v>
      </c>
      <c r="P5" s="83">
        <v>0</v>
      </c>
      <c r="Q5" s="83">
        <v>0</v>
      </c>
      <c r="R5" s="83">
        <v>0</v>
      </c>
      <c r="S5" s="83">
        <v>0</v>
      </c>
      <c r="T5" s="83">
        <v>0</v>
      </c>
      <c r="U5" s="83">
        <v>0</v>
      </c>
      <c r="V5" s="83">
        <v>0</v>
      </c>
      <c r="W5" s="83">
        <v>0</v>
      </c>
      <c r="X5" s="83">
        <v>0</v>
      </c>
      <c r="Y5" s="83">
        <v>0</v>
      </c>
      <c r="Z5" s="83">
        <v>0</v>
      </c>
      <c r="AA5" s="83">
        <v>0</v>
      </c>
      <c r="AB5" s="83">
        <v>0</v>
      </c>
      <c r="AC5" s="83">
        <v>0</v>
      </c>
      <c r="AD5" s="83">
        <v>0</v>
      </c>
      <c r="AE5" s="83">
        <v>0</v>
      </c>
      <c r="AF5" s="83">
        <v>0</v>
      </c>
      <c r="AG5" s="83">
        <v>0</v>
      </c>
    </row>
    <row r="6" spans="1:33" x14ac:dyDescent="0.3">
      <c r="A6" s="39" t="s">
        <v>241</v>
      </c>
      <c r="B6" s="139">
        <v>1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83">
        <v>0</v>
      </c>
      <c r="I6" s="83">
        <v>0</v>
      </c>
      <c r="J6" s="83">
        <v>0</v>
      </c>
      <c r="K6" s="83">
        <v>0</v>
      </c>
      <c r="L6" s="83">
        <v>0</v>
      </c>
      <c r="M6" s="83">
        <v>0</v>
      </c>
      <c r="N6" s="83">
        <v>0</v>
      </c>
      <c r="O6" s="83">
        <v>0</v>
      </c>
      <c r="P6" s="83">
        <v>0</v>
      </c>
      <c r="Q6" s="83">
        <v>0</v>
      </c>
      <c r="R6" s="83">
        <v>0</v>
      </c>
      <c r="S6" s="83">
        <v>0</v>
      </c>
      <c r="T6" s="83">
        <v>0</v>
      </c>
      <c r="U6" s="83">
        <v>0</v>
      </c>
      <c r="V6" s="83">
        <v>0</v>
      </c>
      <c r="W6" s="83">
        <v>0</v>
      </c>
      <c r="X6" s="83">
        <v>0</v>
      </c>
      <c r="Y6" s="83">
        <v>0</v>
      </c>
      <c r="Z6" s="83">
        <v>0</v>
      </c>
      <c r="AA6" s="83">
        <v>0</v>
      </c>
      <c r="AB6" s="83">
        <v>0</v>
      </c>
      <c r="AC6" s="83">
        <v>0</v>
      </c>
      <c r="AD6" s="83">
        <v>0</v>
      </c>
      <c r="AE6" s="83">
        <v>0</v>
      </c>
      <c r="AF6" s="83">
        <v>0</v>
      </c>
      <c r="AG6" s="83">
        <v>0</v>
      </c>
    </row>
    <row r="7" spans="1:33" x14ac:dyDescent="0.3">
      <c r="A7" s="39" t="s">
        <v>240</v>
      </c>
      <c r="B7" s="139">
        <v>1</v>
      </c>
      <c r="C7" s="83">
        <v>0</v>
      </c>
      <c r="D7" s="83">
        <v>0</v>
      </c>
      <c r="E7" s="83">
        <v>0</v>
      </c>
      <c r="F7" s="83">
        <v>0</v>
      </c>
      <c r="G7" s="83">
        <v>0</v>
      </c>
      <c r="H7" s="83">
        <v>0</v>
      </c>
      <c r="I7" s="83">
        <v>0</v>
      </c>
      <c r="J7" s="83">
        <v>0</v>
      </c>
      <c r="K7" s="83">
        <v>0</v>
      </c>
      <c r="L7" s="83">
        <v>0</v>
      </c>
      <c r="M7" s="83">
        <v>0</v>
      </c>
      <c r="N7" s="83">
        <v>0</v>
      </c>
      <c r="O7" s="83">
        <v>0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83">
        <v>0</v>
      </c>
      <c r="V7" s="83">
        <v>0</v>
      </c>
      <c r="W7" s="83">
        <v>0</v>
      </c>
      <c r="X7" s="83">
        <v>0</v>
      </c>
      <c r="Y7" s="83">
        <v>0</v>
      </c>
      <c r="Z7" s="83">
        <v>0</v>
      </c>
      <c r="AA7" s="83">
        <v>0</v>
      </c>
      <c r="AB7" s="83">
        <v>0</v>
      </c>
      <c r="AC7" s="83">
        <v>0</v>
      </c>
      <c r="AD7" s="83">
        <v>0</v>
      </c>
      <c r="AE7" s="83">
        <v>0</v>
      </c>
      <c r="AF7" s="83">
        <v>0</v>
      </c>
      <c r="AG7" s="83">
        <v>0</v>
      </c>
    </row>
    <row r="8" spans="1:33" x14ac:dyDescent="0.3">
      <c r="A8" s="39" t="s">
        <v>70</v>
      </c>
      <c r="B8" s="139">
        <v>82</v>
      </c>
      <c r="C8" s="83"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N8" s="83">
        <v>0</v>
      </c>
      <c r="O8" s="83">
        <v>0</v>
      </c>
      <c r="P8" s="83">
        <v>0</v>
      </c>
      <c r="Q8" s="83">
        <v>0</v>
      </c>
      <c r="R8" s="83">
        <v>0</v>
      </c>
      <c r="S8" s="83">
        <v>0</v>
      </c>
      <c r="T8" s="83">
        <v>0</v>
      </c>
      <c r="U8" s="83">
        <v>0</v>
      </c>
      <c r="V8" s="83">
        <v>0</v>
      </c>
      <c r="W8" s="83">
        <v>0</v>
      </c>
      <c r="X8" s="83">
        <v>0</v>
      </c>
      <c r="Y8" s="83">
        <v>0</v>
      </c>
      <c r="Z8" s="83">
        <v>0</v>
      </c>
      <c r="AA8" s="83">
        <v>0</v>
      </c>
      <c r="AB8" s="83">
        <v>0</v>
      </c>
      <c r="AC8" s="83">
        <v>0</v>
      </c>
      <c r="AD8" s="83">
        <v>0</v>
      </c>
      <c r="AE8" s="83">
        <v>0</v>
      </c>
      <c r="AF8" s="83">
        <v>0</v>
      </c>
      <c r="AG8" s="83">
        <v>0</v>
      </c>
    </row>
    <row r="9" spans="1:33" x14ac:dyDescent="0.3">
      <c r="A9" s="39" t="s">
        <v>252</v>
      </c>
      <c r="B9" s="139">
        <v>3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</row>
    <row r="10" spans="1:33" x14ac:dyDescent="0.3">
      <c r="A10" s="39" t="s">
        <v>442</v>
      </c>
      <c r="B10" s="139">
        <v>2</v>
      </c>
      <c r="C10" s="83">
        <v>0</v>
      </c>
      <c r="D10" s="83">
        <v>2.948</v>
      </c>
      <c r="E10" s="83">
        <v>0</v>
      </c>
      <c r="F10" s="83">
        <v>0</v>
      </c>
      <c r="G10" s="83">
        <v>0</v>
      </c>
      <c r="H10" s="83">
        <v>17.329000000000001</v>
      </c>
      <c r="I10" s="83">
        <v>8.9459999999999997</v>
      </c>
      <c r="J10" s="83">
        <v>2.569</v>
      </c>
      <c r="K10" s="83">
        <v>7.03</v>
      </c>
      <c r="L10" s="83">
        <v>0</v>
      </c>
      <c r="M10" s="83">
        <v>2E-3</v>
      </c>
      <c r="N10" s="83">
        <v>7.2460000000000004</v>
      </c>
      <c r="O10" s="83">
        <v>9.66</v>
      </c>
      <c r="P10" s="83">
        <v>10.77</v>
      </c>
      <c r="Q10" s="83">
        <v>12.545</v>
      </c>
      <c r="R10" s="83">
        <v>6.9930000000000003</v>
      </c>
      <c r="S10" s="83">
        <v>1.845</v>
      </c>
      <c r="T10" s="83">
        <v>5.931</v>
      </c>
      <c r="U10" s="83">
        <v>0</v>
      </c>
      <c r="V10" s="83">
        <v>8.4749999999999996</v>
      </c>
      <c r="W10" s="83">
        <v>11.648999999999999</v>
      </c>
      <c r="X10" s="83">
        <v>0</v>
      </c>
      <c r="Y10" s="83">
        <v>9.3390000000000004</v>
      </c>
      <c r="Z10" s="83">
        <v>11.816000000000001</v>
      </c>
      <c r="AA10" s="83">
        <v>1.1240000000000001</v>
      </c>
      <c r="AB10" s="83">
        <v>7.2039999999999997</v>
      </c>
      <c r="AC10" s="83">
        <v>0</v>
      </c>
      <c r="AD10" s="83">
        <v>15.057</v>
      </c>
      <c r="AE10" s="83">
        <v>2.94</v>
      </c>
      <c r="AF10" s="83">
        <v>4.6189999999999998</v>
      </c>
      <c r="AG10" s="83">
        <v>6.5657272727272726</v>
      </c>
    </row>
    <row r="11" spans="1:33" x14ac:dyDescent="0.3">
      <c r="A11" s="39" t="s">
        <v>261</v>
      </c>
      <c r="B11" s="139">
        <v>10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</row>
    <row r="12" spans="1:33" x14ac:dyDescent="0.3">
      <c r="A12" s="39" t="s">
        <v>245</v>
      </c>
      <c r="B12" s="139">
        <v>3</v>
      </c>
      <c r="C12" s="83">
        <v>0</v>
      </c>
      <c r="D12" s="83">
        <v>0</v>
      </c>
      <c r="E12" s="83">
        <v>0</v>
      </c>
      <c r="F12" s="83">
        <v>0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0</v>
      </c>
    </row>
    <row r="13" spans="1:33" x14ac:dyDescent="0.3">
      <c r="A13" s="39" t="s">
        <v>237</v>
      </c>
      <c r="B13" s="139">
        <v>3</v>
      </c>
      <c r="C13" s="83">
        <v>7.6080000000000005</v>
      </c>
      <c r="D13" s="83">
        <v>4.3579999999999997</v>
      </c>
      <c r="E13" s="83">
        <v>1.232</v>
      </c>
      <c r="F13" s="83">
        <v>1.696</v>
      </c>
      <c r="G13" s="83">
        <v>13.143000000000001</v>
      </c>
      <c r="H13" s="83">
        <v>12.282999999999999</v>
      </c>
      <c r="I13" s="83">
        <v>19.225999999999999</v>
      </c>
      <c r="J13" s="83">
        <v>15.343</v>
      </c>
      <c r="K13" s="83">
        <v>10.493</v>
      </c>
      <c r="L13" s="83">
        <v>21.894999999999996</v>
      </c>
      <c r="M13" s="83">
        <v>15.997</v>
      </c>
      <c r="N13" s="83">
        <v>13</v>
      </c>
      <c r="O13" s="83">
        <v>8.0910000000000011</v>
      </c>
      <c r="P13" s="83">
        <v>22.058999999999997</v>
      </c>
      <c r="Q13" s="83">
        <v>7.0110000000000001</v>
      </c>
      <c r="R13" s="83">
        <v>20.535</v>
      </c>
      <c r="S13" s="83">
        <v>27.225000000000001</v>
      </c>
      <c r="T13" s="83">
        <v>12.859000000000002</v>
      </c>
      <c r="U13" s="83">
        <v>13.848000000000001</v>
      </c>
      <c r="V13" s="83">
        <v>13.385999999999999</v>
      </c>
      <c r="W13" s="83">
        <v>21.436</v>
      </c>
      <c r="X13" s="83">
        <v>12.817</v>
      </c>
      <c r="Y13" s="83">
        <v>18.150000000000002</v>
      </c>
      <c r="Z13" s="83">
        <v>0</v>
      </c>
      <c r="AA13" s="83">
        <v>20.192999999999998</v>
      </c>
      <c r="AB13" s="83">
        <v>16.454999999999998</v>
      </c>
      <c r="AC13" s="83">
        <v>9.7449999999999992</v>
      </c>
      <c r="AD13" s="83">
        <v>12.623999999999999</v>
      </c>
      <c r="AE13" s="83">
        <v>16.133000000000003</v>
      </c>
      <c r="AF13" s="83">
        <v>9.8610000000000007</v>
      </c>
      <c r="AG13" s="83">
        <v>13.709090909090907</v>
      </c>
    </row>
    <row r="14" spans="1:33" x14ac:dyDescent="0.3">
      <c r="A14" s="39" t="s">
        <v>253</v>
      </c>
      <c r="B14" s="139">
        <v>3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</row>
    <row r="15" spans="1:33" x14ac:dyDescent="0.3">
      <c r="A15" s="39" t="s">
        <v>235</v>
      </c>
      <c r="B15" s="139">
        <v>3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</row>
    <row r="16" spans="1:33" x14ac:dyDescent="0.3">
      <c r="A16" s="39" t="s">
        <v>238</v>
      </c>
      <c r="B16" s="139">
        <v>4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</row>
    <row r="17" spans="1:33" x14ac:dyDescent="0.3">
      <c r="A17" s="39" t="s">
        <v>93</v>
      </c>
      <c r="B17" s="139">
        <v>1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</row>
    <row r="18" spans="1:33" x14ac:dyDescent="0.3">
      <c r="A18" s="39" t="s">
        <v>66</v>
      </c>
      <c r="B18" s="139">
        <v>87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  <c r="R18" s="83">
        <v>0</v>
      </c>
      <c r="S18" s="83">
        <v>0</v>
      </c>
      <c r="T18" s="83">
        <v>0</v>
      </c>
      <c r="U18" s="83">
        <v>0</v>
      </c>
      <c r="V18" s="83">
        <v>0</v>
      </c>
      <c r="W18" s="83">
        <v>0</v>
      </c>
      <c r="X18" s="83">
        <v>0</v>
      </c>
      <c r="Y18" s="83">
        <v>0</v>
      </c>
      <c r="Z18" s="83">
        <v>0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</row>
    <row r="19" spans="1:33" x14ac:dyDescent="0.3">
      <c r="A19" s="39" t="s">
        <v>74</v>
      </c>
      <c r="B19" s="139">
        <v>2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3">
        <v>0</v>
      </c>
      <c r="V19" s="83">
        <v>0</v>
      </c>
      <c r="W19" s="83">
        <v>0</v>
      </c>
      <c r="X19" s="83">
        <v>0</v>
      </c>
      <c r="Y19" s="83">
        <v>0</v>
      </c>
      <c r="Z19" s="83">
        <v>0</v>
      </c>
      <c r="AA19" s="83">
        <v>0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0</v>
      </c>
    </row>
    <row r="20" spans="1:33" x14ac:dyDescent="0.3">
      <c r="A20" s="39" t="s">
        <v>27</v>
      </c>
      <c r="B20" s="139">
        <v>4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</row>
    <row r="21" spans="1:33" x14ac:dyDescent="0.3">
      <c r="A21" s="39" t="s">
        <v>226</v>
      </c>
      <c r="B21" s="139">
        <v>10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</row>
    <row r="22" spans="1:33" x14ac:dyDescent="0.3">
      <c r="A22" s="39" t="s">
        <v>217</v>
      </c>
      <c r="B22" s="139">
        <v>20</v>
      </c>
      <c r="C22" s="83">
        <v>0</v>
      </c>
      <c r="D22" s="83">
        <v>0</v>
      </c>
      <c r="E22" s="83">
        <v>0</v>
      </c>
      <c r="F22" s="83">
        <v>2.145</v>
      </c>
      <c r="G22" s="83">
        <v>2.71</v>
      </c>
      <c r="H22" s="83">
        <v>34.673999999999999</v>
      </c>
      <c r="I22" s="83">
        <v>27.372999999999998</v>
      </c>
      <c r="J22" s="83">
        <v>7.0090000000000003</v>
      </c>
      <c r="K22" s="83">
        <v>0</v>
      </c>
      <c r="L22" s="83">
        <v>0</v>
      </c>
      <c r="M22" s="83">
        <v>0</v>
      </c>
      <c r="N22" s="83">
        <v>0</v>
      </c>
      <c r="O22" s="83">
        <v>5.9499999999999993</v>
      </c>
      <c r="P22" s="83">
        <v>0</v>
      </c>
      <c r="Q22" s="83">
        <v>0.438</v>
      </c>
      <c r="R22" s="83">
        <v>0</v>
      </c>
      <c r="S22" s="83">
        <v>0</v>
      </c>
      <c r="T22" s="83">
        <v>0</v>
      </c>
      <c r="U22" s="83">
        <v>6.2629999999999999</v>
      </c>
      <c r="V22" s="83">
        <v>15.599999999999998</v>
      </c>
      <c r="W22" s="83">
        <v>4.4320000000000004</v>
      </c>
      <c r="X22" s="83">
        <v>4.8410000000000002</v>
      </c>
      <c r="Y22" s="83">
        <v>9.3049999999999997</v>
      </c>
      <c r="Z22" s="83">
        <v>2.7730000000000001</v>
      </c>
      <c r="AA22" s="83">
        <v>0</v>
      </c>
      <c r="AB22" s="83">
        <v>1.5309999999999999</v>
      </c>
      <c r="AC22" s="83">
        <v>10.780999999999999</v>
      </c>
      <c r="AD22" s="83">
        <v>3.8779999999999997</v>
      </c>
      <c r="AE22" s="83">
        <v>19.803000000000004</v>
      </c>
      <c r="AF22" s="83">
        <v>11.154</v>
      </c>
      <c r="AG22" s="83">
        <v>7.6452727272727268</v>
      </c>
    </row>
    <row r="23" spans="1:33" x14ac:dyDescent="0.3">
      <c r="A23" s="39" t="s">
        <v>199</v>
      </c>
      <c r="B23" s="139">
        <v>6</v>
      </c>
      <c r="C23" s="83">
        <v>17.493000000000002</v>
      </c>
      <c r="D23" s="83">
        <v>9.0310000000000006</v>
      </c>
      <c r="E23" s="83">
        <v>39.680000000000007</v>
      </c>
      <c r="F23" s="83">
        <v>53.546999999999997</v>
      </c>
      <c r="G23" s="83">
        <v>74.527999999999992</v>
      </c>
      <c r="H23" s="83">
        <v>55.170999999999999</v>
      </c>
      <c r="I23" s="83">
        <v>15.037000000000001</v>
      </c>
      <c r="J23" s="83">
        <v>45.107999999999997</v>
      </c>
      <c r="K23" s="83">
        <v>32.305999999999997</v>
      </c>
      <c r="L23" s="83">
        <v>59.98</v>
      </c>
      <c r="M23" s="83">
        <v>78.569999999999993</v>
      </c>
      <c r="N23" s="83">
        <v>68.775999999999996</v>
      </c>
      <c r="O23" s="83">
        <v>62.641999999999996</v>
      </c>
      <c r="P23" s="83">
        <v>83.132000000000005</v>
      </c>
      <c r="Q23" s="83">
        <v>63.533999999999999</v>
      </c>
      <c r="R23" s="83">
        <v>67.235000000000014</v>
      </c>
      <c r="S23" s="83">
        <v>50.039000000000009</v>
      </c>
      <c r="T23" s="83">
        <v>57.518999999999998</v>
      </c>
      <c r="U23" s="83">
        <v>37.283999999999999</v>
      </c>
      <c r="V23" s="83">
        <v>94.371000000000009</v>
      </c>
      <c r="W23" s="83">
        <v>61.542000000000002</v>
      </c>
      <c r="X23" s="83">
        <v>49.262999999999998</v>
      </c>
      <c r="Y23" s="83">
        <v>82.143000000000001</v>
      </c>
      <c r="Z23" s="83">
        <v>31.68</v>
      </c>
      <c r="AA23" s="83">
        <v>47.970999999999989</v>
      </c>
      <c r="AB23" s="83">
        <v>68.527000000000015</v>
      </c>
      <c r="AC23" s="83">
        <v>65.775000000000006</v>
      </c>
      <c r="AD23" s="83">
        <v>51.025999999999996</v>
      </c>
      <c r="AE23" s="83">
        <v>50.78</v>
      </c>
      <c r="AF23" s="83">
        <v>74.141999999999996</v>
      </c>
      <c r="AG23" s="83">
        <v>61.56545454545455</v>
      </c>
    </row>
    <row r="24" spans="1:33" x14ac:dyDescent="0.3">
      <c r="A24" s="39" t="s">
        <v>200</v>
      </c>
      <c r="B24" s="139">
        <v>9</v>
      </c>
      <c r="C24" s="83">
        <v>112.28200000000002</v>
      </c>
      <c r="D24" s="83">
        <v>106.35600000000002</v>
      </c>
      <c r="E24" s="83">
        <v>155.68100000000001</v>
      </c>
      <c r="F24" s="83">
        <v>147.91500000000002</v>
      </c>
      <c r="G24" s="83">
        <v>115.18800000000002</v>
      </c>
      <c r="H24" s="83">
        <v>186.98100000000005</v>
      </c>
      <c r="I24" s="83">
        <v>162.25699999999998</v>
      </c>
      <c r="J24" s="83">
        <v>134.61599999999996</v>
      </c>
      <c r="K24" s="83">
        <v>164.87500000000006</v>
      </c>
      <c r="L24" s="83">
        <v>148.273</v>
      </c>
      <c r="M24" s="83">
        <v>139.12099999999998</v>
      </c>
      <c r="N24" s="83">
        <v>149.20599999999999</v>
      </c>
      <c r="O24" s="83">
        <v>114.74800000000002</v>
      </c>
      <c r="P24" s="83">
        <v>141.83300000000003</v>
      </c>
      <c r="Q24" s="83">
        <v>145.49199999999999</v>
      </c>
      <c r="R24" s="83">
        <v>150.14499999999998</v>
      </c>
      <c r="S24" s="83">
        <v>170.72499999999999</v>
      </c>
      <c r="T24" s="83">
        <v>115.373</v>
      </c>
      <c r="U24" s="83">
        <v>160.17399999999998</v>
      </c>
      <c r="V24" s="83">
        <v>176.07599999999996</v>
      </c>
      <c r="W24" s="83">
        <v>171.63199999999995</v>
      </c>
      <c r="X24" s="83">
        <v>160.53999999999996</v>
      </c>
      <c r="Y24" s="83">
        <v>154.60099999999997</v>
      </c>
      <c r="Z24" s="83">
        <v>164.2290000000001</v>
      </c>
      <c r="AA24" s="83">
        <v>149.83799999999997</v>
      </c>
      <c r="AB24" s="83">
        <v>180.291</v>
      </c>
      <c r="AC24" s="83">
        <v>162.22</v>
      </c>
      <c r="AD24" s="83">
        <v>183.94800000000001</v>
      </c>
      <c r="AE24" s="83">
        <v>170.28100000000001</v>
      </c>
      <c r="AF24" s="83">
        <v>176.42399999999992</v>
      </c>
      <c r="AG24" s="83">
        <v>168.18909090909091</v>
      </c>
    </row>
    <row r="25" spans="1:33" x14ac:dyDescent="0.3">
      <c r="A25" s="39" t="s">
        <v>201</v>
      </c>
      <c r="B25" s="139">
        <v>3</v>
      </c>
      <c r="C25" s="83">
        <v>0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3">
        <v>0</v>
      </c>
      <c r="AC25" s="83">
        <v>0</v>
      </c>
      <c r="AD25" s="83">
        <v>0</v>
      </c>
      <c r="AE25" s="83">
        <v>0</v>
      </c>
      <c r="AF25" s="83">
        <v>0</v>
      </c>
      <c r="AG25" s="83">
        <v>0</v>
      </c>
    </row>
    <row r="26" spans="1:33" x14ac:dyDescent="0.3">
      <c r="A26" s="39" t="s">
        <v>388</v>
      </c>
      <c r="B26" s="139">
        <v>5</v>
      </c>
      <c r="C26" s="83">
        <v>7.2960000000000003</v>
      </c>
      <c r="D26" s="83">
        <v>17.012</v>
      </c>
      <c r="E26" s="83">
        <v>0</v>
      </c>
      <c r="F26" s="83">
        <v>9.5180000000000007</v>
      </c>
      <c r="G26" s="83">
        <v>6.2749999999999995</v>
      </c>
      <c r="H26" s="83">
        <v>0.96299999999999997</v>
      </c>
      <c r="I26" s="83">
        <v>16.606000000000002</v>
      </c>
      <c r="J26" s="83">
        <v>1E-3</v>
      </c>
      <c r="K26" s="83">
        <v>10.893999999999998</v>
      </c>
      <c r="L26" s="83">
        <v>1.29</v>
      </c>
      <c r="M26" s="83">
        <v>14.32</v>
      </c>
      <c r="N26" s="83">
        <v>13.168999999999999</v>
      </c>
      <c r="O26" s="83">
        <v>13.012</v>
      </c>
      <c r="P26" s="83">
        <v>5.3010000000000002</v>
      </c>
      <c r="Q26" s="83">
        <v>2.927</v>
      </c>
      <c r="R26" s="83">
        <v>5.625</v>
      </c>
      <c r="S26" s="83">
        <v>0</v>
      </c>
      <c r="T26" s="83">
        <v>7.456999999999999</v>
      </c>
      <c r="U26" s="83">
        <v>2.7899999999999996</v>
      </c>
      <c r="V26" s="83">
        <v>12.774999999999999</v>
      </c>
      <c r="W26" s="83">
        <v>5.3559999999999999</v>
      </c>
      <c r="X26" s="83">
        <v>5.9749999999999996</v>
      </c>
      <c r="Y26" s="83">
        <v>5.5790000000000006</v>
      </c>
      <c r="Z26" s="83">
        <v>0</v>
      </c>
      <c r="AA26" s="83">
        <v>11.547000000000002</v>
      </c>
      <c r="AB26" s="83">
        <v>10.550999999999998</v>
      </c>
      <c r="AC26" s="83">
        <v>11.348000000000001</v>
      </c>
      <c r="AD26" s="83">
        <v>5.5519999999999996</v>
      </c>
      <c r="AE26" s="83">
        <v>11.087</v>
      </c>
      <c r="AF26" s="83">
        <v>9.8439999999999994</v>
      </c>
      <c r="AG26" s="83">
        <v>8.1467272727272722</v>
      </c>
    </row>
    <row r="27" spans="1:33" x14ac:dyDescent="0.3">
      <c r="A27" s="39" t="s">
        <v>212</v>
      </c>
      <c r="B27" s="139">
        <v>7</v>
      </c>
      <c r="C27" s="83">
        <v>105.066</v>
      </c>
      <c r="D27" s="83">
        <v>76.692999999999998</v>
      </c>
      <c r="E27" s="83">
        <v>102.16699999999999</v>
      </c>
      <c r="F27" s="83">
        <v>130.52499999999998</v>
      </c>
      <c r="G27" s="83">
        <v>85.278000000000006</v>
      </c>
      <c r="H27" s="83">
        <v>96.097000000000008</v>
      </c>
      <c r="I27" s="83">
        <v>84.896000000000001</v>
      </c>
      <c r="J27" s="83">
        <v>96.495999999999995</v>
      </c>
      <c r="K27" s="83">
        <v>145.50899999999999</v>
      </c>
      <c r="L27" s="83">
        <v>77.254999999999995</v>
      </c>
      <c r="M27" s="83">
        <v>152.00500000000002</v>
      </c>
      <c r="N27" s="83">
        <v>73.292999999999992</v>
      </c>
      <c r="O27" s="83">
        <v>100.84500000000001</v>
      </c>
      <c r="P27" s="83">
        <v>118.41999999999997</v>
      </c>
      <c r="Q27" s="83">
        <v>72.057000000000002</v>
      </c>
      <c r="R27" s="83">
        <v>127.73200000000001</v>
      </c>
      <c r="S27" s="83">
        <v>109.73300000000002</v>
      </c>
      <c r="T27" s="83">
        <v>115.57399999999997</v>
      </c>
      <c r="U27" s="83">
        <v>84.847999999999999</v>
      </c>
      <c r="V27" s="83">
        <v>98.855999999999995</v>
      </c>
      <c r="W27" s="83">
        <v>118.68000000000004</v>
      </c>
      <c r="X27" s="83">
        <v>125.27700000000002</v>
      </c>
      <c r="Y27" s="83">
        <v>102.72499999999998</v>
      </c>
      <c r="Z27" s="83">
        <v>122.36500000000001</v>
      </c>
      <c r="AA27" s="83">
        <v>93.745999999999981</v>
      </c>
      <c r="AB27" s="83">
        <v>82.062000000000012</v>
      </c>
      <c r="AC27" s="83">
        <v>156.28100000000001</v>
      </c>
      <c r="AD27" s="83">
        <v>107.005</v>
      </c>
      <c r="AE27" s="83">
        <v>87.65</v>
      </c>
      <c r="AF27" s="83">
        <v>93.146999999999991</v>
      </c>
      <c r="AG27" s="83">
        <v>107.98127272727271</v>
      </c>
    </row>
    <row r="28" spans="1:33" x14ac:dyDescent="0.3">
      <c r="A28" s="39" t="s">
        <v>227</v>
      </c>
      <c r="B28" s="139">
        <v>13</v>
      </c>
      <c r="C28" s="83">
        <v>5.7430000000000003</v>
      </c>
      <c r="D28" s="83">
        <v>14.786</v>
      </c>
      <c r="E28" s="83">
        <v>8.7759999999999998</v>
      </c>
      <c r="F28" s="83">
        <v>22.046999999999997</v>
      </c>
      <c r="G28" s="83">
        <v>35.991999999999997</v>
      </c>
      <c r="H28" s="83">
        <v>28.503999999999998</v>
      </c>
      <c r="I28" s="83">
        <v>32.975999999999999</v>
      </c>
      <c r="J28" s="83">
        <v>37.161000000000001</v>
      </c>
      <c r="K28" s="83">
        <v>21.242000000000001</v>
      </c>
      <c r="L28" s="83">
        <v>13.779999999999996</v>
      </c>
      <c r="M28" s="83">
        <v>17.243000000000002</v>
      </c>
      <c r="N28" s="83">
        <v>27.64</v>
      </c>
      <c r="O28" s="83">
        <v>63.137999999999998</v>
      </c>
      <c r="P28" s="83">
        <v>19.428000000000001</v>
      </c>
      <c r="Q28" s="83">
        <v>52.214999999999996</v>
      </c>
      <c r="R28" s="83">
        <v>26.161999999999999</v>
      </c>
      <c r="S28" s="83">
        <v>21.887</v>
      </c>
      <c r="T28" s="83">
        <v>32.487000000000002</v>
      </c>
      <c r="U28" s="83">
        <v>4.915</v>
      </c>
      <c r="V28" s="83">
        <v>35.988</v>
      </c>
      <c r="W28" s="83">
        <v>26.645</v>
      </c>
      <c r="X28" s="83">
        <v>34.945</v>
      </c>
      <c r="Y28" s="83">
        <v>14.91</v>
      </c>
      <c r="Z28" s="83">
        <v>14.488</v>
      </c>
      <c r="AA28" s="83">
        <v>44.379000000000005</v>
      </c>
      <c r="AB28" s="83">
        <v>16.79</v>
      </c>
      <c r="AC28" s="83">
        <v>48.691000000000003</v>
      </c>
      <c r="AD28" s="83">
        <v>48.076999999999998</v>
      </c>
      <c r="AE28" s="83">
        <v>40.637999999999991</v>
      </c>
      <c r="AF28" s="83">
        <v>39.376000000000005</v>
      </c>
      <c r="AG28" s="83">
        <v>33.175181818181819</v>
      </c>
    </row>
    <row r="29" spans="1:33" x14ac:dyDescent="0.3">
      <c r="A29" s="39" t="s">
        <v>403</v>
      </c>
      <c r="B29" s="139">
        <v>1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Z29" s="83">
        <v>0</v>
      </c>
      <c r="AA29" s="83">
        <v>0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</row>
    <row r="30" spans="1:33" x14ac:dyDescent="0.3">
      <c r="A30" s="39" t="s">
        <v>518</v>
      </c>
      <c r="B30" s="139">
        <v>1</v>
      </c>
      <c r="C30" s="83">
        <v>0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5.7769999999999992</v>
      </c>
      <c r="W30" s="83">
        <v>1.2350000000000001</v>
      </c>
      <c r="X30" s="83">
        <v>4.9809999999999999</v>
      </c>
      <c r="Y30" s="83">
        <v>4.5060000000000002</v>
      </c>
      <c r="Z30" s="83">
        <v>0</v>
      </c>
      <c r="AA30" s="83">
        <v>2.3109999999999999</v>
      </c>
      <c r="AB30" s="83">
        <v>3.0000000000000001E-3</v>
      </c>
      <c r="AC30" s="83">
        <v>7.0440000000000005</v>
      </c>
      <c r="AD30" s="83">
        <v>0</v>
      </c>
      <c r="AE30" s="83">
        <v>0</v>
      </c>
      <c r="AF30" s="83">
        <v>0</v>
      </c>
      <c r="AG30" s="83">
        <v>2.3506363636363634</v>
      </c>
    </row>
    <row r="31" spans="1:33" x14ac:dyDescent="0.3">
      <c r="A31" s="39" t="s">
        <v>370</v>
      </c>
      <c r="B31" s="139">
        <v>1</v>
      </c>
      <c r="C31" s="83">
        <v>20.070999999999998</v>
      </c>
      <c r="D31" s="83">
        <v>26.198999999999998</v>
      </c>
      <c r="E31" s="83">
        <v>14.568999999999999</v>
      </c>
      <c r="F31" s="83">
        <v>10.029999999999999</v>
      </c>
      <c r="G31" s="83">
        <v>23.502000000000002</v>
      </c>
      <c r="H31" s="83">
        <v>21.391999999999999</v>
      </c>
      <c r="I31" s="83">
        <v>12.506</v>
      </c>
      <c r="J31" s="83">
        <v>15.147</v>
      </c>
      <c r="K31" s="83">
        <v>16.287000000000003</v>
      </c>
      <c r="L31" s="83">
        <v>8.3339999999999996</v>
      </c>
      <c r="M31" s="83">
        <v>11.541</v>
      </c>
      <c r="N31" s="83">
        <v>17.899000000000001</v>
      </c>
      <c r="O31" s="83">
        <v>24.645000000000003</v>
      </c>
      <c r="P31" s="83">
        <v>17.2</v>
      </c>
      <c r="Q31" s="83">
        <v>9.86</v>
      </c>
      <c r="R31" s="83">
        <v>20.588000000000001</v>
      </c>
      <c r="S31" s="83">
        <v>12.264999999999999</v>
      </c>
      <c r="T31" s="83">
        <v>9.9610000000000003</v>
      </c>
      <c r="U31" s="83">
        <v>11.538</v>
      </c>
      <c r="V31" s="83">
        <v>16.419</v>
      </c>
      <c r="W31" s="83">
        <v>15.641999999999999</v>
      </c>
      <c r="X31" s="83">
        <v>14.506</v>
      </c>
      <c r="Y31" s="83">
        <v>7.9540000000000006</v>
      </c>
      <c r="Z31" s="83">
        <v>18.093</v>
      </c>
      <c r="AA31" s="83">
        <v>12.683999999999999</v>
      </c>
      <c r="AB31" s="83">
        <v>15.727000000000002</v>
      </c>
      <c r="AC31" s="83">
        <v>21.838999999999999</v>
      </c>
      <c r="AD31" s="83">
        <v>10.255000000000001</v>
      </c>
      <c r="AE31" s="83">
        <v>6.9939999999999998</v>
      </c>
      <c r="AF31" s="83">
        <v>32.326999999999998</v>
      </c>
      <c r="AG31" s="83">
        <v>15.676363636363636</v>
      </c>
    </row>
    <row r="32" spans="1:33" x14ac:dyDescent="0.3">
      <c r="A32" s="39" t="s">
        <v>530</v>
      </c>
      <c r="B32" s="139">
        <v>2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1.175</v>
      </c>
      <c r="U32" s="83">
        <v>0</v>
      </c>
      <c r="V32" s="83">
        <v>4.5220000000000002</v>
      </c>
      <c r="W32" s="83">
        <v>2.7909999999999999</v>
      </c>
      <c r="X32" s="83">
        <v>0.80600000000000005</v>
      </c>
      <c r="Y32" s="83">
        <v>8.5999999999999993E-2</v>
      </c>
      <c r="Z32" s="83">
        <v>5.5270000000000001</v>
      </c>
      <c r="AA32" s="83">
        <v>7.3460000000000001</v>
      </c>
      <c r="AB32" s="83">
        <v>14.973999999999997</v>
      </c>
      <c r="AC32" s="83">
        <v>3.73</v>
      </c>
      <c r="AD32" s="83">
        <v>19.038999999999998</v>
      </c>
      <c r="AE32" s="83">
        <v>9.5869999999999997</v>
      </c>
      <c r="AF32" s="83">
        <v>16.770000000000003</v>
      </c>
      <c r="AG32" s="83">
        <v>7.7434545454545454</v>
      </c>
    </row>
    <row r="33" spans="1:33" x14ac:dyDescent="0.3">
      <c r="A33" s="39" t="s">
        <v>406</v>
      </c>
      <c r="B33" s="139">
        <v>2</v>
      </c>
      <c r="C33" s="83">
        <v>0</v>
      </c>
      <c r="D33" s="83">
        <v>0</v>
      </c>
      <c r="E33" s="83">
        <v>0</v>
      </c>
      <c r="F33" s="83">
        <v>13.123000000000001</v>
      </c>
      <c r="G33" s="83">
        <v>7.3490000000000002</v>
      </c>
      <c r="H33" s="83">
        <v>6.8419999999999996</v>
      </c>
      <c r="I33" s="83">
        <v>0</v>
      </c>
      <c r="J33" s="83">
        <v>0</v>
      </c>
      <c r="K33" s="83">
        <v>0</v>
      </c>
      <c r="L33" s="83">
        <v>0</v>
      </c>
      <c r="M33" s="83">
        <v>18.942</v>
      </c>
      <c r="N33" s="83">
        <v>5.8559999999999999</v>
      </c>
      <c r="O33" s="83">
        <v>1.089</v>
      </c>
      <c r="P33" s="83">
        <v>5.7590000000000003</v>
      </c>
      <c r="Q33" s="83">
        <v>0</v>
      </c>
      <c r="R33" s="83">
        <v>0</v>
      </c>
      <c r="S33" s="83">
        <v>0</v>
      </c>
      <c r="T33" s="83">
        <v>0</v>
      </c>
      <c r="U33" s="83">
        <v>5.5289999999999999</v>
      </c>
      <c r="V33" s="83">
        <v>0</v>
      </c>
      <c r="W33" s="83">
        <v>11.73</v>
      </c>
      <c r="X33" s="83">
        <v>4.4820000000000002</v>
      </c>
      <c r="Y33" s="83">
        <v>0</v>
      </c>
      <c r="Z33" s="83">
        <v>0</v>
      </c>
      <c r="AA33" s="83">
        <v>9.9</v>
      </c>
      <c r="AB33" s="83">
        <v>0</v>
      </c>
      <c r="AC33" s="83">
        <v>7.8719999999999999</v>
      </c>
      <c r="AD33" s="83">
        <v>9.5739999999999998</v>
      </c>
      <c r="AE33" s="83">
        <v>6.8479999999999999</v>
      </c>
      <c r="AF33" s="83">
        <v>0</v>
      </c>
      <c r="AG33" s="83">
        <v>4.5823636363636364</v>
      </c>
    </row>
    <row r="34" spans="1:33" x14ac:dyDescent="0.3">
      <c r="A34" s="39" t="s">
        <v>435</v>
      </c>
      <c r="B34" s="139">
        <v>1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0</v>
      </c>
      <c r="AC34" s="83">
        <v>0</v>
      </c>
      <c r="AD34" s="83">
        <v>0</v>
      </c>
      <c r="AE34" s="83">
        <v>0</v>
      </c>
      <c r="AF34" s="83">
        <v>0</v>
      </c>
      <c r="AG34" s="83">
        <v>0</v>
      </c>
    </row>
    <row r="35" spans="1:33" x14ac:dyDescent="0.3">
      <c r="A35" s="39" t="s">
        <v>520</v>
      </c>
      <c r="B35" s="139">
        <v>1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</row>
    <row r="36" spans="1:33" x14ac:dyDescent="0.3">
      <c r="A36" s="39" t="s">
        <v>225</v>
      </c>
      <c r="B36" s="139">
        <v>16</v>
      </c>
      <c r="C36" s="83">
        <v>0</v>
      </c>
      <c r="D36" s="83">
        <v>13.391</v>
      </c>
      <c r="E36" s="83">
        <v>13.214</v>
      </c>
      <c r="F36" s="83">
        <v>10.600000000000001</v>
      </c>
      <c r="G36" s="83">
        <v>19.590999999999998</v>
      </c>
      <c r="H36" s="83">
        <v>2.355</v>
      </c>
      <c r="I36" s="83">
        <v>12.526</v>
      </c>
      <c r="J36" s="83">
        <v>7.1790000000000003</v>
      </c>
      <c r="K36" s="83">
        <v>11.138000000000002</v>
      </c>
      <c r="L36" s="83">
        <v>5.343</v>
      </c>
      <c r="M36" s="83">
        <v>9.7809999999999988</v>
      </c>
      <c r="N36" s="83">
        <v>13.183</v>
      </c>
      <c r="O36" s="83">
        <v>20.152000000000001</v>
      </c>
      <c r="P36" s="83">
        <v>15.536999999999999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13.814</v>
      </c>
      <c r="X36" s="83">
        <v>20.622</v>
      </c>
      <c r="Y36" s="83">
        <v>10.106999999999999</v>
      </c>
      <c r="Z36" s="83">
        <v>5.8079999999999998</v>
      </c>
      <c r="AA36" s="83">
        <v>0</v>
      </c>
      <c r="AB36" s="83">
        <v>30.942999999999998</v>
      </c>
      <c r="AC36" s="83">
        <v>24.275999999999996</v>
      </c>
      <c r="AD36" s="83">
        <v>45.924000000000007</v>
      </c>
      <c r="AE36" s="83">
        <v>79.921999999999997</v>
      </c>
      <c r="AF36" s="83">
        <v>117.15900000000001</v>
      </c>
      <c r="AG36" s="83">
        <v>31.688636363636363</v>
      </c>
    </row>
    <row r="37" spans="1:33" x14ac:dyDescent="0.3">
      <c r="A37" s="39" t="s">
        <v>248</v>
      </c>
      <c r="B37" s="139">
        <v>1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3.3879999999999999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3.395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3.41</v>
      </c>
      <c r="Z37" s="83">
        <v>0</v>
      </c>
      <c r="AA37" s="83">
        <v>0</v>
      </c>
      <c r="AB37" s="83">
        <v>0</v>
      </c>
      <c r="AC37" s="83">
        <v>0</v>
      </c>
      <c r="AD37" s="83">
        <v>0</v>
      </c>
      <c r="AE37" s="83">
        <v>0</v>
      </c>
      <c r="AF37" s="83">
        <v>0</v>
      </c>
      <c r="AG37" s="83">
        <v>0.31</v>
      </c>
    </row>
    <row r="38" spans="1:33" x14ac:dyDescent="0.3">
      <c r="A38" s="39" t="s">
        <v>220</v>
      </c>
      <c r="B38" s="139">
        <v>19</v>
      </c>
      <c r="C38" s="83">
        <v>7.8E-2</v>
      </c>
      <c r="D38" s="83">
        <v>3.9E-2</v>
      </c>
      <c r="E38" s="83">
        <v>0</v>
      </c>
      <c r="F38" s="83">
        <v>0</v>
      </c>
      <c r="G38" s="83">
        <v>0</v>
      </c>
      <c r="H38" s="83">
        <v>0</v>
      </c>
      <c r="I38" s="83">
        <v>0</v>
      </c>
      <c r="J38" s="83">
        <v>0</v>
      </c>
      <c r="K38" s="83">
        <v>2.5379999999999998</v>
      </c>
      <c r="L38" s="83">
        <v>0</v>
      </c>
      <c r="M38" s="83">
        <v>3.6719999999999997</v>
      </c>
      <c r="N38" s="83">
        <v>2.7440000000000002</v>
      </c>
      <c r="O38" s="83">
        <v>0</v>
      </c>
      <c r="P38" s="83">
        <v>3.5859999999999999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0</v>
      </c>
      <c r="AC38" s="83">
        <v>0</v>
      </c>
      <c r="AD38" s="83">
        <v>0</v>
      </c>
      <c r="AE38" s="83">
        <v>0</v>
      </c>
      <c r="AF38" s="83">
        <v>0</v>
      </c>
      <c r="AG38" s="83">
        <v>0</v>
      </c>
    </row>
    <row r="39" spans="1:33" x14ac:dyDescent="0.3">
      <c r="A39" s="39" t="s">
        <v>389</v>
      </c>
      <c r="B39" s="139">
        <v>10</v>
      </c>
      <c r="C39" s="83">
        <v>89.76900000000002</v>
      </c>
      <c r="D39" s="83">
        <v>60.861999999999995</v>
      </c>
      <c r="E39" s="83">
        <v>100.97</v>
      </c>
      <c r="F39" s="83">
        <v>83.602999999999994</v>
      </c>
      <c r="G39" s="83">
        <v>79.696999999999989</v>
      </c>
      <c r="H39" s="83">
        <v>77.780999999999977</v>
      </c>
      <c r="I39" s="83">
        <v>89.603999999999999</v>
      </c>
      <c r="J39" s="83">
        <v>75.224999999999994</v>
      </c>
      <c r="K39" s="83">
        <v>89.995000000000005</v>
      </c>
      <c r="L39" s="83">
        <v>84.342000000000013</v>
      </c>
      <c r="M39" s="83">
        <v>88.242999999999995</v>
      </c>
      <c r="N39" s="83">
        <v>90.106999999999999</v>
      </c>
      <c r="O39" s="83">
        <v>70.990999999999985</v>
      </c>
      <c r="P39" s="83">
        <v>98.546000000000021</v>
      </c>
      <c r="Q39" s="83">
        <v>52.826999999999998</v>
      </c>
      <c r="R39" s="83">
        <v>103.41000000000001</v>
      </c>
      <c r="S39" s="83">
        <v>81.071999999999989</v>
      </c>
      <c r="T39" s="83">
        <v>87.318999999999988</v>
      </c>
      <c r="U39" s="83">
        <v>79.813999999999993</v>
      </c>
      <c r="V39" s="83">
        <v>109.26099999999998</v>
      </c>
      <c r="W39" s="83">
        <v>87.091000000000008</v>
      </c>
      <c r="X39" s="83">
        <v>90.185999999999993</v>
      </c>
      <c r="Y39" s="83">
        <v>90.192000000000021</v>
      </c>
      <c r="Z39" s="83">
        <v>81.272000000000006</v>
      </c>
      <c r="AA39" s="83">
        <v>67.281999999999996</v>
      </c>
      <c r="AB39" s="83">
        <v>84.819000000000003</v>
      </c>
      <c r="AC39" s="83">
        <v>84.395999999999987</v>
      </c>
      <c r="AD39" s="83">
        <v>92.442999999999998</v>
      </c>
      <c r="AE39" s="83">
        <v>78.060000000000016</v>
      </c>
      <c r="AF39" s="83">
        <v>60.460999999999991</v>
      </c>
      <c r="AG39" s="83">
        <v>84.132999999999996</v>
      </c>
    </row>
    <row r="40" spans="1:33" x14ac:dyDescent="0.3">
      <c r="A40" s="39" t="s">
        <v>390</v>
      </c>
      <c r="B40" s="139">
        <v>3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0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</row>
    <row r="41" spans="1:33" x14ac:dyDescent="0.3">
      <c r="A41" s="39" t="s">
        <v>205</v>
      </c>
      <c r="B41" s="139">
        <v>3</v>
      </c>
      <c r="C41" s="83">
        <v>53.935000000000002</v>
      </c>
      <c r="D41" s="83">
        <v>88.72499999999998</v>
      </c>
      <c r="E41" s="83">
        <v>92.418000000000006</v>
      </c>
      <c r="F41" s="83">
        <v>128.50300000000001</v>
      </c>
      <c r="G41" s="83">
        <v>133.13499999999999</v>
      </c>
      <c r="H41" s="83">
        <v>49.350999999999999</v>
      </c>
      <c r="I41" s="83">
        <v>132.459</v>
      </c>
      <c r="J41" s="83">
        <v>79.910000000000011</v>
      </c>
      <c r="K41" s="83">
        <v>60.588999999999999</v>
      </c>
      <c r="L41" s="83">
        <v>97.123000000000019</v>
      </c>
      <c r="M41" s="83">
        <v>84.349000000000004</v>
      </c>
      <c r="N41" s="83">
        <v>113.77899999999998</v>
      </c>
      <c r="O41" s="83">
        <v>97.148999999999987</v>
      </c>
      <c r="P41" s="83">
        <v>66.159000000000006</v>
      </c>
      <c r="Q41" s="83">
        <v>48.784999999999997</v>
      </c>
      <c r="R41" s="83">
        <v>93.751999999999995</v>
      </c>
      <c r="S41" s="83">
        <v>85.826999999999998</v>
      </c>
      <c r="T41" s="83">
        <v>87.13</v>
      </c>
      <c r="U41" s="83">
        <v>103.345</v>
      </c>
      <c r="V41" s="83">
        <v>56.811</v>
      </c>
      <c r="W41" s="83">
        <v>51.753</v>
      </c>
      <c r="X41" s="83">
        <v>112.66500000000001</v>
      </c>
      <c r="Y41" s="83">
        <v>76.013000000000005</v>
      </c>
      <c r="Z41" s="83">
        <v>92.319000000000003</v>
      </c>
      <c r="AA41" s="83">
        <v>83.935000000000002</v>
      </c>
      <c r="AB41" s="83">
        <v>115.59399999999999</v>
      </c>
      <c r="AC41" s="83">
        <v>80.024999999999991</v>
      </c>
      <c r="AD41" s="83">
        <v>87.646999999999991</v>
      </c>
      <c r="AE41" s="83">
        <v>53.220000000000006</v>
      </c>
      <c r="AF41" s="83">
        <v>86.206999999999994</v>
      </c>
      <c r="AG41" s="83">
        <v>81.471727272727264</v>
      </c>
    </row>
    <row r="42" spans="1:33" x14ac:dyDescent="0.3">
      <c r="A42" s="39" t="s">
        <v>434</v>
      </c>
      <c r="B42" s="139">
        <v>1</v>
      </c>
      <c r="C42" s="83">
        <v>0</v>
      </c>
      <c r="D42" s="83">
        <v>0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4.5469999999999997</v>
      </c>
      <c r="AE42" s="83">
        <v>0</v>
      </c>
      <c r="AF42" s="83">
        <v>0</v>
      </c>
      <c r="AG42" s="83">
        <v>0.41336363636363632</v>
      </c>
    </row>
    <row r="43" spans="1:33" x14ac:dyDescent="0.3">
      <c r="A43" s="39" t="s">
        <v>213</v>
      </c>
      <c r="B43" s="139">
        <v>4</v>
      </c>
      <c r="C43" s="83">
        <v>17.353999999999999</v>
      </c>
      <c r="D43" s="83">
        <v>71.836999999999975</v>
      </c>
      <c r="E43" s="83">
        <v>51.792999999999992</v>
      </c>
      <c r="F43" s="83">
        <v>98.748000000000033</v>
      </c>
      <c r="G43" s="83">
        <v>76.87</v>
      </c>
      <c r="H43" s="83">
        <v>84.493999999999986</v>
      </c>
      <c r="I43" s="83">
        <v>95.39400000000002</v>
      </c>
      <c r="J43" s="83">
        <v>93.58</v>
      </c>
      <c r="K43" s="83">
        <v>95.254999999999995</v>
      </c>
      <c r="L43" s="83">
        <v>77.778999999999996</v>
      </c>
      <c r="M43" s="83">
        <v>98.946999999999989</v>
      </c>
      <c r="N43" s="83">
        <v>88.22499999999998</v>
      </c>
      <c r="O43" s="83">
        <v>96.266999999999996</v>
      </c>
      <c r="P43" s="83">
        <v>81.180999999999997</v>
      </c>
      <c r="Q43" s="83">
        <v>89.119</v>
      </c>
      <c r="R43" s="83">
        <v>94.724999999999994</v>
      </c>
      <c r="S43" s="83">
        <v>108.85300000000002</v>
      </c>
      <c r="T43" s="83">
        <v>88.405000000000001</v>
      </c>
      <c r="U43" s="83">
        <v>80.588999999999999</v>
      </c>
      <c r="V43" s="83">
        <v>80.335999999999999</v>
      </c>
      <c r="W43" s="83">
        <v>86.614999999999981</v>
      </c>
      <c r="X43" s="83">
        <v>93.258999999999986</v>
      </c>
      <c r="Y43" s="83">
        <v>83.13</v>
      </c>
      <c r="Z43" s="83">
        <v>96.218999999999994</v>
      </c>
      <c r="AA43" s="83">
        <v>78.173000000000002</v>
      </c>
      <c r="AB43" s="83">
        <v>101.53400000000003</v>
      </c>
      <c r="AC43" s="83">
        <v>79.336000000000013</v>
      </c>
      <c r="AD43" s="83">
        <v>97.261999999999986</v>
      </c>
      <c r="AE43" s="83">
        <v>83.996999999999986</v>
      </c>
      <c r="AF43" s="83">
        <v>83.437999999999988</v>
      </c>
      <c r="AG43" s="83">
        <v>87.572636363636349</v>
      </c>
    </row>
    <row r="44" spans="1:33" x14ac:dyDescent="0.3">
      <c r="A44" s="39" t="s">
        <v>298</v>
      </c>
      <c r="B44" s="139">
        <v>4</v>
      </c>
      <c r="C44" s="83">
        <v>0</v>
      </c>
      <c r="D44" s="83">
        <v>1.232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</row>
    <row r="45" spans="1:33" x14ac:dyDescent="0.3">
      <c r="A45" s="39" t="s">
        <v>202</v>
      </c>
      <c r="B45" s="139">
        <v>8</v>
      </c>
      <c r="C45" s="83">
        <v>46.025999999999996</v>
      </c>
      <c r="D45" s="83">
        <v>76.105000000000004</v>
      </c>
      <c r="E45" s="83">
        <v>109.02800000000002</v>
      </c>
      <c r="F45" s="83">
        <v>82.161000000000001</v>
      </c>
      <c r="G45" s="83">
        <v>101.908</v>
      </c>
      <c r="H45" s="83">
        <v>126.36700000000002</v>
      </c>
      <c r="I45" s="83">
        <v>124.27999999999999</v>
      </c>
      <c r="J45" s="83">
        <v>92.167000000000002</v>
      </c>
      <c r="K45" s="83">
        <v>119.27300000000002</v>
      </c>
      <c r="L45" s="83">
        <v>109.18099999999998</v>
      </c>
      <c r="M45" s="83">
        <v>99.554000000000002</v>
      </c>
      <c r="N45" s="83">
        <v>109.18</v>
      </c>
      <c r="O45" s="83">
        <v>116.46100000000001</v>
      </c>
      <c r="P45" s="83">
        <v>88.481999999999985</v>
      </c>
      <c r="Q45" s="83">
        <v>128.316</v>
      </c>
      <c r="R45" s="83">
        <v>89.060000000000016</v>
      </c>
      <c r="S45" s="83">
        <v>100.34</v>
      </c>
      <c r="T45" s="83">
        <v>93.983000000000004</v>
      </c>
      <c r="U45" s="83">
        <v>110.598</v>
      </c>
      <c r="V45" s="83">
        <v>105.63</v>
      </c>
      <c r="W45" s="83">
        <v>45.773999999999994</v>
      </c>
      <c r="X45" s="83">
        <v>74.106999999999999</v>
      </c>
      <c r="Y45" s="83">
        <v>84.046999999999997</v>
      </c>
      <c r="Z45" s="83">
        <v>126.97099999999999</v>
      </c>
      <c r="AA45" s="83">
        <v>91.291999999999987</v>
      </c>
      <c r="AB45" s="83">
        <v>64.055000000000007</v>
      </c>
      <c r="AC45" s="83">
        <v>99.39500000000001</v>
      </c>
      <c r="AD45" s="83">
        <v>82.277999999999992</v>
      </c>
      <c r="AE45" s="83">
        <v>98.373999999999995</v>
      </c>
      <c r="AF45" s="83">
        <v>76.316999999999993</v>
      </c>
      <c r="AG45" s="83">
        <v>86.203636363636363</v>
      </c>
    </row>
    <row r="46" spans="1:33" x14ac:dyDescent="0.3">
      <c r="A46" s="39" t="s">
        <v>356</v>
      </c>
      <c r="B46" s="139">
        <v>20</v>
      </c>
      <c r="C46" s="83">
        <v>219.374</v>
      </c>
      <c r="D46" s="83">
        <v>263.85199999999998</v>
      </c>
      <c r="E46" s="83">
        <v>308.61100000000005</v>
      </c>
      <c r="F46" s="83">
        <v>309.48500000000007</v>
      </c>
      <c r="G46" s="83">
        <v>318.77199999999988</v>
      </c>
      <c r="H46" s="83">
        <v>306.06000000000006</v>
      </c>
      <c r="I46" s="83">
        <v>352.59500000000008</v>
      </c>
      <c r="J46" s="83">
        <v>373.33199999999988</v>
      </c>
      <c r="K46" s="83">
        <v>391.024</v>
      </c>
      <c r="L46" s="83">
        <v>404.73199999999991</v>
      </c>
      <c r="M46" s="83">
        <v>367.19299999999998</v>
      </c>
      <c r="N46" s="83">
        <v>342.9140000000001</v>
      </c>
      <c r="O46" s="83">
        <v>377.4079999999999</v>
      </c>
      <c r="P46" s="83">
        <v>369.33699999999993</v>
      </c>
      <c r="Q46" s="83">
        <v>360.68399999999986</v>
      </c>
      <c r="R46" s="83">
        <v>383.3370000000001</v>
      </c>
      <c r="S46" s="83">
        <v>333.28</v>
      </c>
      <c r="T46" s="83">
        <v>356.92500000000001</v>
      </c>
      <c r="U46" s="83">
        <v>292.23600000000005</v>
      </c>
      <c r="V46" s="83">
        <v>107.32900000000001</v>
      </c>
      <c r="W46" s="83">
        <v>217.14100000000005</v>
      </c>
      <c r="X46" s="83">
        <v>252.46400000000003</v>
      </c>
      <c r="Y46" s="83">
        <v>338.88699999999994</v>
      </c>
      <c r="Z46" s="83">
        <v>284.98600000000005</v>
      </c>
      <c r="AA46" s="83">
        <v>331.36699999999996</v>
      </c>
      <c r="AB46" s="83">
        <v>324.83700000000005</v>
      </c>
      <c r="AC46" s="83">
        <v>327.91100000000012</v>
      </c>
      <c r="AD46" s="83">
        <v>345.959</v>
      </c>
      <c r="AE46" s="83">
        <v>344.35799999999995</v>
      </c>
      <c r="AF46" s="83">
        <v>379.60900000000015</v>
      </c>
      <c r="AG46" s="83">
        <v>295.8952727272727</v>
      </c>
    </row>
    <row r="47" spans="1:33" x14ac:dyDescent="0.3">
      <c r="A47" s="39" t="s">
        <v>433</v>
      </c>
      <c r="B47" s="139">
        <v>1</v>
      </c>
      <c r="C47" s="83">
        <v>0</v>
      </c>
      <c r="D47" s="83">
        <v>4.2030000000000012</v>
      </c>
      <c r="E47" s="83">
        <v>0</v>
      </c>
      <c r="F47" s="83">
        <v>0</v>
      </c>
      <c r="G47" s="83">
        <v>1.2000000000000002E-2</v>
      </c>
      <c r="H47" s="83">
        <v>4.8340000000000005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3.13</v>
      </c>
      <c r="P47" s="83">
        <v>0</v>
      </c>
      <c r="Q47" s="83">
        <v>0</v>
      </c>
      <c r="R47" s="83">
        <v>0</v>
      </c>
      <c r="S47" s="83">
        <v>0</v>
      </c>
      <c r="T47" s="83">
        <v>1.3069999999999999</v>
      </c>
      <c r="U47" s="83">
        <v>6.0239999999999991</v>
      </c>
      <c r="V47" s="83">
        <v>0</v>
      </c>
      <c r="W47" s="83">
        <v>2.7199999999999998</v>
      </c>
      <c r="X47" s="83">
        <v>0</v>
      </c>
      <c r="Y47" s="83">
        <v>2.367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0.80900000000000005</v>
      </c>
      <c r="AG47" s="83">
        <v>0.53600000000000003</v>
      </c>
    </row>
    <row r="48" spans="1:33" x14ac:dyDescent="0.3">
      <c r="A48" s="39" t="s">
        <v>229</v>
      </c>
      <c r="B48" s="139">
        <v>2</v>
      </c>
      <c r="C48" s="83">
        <v>0</v>
      </c>
      <c r="D48" s="83">
        <v>0</v>
      </c>
      <c r="E48" s="83">
        <v>13.510999999999999</v>
      </c>
      <c r="F48" s="83">
        <v>0</v>
      </c>
      <c r="G48" s="83">
        <v>0</v>
      </c>
      <c r="H48" s="83">
        <v>0</v>
      </c>
      <c r="I48" s="83">
        <v>15.199</v>
      </c>
      <c r="J48" s="83">
        <v>0</v>
      </c>
      <c r="K48" s="83">
        <v>0</v>
      </c>
      <c r="L48" s="83">
        <v>27.056000000000001</v>
      </c>
      <c r="M48" s="83">
        <v>0</v>
      </c>
      <c r="N48" s="83">
        <v>18.064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33.511000000000003</v>
      </c>
      <c r="U48" s="83">
        <v>0</v>
      </c>
      <c r="V48" s="83">
        <v>0</v>
      </c>
      <c r="W48" s="83">
        <v>22.544</v>
      </c>
      <c r="X48" s="83">
        <v>0</v>
      </c>
      <c r="Y48" s="83">
        <v>22.571999999999999</v>
      </c>
      <c r="Z48" s="83">
        <v>6.3129999999999997</v>
      </c>
      <c r="AA48" s="83">
        <v>0</v>
      </c>
      <c r="AB48" s="83">
        <v>0</v>
      </c>
      <c r="AC48" s="83">
        <v>16.257999999999999</v>
      </c>
      <c r="AD48" s="83">
        <v>0</v>
      </c>
      <c r="AE48" s="83">
        <v>0</v>
      </c>
      <c r="AF48" s="83">
        <v>25.94</v>
      </c>
      <c r="AG48" s="83">
        <v>8.5115454545454536</v>
      </c>
    </row>
    <row r="49" spans="1:33" x14ac:dyDescent="0.3">
      <c r="A49" s="39" t="s">
        <v>233</v>
      </c>
      <c r="B49" s="139">
        <v>6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2.78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2.73</v>
      </c>
      <c r="X49" s="83">
        <v>0</v>
      </c>
      <c r="Y49" s="83">
        <v>3.3839999999999999</v>
      </c>
      <c r="Z49" s="83">
        <v>0</v>
      </c>
      <c r="AA49" s="83">
        <v>0</v>
      </c>
      <c r="AB49" s="83">
        <v>4.5030000000000001</v>
      </c>
      <c r="AC49" s="83">
        <v>0</v>
      </c>
      <c r="AD49" s="83">
        <v>0</v>
      </c>
      <c r="AE49" s="83">
        <v>0</v>
      </c>
      <c r="AF49" s="83">
        <v>0</v>
      </c>
      <c r="AG49" s="83">
        <v>0.96518181818181825</v>
      </c>
    </row>
    <row r="50" spans="1:33" x14ac:dyDescent="0.3">
      <c r="A50" s="39" t="s">
        <v>458</v>
      </c>
      <c r="B50" s="139">
        <v>2</v>
      </c>
      <c r="C50" s="83">
        <v>3.0449999999999999</v>
      </c>
      <c r="D50" s="83">
        <v>0</v>
      </c>
      <c r="E50" s="83">
        <v>0</v>
      </c>
      <c r="F50" s="83">
        <v>0</v>
      </c>
      <c r="G50" s="83">
        <v>1.9219999999999999</v>
      </c>
      <c r="H50" s="83">
        <v>9.5849999999999991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1E-3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</row>
    <row r="51" spans="1:33" x14ac:dyDescent="0.3">
      <c r="A51" s="39" t="s">
        <v>224</v>
      </c>
      <c r="B51" s="139">
        <v>5</v>
      </c>
      <c r="C51" s="83">
        <v>6.4790000000000001</v>
      </c>
      <c r="D51" s="83">
        <v>21.673999999999999</v>
      </c>
      <c r="E51" s="83">
        <v>24.681999999999995</v>
      </c>
      <c r="F51" s="83">
        <v>29.866000000000003</v>
      </c>
      <c r="G51" s="83">
        <v>30.312999999999999</v>
      </c>
      <c r="H51" s="83">
        <v>33.969000000000001</v>
      </c>
      <c r="I51" s="83">
        <v>40.021000000000001</v>
      </c>
      <c r="J51" s="83">
        <v>20.628</v>
      </c>
      <c r="K51" s="83">
        <v>35.151999999999994</v>
      </c>
      <c r="L51" s="83">
        <v>27.451999999999998</v>
      </c>
      <c r="M51" s="83">
        <v>39.574000000000005</v>
      </c>
      <c r="N51" s="83">
        <v>40.386999999999993</v>
      </c>
      <c r="O51" s="83">
        <v>32.741</v>
      </c>
      <c r="P51" s="83">
        <v>39.652000000000001</v>
      </c>
      <c r="Q51" s="83">
        <v>25.292999999999999</v>
      </c>
      <c r="R51" s="83">
        <v>47.589000000000006</v>
      </c>
      <c r="S51" s="83">
        <v>30.13</v>
      </c>
      <c r="T51" s="83">
        <v>38.17</v>
      </c>
      <c r="U51" s="83">
        <v>31.170999999999999</v>
      </c>
      <c r="V51" s="83">
        <v>31.529</v>
      </c>
      <c r="W51" s="83">
        <v>43.988999999999997</v>
      </c>
      <c r="X51" s="83">
        <v>36.567999999999998</v>
      </c>
      <c r="Y51" s="83">
        <v>34.728000000000002</v>
      </c>
      <c r="Z51" s="83">
        <v>41.302999999999997</v>
      </c>
      <c r="AA51" s="83">
        <v>34.051000000000002</v>
      </c>
      <c r="AB51" s="83">
        <v>41.651000000000003</v>
      </c>
      <c r="AC51" s="83">
        <v>27.18</v>
      </c>
      <c r="AD51" s="83">
        <v>50.438999999999993</v>
      </c>
      <c r="AE51" s="83">
        <v>36.683999999999997</v>
      </c>
      <c r="AF51" s="83">
        <v>41.953999999999994</v>
      </c>
      <c r="AG51" s="83">
        <v>38.18872727272727</v>
      </c>
    </row>
    <row r="52" spans="1:33" x14ac:dyDescent="0.3">
      <c r="A52" s="39" t="s">
        <v>230</v>
      </c>
      <c r="B52" s="139">
        <v>2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0</v>
      </c>
    </row>
    <row r="53" spans="1:33" x14ac:dyDescent="0.3">
      <c r="A53" s="39" t="s">
        <v>231</v>
      </c>
      <c r="B53" s="139">
        <v>6</v>
      </c>
      <c r="C53" s="83">
        <v>66.915999999999997</v>
      </c>
      <c r="D53" s="83">
        <v>4.6059999999999999</v>
      </c>
      <c r="E53" s="83">
        <v>3.26</v>
      </c>
      <c r="F53" s="83">
        <v>73.531000000000006</v>
      </c>
      <c r="G53" s="83">
        <v>73.185999999999993</v>
      </c>
      <c r="H53" s="83">
        <v>55.351999999999983</v>
      </c>
      <c r="I53" s="83">
        <v>17.493000000000002</v>
      </c>
      <c r="J53" s="83">
        <v>42.935000000000002</v>
      </c>
      <c r="K53" s="83">
        <v>21.341000000000001</v>
      </c>
      <c r="L53" s="83">
        <v>0</v>
      </c>
      <c r="M53" s="83">
        <v>56.401999999999994</v>
      </c>
      <c r="N53" s="83">
        <v>56.822000000000003</v>
      </c>
      <c r="O53" s="83">
        <v>62.608999999999995</v>
      </c>
      <c r="P53" s="83">
        <v>48.213000000000008</v>
      </c>
      <c r="Q53" s="83">
        <v>15.48</v>
      </c>
      <c r="R53" s="83">
        <v>10.397</v>
      </c>
      <c r="S53" s="83">
        <v>3.5489999999999999</v>
      </c>
      <c r="T53" s="83">
        <v>74.375</v>
      </c>
      <c r="U53" s="83">
        <v>71.213999999999999</v>
      </c>
      <c r="V53" s="83">
        <v>73.747</v>
      </c>
      <c r="W53" s="83">
        <v>59.61</v>
      </c>
      <c r="X53" s="83">
        <v>81.375999999999991</v>
      </c>
      <c r="Y53" s="83">
        <v>14.936</v>
      </c>
      <c r="Z53" s="83">
        <v>9.9979999999999993</v>
      </c>
      <c r="AA53" s="83">
        <v>56.070000000000007</v>
      </c>
      <c r="AB53" s="83">
        <v>81.087000000000003</v>
      </c>
      <c r="AC53" s="83">
        <v>49.635999999999996</v>
      </c>
      <c r="AD53" s="83">
        <v>70.466999999999985</v>
      </c>
      <c r="AE53" s="83">
        <v>60.442000000000007</v>
      </c>
      <c r="AF53" s="83">
        <v>24.476000000000003</v>
      </c>
      <c r="AG53" s="83">
        <v>52.895000000000003</v>
      </c>
    </row>
    <row r="54" spans="1:33" x14ac:dyDescent="0.3">
      <c r="A54" s="39" t="s">
        <v>207</v>
      </c>
      <c r="B54" s="139">
        <v>4</v>
      </c>
      <c r="C54" s="83">
        <v>87.75</v>
      </c>
      <c r="D54" s="83">
        <v>51.03</v>
      </c>
      <c r="E54" s="83">
        <v>78.900000000000006</v>
      </c>
      <c r="F54" s="83">
        <v>54.440000000000005</v>
      </c>
      <c r="G54" s="83">
        <v>110.80000000000001</v>
      </c>
      <c r="H54" s="83">
        <v>27.169999999999998</v>
      </c>
      <c r="I54" s="83">
        <v>55.690000000000005</v>
      </c>
      <c r="J54" s="83">
        <v>122.05999999999997</v>
      </c>
      <c r="K54" s="83">
        <v>143.47</v>
      </c>
      <c r="L54" s="83">
        <v>21.86</v>
      </c>
      <c r="M54" s="83">
        <v>28.16</v>
      </c>
      <c r="N54" s="83">
        <v>68.109999999999985</v>
      </c>
      <c r="O54" s="83">
        <v>87.800000000000011</v>
      </c>
      <c r="P54" s="83">
        <v>46.720000000000006</v>
      </c>
      <c r="Q54" s="83">
        <v>96.329999999999984</v>
      </c>
      <c r="R54" s="83">
        <v>28.117999999999999</v>
      </c>
      <c r="S54" s="83">
        <v>31.380000000000003</v>
      </c>
      <c r="T54" s="83">
        <v>105.182</v>
      </c>
      <c r="U54" s="83">
        <v>32.590000000000003</v>
      </c>
      <c r="V54" s="83">
        <v>86.139999999999986</v>
      </c>
      <c r="W54" s="83">
        <v>33.21</v>
      </c>
      <c r="X54" s="83">
        <v>27.89</v>
      </c>
      <c r="Y54" s="83">
        <v>38.39</v>
      </c>
      <c r="Z54" s="83">
        <v>41.53</v>
      </c>
      <c r="AA54" s="83">
        <v>30.28</v>
      </c>
      <c r="AB54" s="83">
        <v>0</v>
      </c>
      <c r="AC54" s="83">
        <v>26.987000000000002</v>
      </c>
      <c r="AD54" s="83">
        <v>44.95</v>
      </c>
      <c r="AE54" s="83">
        <v>31.53</v>
      </c>
      <c r="AF54" s="83">
        <v>16.57</v>
      </c>
      <c r="AG54" s="83">
        <v>34.31609090909091</v>
      </c>
    </row>
    <row r="55" spans="1:33" x14ac:dyDescent="0.3">
      <c r="A55" s="39" t="s">
        <v>214</v>
      </c>
      <c r="B55" s="139">
        <v>9</v>
      </c>
      <c r="C55" s="83">
        <v>67.129000000000005</v>
      </c>
      <c r="D55" s="83">
        <v>53.446999999999989</v>
      </c>
      <c r="E55" s="83">
        <v>65.188000000000002</v>
      </c>
      <c r="F55" s="83">
        <v>161.95500000000001</v>
      </c>
      <c r="G55" s="83">
        <v>132.82600000000002</v>
      </c>
      <c r="H55" s="83">
        <v>131.48700000000005</v>
      </c>
      <c r="I55" s="83">
        <v>132.57100000000005</v>
      </c>
      <c r="J55" s="83">
        <v>78.911999999999992</v>
      </c>
      <c r="K55" s="83">
        <v>118.48499999999999</v>
      </c>
      <c r="L55" s="83">
        <v>102.39499999999998</v>
      </c>
      <c r="M55" s="83">
        <v>110.94800000000001</v>
      </c>
      <c r="N55" s="83">
        <v>149.96200000000002</v>
      </c>
      <c r="O55" s="83">
        <v>121.76000000000002</v>
      </c>
      <c r="P55" s="83">
        <v>151.01200000000003</v>
      </c>
      <c r="Q55" s="83">
        <v>132.45699999999999</v>
      </c>
      <c r="R55" s="83">
        <v>98.165999999999983</v>
      </c>
      <c r="S55" s="83">
        <v>120.10300000000002</v>
      </c>
      <c r="T55" s="83">
        <v>115.41200000000003</v>
      </c>
      <c r="U55" s="83">
        <v>102.76300000000001</v>
      </c>
      <c r="V55" s="83">
        <v>79.676999999999992</v>
      </c>
      <c r="W55" s="83">
        <v>104.741</v>
      </c>
      <c r="X55" s="83">
        <v>102.71400000000001</v>
      </c>
      <c r="Y55" s="83">
        <v>107.98399999999999</v>
      </c>
      <c r="Z55" s="83">
        <v>134.56099999999998</v>
      </c>
      <c r="AA55" s="83">
        <v>127.59900000000005</v>
      </c>
      <c r="AB55" s="83">
        <v>109.49000000000001</v>
      </c>
      <c r="AC55" s="83">
        <v>187.15600000000001</v>
      </c>
      <c r="AD55" s="83">
        <v>114.16199999999999</v>
      </c>
      <c r="AE55" s="83">
        <v>140.27400000000003</v>
      </c>
      <c r="AF55" s="83">
        <v>132.85400000000001</v>
      </c>
      <c r="AG55" s="83">
        <v>121.92836363636366</v>
      </c>
    </row>
    <row r="56" spans="1:33" x14ac:dyDescent="0.3">
      <c r="A56" s="39" t="s">
        <v>431</v>
      </c>
      <c r="B56" s="139">
        <v>2</v>
      </c>
      <c r="C56" s="83">
        <v>0</v>
      </c>
      <c r="D56" s="83">
        <v>0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0</v>
      </c>
      <c r="L56" s="83">
        <v>0</v>
      </c>
      <c r="M56" s="83">
        <v>0</v>
      </c>
      <c r="N56" s="83">
        <v>14.012</v>
      </c>
      <c r="O56" s="83">
        <v>13.662000000000001</v>
      </c>
      <c r="P56" s="83">
        <v>7.5460000000000003</v>
      </c>
      <c r="Q56" s="83">
        <v>0</v>
      </c>
      <c r="R56" s="83">
        <v>0</v>
      </c>
      <c r="S56" s="83">
        <v>0</v>
      </c>
      <c r="T56" s="83">
        <v>0</v>
      </c>
      <c r="U56" s="83">
        <v>13.609</v>
      </c>
      <c r="V56" s="83">
        <v>7.1310000000000002</v>
      </c>
      <c r="W56" s="83">
        <v>0</v>
      </c>
      <c r="X56" s="83">
        <v>14.425000000000001</v>
      </c>
      <c r="Y56" s="83">
        <v>0</v>
      </c>
      <c r="Z56" s="83">
        <v>0</v>
      </c>
      <c r="AA56" s="83">
        <v>6.101</v>
      </c>
      <c r="AB56" s="83">
        <v>0</v>
      </c>
      <c r="AC56" s="83">
        <v>0</v>
      </c>
      <c r="AD56" s="83">
        <v>0</v>
      </c>
      <c r="AE56" s="83">
        <v>17.801000000000002</v>
      </c>
      <c r="AF56" s="83">
        <v>0</v>
      </c>
      <c r="AG56" s="83">
        <v>4.1325454545454541</v>
      </c>
    </row>
    <row r="57" spans="1:33" x14ac:dyDescent="0.3">
      <c r="A57" s="39" t="s">
        <v>457</v>
      </c>
      <c r="B57" s="139">
        <v>3</v>
      </c>
      <c r="C57" s="83">
        <v>0</v>
      </c>
      <c r="D57" s="83">
        <v>0</v>
      </c>
      <c r="E57" s="83">
        <v>24.835999999999999</v>
      </c>
      <c r="F57" s="83">
        <v>31.029000000000003</v>
      </c>
      <c r="G57" s="83">
        <v>42.809000000000005</v>
      </c>
      <c r="H57" s="83">
        <v>10.388999999999999</v>
      </c>
      <c r="I57" s="83">
        <v>41.106999999999999</v>
      </c>
      <c r="J57" s="83">
        <v>20.364999999999998</v>
      </c>
      <c r="K57" s="83">
        <v>32.853000000000002</v>
      </c>
      <c r="L57" s="83">
        <v>14.852</v>
      </c>
      <c r="M57" s="83">
        <v>51.063000000000002</v>
      </c>
      <c r="N57" s="83">
        <v>26.486999999999995</v>
      </c>
      <c r="O57" s="83">
        <v>59.868000000000002</v>
      </c>
      <c r="P57" s="83">
        <v>49.411999999999999</v>
      </c>
      <c r="Q57" s="83">
        <v>6.2859999999999996</v>
      </c>
      <c r="R57" s="83">
        <v>33.299000000000007</v>
      </c>
      <c r="S57" s="83">
        <v>0</v>
      </c>
      <c r="T57" s="83">
        <v>30.396999999999998</v>
      </c>
      <c r="U57" s="83">
        <v>45.552000000000007</v>
      </c>
      <c r="V57" s="83">
        <v>37.72</v>
      </c>
      <c r="W57" s="83">
        <v>32.036999999999999</v>
      </c>
      <c r="X57" s="83">
        <v>40.960999999999999</v>
      </c>
      <c r="Y57" s="83">
        <v>32.555</v>
      </c>
      <c r="Z57" s="83">
        <v>19.718</v>
      </c>
      <c r="AA57" s="83">
        <v>0</v>
      </c>
      <c r="AB57" s="83">
        <v>0</v>
      </c>
      <c r="AC57" s="83">
        <v>0</v>
      </c>
      <c r="AD57" s="83">
        <v>0</v>
      </c>
      <c r="AE57" s="83">
        <v>0</v>
      </c>
      <c r="AF57" s="83">
        <v>0</v>
      </c>
      <c r="AG57" s="83">
        <v>14.817363636363636</v>
      </c>
    </row>
    <row r="58" spans="1:33" x14ac:dyDescent="0.3">
      <c r="A58" s="39" t="s">
        <v>393</v>
      </c>
      <c r="B58" s="139">
        <v>40</v>
      </c>
      <c r="C58" s="83">
        <v>198.98499999999996</v>
      </c>
      <c r="D58" s="83">
        <v>610.73600000000022</v>
      </c>
      <c r="E58" s="83">
        <v>618.49800000000005</v>
      </c>
      <c r="F58" s="83">
        <v>329.03999999999996</v>
      </c>
      <c r="G58" s="83">
        <v>407.78</v>
      </c>
      <c r="H58" s="83">
        <v>653.66599999999983</v>
      </c>
      <c r="I58" s="83">
        <v>627.40299999999979</v>
      </c>
      <c r="J58" s="83">
        <v>611.98599999999988</v>
      </c>
      <c r="K58" s="83">
        <v>668.29900000000009</v>
      </c>
      <c r="L58" s="83">
        <v>625.77799999999991</v>
      </c>
      <c r="M58" s="83">
        <v>263.49999999999994</v>
      </c>
      <c r="N58" s="83">
        <v>361.66300000000007</v>
      </c>
      <c r="O58" s="83">
        <v>577.25099999999998</v>
      </c>
      <c r="P58" s="83">
        <v>499.84900000000033</v>
      </c>
      <c r="Q58" s="83">
        <v>523.61900000000003</v>
      </c>
      <c r="R58" s="83">
        <v>566.50199999999984</v>
      </c>
      <c r="S58" s="83">
        <v>552.60299999999984</v>
      </c>
      <c r="T58" s="83">
        <v>248.05099999999999</v>
      </c>
      <c r="U58" s="83">
        <v>267.7589999999999</v>
      </c>
      <c r="V58" s="83">
        <v>405.31499999999988</v>
      </c>
      <c r="W58" s="83">
        <v>289.1040000000001</v>
      </c>
      <c r="X58" s="83">
        <v>415.50899999999996</v>
      </c>
      <c r="Y58" s="83">
        <v>408.65699999999987</v>
      </c>
      <c r="Z58" s="83">
        <v>520.17300000000012</v>
      </c>
      <c r="AA58" s="83">
        <v>257.173</v>
      </c>
      <c r="AB58" s="83">
        <v>284.18299999999999</v>
      </c>
      <c r="AC58" s="83">
        <v>440.9260000000001</v>
      </c>
      <c r="AD58" s="83">
        <v>313.82400000000001</v>
      </c>
      <c r="AE58" s="83">
        <v>464.5659999999998</v>
      </c>
      <c r="AF58" s="83">
        <v>428.99599999999992</v>
      </c>
      <c r="AG58" s="83">
        <v>384.40236363636359</v>
      </c>
    </row>
    <row r="59" spans="1:33" x14ac:dyDescent="0.3">
      <c r="A59" s="39" t="s">
        <v>228</v>
      </c>
      <c r="B59" s="139">
        <v>1</v>
      </c>
      <c r="C59" s="83">
        <v>0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83">
        <v>0</v>
      </c>
      <c r="AF59" s="83">
        <v>0</v>
      </c>
      <c r="AG59" s="83">
        <v>0</v>
      </c>
    </row>
    <row r="60" spans="1:33" x14ac:dyDescent="0.3">
      <c r="A60" s="39" t="s">
        <v>94</v>
      </c>
      <c r="B60" s="139">
        <v>2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3">
        <v>0</v>
      </c>
      <c r="V60" s="83">
        <v>0</v>
      </c>
      <c r="W60" s="83">
        <v>0</v>
      </c>
      <c r="X60" s="83">
        <v>0</v>
      </c>
      <c r="Y60" s="83">
        <v>0</v>
      </c>
      <c r="Z60" s="83">
        <v>0</v>
      </c>
      <c r="AA60" s="83">
        <v>0</v>
      </c>
      <c r="AB60" s="83">
        <v>0</v>
      </c>
      <c r="AC60" s="83">
        <v>0</v>
      </c>
      <c r="AD60" s="83">
        <v>0</v>
      </c>
      <c r="AE60" s="83">
        <v>0</v>
      </c>
      <c r="AF60" s="83">
        <v>0</v>
      </c>
      <c r="AG60" s="83">
        <v>0</v>
      </c>
    </row>
    <row r="61" spans="1:33" x14ac:dyDescent="0.3">
      <c r="A61" s="39" t="s">
        <v>117</v>
      </c>
      <c r="B61" s="139">
        <v>1</v>
      </c>
      <c r="C61" s="83">
        <v>0</v>
      </c>
      <c r="D61" s="83">
        <v>0</v>
      </c>
      <c r="E61" s="83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0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83">
        <v>0</v>
      </c>
      <c r="AF61" s="83">
        <v>0</v>
      </c>
      <c r="AG61" s="83">
        <v>0</v>
      </c>
    </row>
    <row r="62" spans="1:33" x14ac:dyDescent="0.3">
      <c r="A62" s="39" t="s">
        <v>115</v>
      </c>
      <c r="B62" s="139">
        <v>1</v>
      </c>
      <c r="C62" s="83">
        <v>0</v>
      </c>
      <c r="D62" s="83">
        <v>0</v>
      </c>
      <c r="E62" s="83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83">
        <v>0</v>
      </c>
      <c r="AF62" s="83">
        <v>0</v>
      </c>
      <c r="AG62" s="83">
        <v>0</v>
      </c>
    </row>
    <row r="63" spans="1:33" x14ac:dyDescent="0.3">
      <c r="A63" s="39" t="s">
        <v>223</v>
      </c>
      <c r="B63" s="139">
        <v>2</v>
      </c>
      <c r="C63" s="83">
        <v>0</v>
      </c>
      <c r="D63" s="83">
        <v>0</v>
      </c>
      <c r="E63" s="83">
        <v>0</v>
      </c>
      <c r="F63" s="83">
        <v>0</v>
      </c>
      <c r="G63" s="83">
        <v>0</v>
      </c>
      <c r="H63" s="83">
        <v>1.7090000000000001</v>
      </c>
      <c r="I63" s="83">
        <v>0</v>
      </c>
      <c r="J63" s="83">
        <v>0</v>
      </c>
      <c r="K63" s="83">
        <v>0</v>
      </c>
      <c r="L63" s="83">
        <v>0</v>
      </c>
      <c r="M63" s="83">
        <v>0</v>
      </c>
      <c r="N63" s="83">
        <v>50.010999999999996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3">
        <v>0</v>
      </c>
      <c r="V63" s="83">
        <v>0</v>
      </c>
      <c r="W63" s="83">
        <v>0</v>
      </c>
      <c r="X63" s="83">
        <v>0</v>
      </c>
      <c r="Y63" s="83">
        <v>0</v>
      </c>
      <c r="Z63" s="83">
        <v>0</v>
      </c>
      <c r="AA63" s="83">
        <v>0</v>
      </c>
      <c r="AB63" s="83">
        <v>0</v>
      </c>
      <c r="AC63" s="83">
        <v>0</v>
      </c>
      <c r="AD63" s="83">
        <v>0</v>
      </c>
      <c r="AE63" s="83">
        <v>0</v>
      </c>
      <c r="AF63" s="83">
        <v>0</v>
      </c>
      <c r="AG63" s="83">
        <v>0</v>
      </c>
    </row>
    <row r="64" spans="1:33" x14ac:dyDescent="0.3">
      <c r="A64" s="39" t="s">
        <v>122</v>
      </c>
      <c r="B64" s="139">
        <v>3</v>
      </c>
      <c r="C64" s="83">
        <v>0</v>
      </c>
      <c r="D64" s="83">
        <v>0</v>
      </c>
      <c r="E64" s="83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0</v>
      </c>
      <c r="M64" s="83">
        <v>0</v>
      </c>
      <c r="N64" s="83">
        <v>0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3">
        <v>0</v>
      </c>
      <c r="V64" s="83">
        <v>0</v>
      </c>
      <c r="W64" s="83">
        <v>0</v>
      </c>
      <c r="X64" s="83">
        <v>0</v>
      </c>
      <c r="Y64" s="83">
        <v>0</v>
      </c>
      <c r="Z64" s="83">
        <v>0</v>
      </c>
      <c r="AA64" s="83">
        <v>0</v>
      </c>
      <c r="AB64" s="83">
        <v>0</v>
      </c>
      <c r="AC64" s="83">
        <v>0</v>
      </c>
      <c r="AD64" s="83">
        <v>0</v>
      </c>
      <c r="AE64" s="83">
        <v>0</v>
      </c>
      <c r="AF64" s="83">
        <v>0</v>
      </c>
      <c r="AG64" s="83">
        <v>0</v>
      </c>
    </row>
    <row r="65" spans="1:33" x14ac:dyDescent="0.3">
      <c r="A65" s="39" t="s">
        <v>208</v>
      </c>
      <c r="B65" s="139">
        <v>11</v>
      </c>
      <c r="C65" s="83">
        <v>137.18799999999999</v>
      </c>
      <c r="D65" s="83">
        <v>315.69799999999998</v>
      </c>
      <c r="E65" s="83">
        <v>84.024000000000001</v>
      </c>
      <c r="F65" s="83">
        <v>169.81200000000001</v>
      </c>
      <c r="G65" s="83">
        <v>154.79600000000002</v>
      </c>
      <c r="H65" s="83">
        <v>204.37299999999999</v>
      </c>
      <c r="I65" s="83">
        <v>162.66499999999999</v>
      </c>
      <c r="J65" s="83">
        <v>138.01599999999999</v>
      </c>
      <c r="K65" s="83">
        <v>39.551000000000002</v>
      </c>
      <c r="L65" s="83">
        <v>276.87200000000001</v>
      </c>
      <c r="M65" s="83">
        <v>123.364</v>
      </c>
      <c r="N65" s="83">
        <v>104.283</v>
      </c>
      <c r="O65" s="83">
        <v>38.484999999999999</v>
      </c>
      <c r="P65" s="83">
        <v>361.63500000000005</v>
      </c>
      <c r="Q65" s="83">
        <v>238.02600000000001</v>
      </c>
      <c r="R65" s="83">
        <v>32.583999999999996</v>
      </c>
      <c r="S65" s="83">
        <v>43.86</v>
      </c>
      <c r="T65" s="83">
        <v>323.46899999999999</v>
      </c>
      <c r="U65" s="83">
        <v>156.64200000000002</v>
      </c>
      <c r="V65" s="83">
        <v>156.41400000000002</v>
      </c>
      <c r="W65" s="83">
        <v>112.029</v>
      </c>
      <c r="X65" s="83">
        <v>83.031000000000006</v>
      </c>
      <c r="Y65" s="83">
        <v>23.547999999999998</v>
      </c>
      <c r="Z65" s="83">
        <v>70.968000000000004</v>
      </c>
      <c r="AA65" s="83">
        <v>217.54599999999999</v>
      </c>
      <c r="AB65" s="83">
        <v>104.18100000000001</v>
      </c>
      <c r="AC65" s="83">
        <v>106.38100000000001</v>
      </c>
      <c r="AD65" s="83">
        <v>119.58499999999999</v>
      </c>
      <c r="AE65" s="83">
        <v>183.21899999999999</v>
      </c>
      <c r="AF65" s="83">
        <v>133.58099999999999</v>
      </c>
      <c r="AG65" s="83">
        <v>119.13481818181818</v>
      </c>
    </row>
    <row r="66" spans="1:33" x14ac:dyDescent="0.3">
      <c r="A66" s="39" t="s">
        <v>244</v>
      </c>
      <c r="B66" s="139">
        <v>5</v>
      </c>
      <c r="C66" s="83">
        <v>8.8819999999999997</v>
      </c>
      <c r="D66" s="83">
        <v>15.027000000000001</v>
      </c>
      <c r="E66" s="83">
        <v>12.14</v>
      </c>
      <c r="F66" s="83">
        <v>15.959</v>
      </c>
      <c r="G66" s="83">
        <v>28.797000000000001</v>
      </c>
      <c r="H66" s="83">
        <v>12.645999999999997</v>
      </c>
      <c r="I66" s="83">
        <v>21.305</v>
      </c>
      <c r="J66" s="83">
        <v>10.65</v>
      </c>
      <c r="K66" s="83">
        <v>22.341000000000001</v>
      </c>
      <c r="L66" s="83">
        <v>51.171000000000006</v>
      </c>
      <c r="M66" s="83">
        <v>10.411999999999999</v>
      </c>
      <c r="N66" s="83">
        <v>18.290000000000003</v>
      </c>
      <c r="O66" s="83">
        <v>20.536999999999995</v>
      </c>
      <c r="P66" s="83">
        <v>30.706</v>
      </c>
      <c r="Q66" s="83">
        <v>15.01</v>
      </c>
      <c r="R66" s="83">
        <v>20.709</v>
      </c>
      <c r="S66" s="83">
        <v>23.317</v>
      </c>
      <c r="T66" s="83">
        <v>23.138999999999999</v>
      </c>
      <c r="U66" s="83">
        <v>28.032</v>
      </c>
      <c r="V66" s="83">
        <v>23.272000000000002</v>
      </c>
      <c r="W66" s="83">
        <v>30.857000000000006</v>
      </c>
      <c r="X66" s="83">
        <v>19.366</v>
      </c>
      <c r="Y66" s="83">
        <v>20.098000000000003</v>
      </c>
      <c r="Z66" s="83">
        <v>26.840000000000003</v>
      </c>
      <c r="AA66" s="83">
        <v>26.688000000000006</v>
      </c>
      <c r="AB66" s="83">
        <v>16.358999999999998</v>
      </c>
      <c r="AC66" s="83">
        <v>28.450000000000003</v>
      </c>
      <c r="AD66" s="83">
        <v>16.346000000000004</v>
      </c>
      <c r="AE66" s="83">
        <v>6.7039999999999997</v>
      </c>
      <c r="AF66" s="83">
        <v>5.633</v>
      </c>
      <c r="AG66" s="83">
        <v>20.055727272727275</v>
      </c>
    </row>
    <row r="67" spans="1:33" x14ac:dyDescent="0.3">
      <c r="A67" s="39" t="s">
        <v>256</v>
      </c>
      <c r="B67" s="139">
        <v>6</v>
      </c>
      <c r="C67" s="83">
        <v>0</v>
      </c>
      <c r="D67" s="83">
        <v>0</v>
      </c>
      <c r="E67" s="83">
        <v>0</v>
      </c>
      <c r="F67" s="83">
        <v>0</v>
      </c>
      <c r="G67" s="83">
        <v>0</v>
      </c>
      <c r="H67" s="83">
        <v>0</v>
      </c>
      <c r="I67" s="83">
        <v>0</v>
      </c>
      <c r="J67" s="83">
        <v>0</v>
      </c>
      <c r="K67" s="83">
        <v>0</v>
      </c>
      <c r="L67" s="83">
        <v>0</v>
      </c>
      <c r="M67" s="83">
        <v>0</v>
      </c>
      <c r="N67" s="83">
        <v>0</v>
      </c>
      <c r="O67" s="83">
        <v>0</v>
      </c>
      <c r="P67" s="83">
        <v>0</v>
      </c>
      <c r="Q67" s="83">
        <v>0</v>
      </c>
      <c r="R67" s="83">
        <v>0</v>
      </c>
      <c r="S67" s="83">
        <v>0</v>
      </c>
      <c r="T67" s="83">
        <v>0</v>
      </c>
      <c r="U67" s="83">
        <v>0</v>
      </c>
      <c r="V67" s="83">
        <v>0</v>
      </c>
      <c r="W67" s="83">
        <v>0</v>
      </c>
      <c r="X67" s="83">
        <v>7.3040000000000003</v>
      </c>
      <c r="Y67" s="83">
        <v>0</v>
      </c>
      <c r="Z67" s="83">
        <v>0</v>
      </c>
      <c r="AA67" s="83">
        <v>1E-3</v>
      </c>
      <c r="AB67" s="83">
        <v>0</v>
      </c>
      <c r="AC67" s="83">
        <v>0</v>
      </c>
      <c r="AD67" s="83">
        <v>0</v>
      </c>
      <c r="AE67" s="83">
        <v>0</v>
      </c>
      <c r="AF67" s="83">
        <v>0</v>
      </c>
      <c r="AG67" s="83">
        <v>0.66409090909090918</v>
      </c>
    </row>
    <row r="68" spans="1:33" x14ac:dyDescent="0.3">
      <c r="A68" s="39" t="s">
        <v>196</v>
      </c>
      <c r="B68" s="139">
        <v>21</v>
      </c>
      <c r="C68" s="83">
        <v>218.18599999999998</v>
      </c>
      <c r="D68" s="83">
        <v>184.63399999999999</v>
      </c>
      <c r="E68" s="83">
        <v>144.41600000000003</v>
      </c>
      <c r="F68" s="83">
        <v>223.595</v>
      </c>
      <c r="G68" s="83">
        <v>180.76199999999997</v>
      </c>
      <c r="H68" s="83">
        <v>193.40000000000003</v>
      </c>
      <c r="I68" s="83">
        <v>179.65</v>
      </c>
      <c r="J68" s="83">
        <v>175.73099999999999</v>
      </c>
      <c r="K68" s="83">
        <v>147.649</v>
      </c>
      <c r="L68" s="83">
        <v>126.80200000000001</v>
      </c>
      <c r="M68" s="83">
        <v>190.54399999999995</v>
      </c>
      <c r="N68" s="83">
        <v>229.82099999999997</v>
      </c>
      <c r="O68" s="83">
        <v>174.78</v>
      </c>
      <c r="P68" s="83">
        <v>160.87</v>
      </c>
      <c r="Q68" s="83">
        <v>202.67599999999999</v>
      </c>
      <c r="R68" s="83">
        <v>189.697</v>
      </c>
      <c r="S68" s="83">
        <v>208.93499999999997</v>
      </c>
      <c r="T68" s="83">
        <v>155.744</v>
      </c>
      <c r="U68" s="83">
        <v>192.74499999999998</v>
      </c>
      <c r="V68" s="83">
        <v>182.691</v>
      </c>
      <c r="W68" s="83">
        <v>184.66299999999995</v>
      </c>
      <c r="X68" s="83">
        <v>169.75900000000001</v>
      </c>
      <c r="Y68" s="83">
        <v>179.52899999999997</v>
      </c>
      <c r="Z68" s="83">
        <v>131.85099999999997</v>
      </c>
      <c r="AA68" s="83">
        <v>92.751000000000005</v>
      </c>
      <c r="AB68" s="83">
        <v>204.69899999999993</v>
      </c>
      <c r="AC68" s="83">
        <v>161.673</v>
      </c>
      <c r="AD68" s="83">
        <v>221.30599999999998</v>
      </c>
      <c r="AE68" s="83">
        <v>206.33799999999999</v>
      </c>
      <c r="AF68" s="83">
        <v>159.62899999999999</v>
      </c>
      <c r="AG68" s="83">
        <v>172.26263636363635</v>
      </c>
    </row>
    <row r="69" spans="1:33" x14ac:dyDescent="0.3">
      <c r="A69" s="39" t="s">
        <v>352</v>
      </c>
      <c r="B69" s="139">
        <v>10</v>
      </c>
      <c r="C69" s="83">
        <v>120.86</v>
      </c>
      <c r="D69" s="83">
        <v>85.362000000000023</v>
      </c>
      <c r="E69" s="83">
        <v>64.518999999999991</v>
      </c>
      <c r="F69" s="83">
        <v>173.625</v>
      </c>
      <c r="G69" s="83">
        <v>122.25200000000001</v>
      </c>
      <c r="H69" s="83">
        <v>194.31100000000001</v>
      </c>
      <c r="I69" s="83">
        <v>157.697</v>
      </c>
      <c r="J69" s="83">
        <v>157.982</v>
      </c>
      <c r="K69" s="83">
        <v>137.251</v>
      </c>
      <c r="L69" s="83">
        <v>109.268</v>
      </c>
      <c r="M69" s="83">
        <v>104.27200000000001</v>
      </c>
      <c r="N69" s="83">
        <v>117.49000000000001</v>
      </c>
      <c r="O69" s="83">
        <v>137.46799999999999</v>
      </c>
      <c r="P69" s="83">
        <v>104.91899999999997</v>
      </c>
      <c r="Q69" s="83">
        <v>143.36100000000002</v>
      </c>
      <c r="R69" s="83">
        <v>115.851</v>
      </c>
      <c r="S69" s="83">
        <v>105.36499999999998</v>
      </c>
      <c r="T69" s="83">
        <v>125.04699999999997</v>
      </c>
      <c r="U69" s="83">
        <v>138.43799999999999</v>
      </c>
      <c r="V69" s="83">
        <v>93.597000000000008</v>
      </c>
      <c r="W69" s="83">
        <v>159.67400000000001</v>
      </c>
      <c r="X69" s="83">
        <v>116.565</v>
      </c>
      <c r="Y69" s="83">
        <v>199.63799999999998</v>
      </c>
      <c r="Z69" s="83">
        <v>138.55500000000001</v>
      </c>
      <c r="AA69" s="83">
        <v>147.74</v>
      </c>
      <c r="AB69" s="83">
        <v>135.01399999999998</v>
      </c>
      <c r="AC69" s="83">
        <v>189.31799999999998</v>
      </c>
      <c r="AD69" s="83">
        <v>141.56700000000001</v>
      </c>
      <c r="AE69" s="83">
        <v>165.72300000000001</v>
      </c>
      <c r="AF69" s="83">
        <v>181.19399999999999</v>
      </c>
      <c r="AG69" s="83">
        <v>151.68954545454545</v>
      </c>
    </row>
    <row r="70" spans="1:33" x14ac:dyDescent="0.3">
      <c r="A70" s="39" t="s">
        <v>174</v>
      </c>
      <c r="B70" s="139">
        <v>11</v>
      </c>
      <c r="C70" s="83">
        <v>0</v>
      </c>
      <c r="D70" s="83">
        <v>57.981000000000002</v>
      </c>
      <c r="E70" s="83">
        <v>88.330000000000013</v>
      </c>
      <c r="F70" s="83">
        <v>57.144999999999996</v>
      </c>
      <c r="G70" s="83">
        <v>102.21700000000001</v>
      </c>
      <c r="H70" s="83">
        <v>84.888000000000019</v>
      </c>
      <c r="I70" s="83">
        <v>115.50700000000001</v>
      </c>
      <c r="J70" s="83">
        <v>92.378999999999991</v>
      </c>
      <c r="K70" s="83">
        <v>70.289999999999992</v>
      </c>
      <c r="L70" s="83">
        <v>0</v>
      </c>
      <c r="M70" s="83">
        <v>0</v>
      </c>
      <c r="N70" s="83">
        <v>0</v>
      </c>
      <c r="O70" s="83">
        <v>0</v>
      </c>
      <c r="P70" s="83">
        <v>0</v>
      </c>
      <c r="Q70" s="83">
        <v>0</v>
      </c>
      <c r="R70" s="83">
        <v>16.669</v>
      </c>
      <c r="S70" s="83">
        <v>126.81599999999999</v>
      </c>
      <c r="T70" s="83">
        <v>106.05200000000002</v>
      </c>
      <c r="U70" s="83">
        <v>96.296999999999983</v>
      </c>
      <c r="V70" s="83">
        <v>58.818000000000005</v>
      </c>
      <c r="W70" s="83">
        <v>69.331000000000017</v>
      </c>
      <c r="X70" s="83">
        <v>156.35800000000009</v>
      </c>
      <c r="Y70" s="83">
        <v>139.02099999999999</v>
      </c>
      <c r="Z70" s="83">
        <v>162.12600000000003</v>
      </c>
      <c r="AA70" s="83">
        <v>153.42399999999998</v>
      </c>
      <c r="AB70" s="83">
        <v>140.30100000000002</v>
      </c>
      <c r="AC70" s="83">
        <v>159.51300000000001</v>
      </c>
      <c r="AD70" s="83">
        <v>143.03</v>
      </c>
      <c r="AE70" s="83">
        <v>155.01000000000005</v>
      </c>
      <c r="AF70" s="83">
        <v>136.88600000000002</v>
      </c>
      <c r="AG70" s="83">
        <v>133.98345454545458</v>
      </c>
    </row>
    <row r="71" spans="1:33" x14ac:dyDescent="0.3">
      <c r="A71" s="39" t="s">
        <v>417</v>
      </c>
      <c r="B71" s="139">
        <v>2</v>
      </c>
      <c r="C71" s="83">
        <v>0</v>
      </c>
      <c r="D71" s="83">
        <v>0</v>
      </c>
      <c r="E71" s="83">
        <v>0</v>
      </c>
      <c r="F71" s="83">
        <v>0</v>
      </c>
      <c r="G71" s="83">
        <v>0</v>
      </c>
      <c r="H71" s="83">
        <v>0</v>
      </c>
      <c r="I71" s="83">
        <v>0</v>
      </c>
      <c r="J71" s="83">
        <v>0</v>
      </c>
      <c r="K71" s="83">
        <v>0</v>
      </c>
      <c r="L71" s="83">
        <v>0</v>
      </c>
      <c r="M71" s="83">
        <v>0</v>
      </c>
      <c r="N71" s="83">
        <v>0</v>
      </c>
      <c r="O71" s="83">
        <v>0</v>
      </c>
      <c r="P71" s="83">
        <v>0</v>
      </c>
      <c r="Q71" s="83">
        <v>0</v>
      </c>
      <c r="R71" s="83">
        <v>0</v>
      </c>
      <c r="S71" s="83">
        <v>0</v>
      </c>
      <c r="T71" s="83">
        <v>0</v>
      </c>
      <c r="U71" s="83">
        <v>0</v>
      </c>
      <c r="V71" s="83">
        <v>0</v>
      </c>
      <c r="W71" s="83">
        <v>0</v>
      </c>
      <c r="X71" s="83">
        <v>0</v>
      </c>
      <c r="Y71" s="83">
        <v>0</v>
      </c>
      <c r="Z71" s="83">
        <v>0</v>
      </c>
      <c r="AA71" s="83">
        <v>0</v>
      </c>
      <c r="AB71" s="83">
        <v>0</v>
      </c>
      <c r="AC71" s="83">
        <v>0</v>
      </c>
      <c r="AD71" s="83">
        <v>0</v>
      </c>
      <c r="AE71" s="83">
        <v>0</v>
      </c>
      <c r="AF71" s="83">
        <v>0</v>
      </c>
      <c r="AG71" s="83">
        <v>0</v>
      </c>
    </row>
    <row r="72" spans="1:33" x14ac:dyDescent="0.3">
      <c r="A72" s="39" t="s">
        <v>204</v>
      </c>
      <c r="B72" s="139">
        <v>6</v>
      </c>
      <c r="C72" s="83">
        <v>9.8060000000000009</v>
      </c>
      <c r="D72" s="83">
        <v>32.398000000000003</v>
      </c>
      <c r="E72" s="83">
        <v>18.484999999999999</v>
      </c>
      <c r="F72" s="83">
        <v>36.260999999999996</v>
      </c>
      <c r="G72" s="83">
        <v>29.992999999999999</v>
      </c>
      <c r="H72" s="83">
        <v>38.786000000000001</v>
      </c>
      <c r="I72" s="83">
        <v>32.706000000000003</v>
      </c>
      <c r="J72" s="83">
        <v>18.117999999999999</v>
      </c>
      <c r="K72" s="83">
        <v>44.620000000000005</v>
      </c>
      <c r="L72" s="83">
        <v>26.347999999999999</v>
      </c>
      <c r="M72" s="83">
        <v>31.072999999999997</v>
      </c>
      <c r="N72" s="83">
        <v>33.735999999999997</v>
      </c>
      <c r="O72" s="83">
        <v>39.225000000000001</v>
      </c>
      <c r="P72" s="83">
        <v>33.511000000000003</v>
      </c>
      <c r="Q72" s="83">
        <v>43.697000000000003</v>
      </c>
      <c r="R72" s="83">
        <v>29.539000000000001</v>
      </c>
      <c r="S72" s="83">
        <v>39.81600000000001</v>
      </c>
      <c r="T72" s="83">
        <v>39.055</v>
      </c>
      <c r="U72" s="83">
        <v>41.54</v>
      </c>
      <c r="V72" s="83">
        <v>35.407999999999994</v>
      </c>
      <c r="W72" s="83">
        <v>36.476999999999997</v>
      </c>
      <c r="X72" s="83">
        <v>27.864999999999998</v>
      </c>
      <c r="Y72" s="83">
        <v>22.683</v>
      </c>
      <c r="Z72" s="83">
        <v>35.723999999999997</v>
      </c>
      <c r="AA72" s="83">
        <v>19.640999999999998</v>
      </c>
      <c r="AB72" s="83">
        <v>48.756</v>
      </c>
      <c r="AC72" s="83">
        <v>38.274000000000001</v>
      </c>
      <c r="AD72" s="83">
        <v>41.951000000000008</v>
      </c>
      <c r="AE72" s="83">
        <v>22.565999999999999</v>
      </c>
      <c r="AF72" s="83">
        <v>33.099999999999994</v>
      </c>
      <c r="AG72" s="83">
        <v>32.949545454545451</v>
      </c>
    </row>
    <row r="73" spans="1:33" x14ac:dyDescent="0.3">
      <c r="A73" s="39" t="s">
        <v>232</v>
      </c>
      <c r="B73" s="139">
        <v>20</v>
      </c>
      <c r="C73" s="83">
        <v>40.253999999999998</v>
      </c>
      <c r="D73" s="83">
        <v>113.45899999999999</v>
      </c>
      <c r="E73" s="83">
        <v>80.596000000000004</v>
      </c>
      <c r="F73" s="83">
        <v>149.15099999999998</v>
      </c>
      <c r="G73" s="83">
        <v>151.33899999999997</v>
      </c>
      <c r="H73" s="83">
        <v>166.482</v>
      </c>
      <c r="I73" s="83">
        <v>123.09800000000001</v>
      </c>
      <c r="J73" s="83">
        <v>95.278999999999996</v>
      </c>
      <c r="K73" s="83">
        <v>131.38200000000001</v>
      </c>
      <c r="L73" s="83">
        <v>169.11199999999997</v>
      </c>
      <c r="M73" s="83">
        <v>144.94899999999996</v>
      </c>
      <c r="N73" s="83">
        <v>147.29900000000001</v>
      </c>
      <c r="O73" s="83">
        <v>138.16799999999998</v>
      </c>
      <c r="P73" s="83">
        <v>174.39400000000001</v>
      </c>
      <c r="Q73" s="83">
        <v>127.316</v>
      </c>
      <c r="R73" s="83">
        <v>135.90299999999996</v>
      </c>
      <c r="S73" s="83">
        <v>150.39999999999995</v>
      </c>
      <c r="T73" s="83">
        <v>127.05500000000001</v>
      </c>
      <c r="U73" s="83">
        <v>146.48899999999998</v>
      </c>
      <c r="V73" s="83">
        <v>161.93199999999999</v>
      </c>
      <c r="W73" s="83">
        <v>141.19</v>
      </c>
      <c r="X73" s="83">
        <v>122.85699999999999</v>
      </c>
      <c r="Y73" s="83">
        <v>118.73700000000001</v>
      </c>
      <c r="Z73" s="83">
        <v>108.03500000000001</v>
      </c>
      <c r="AA73" s="83">
        <v>99.277000000000001</v>
      </c>
      <c r="AB73" s="83">
        <v>118.748</v>
      </c>
      <c r="AC73" s="83">
        <v>113.31100000000002</v>
      </c>
      <c r="AD73" s="83">
        <v>117.45800000000004</v>
      </c>
      <c r="AE73" s="83">
        <v>138.459</v>
      </c>
      <c r="AF73" s="83">
        <v>107.45199999999998</v>
      </c>
      <c r="AG73" s="83">
        <v>122.49600000000001</v>
      </c>
    </row>
    <row r="74" spans="1:33" x14ac:dyDescent="0.3">
      <c r="A74" s="39" t="s">
        <v>366</v>
      </c>
      <c r="B74" s="139">
        <v>5</v>
      </c>
      <c r="C74" s="83">
        <v>7.5840000000000005</v>
      </c>
      <c r="D74" s="83">
        <v>3.9950000000000001</v>
      </c>
      <c r="E74" s="83">
        <v>2.6949999999999998</v>
      </c>
      <c r="F74" s="83">
        <v>3.16</v>
      </c>
      <c r="G74" s="83">
        <v>6.484</v>
      </c>
      <c r="H74" s="83">
        <v>7.8389999999999995</v>
      </c>
      <c r="I74" s="83">
        <v>6.2229999999999999</v>
      </c>
      <c r="J74" s="83">
        <v>8.9689999999999994</v>
      </c>
      <c r="K74" s="83">
        <v>27.35</v>
      </c>
      <c r="L74" s="83">
        <v>17.204999999999998</v>
      </c>
      <c r="M74" s="83">
        <v>25.452999999999999</v>
      </c>
      <c r="N74" s="83">
        <v>53.518999999999998</v>
      </c>
      <c r="O74" s="83">
        <v>16.952999999999999</v>
      </c>
      <c r="P74" s="83">
        <v>54.003</v>
      </c>
      <c r="Q74" s="83">
        <v>36.956000000000003</v>
      </c>
      <c r="R74" s="83">
        <v>31.966000000000001</v>
      </c>
      <c r="S74" s="83">
        <v>27.762000000000004</v>
      </c>
      <c r="T74" s="83">
        <v>11.153999999999998</v>
      </c>
      <c r="U74" s="83">
        <v>32.221000000000004</v>
      </c>
      <c r="V74" s="83">
        <v>20.704000000000001</v>
      </c>
      <c r="W74" s="83">
        <v>30.235999999999997</v>
      </c>
      <c r="X74" s="83">
        <v>23.065000000000005</v>
      </c>
      <c r="Y74" s="83">
        <v>13.950999999999999</v>
      </c>
      <c r="Z74" s="83">
        <v>12.782999999999999</v>
      </c>
      <c r="AA74" s="83">
        <v>8.2199999999999989</v>
      </c>
      <c r="AB74" s="83">
        <v>20.494999999999997</v>
      </c>
      <c r="AC74" s="83">
        <v>20.380999999999997</v>
      </c>
      <c r="AD74" s="83">
        <v>36.487000000000002</v>
      </c>
      <c r="AE74" s="83">
        <v>20.901</v>
      </c>
      <c r="AF74" s="83">
        <v>26.306000000000001</v>
      </c>
      <c r="AG74" s="83">
        <v>21.229909090909089</v>
      </c>
    </row>
    <row r="75" spans="1:33" x14ac:dyDescent="0.3">
      <c r="A75" s="39" t="s">
        <v>519</v>
      </c>
      <c r="B75" s="139">
        <v>10</v>
      </c>
      <c r="C75" s="83">
        <v>8.072000000000001</v>
      </c>
      <c r="D75" s="83">
        <v>4.5979999999999999</v>
      </c>
      <c r="E75" s="83">
        <v>9.5739999999999998</v>
      </c>
      <c r="F75" s="83">
        <v>1.9430000000000001</v>
      </c>
      <c r="G75" s="83">
        <v>0</v>
      </c>
      <c r="H75" s="83">
        <v>8.8019999999999996</v>
      </c>
      <c r="I75" s="83">
        <v>13.66</v>
      </c>
      <c r="J75" s="83">
        <v>2.758</v>
      </c>
      <c r="K75" s="83">
        <v>18.053999999999998</v>
      </c>
      <c r="L75" s="83">
        <v>22.526</v>
      </c>
      <c r="M75" s="83">
        <v>13.808</v>
      </c>
      <c r="N75" s="83">
        <v>16.297999999999998</v>
      </c>
      <c r="O75" s="83">
        <v>10.605</v>
      </c>
      <c r="P75" s="83">
        <v>24.694000000000003</v>
      </c>
      <c r="Q75" s="83">
        <v>16.661999999999999</v>
      </c>
      <c r="R75" s="83">
        <v>18.523</v>
      </c>
      <c r="S75" s="83">
        <v>26.122</v>
      </c>
      <c r="T75" s="83">
        <v>16.503</v>
      </c>
      <c r="U75" s="83">
        <v>16.058</v>
      </c>
      <c r="V75" s="83">
        <v>17.201000000000001</v>
      </c>
      <c r="W75" s="83">
        <v>2.7570000000000001</v>
      </c>
      <c r="X75" s="83">
        <v>21.577999999999999</v>
      </c>
      <c r="Y75" s="83">
        <v>16.052</v>
      </c>
      <c r="Z75" s="83">
        <v>44.187999999999995</v>
      </c>
      <c r="AA75" s="83">
        <v>22.728000000000002</v>
      </c>
      <c r="AB75" s="83">
        <v>9.9910000000000014</v>
      </c>
      <c r="AC75" s="83">
        <v>6.581999999999999</v>
      </c>
      <c r="AD75" s="83">
        <v>26.921999999999997</v>
      </c>
      <c r="AE75" s="83">
        <v>8.8580000000000005</v>
      </c>
      <c r="AF75" s="83">
        <v>16.585000000000001</v>
      </c>
      <c r="AG75" s="83">
        <v>17.585636363636365</v>
      </c>
    </row>
    <row r="76" spans="1:33" x14ac:dyDescent="0.3">
      <c r="A76" s="39" t="s">
        <v>504</v>
      </c>
      <c r="B76" s="139">
        <v>7</v>
      </c>
      <c r="C76" s="83">
        <v>33.792000000000002</v>
      </c>
      <c r="D76" s="83">
        <v>67.42</v>
      </c>
      <c r="E76" s="83">
        <v>43.146999999999998</v>
      </c>
      <c r="F76" s="83">
        <v>31.066000000000003</v>
      </c>
      <c r="G76" s="83">
        <v>43.396999999999998</v>
      </c>
      <c r="H76" s="83">
        <v>50.121000000000002</v>
      </c>
      <c r="I76" s="83">
        <v>57.01</v>
      </c>
      <c r="J76" s="83">
        <v>26.614000000000004</v>
      </c>
      <c r="K76" s="83">
        <v>33.649000000000001</v>
      </c>
      <c r="L76" s="83">
        <v>48.697999999999993</v>
      </c>
      <c r="M76" s="83">
        <v>55.952999999999996</v>
      </c>
      <c r="N76" s="83">
        <v>45.619</v>
      </c>
      <c r="O76" s="83">
        <v>40.193000000000005</v>
      </c>
      <c r="P76" s="83">
        <v>43.939</v>
      </c>
      <c r="Q76" s="83">
        <v>49.81600000000001</v>
      </c>
      <c r="R76" s="83">
        <v>58.075000000000003</v>
      </c>
      <c r="S76" s="83">
        <v>43.055000000000007</v>
      </c>
      <c r="T76" s="83">
        <v>41.427</v>
      </c>
      <c r="U76" s="83">
        <v>31.447000000000003</v>
      </c>
      <c r="V76" s="83">
        <v>52.886999999999986</v>
      </c>
      <c r="W76" s="83">
        <v>38.442999999999998</v>
      </c>
      <c r="X76" s="83">
        <v>27.642000000000003</v>
      </c>
      <c r="Y76" s="83">
        <v>44.740999999999993</v>
      </c>
      <c r="Z76" s="83">
        <v>41.943999999999996</v>
      </c>
      <c r="AA76" s="83">
        <v>42.108000000000004</v>
      </c>
      <c r="AB76" s="83">
        <v>34.039000000000001</v>
      </c>
      <c r="AC76" s="83">
        <v>40.214999999999996</v>
      </c>
      <c r="AD76" s="83">
        <v>36.066999999999986</v>
      </c>
      <c r="AE76" s="83">
        <v>42.634999999999998</v>
      </c>
      <c r="AF76" s="83">
        <v>25.673999999999996</v>
      </c>
      <c r="AG76" s="83">
        <v>38.763181818181813</v>
      </c>
    </row>
    <row r="77" spans="1:33" x14ac:dyDescent="0.3">
      <c r="A77" s="39" t="s">
        <v>357</v>
      </c>
      <c r="B77" s="139">
        <v>1</v>
      </c>
      <c r="C77" s="83">
        <v>0</v>
      </c>
      <c r="D77" s="83">
        <v>0</v>
      </c>
      <c r="E77" s="83">
        <v>0</v>
      </c>
      <c r="F77" s="83">
        <v>16.259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13.51</v>
      </c>
      <c r="T77" s="83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83">
        <v>0</v>
      </c>
      <c r="AC77" s="83">
        <v>0</v>
      </c>
      <c r="AD77" s="83">
        <v>0</v>
      </c>
      <c r="AE77" s="83">
        <v>0</v>
      </c>
      <c r="AF77" s="83">
        <v>1.1279999999999999</v>
      </c>
      <c r="AG77" s="83">
        <v>0.10254545454545454</v>
      </c>
    </row>
    <row r="78" spans="1:33" x14ac:dyDescent="0.3">
      <c r="A78" s="39" t="s">
        <v>473</v>
      </c>
      <c r="B78" s="139">
        <v>6</v>
      </c>
      <c r="C78" s="83">
        <v>134.459</v>
      </c>
      <c r="D78" s="83">
        <v>148.86700000000002</v>
      </c>
      <c r="E78" s="83">
        <v>205.16000000000003</v>
      </c>
      <c r="F78" s="83">
        <v>415.84500000000003</v>
      </c>
      <c r="G78" s="83">
        <v>513.53000000000009</v>
      </c>
      <c r="H78" s="83">
        <v>424.96999999999997</v>
      </c>
      <c r="I78" s="83">
        <v>356.59899999999999</v>
      </c>
      <c r="J78" s="83">
        <v>499.80099999999999</v>
      </c>
      <c r="K78" s="83">
        <v>190.69</v>
      </c>
      <c r="L78" s="83">
        <v>148.61499999999998</v>
      </c>
      <c r="M78" s="83">
        <v>401.13</v>
      </c>
      <c r="N78" s="83">
        <v>453.65999999999997</v>
      </c>
      <c r="O78" s="83">
        <v>429.95000000000005</v>
      </c>
      <c r="P78" s="83">
        <v>383.88499999999999</v>
      </c>
      <c r="Q78" s="83">
        <v>445.20000000000005</v>
      </c>
      <c r="R78" s="83">
        <v>299.95</v>
      </c>
      <c r="S78" s="83">
        <v>169.82999999999998</v>
      </c>
      <c r="T78" s="83">
        <v>278.11500000000001</v>
      </c>
      <c r="U78" s="83">
        <v>448.40499999999997</v>
      </c>
      <c r="V78" s="83">
        <v>436.49699999999996</v>
      </c>
      <c r="W78" s="83">
        <v>379.90499999999997</v>
      </c>
      <c r="X78" s="83">
        <v>456.35500000000002</v>
      </c>
      <c r="Y78" s="83">
        <v>197.44</v>
      </c>
      <c r="Z78" s="83">
        <v>200.68</v>
      </c>
      <c r="AA78" s="83">
        <v>417.7299999999999</v>
      </c>
      <c r="AB78" s="83">
        <v>382.65999999999997</v>
      </c>
      <c r="AC78" s="83">
        <v>474.03499999999997</v>
      </c>
      <c r="AD78" s="83">
        <v>457.04999999999995</v>
      </c>
      <c r="AE78" s="83">
        <v>495.79600000000005</v>
      </c>
      <c r="AF78" s="83">
        <v>177.01</v>
      </c>
      <c r="AG78" s="83">
        <v>370.46890909090905</v>
      </c>
    </row>
    <row r="79" spans="1:33" x14ac:dyDescent="0.3">
      <c r="A79" s="39" t="s">
        <v>474</v>
      </c>
      <c r="B79" s="139">
        <v>8</v>
      </c>
      <c r="C79" s="83">
        <v>162.39500000000004</v>
      </c>
      <c r="D79" s="83">
        <v>127.00900000000003</v>
      </c>
      <c r="E79" s="83">
        <v>212.35900000000004</v>
      </c>
      <c r="F79" s="83">
        <v>121.598</v>
      </c>
      <c r="G79" s="83">
        <v>151.45000000000002</v>
      </c>
      <c r="H79" s="83">
        <v>182.96599999999995</v>
      </c>
      <c r="I79" s="83">
        <v>148.48600000000002</v>
      </c>
      <c r="J79" s="83">
        <v>192.45999999999995</v>
      </c>
      <c r="K79" s="83">
        <v>155.36199999999999</v>
      </c>
      <c r="L79" s="83">
        <v>143.44200000000001</v>
      </c>
      <c r="M79" s="83">
        <v>210.36000000000007</v>
      </c>
      <c r="N79" s="83">
        <v>166.685</v>
      </c>
      <c r="O79" s="83">
        <v>137.44100000000006</v>
      </c>
      <c r="P79" s="83">
        <v>158.24799999999993</v>
      </c>
      <c r="Q79" s="83">
        <v>256.36600000000004</v>
      </c>
      <c r="R79" s="83">
        <v>217.626</v>
      </c>
      <c r="S79" s="83">
        <v>169.20700000000002</v>
      </c>
      <c r="T79" s="83">
        <v>201.14999999999998</v>
      </c>
      <c r="U79" s="83">
        <v>181.38800000000009</v>
      </c>
      <c r="V79" s="83">
        <v>202.00800000000004</v>
      </c>
      <c r="W79" s="83">
        <v>168.697</v>
      </c>
      <c r="X79" s="83">
        <v>209.52600000000001</v>
      </c>
      <c r="Y79" s="83">
        <v>140.19300000000004</v>
      </c>
      <c r="Z79" s="83">
        <v>137.49</v>
      </c>
      <c r="AA79" s="83">
        <v>149.346</v>
      </c>
      <c r="AB79" s="83">
        <v>110.63399999999999</v>
      </c>
      <c r="AC79" s="83">
        <v>282.32599999999991</v>
      </c>
      <c r="AD79" s="83">
        <v>197.27100000000007</v>
      </c>
      <c r="AE79" s="83">
        <v>225.17700000000002</v>
      </c>
      <c r="AF79" s="83">
        <v>253.94400000000002</v>
      </c>
      <c r="AG79" s="83">
        <v>188.7829090909091</v>
      </c>
    </row>
    <row r="80" spans="1:33" x14ac:dyDescent="0.3">
      <c r="A80" s="39" t="s">
        <v>249</v>
      </c>
      <c r="B80" s="139">
        <v>8</v>
      </c>
      <c r="C80" s="83">
        <v>27.846999999999998</v>
      </c>
      <c r="D80" s="83">
        <v>61.317999999999991</v>
      </c>
      <c r="E80" s="83">
        <v>53.647000000000006</v>
      </c>
      <c r="F80" s="83">
        <v>76.965000000000003</v>
      </c>
      <c r="G80" s="83">
        <v>104.60199999999998</v>
      </c>
      <c r="H80" s="83">
        <v>78.545000000000016</v>
      </c>
      <c r="I80" s="83">
        <v>64.444000000000003</v>
      </c>
      <c r="J80" s="83">
        <v>80.406999999999996</v>
      </c>
      <c r="K80" s="83">
        <v>81.61699999999999</v>
      </c>
      <c r="L80" s="83">
        <v>71.201999999999998</v>
      </c>
      <c r="M80" s="83">
        <v>35.975000000000001</v>
      </c>
      <c r="N80" s="83">
        <v>86.749000000000009</v>
      </c>
      <c r="O80" s="83">
        <v>60.286999999999992</v>
      </c>
      <c r="P80" s="83">
        <v>69.850999999999985</v>
      </c>
      <c r="Q80" s="83">
        <v>55.055000000000007</v>
      </c>
      <c r="R80" s="83">
        <v>68.933999999999983</v>
      </c>
      <c r="S80" s="83">
        <v>76.13</v>
      </c>
      <c r="T80" s="83">
        <v>55.588999999999999</v>
      </c>
      <c r="U80" s="83">
        <v>55.471999999999994</v>
      </c>
      <c r="V80" s="83">
        <v>74.173000000000002</v>
      </c>
      <c r="W80" s="83">
        <v>59.600999999999999</v>
      </c>
      <c r="X80" s="83">
        <v>51.442</v>
      </c>
      <c r="Y80" s="83">
        <v>65.088000000000008</v>
      </c>
      <c r="Z80" s="83">
        <v>37.570999999999998</v>
      </c>
      <c r="AA80" s="83">
        <v>75.204000000000008</v>
      </c>
      <c r="AB80" s="83">
        <v>43.333000000000006</v>
      </c>
      <c r="AC80" s="83">
        <v>63.623000000000005</v>
      </c>
      <c r="AD80" s="83">
        <v>77.863000000000014</v>
      </c>
      <c r="AE80" s="83">
        <v>72.621999999999986</v>
      </c>
      <c r="AF80" s="83">
        <v>72.266999999999996</v>
      </c>
      <c r="AG80" s="83">
        <v>62.980636363636364</v>
      </c>
    </row>
    <row r="81" spans="1:33" x14ac:dyDescent="0.3">
      <c r="A81" s="39" t="s">
        <v>254</v>
      </c>
      <c r="B81" s="139">
        <v>15</v>
      </c>
      <c r="C81" s="83">
        <v>167.511</v>
      </c>
      <c r="D81" s="83">
        <v>186.375</v>
      </c>
      <c r="E81" s="83">
        <v>220.38799999999998</v>
      </c>
      <c r="F81" s="83">
        <v>218.24599999999998</v>
      </c>
      <c r="G81" s="83">
        <v>221.75499999999997</v>
      </c>
      <c r="H81" s="83">
        <v>242.85599999999999</v>
      </c>
      <c r="I81" s="83">
        <v>265.74400000000003</v>
      </c>
      <c r="J81" s="83">
        <v>207.36400000000003</v>
      </c>
      <c r="K81" s="83">
        <v>169.49100000000001</v>
      </c>
      <c r="L81" s="83">
        <v>204.06199999999995</v>
      </c>
      <c r="M81" s="83">
        <v>182.32600000000002</v>
      </c>
      <c r="N81" s="83">
        <v>264.01599999999996</v>
      </c>
      <c r="O81" s="83">
        <v>246.08799999999999</v>
      </c>
      <c r="P81" s="83">
        <v>222.61199999999997</v>
      </c>
      <c r="Q81" s="83">
        <v>188.44499999999999</v>
      </c>
      <c r="R81" s="83">
        <v>253.08799999999997</v>
      </c>
      <c r="S81" s="83">
        <v>245.03599999999997</v>
      </c>
      <c r="T81" s="83">
        <v>270.36800000000005</v>
      </c>
      <c r="U81" s="83">
        <v>213.42499999999998</v>
      </c>
      <c r="V81" s="83">
        <v>207.59500000000003</v>
      </c>
      <c r="W81" s="83">
        <v>317.42900000000003</v>
      </c>
      <c r="X81" s="83">
        <v>220.12300000000005</v>
      </c>
      <c r="Y81" s="83">
        <v>245.226</v>
      </c>
      <c r="Z81" s="83">
        <v>229.02700000000002</v>
      </c>
      <c r="AA81" s="83">
        <v>218.81700000000004</v>
      </c>
      <c r="AB81" s="83">
        <v>213.39899999999997</v>
      </c>
      <c r="AC81" s="83">
        <v>220.934</v>
      </c>
      <c r="AD81" s="83">
        <v>200.773</v>
      </c>
      <c r="AE81" s="83">
        <v>182.63000000000002</v>
      </c>
      <c r="AF81" s="83">
        <v>171.12700000000004</v>
      </c>
      <c r="AG81" s="83">
        <v>220.64363636363635</v>
      </c>
    </row>
    <row r="82" spans="1:33" x14ac:dyDescent="0.3">
      <c r="A82" s="39" t="s">
        <v>355</v>
      </c>
      <c r="B82" s="139">
        <v>10</v>
      </c>
      <c r="C82" s="83">
        <v>93.392000000000024</v>
      </c>
      <c r="D82" s="83">
        <v>132.553</v>
      </c>
      <c r="E82" s="83">
        <v>179.126</v>
      </c>
      <c r="F82" s="83">
        <v>157.76600000000005</v>
      </c>
      <c r="G82" s="83">
        <v>167.89699999999999</v>
      </c>
      <c r="H82" s="83">
        <v>162.83299999999997</v>
      </c>
      <c r="I82" s="83">
        <v>166.37300000000005</v>
      </c>
      <c r="J82" s="83">
        <v>186.40200000000004</v>
      </c>
      <c r="K82" s="83">
        <v>183.40799999999999</v>
      </c>
      <c r="L82" s="83">
        <v>207.36699999999993</v>
      </c>
      <c r="M82" s="83">
        <v>193.68500000000003</v>
      </c>
      <c r="N82" s="83">
        <v>156.923</v>
      </c>
      <c r="O82" s="83">
        <v>161.44399999999996</v>
      </c>
      <c r="P82" s="83">
        <v>152.56600000000003</v>
      </c>
      <c r="Q82" s="83">
        <v>168.82000000000005</v>
      </c>
      <c r="R82" s="83">
        <v>170.74899999999994</v>
      </c>
      <c r="S82" s="83">
        <v>163.81300000000002</v>
      </c>
      <c r="T82" s="83">
        <v>168.47899999999996</v>
      </c>
      <c r="U82" s="83">
        <v>182.78100000000006</v>
      </c>
      <c r="V82" s="83">
        <v>137.09399999999999</v>
      </c>
      <c r="W82" s="83">
        <v>174.91400000000004</v>
      </c>
      <c r="X82" s="83">
        <v>165.12199999999999</v>
      </c>
      <c r="Y82" s="83">
        <v>173.989</v>
      </c>
      <c r="Z82" s="83">
        <v>167.14800000000008</v>
      </c>
      <c r="AA82" s="83">
        <v>190.995</v>
      </c>
      <c r="AB82" s="83">
        <v>166.25</v>
      </c>
      <c r="AC82" s="83">
        <v>182.399</v>
      </c>
      <c r="AD82" s="83">
        <v>171.63600000000002</v>
      </c>
      <c r="AE82" s="83">
        <v>159.52300000000002</v>
      </c>
      <c r="AF82" s="83">
        <v>203.58299999999991</v>
      </c>
      <c r="AG82" s="83">
        <v>172.05936363636363</v>
      </c>
    </row>
    <row r="83" spans="1:33" x14ac:dyDescent="0.3">
      <c r="A83" s="39" t="s">
        <v>270</v>
      </c>
      <c r="B83" s="139">
        <v>4</v>
      </c>
      <c r="C83" s="83">
        <v>73.784999999999997</v>
      </c>
      <c r="D83" s="83">
        <v>82.703000000000003</v>
      </c>
      <c r="E83" s="83">
        <v>52.238999999999997</v>
      </c>
      <c r="F83" s="83">
        <v>57.847000000000001</v>
      </c>
      <c r="G83" s="83">
        <v>16.75</v>
      </c>
      <c r="H83" s="83">
        <v>88.96899999999998</v>
      </c>
      <c r="I83" s="83">
        <v>93.792000000000002</v>
      </c>
      <c r="J83" s="83">
        <v>24.016000000000002</v>
      </c>
      <c r="K83" s="83">
        <v>152.08099999999999</v>
      </c>
      <c r="L83" s="83">
        <v>29.033999999999999</v>
      </c>
      <c r="M83" s="83">
        <v>53.338999999999999</v>
      </c>
      <c r="N83" s="83">
        <v>145.364</v>
      </c>
      <c r="O83" s="83">
        <v>170.42400000000004</v>
      </c>
      <c r="P83" s="83">
        <v>90.048999999999978</v>
      </c>
      <c r="Q83" s="83">
        <v>149.96099999999998</v>
      </c>
      <c r="R83" s="83">
        <v>50.518000000000001</v>
      </c>
      <c r="S83" s="83">
        <v>76.015000000000001</v>
      </c>
      <c r="T83" s="83">
        <v>60.953000000000003</v>
      </c>
      <c r="U83" s="83">
        <v>159.06300000000002</v>
      </c>
      <c r="V83" s="83">
        <v>93.236999999999995</v>
      </c>
      <c r="W83" s="83">
        <v>126.623</v>
      </c>
      <c r="X83" s="83">
        <v>174.84899999999999</v>
      </c>
      <c r="Y83" s="83">
        <v>89.165000000000006</v>
      </c>
      <c r="Z83" s="83">
        <v>90.355999999999995</v>
      </c>
      <c r="AA83" s="83">
        <v>125.69400000000002</v>
      </c>
      <c r="AB83" s="83">
        <v>170.27000000000004</v>
      </c>
      <c r="AC83" s="83">
        <v>84.162999999999997</v>
      </c>
      <c r="AD83" s="83">
        <v>140.40500000000003</v>
      </c>
      <c r="AE83" s="83">
        <v>181.113</v>
      </c>
      <c r="AF83" s="83">
        <v>86.637</v>
      </c>
      <c r="AG83" s="83">
        <v>123.86472727272727</v>
      </c>
    </row>
    <row r="84" spans="1:33" x14ac:dyDescent="0.3">
      <c r="A84" s="39" t="s">
        <v>269</v>
      </c>
      <c r="B84" s="139">
        <v>7</v>
      </c>
      <c r="C84" s="83">
        <v>97.300999999999988</v>
      </c>
      <c r="D84" s="83">
        <v>52.137</v>
      </c>
      <c r="E84" s="83">
        <v>73.968999999999994</v>
      </c>
      <c r="F84" s="83">
        <v>122.45</v>
      </c>
      <c r="G84" s="83">
        <v>116.139</v>
      </c>
      <c r="H84" s="83">
        <v>139.96699999999998</v>
      </c>
      <c r="I84" s="83">
        <v>158.05599999999998</v>
      </c>
      <c r="J84" s="83">
        <v>140.078</v>
      </c>
      <c r="K84" s="83">
        <v>151.041</v>
      </c>
      <c r="L84" s="83">
        <v>70.407000000000011</v>
      </c>
      <c r="M84" s="83">
        <v>142.83099999999999</v>
      </c>
      <c r="N84" s="83">
        <v>110.96499999999999</v>
      </c>
      <c r="O84" s="83">
        <v>130.536</v>
      </c>
      <c r="P84" s="83">
        <v>122.572</v>
      </c>
      <c r="Q84" s="83">
        <v>108.538</v>
      </c>
      <c r="R84" s="83">
        <v>132.57499999999999</v>
      </c>
      <c r="S84" s="83">
        <v>86.103000000000009</v>
      </c>
      <c r="T84" s="83">
        <v>117.17400000000001</v>
      </c>
      <c r="U84" s="83">
        <v>88.706000000000003</v>
      </c>
      <c r="V84" s="83">
        <v>77.950000000000017</v>
      </c>
      <c r="W84" s="83">
        <v>57.076000000000001</v>
      </c>
      <c r="X84" s="83">
        <v>65.840999999999994</v>
      </c>
      <c r="Y84" s="83">
        <v>107.508</v>
      </c>
      <c r="Z84" s="83">
        <v>79.668999999999997</v>
      </c>
      <c r="AA84" s="83">
        <v>117.53799999999998</v>
      </c>
      <c r="AB84" s="83">
        <v>77.081000000000003</v>
      </c>
      <c r="AC84" s="83">
        <v>114.88100000000001</v>
      </c>
      <c r="AD84" s="83">
        <v>93.98599999999999</v>
      </c>
      <c r="AE84" s="83">
        <v>135.51999999999998</v>
      </c>
      <c r="AF84" s="83">
        <v>144.084</v>
      </c>
      <c r="AG84" s="83">
        <v>97.37581818181819</v>
      </c>
    </row>
    <row r="85" spans="1:33" x14ac:dyDescent="0.3">
      <c r="A85" s="39" t="s">
        <v>203</v>
      </c>
      <c r="B85" s="139">
        <v>58</v>
      </c>
      <c r="C85" s="83">
        <v>647.69000000000005</v>
      </c>
      <c r="D85" s="83">
        <v>478.30699999999996</v>
      </c>
      <c r="E85" s="83">
        <v>777.14900000000023</v>
      </c>
      <c r="F85" s="83">
        <v>758.40299999999979</v>
      </c>
      <c r="G85" s="83">
        <v>655.51399999999967</v>
      </c>
      <c r="H85" s="83">
        <v>655.23099999999988</v>
      </c>
      <c r="I85" s="83">
        <v>902.39600000000019</v>
      </c>
      <c r="J85" s="83">
        <v>732.90600000000006</v>
      </c>
      <c r="K85" s="83">
        <v>813.47800000000018</v>
      </c>
      <c r="L85" s="83">
        <v>703.2639999999999</v>
      </c>
      <c r="M85" s="83">
        <v>620.86900000000003</v>
      </c>
      <c r="N85" s="83">
        <v>894.27</v>
      </c>
      <c r="O85" s="83">
        <v>715.07800000000009</v>
      </c>
      <c r="P85" s="83">
        <v>788.12600000000009</v>
      </c>
      <c r="Q85" s="83">
        <v>939.59100000000012</v>
      </c>
      <c r="R85" s="83">
        <v>816.67700000000013</v>
      </c>
      <c r="S85" s="83">
        <v>754.0799999999997</v>
      </c>
      <c r="T85" s="83">
        <v>866.26799999999992</v>
      </c>
      <c r="U85" s="83">
        <v>704.14599999999984</v>
      </c>
      <c r="V85" s="83">
        <v>850.42200000000014</v>
      </c>
      <c r="W85" s="83">
        <v>456.642</v>
      </c>
      <c r="X85" s="83">
        <v>959.06299999999965</v>
      </c>
      <c r="Y85" s="83">
        <v>1068.453</v>
      </c>
      <c r="Z85" s="83">
        <v>789.87999999999988</v>
      </c>
      <c r="AA85" s="83">
        <v>787.31299999999987</v>
      </c>
      <c r="AB85" s="83">
        <v>1084.086</v>
      </c>
      <c r="AC85" s="83">
        <v>767.827</v>
      </c>
      <c r="AD85" s="83">
        <v>911.32900000000029</v>
      </c>
      <c r="AE85" s="83">
        <v>784.28899999999999</v>
      </c>
      <c r="AF85" s="83">
        <v>1045.9069999999997</v>
      </c>
      <c r="AG85" s="83">
        <v>864.1100909090909</v>
      </c>
    </row>
    <row r="86" spans="1:33" x14ac:dyDescent="0.3">
      <c r="A86" s="39" t="s">
        <v>455</v>
      </c>
      <c r="B86" s="139">
        <v>5</v>
      </c>
      <c r="C86" s="83">
        <v>23.445999999999998</v>
      </c>
      <c r="D86" s="83">
        <v>25.230000000000004</v>
      </c>
      <c r="E86" s="83">
        <v>11.934000000000001</v>
      </c>
      <c r="F86" s="83">
        <v>28.800999999999998</v>
      </c>
      <c r="G86" s="83">
        <v>30.785</v>
      </c>
      <c r="H86" s="83">
        <v>29.126999999999999</v>
      </c>
      <c r="I86" s="83">
        <v>22.858000000000001</v>
      </c>
      <c r="J86" s="83">
        <v>4.8249999999999993</v>
      </c>
      <c r="K86" s="83">
        <v>16.756</v>
      </c>
      <c r="L86" s="83">
        <v>13.347999999999999</v>
      </c>
      <c r="M86" s="83">
        <v>11.748999999999999</v>
      </c>
      <c r="N86" s="83">
        <v>23.09</v>
      </c>
      <c r="O86" s="83">
        <v>32.552999999999997</v>
      </c>
      <c r="P86" s="83">
        <v>37.56</v>
      </c>
      <c r="Q86" s="83">
        <v>7.5890000000000004</v>
      </c>
      <c r="R86" s="83">
        <v>22.029</v>
      </c>
      <c r="S86" s="83">
        <v>40.019000000000005</v>
      </c>
      <c r="T86" s="83">
        <v>14.117000000000001</v>
      </c>
      <c r="U86" s="83">
        <v>10.456</v>
      </c>
      <c r="V86" s="83">
        <v>11.35</v>
      </c>
      <c r="W86" s="83">
        <v>12.822999999999999</v>
      </c>
      <c r="X86" s="83">
        <v>29.143999999999998</v>
      </c>
      <c r="Y86" s="83">
        <v>6.4649999999999999</v>
      </c>
      <c r="Z86" s="83">
        <v>34.222000000000001</v>
      </c>
      <c r="AA86" s="83">
        <v>4.8100000000000005</v>
      </c>
      <c r="AB86" s="83">
        <v>0</v>
      </c>
      <c r="AC86" s="83">
        <v>16.526</v>
      </c>
      <c r="AD86" s="83">
        <v>32.085000000000001</v>
      </c>
      <c r="AE86" s="83">
        <v>65.186999999999998</v>
      </c>
      <c r="AF86" s="83">
        <v>43.768000000000001</v>
      </c>
      <c r="AG86" s="83">
        <v>23.307272727272728</v>
      </c>
    </row>
    <row r="87" spans="1:33" x14ac:dyDescent="0.3">
      <c r="A87" s="39" t="s">
        <v>283</v>
      </c>
      <c r="B87" s="139">
        <v>12</v>
      </c>
      <c r="C87" s="83">
        <v>53.821999999999989</v>
      </c>
      <c r="D87" s="83">
        <v>188.20200000000006</v>
      </c>
      <c r="E87" s="83">
        <v>173.61700000000002</v>
      </c>
      <c r="F87" s="83">
        <v>102.04299999999999</v>
      </c>
      <c r="G87" s="83">
        <v>220.61</v>
      </c>
      <c r="H87" s="83">
        <v>213.45700000000011</v>
      </c>
      <c r="I87" s="83">
        <v>195.07700000000003</v>
      </c>
      <c r="J87" s="83">
        <v>217.12700000000004</v>
      </c>
      <c r="K87" s="83">
        <v>193.24300000000002</v>
      </c>
      <c r="L87" s="83">
        <v>198.06899999999996</v>
      </c>
      <c r="M87" s="83">
        <v>70.7</v>
      </c>
      <c r="N87" s="83">
        <v>183.58</v>
      </c>
      <c r="O87" s="83">
        <v>180.02799999999996</v>
      </c>
      <c r="P87" s="83">
        <v>255.94799999999995</v>
      </c>
      <c r="Q87" s="83">
        <v>236.46700000000001</v>
      </c>
      <c r="R87" s="83">
        <v>199.68199999999999</v>
      </c>
      <c r="S87" s="83">
        <v>176.46099999999996</v>
      </c>
      <c r="T87" s="83">
        <v>99.773000000000025</v>
      </c>
      <c r="U87" s="83">
        <v>235.65099999999998</v>
      </c>
      <c r="V87" s="83">
        <v>140.441</v>
      </c>
      <c r="W87" s="83">
        <v>261.36999999999995</v>
      </c>
      <c r="X87" s="83">
        <v>185.19</v>
      </c>
      <c r="Y87" s="83">
        <v>196.96899999999999</v>
      </c>
      <c r="Z87" s="83">
        <v>183.785</v>
      </c>
      <c r="AA87" s="83">
        <v>63.598999999999997</v>
      </c>
      <c r="AB87" s="83">
        <v>180.13100000000003</v>
      </c>
      <c r="AC87" s="83">
        <v>193.53299999999999</v>
      </c>
      <c r="AD87" s="83">
        <v>217.18599999999998</v>
      </c>
      <c r="AE87" s="83">
        <v>193.84199999999996</v>
      </c>
      <c r="AF87" s="83">
        <v>232.94099999999997</v>
      </c>
      <c r="AG87" s="83">
        <v>186.27154545454542</v>
      </c>
    </row>
    <row r="88" spans="1:33" x14ac:dyDescent="0.3">
      <c r="A88" s="39" t="s">
        <v>318</v>
      </c>
      <c r="B88" s="139">
        <v>1</v>
      </c>
      <c r="C88" s="83">
        <v>0</v>
      </c>
      <c r="D88" s="83">
        <v>0</v>
      </c>
      <c r="E88" s="83">
        <v>0</v>
      </c>
      <c r="F88" s="83">
        <v>1.6839999999999999</v>
      </c>
      <c r="G88" s="83">
        <v>0</v>
      </c>
      <c r="H88" s="83">
        <v>2.3820000000000001</v>
      </c>
      <c r="I88" s="83">
        <v>0</v>
      </c>
      <c r="J88" s="83">
        <v>0.112</v>
      </c>
      <c r="K88" s="83">
        <v>0</v>
      </c>
      <c r="L88" s="83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0.17499999999999999</v>
      </c>
      <c r="U88" s="83">
        <v>2.9729999999999999</v>
      </c>
      <c r="V88" s="83">
        <v>0</v>
      </c>
      <c r="W88" s="83">
        <v>0</v>
      </c>
      <c r="X88" s="83">
        <v>2.7440000000000002</v>
      </c>
      <c r="Y88" s="83">
        <v>0</v>
      </c>
      <c r="Z88" s="83">
        <v>0</v>
      </c>
      <c r="AA88" s="83">
        <v>1.4990000000000001</v>
      </c>
      <c r="AB88" s="83">
        <v>0</v>
      </c>
      <c r="AC88" s="83">
        <v>1.37</v>
      </c>
      <c r="AD88" s="83">
        <v>0</v>
      </c>
      <c r="AE88" s="83">
        <v>0</v>
      </c>
      <c r="AF88" s="83">
        <v>0</v>
      </c>
      <c r="AG88" s="83">
        <v>0.51027272727272732</v>
      </c>
    </row>
    <row r="89" spans="1:33" x14ac:dyDescent="0.3">
      <c r="A89" s="39" t="s">
        <v>456</v>
      </c>
      <c r="B89" s="139">
        <v>4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0</v>
      </c>
      <c r="W89" s="83">
        <v>0</v>
      </c>
      <c r="X89" s="83">
        <v>0</v>
      </c>
      <c r="Y89" s="83">
        <v>0</v>
      </c>
      <c r="Z89" s="83">
        <v>0</v>
      </c>
      <c r="AA89" s="83">
        <v>0</v>
      </c>
      <c r="AB89" s="83">
        <v>12.641</v>
      </c>
      <c r="AC89" s="83">
        <v>0</v>
      </c>
      <c r="AD89" s="83">
        <v>0</v>
      </c>
      <c r="AE89" s="83">
        <v>0</v>
      </c>
      <c r="AF89" s="83">
        <v>0</v>
      </c>
      <c r="AG89" s="83">
        <v>1.1491818181818181</v>
      </c>
    </row>
    <row r="90" spans="1:33" x14ac:dyDescent="0.3">
      <c r="A90" s="39" t="s">
        <v>392</v>
      </c>
      <c r="B90" s="139">
        <v>9</v>
      </c>
      <c r="C90" s="83">
        <v>16.292999999999999</v>
      </c>
      <c r="D90" s="83">
        <v>4.3370000000000006</v>
      </c>
      <c r="E90" s="83">
        <v>17.927</v>
      </c>
      <c r="F90" s="83">
        <v>6.0000000000000001E-3</v>
      </c>
      <c r="G90" s="83">
        <v>41.753</v>
      </c>
      <c r="H90" s="83">
        <v>36.424999999999997</v>
      </c>
      <c r="I90" s="83">
        <v>35.171999999999997</v>
      </c>
      <c r="J90" s="83">
        <v>41.902999999999999</v>
      </c>
      <c r="K90" s="83">
        <v>36.655999999999999</v>
      </c>
      <c r="L90" s="83">
        <v>63.685000000000002</v>
      </c>
      <c r="M90" s="83">
        <v>35.158000000000001</v>
      </c>
      <c r="N90" s="83">
        <v>7.8339999999999996</v>
      </c>
      <c r="O90" s="83">
        <v>53.736000000000004</v>
      </c>
      <c r="P90" s="83">
        <v>11.477</v>
      </c>
      <c r="Q90" s="83">
        <v>41.344000000000008</v>
      </c>
      <c r="R90" s="83">
        <v>18.434999999999999</v>
      </c>
      <c r="S90" s="83">
        <v>45.877000000000002</v>
      </c>
      <c r="T90" s="83">
        <v>18.283999999999999</v>
      </c>
      <c r="U90" s="83">
        <v>34.64</v>
      </c>
      <c r="V90" s="83">
        <v>34.594000000000001</v>
      </c>
      <c r="W90" s="83">
        <v>33.937999999999995</v>
      </c>
      <c r="X90" s="83">
        <v>37.940999999999995</v>
      </c>
      <c r="Y90" s="83">
        <v>43.963999999999999</v>
      </c>
      <c r="Z90" s="83">
        <v>20.016000000000002</v>
      </c>
      <c r="AA90" s="83">
        <v>49.454000000000008</v>
      </c>
      <c r="AB90" s="83">
        <v>14.316000000000001</v>
      </c>
      <c r="AC90" s="83">
        <v>34.478999999999999</v>
      </c>
      <c r="AD90" s="83">
        <v>31.776000000000003</v>
      </c>
      <c r="AE90" s="83">
        <v>31.172000000000001</v>
      </c>
      <c r="AF90" s="83">
        <v>43.030999999999999</v>
      </c>
      <c r="AG90" s="83">
        <v>34.061909090909097</v>
      </c>
    </row>
    <row r="91" spans="1:33" x14ac:dyDescent="0.3">
      <c r="A91" s="39" t="s">
        <v>525</v>
      </c>
      <c r="B91" s="139">
        <v>3</v>
      </c>
      <c r="C91" s="83">
        <v>0</v>
      </c>
      <c r="D91" s="83">
        <v>3.2519999999999998</v>
      </c>
      <c r="E91" s="83">
        <v>0</v>
      </c>
      <c r="F91" s="83">
        <v>2.7440000000000002</v>
      </c>
      <c r="G91" s="83">
        <v>0</v>
      </c>
      <c r="H91" s="83">
        <v>0</v>
      </c>
      <c r="I91" s="83">
        <v>0</v>
      </c>
      <c r="J91" s="83">
        <v>0</v>
      </c>
      <c r="K91" s="83">
        <v>0</v>
      </c>
      <c r="L91" s="83">
        <v>0</v>
      </c>
      <c r="M91" s="83">
        <v>2.4289999999999998</v>
      </c>
      <c r="N91" s="83">
        <v>0</v>
      </c>
      <c r="O91" s="83">
        <v>0</v>
      </c>
      <c r="P91" s="83">
        <v>0</v>
      </c>
      <c r="Q91" s="83">
        <v>5.5010000000000003</v>
      </c>
      <c r="R91" s="83">
        <v>2.7480000000000002</v>
      </c>
      <c r="S91" s="83">
        <v>5.8470000000000004</v>
      </c>
      <c r="T91" s="83">
        <v>0</v>
      </c>
      <c r="U91" s="83">
        <v>0</v>
      </c>
      <c r="V91" s="83">
        <v>2.7210000000000001</v>
      </c>
      <c r="W91" s="83">
        <v>6.0139999999999993</v>
      </c>
      <c r="X91" s="83">
        <v>0</v>
      </c>
      <c r="Y91" s="83">
        <v>0.72</v>
      </c>
      <c r="Z91" s="83">
        <v>0</v>
      </c>
      <c r="AA91" s="83">
        <v>2.72</v>
      </c>
      <c r="AB91" s="83">
        <v>0</v>
      </c>
      <c r="AC91" s="83">
        <v>5.29</v>
      </c>
      <c r="AD91" s="83">
        <v>0.23499999999999999</v>
      </c>
      <c r="AE91" s="83">
        <v>5.742</v>
      </c>
      <c r="AF91" s="83">
        <v>0</v>
      </c>
      <c r="AG91" s="83">
        <v>2.1310909090909091</v>
      </c>
    </row>
    <row r="92" spans="1:33" x14ac:dyDescent="0.3">
      <c r="A92" s="39" t="s">
        <v>247</v>
      </c>
      <c r="B92" s="139">
        <v>5</v>
      </c>
      <c r="C92" s="83">
        <v>23.132999999999999</v>
      </c>
      <c r="D92" s="83">
        <v>35.357999999999997</v>
      </c>
      <c r="E92" s="83">
        <v>31.808</v>
      </c>
      <c r="F92" s="83">
        <v>19.542999999999999</v>
      </c>
      <c r="G92" s="83">
        <v>48.875</v>
      </c>
      <c r="H92" s="83">
        <v>27.076999999999998</v>
      </c>
      <c r="I92" s="83">
        <v>25.331000000000003</v>
      </c>
      <c r="J92" s="83">
        <v>27.509</v>
      </c>
      <c r="K92" s="83">
        <v>44.205000000000005</v>
      </c>
      <c r="L92" s="83">
        <v>24.793999999999997</v>
      </c>
      <c r="M92" s="83">
        <v>33.337999999999994</v>
      </c>
      <c r="N92" s="83">
        <v>47.954999999999998</v>
      </c>
      <c r="O92" s="83">
        <v>50.529000000000003</v>
      </c>
      <c r="P92" s="83">
        <v>17.161999999999999</v>
      </c>
      <c r="Q92" s="83">
        <v>54.081999999999994</v>
      </c>
      <c r="R92" s="83">
        <v>25.654</v>
      </c>
      <c r="S92" s="83">
        <v>26.925000000000001</v>
      </c>
      <c r="T92" s="83">
        <v>49.415000000000006</v>
      </c>
      <c r="U92" s="83">
        <v>19.559000000000001</v>
      </c>
      <c r="V92" s="83">
        <v>31.046999999999997</v>
      </c>
      <c r="W92" s="83">
        <v>29.976000000000003</v>
      </c>
      <c r="X92" s="83">
        <v>49.268999999999998</v>
      </c>
      <c r="Y92" s="83">
        <v>27.978000000000002</v>
      </c>
      <c r="Z92" s="83">
        <v>35.073999999999998</v>
      </c>
      <c r="AA92" s="83">
        <v>25.295000000000002</v>
      </c>
      <c r="AB92" s="83">
        <v>15.239000000000001</v>
      </c>
      <c r="AC92" s="83">
        <v>41.280999999999999</v>
      </c>
      <c r="AD92" s="83">
        <v>31.934000000000001</v>
      </c>
      <c r="AE92" s="83">
        <v>30.127000000000002</v>
      </c>
      <c r="AF92" s="83">
        <v>22.869</v>
      </c>
      <c r="AG92" s="83">
        <v>30.917181818181824</v>
      </c>
    </row>
    <row r="93" spans="1:33" x14ac:dyDescent="0.3">
      <c r="A93" s="39" t="s">
        <v>354</v>
      </c>
      <c r="B93" s="139">
        <v>13</v>
      </c>
      <c r="C93" s="83">
        <v>74.234000000000009</v>
      </c>
      <c r="D93" s="83">
        <v>26.997</v>
      </c>
      <c r="E93" s="83">
        <v>80.421999999999997</v>
      </c>
      <c r="F93" s="83">
        <v>122.846</v>
      </c>
      <c r="G93" s="83">
        <v>103.47899999999998</v>
      </c>
      <c r="H93" s="83">
        <v>124.47300000000004</v>
      </c>
      <c r="I93" s="83">
        <v>132.31100000000006</v>
      </c>
      <c r="J93" s="83">
        <v>175.393</v>
      </c>
      <c r="K93" s="83">
        <v>147.99700000000001</v>
      </c>
      <c r="L93" s="83">
        <v>86.578000000000003</v>
      </c>
      <c r="M93" s="83">
        <v>167.99400000000009</v>
      </c>
      <c r="N93" s="83">
        <v>134.92199999999997</v>
      </c>
      <c r="O93" s="83">
        <v>96.53600000000003</v>
      </c>
      <c r="P93" s="83">
        <v>131.077</v>
      </c>
      <c r="Q93" s="83">
        <v>172.34699999999998</v>
      </c>
      <c r="R93" s="83">
        <v>94.644000000000005</v>
      </c>
      <c r="S93" s="83">
        <v>121.81199999999995</v>
      </c>
      <c r="T93" s="83">
        <v>112.74099999999999</v>
      </c>
      <c r="U93" s="83">
        <v>151.90799999999999</v>
      </c>
      <c r="V93" s="83">
        <v>115.49299999999999</v>
      </c>
      <c r="W93" s="83">
        <v>121.70700000000002</v>
      </c>
      <c r="X93" s="83">
        <v>136.34200000000001</v>
      </c>
      <c r="Y93" s="83">
        <v>146.60999999999999</v>
      </c>
      <c r="Z93" s="83">
        <v>129.85900000000001</v>
      </c>
      <c r="AA93" s="83">
        <v>101.90900000000002</v>
      </c>
      <c r="AB93" s="83">
        <v>146.892</v>
      </c>
      <c r="AC93" s="83">
        <v>129.536</v>
      </c>
      <c r="AD93" s="83">
        <v>114.13599999999998</v>
      </c>
      <c r="AE93" s="83">
        <v>133.91199999999998</v>
      </c>
      <c r="AF93" s="83">
        <v>85.302000000000007</v>
      </c>
      <c r="AG93" s="83">
        <v>123.79072727272728</v>
      </c>
    </row>
    <row r="94" spans="1:33" x14ac:dyDescent="0.3">
      <c r="A94" s="39" t="s">
        <v>216</v>
      </c>
      <c r="B94" s="139">
        <v>7</v>
      </c>
      <c r="C94" s="83">
        <v>12.324999999999999</v>
      </c>
      <c r="D94" s="83">
        <v>72.247</v>
      </c>
      <c r="E94" s="83">
        <v>141.99300000000002</v>
      </c>
      <c r="F94" s="83">
        <v>133.959</v>
      </c>
      <c r="G94" s="83">
        <v>172.36700000000002</v>
      </c>
      <c r="H94" s="83">
        <v>182.93399999999997</v>
      </c>
      <c r="I94" s="83">
        <v>169.59599999999998</v>
      </c>
      <c r="J94" s="83">
        <v>148.80599999999998</v>
      </c>
      <c r="K94" s="83">
        <v>184.72800000000001</v>
      </c>
      <c r="L94" s="83">
        <v>209.34400000000005</v>
      </c>
      <c r="M94" s="83">
        <v>176.80899999999997</v>
      </c>
      <c r="N94" s="83">
        <v>171.13800000000003</v>
      </c>
      <c r="O94" s="83">
        <v>143.441</v>
      </c>
      <c r="P94" s="83">
        <v>153.87400000000002</v>
      </c>
      <c r="Q94" s="83">
        <v>167.95499999999998</v>
      </c>
      <c r="R94" s="83">
        <v>155.67900000000003</v>
      </c>
      <c r="S94" s="83">
        <v>146.54900000000001</v>
      </c>
      <c r="T94" s="83">
        <v>123.59100000000001</v>
      </c>
      <c r="U94" s="83">
        <v>139.34300000000002</v>
      </c>
      <c r="V94" s="83">
        <v>123.92299999999999</v>
      </c>
      <c r="W94" s="83">
        <v>142.696</v>
      </c>
      <c r="X94" s="83">
        <v>135.66200000000001</v>
      </c>
      <c r="Y94" s="83">
        <v>119.857</v>
      </c>
      <c r="Z94" s="83">
        <v>109.92800000000003</v>
      </c>
      <c r="AA94" s="83">
        <v>106.015</v>
      </c>
      <c r="AB94" s="83">
        <v>125.199</v>
      </c>
      <c r="AC94" s="83">
        <v>125.486</v>
      </c>
      <c r="AD94" s="83">
        <v>137.761</v>
      </c>
      <c r="AE94" s="83">
        <v>116.849</v>
      </c>
      <c r="AF94" s="83">
        <v>122.85000000000001</v>
      </c>
      <c r="AG94" s="83">
        <v>124.2023636363636</v>
      </c>
    </row>
    <row r="95" spans="1:33" x14ac:dyDescent="0.3">
      <c r="A95" s="39" t="s">
        <v>404</v>
      </c>
      <c r="B95" s="139">
        <v>1</v>
      </c>
      <c r="C95" s="83">
        <v>0</v>
      </c>
      <c r="D95" s="83">
        <v>0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3">
        <v>0</v>
      </c>
      <c r="L95" s="83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3">
        <v>0</v>
      </c>
      <c r="V95" s="83">
        <v>0</v>
      </c>
      <c r="W95" s="83">
        <v>0</v>
      </c>
      <c r="X95" s="83">
        <v>0</v>
      </c>
      <c r="Y95" s="83">
        <v>0</v>
      </c>
      <c r="Z95" s="83">
        <v>0</v>
      </c>
      <c r="AA95" s="83">
        <v>0</v>
      </c>
      <c r="AB95" s="83">
        <v>0</v>
      </c>
      <c r="AC95" s="83">
        <v>0</v>
      </c>
      <c r="AD95" s="83">
        <v>0</v>
      </c>
      <c r="AE95" s="83">
        <v>0</v>
      </c>
      <c r="AF95" s="83">
        <v>0</v>
      </c>
      <c r="AG95" s="83">
        <v>0</v>
      </c>
    </row>
    <row r="96" spans="1:33" x14ac:dyDescent="0.3">
      <c r="A96" s="39" t="s">
        <v>477</v>
      </c>
      <c r="B96" s="139">
        <v>1</v>
      </c>
      <c r="C96" s="83">
        <v>0</v>
      </c>
      <c r="D96" s="83">
        <v>0</v>
      </c>
      <c r="E96" s="83">
        <v>0</v>
      </c>
      <c r="F96" s="83">
        <v>0</v>
      </c>
      <c r="G96" s="83">
        <v>0</v>
      </c>
      <c r="H96" s="83">
        <v>0</v>
      </c>
      <c r="I96" s="83">
        <v>0</v>
      </c>
      <c r="J96" s="83">
        <v>0</v>
      </c>
      <c r="K96" s="83">
        <v>0</v>
      </c>
      <c r="L96" s="83">
        <v>0</v>
      </c>
      <c r="M96" s="83">
        <v>0</v>
      </c>
      <c r="N96" s="83">
        <v>0</v>
      </c>
      <c r="O96" s="83">
        <v>0</v>
      </c>
      <c r="P96" s="83">
        <v>0</v>
      </c>
      <c r="Q96" s="83">
        <v>0</v>
      </c>
      <c r="R96" s="83">
        <v>0</v>
      </c>
      <c r="S96" s="83">
        <v>0</v>
      </c>
      <c r="T96" s="83">
        <v>0</v>
      </c>
      <c r="U96" s="83">
        <v>0</v>
      </c>
      <c r="V96" s="83">
        <v>0</v>
      </c>
      <c r="W96" s="83">
        <v>0</v>
      </c>
      <c r="X96" s="83">
        <v>0</v>
      </c>
      <c r="Y96" s="83">
        <v>0</v>
      </c>
      <c r="Z96" s="83">
        <v>0</v>
      </c>
      <c r="AA96" s="83">
        <v>0</v>
      </c>
      <c r="AB96" s="83">
        <v>0</v>
      </c>
      <c r="AC96" s="83">
        <v>0</v>
      </c>
      <c r="AD96" s="83">
        <v>0</v>
      </c>
      <c r="AE96" s="83">
        <v>0</v>
      </c>
      <c r="AF96" s="83">
        <v>0</v>
      </c>
      <c r="AG96" s="83">
        <v>0</v>
      </c>
    </row>
    <row r="97" spans="1:33" x14ac:dyDescent="0.3">
      <c r="A97" s="39" t="s">
        <v>500</v>
      </c>
      <c r="B97" s="139">
        <v>1</v>
      </c>
      <c r="C97" s="83">
        <v>0</v>
      </c>
      <c r="D97" s="83">
        <v>0</v>
      </c>
      <c r="E97" s="83">
        <v>0</v>
      </c>
      <c r="F97" s="83">
        <v>0</v>
      </c>
      <c r="G97" s="83">
        <v>0</v>
      </c>
      <c r="H97" s="83">
        <v>0</v>
      </c>
      <c r="I97" s="83">
        <v>0</v>
      </c>
      <c r="J97" s="83">
        <v>0</v>
      </c>
      <c r="K97" s="83">
        <v>0</v>
      </c>
      <c r="L97" s="83">
        <v>0</v>
      </c>
      <c r="M97" s="83">
        <v>0</v>
      </c>
      <c r="N97" s="83">
        <v>0</v>
      </c>
      <c r="O97" s="83">
        <v>0</v>
      </c>
      <c r="P97" s="83">
        <v>0</v>
      </c>
      <c r="Q97" s="83">
        <v>0</v>
      </c>
      <c r="R97" s="83">
        <v>0</v>
      </c>
      <c r="S97" s="83">
        <v>0</v>
      </c>
      <c r="T97" s="83">
        <v>11.192</v>
      </c>
      <c r="U97" s="83">
        <v>0</v>
      </c>
      <c r="V97" s="83">
        <v>0</v>
      </c>
      <c r="W97" s="83">
        <v>0</v>
      </c>
      <c r="X97" s="83">
        <v>6.7830000000000004</v>
      </c>
      <c r="Y97" s="83">
        <v>0</v>
      </c>
      <c r="Z97" s="83">
        <v>0</v>
      </c>
      <c r="AA97" s="83">
        <v>0</v>
      </c>
      <c r="AB97" s="83">
        <v>0</v>
      </c>
      <c r="AC97" s="83">
        <v>0</v>
      </c>
      <c r="AD97" s="83">
        <v>0</v>
      </c>
      <c r="AE97" s="83">
        <v>0</v>
      </c>
      <c r="AF97" s="83">
        <v>0</v>
      </c>
      <c r="AG97" s="83">
        <v>0.61663636363636365</v>
      </c>
    </row>
    <row r="98" spans="1:33" x14ac:dyDescent="0.3">
      <c r="A98" s="39" t="s">
        <v>501</v>
      </c>
      <c r="B98" s="139">
        <v>1</v>
      </c>
      <c r="C98" s="83">
        <v>0</v>
      </c>
      <c r="D98" s="83">
        <v>0</v>
      </c>
      <c r="E98" s="83">
        <v>0</v>
      </c>
      <c r="F98" s="83">
        <v>0</v>
      </c>
      <c r="G98" s="83">
        <v>0</v>
      </c>
      <c r="H98" s="83">
        <v>0</v>
      </c>
      <c r="I98" s="83">
        <v>0</v>
      </c>
      <c r="J98" s="83">
        <v>0</v>
      </c>
      <c r="K98" s="83">
        <v>0</v>
      </c>
      <c r="L98" s="83">
        <v>0</v>
      </c>
      <c r="M98" s="83">
        <v>0</v>
      </c>
      <c r="N98" s="83">
        <v>0</v>
      </c>
      <c r="O98" s="83">
        <v>0</v>
      </c>
      <c r="P98" s="83">
        <v>0</v>
      </c>
      <c r="Q98" s="83">
        <v>0</v>
      </c>
      <c r="R98" s="83">
        <v>0</v>
      </c>
      <c r="S98" s="83">
        <v>0</v>
      </c>
      <c r="T98" s="83">
        <v>0</v>
      </c>
      <c r="U98" s="83">
        <v>0</v>
      </c>
      <c r="V98" s="83">
        <v>0</v>
      </c>
      <c r="W98" s="83">
        <v>0</v>
      </c>
      <c r="X98" s="83">
        <v>0</v>
      </c>
      <c r="Y98" s="83">
        <v>0</v>
      </c>
      <c r="Z98" s="83">
        <v>0</v>
      </c>
      <c r="AA98" s="83">
        <v>0</v>
      </c>
      <c r="AB98" s="83">
        <v>0</v>
      </c>
      <c r="AC98" s="83">
        <v>0</v>
      </c>
      <c r="AD98" s="83">
        <v>0</v>
      </c>
      <c r="AE98" s="83">
        <v>0</v>
      </c>
      <c r="AF98" s="83">
        <v>0</v>
      </c>
      <c r="AG98" s="83">
        <v>0</v>
      </c>
    </row>
    <row r="99" spans="1:33" x14ac:dyDescent="0.3">
      <c r="A99" s="39" t="s">
        <v>534</v>
      </c>
      <c r="B99" s="139">
        <v>1</v>
      </c>
      <c r="C99" s="83">
        <v>0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83">
        <v>0</v>
      </c>
      <c r="P99" s="83">
        <v>0</v>
      </c>
      <c r="Q99" s="83">
        <v>0</v>
      </c>
      <c r="R99" s="83">
        <v>0</v>
      </c>
      <c r="S99" s="83">
        <v>0</v>
      </c>
      <c r="T99" s="83">
        <v>0</v>
      </c>
      <c r="U99" s="83">
        <v>0</v>
      </c>
      <c r="V99" s="83">
        <v>0</v>
      </c>
      <c r="W99" s="83">
        <v>0</v>
      </c>
      <c r="X99" s="83">
        <v>0</v>
      </c>
      <c r="Y99" s="83">
        <v>0</v>
      </c>
      <c r="Z99" s="83">
        <v>0</v>
      </c>
      <c r="AA99" s="83">
        <v>0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</row>
    <row r="100" spans="1:33" x14ac:dyDescent="0.3">
      <c r="A100" s="39" t="s">
        <v>323</v>
      </c>
      <c r="B100" s="139">
        <v>6</v>
      </c>
      <c r="C100" s="83">
        <v>39.880000000000003</v>
      </c>
      <c r="D100" s="83">
        <v>71.146999999999991</v>
      </c>
      <c r="E100" s="83">
        <v>84.647999999999996</v>
      </c>
      <c r="F100" s="83">
        <v>72.316000000000003</v>
      </c>
      <c r="G100" s="83">
        <v>74.519000000000005</v>
      </c>
      <c r="H100" s="83">
        <v>82.112999999999985</v>
      </c>
      <c r="I100" s="83">
        <v>79.920999999999992</v>
      </c>
      <c r="J100" s="83">
        <v>81.076999999999998</v>
      </c>
      <c r="K100" s="83">
        <v>70.02</v>
      </c>
      <c r="L100" s="83">
        <v>59.549000000000007</v>
      </c>
      <c r="M100" s="83">
        <v>45.142999999999994</v>
      </c>
      <c r="N100" s="83">
        <v>98.867000000000019</v>
      </c>
      <c r="O100" s="83">
        <v>81.490000000000009</v>
      </c>
      <c r="P100" s="83">
        <v>75.355999999999995</v>
      </c>
      <c r="Q100" s="83">
        <v>59.160999999999994</v>
      </c>
      <c r="R100" s="83">
        <v>101.85600000000001</v>
      </c>
      <c r="S100" s="83">
        <v>75.709000000000003</v>
      </c>
      <c r="T100" s="83">
        <v>82.629000000000005</v>
      </c>
      <c r="U100" s="83">
        <v>83.471999999999994</v>
      </c>
      <c r="V100" s="83">
        <v>101.88300000000001</v>
      </c>
      <c r="W100" s="83">
        <v>69.203999999999994</v>
      </c>
      <c r="X100" s="83">
        <v>60.449999999999996</v>
      </c>
      <c r="Y100" s="83">
        <v>81.136999999999986</v>
      </c>
      <c r="Z100" s="83">
        <v>114.096</v>
      </c>
      <c r="AA100" s="83">
        <v>45.748999999999995</v>
      </c>
      <c r="AB100" s="83">
        <v>112.40199999999997</v>
      </c>
      <c r="AC100" s="83">
        <v>76.783000000000001</v>
      </c>
      <c r="AD100" s="83">
        <v>110.15999999999998</v>
      </c>
      <c r="AE100" s="83">
        <v>78.199000000000012</v>
      </c>
      <c r="AF100" s="83">
        <v>102.152</v>
      </c>
      <c r="AG100" s="83">
        <v>86.564999999999998</v>
      </c>
    </row>
    <row r="101" spans="1:33" x14ac:dyDescent="0.3">
      <c r="A101" s="39" t="s">
        <v>405</v>
      </c>
      <c r="B101" s="139">
        <v>15</v>
      </c>
      <c r="C101" s="83">
        <v>38.626000000000005</v>
      </c>
      <c r="D101" s="83">
        <v>48.071999999999996</v>
      </c>
      <c r="E101" s="83">
        <v>61.023000000000003</v>
      </c>
      <c r="F101" s="83">
        <v>47.850999999999999</v>
      </c>
      <c r="G101" s="83">
        <v>49.228000000000002</v>
      </c>
      <c r="H101" s="83">
        <v>56.357999999999997</v>
      </c>
      <c r="I101" s="83">
        <v>46.908000000000001</v>
      </c>
      <c r="J101" s="83">
        <v>45.295000000000002</v>
      </c>
      <c r="K101" s="83">
        <v>57.080999999999996</v>
      </c>
      <c r="L101" s="83">
        <v>49.733999999999995</v>
      </c>
      <c r="M101" s="83">
        <v>71.516000000000005</v>
      </c>
      <c r="N101" s="83">
        <v>62.125</v>
      </c>
      <c r="O101" s="83">
        <v>60.42499999999999</v>
      </c>
      <c r="P101" s="83">
        <v>79.338999999999999</v>
      </c>
      <c r="Q101" s="83">
        <v>71.98599999999999</v>
      </c>
      <c r="R101" s="83">
        <v>72.86</v>
      </c>
      <c r="S101" s="83">
        <v>61.669000000000004</v>
      </c>
      <c r="T101" s="83">
        <v>67.878</v>
      </c>
      <c r="U101" s="83">
        <v>64.108000000000004</v>
      </c>
      <c r="V101" s="83">
        <v>57.652000000000015</v>
      </c>
      <c r="W101" s="83">
        <v>60.610999999999997</v>
      </c>
      <c r="X101" s="83">
        <v>59.42</v>
      </c>
      <c r="Y101" s="83">
        <v>63.112000000000009</v>
      </c>
      <c r="Z101" s="83">
        <v>63.64</v>
      </c>
      <c r="AA101" s="83">
        <v>77.870999999999995</v>
      </c>
      <c r="AB101" s="83">
        <v>54.79</v>
      </c>
      <c r="AC101" s="83">
        <v>45.763999999999996</v>
      </c>
      <c r="AD101" s="83">
        <v>63.294999999999995</v>
      </c>
      <c r="AE101" s="83">
        <v>43.617999999999995</v>
      </c>
      <c r="AF101" s="83">
        <v>59.287999999999997</v>
      </c>
      <c r="AG101" s="83">
        <v>59.005545454545448</v>
      </c>
    </row>
    <row r="102" spans="1:33" x14ac:dyDescent="0.3">
      <c r="A102" s="39" t="s">
        <v>260</v>
      </c>
      <c r="B102" s="139">
        <v>10</v>
      </c>
      <c r="C102" s="83">
        <v>63.999000000000002</v>
      </c>
      <c r="D102" s="83">
        <v>89.590000000000018</v>
      </c>
      <c r="E102" s="83">
        <v>113.85</v>
      </c>
      <c r="F102" s="83">
        <v>107.36399999999999</v>
      </c>
      <c r="G102" s="83">
        <v>181.01000000000002</v>
      </c>
      <c r="H102" s="83">
        <v>241.57500000000002</v>
      </c>
      <c r="I102" s="83">
        <v>212.04600000000005</v>
      </c>
      <c r="J102" s="83">
        <v>221.274</v>
      </c>
      <c r="K102" s="83">
        <v>117.84600000000002</v>
      </c>
      <c r="L102" s="83">
        <v>241.18400000000005</v>
      </c>
      <c r="M102" s="83">
        <v>156.21600000000001</v>
      </c>
      <c r="N102" s="83">
        <v>154.018</v>
      </c>
      <c r="O102" s="83">
        <v>164.26799999999997</v>
      </c>
      <c r="P102" s="83">
        <v>201.48200000000003</v>
      </c>
      <c r="Q102" s="83">
        <v>160.35599999999999</v>
      </c>
      <c r="R102" s="83">
        <v>113.297</v>
      </c>
      <c r="S102" s="83">
        <v>182.821</v>
      </c>
      <c r="T102" s="83">
        <v>138.76800000000003</v>
      </c>
      <c r="U102" s="83">
        <v>176.53200000000001</v>
      </c>
      <c r="V102" s="83">
        <v>179.87</v>
      </c>
      <c r="W102" s="83">
        <v>195.41100000000006</v>
      </c>
      <c r="X102" s="83">
        <v>170.06599999999997</v>
      </c>
      <c r="Y102" s="83">
        <v>187.47399999999999</v>
      </c>
      <c r="Z102" s="83">
        <v>137.46699999999998</v>
      </c>
      <c r="AA102" s="83">
        <v>218.00900000000004</v>
      </c>
      <c r="AB102" s="83">
        <v>131.56799999999996</v>
      </c>
      <c r="AC102" s="83">
        <v>171.95399999999998</v>
      </c>
      <c r="AD102" s="83">
        <v>193.63</v>
      </c>
      <c r="AE102" s="83">
        <v>172.16900000000004</v>
      </c>
      <c r="AF102" s="83">
        <v>148.64500000000001</v>
      </c>
      <c r="AG102" s="83">
        <v>173.29663636363637</v>
      </c>
    </row>
    <row r="103" spans="1:33" x14ac:dyDescent="0.3">
      <c r="A103" s="39" t="s">
        <v>475</v>
      </c>
      <c r="B103" s="139">
        <v>8</v>
      </c>
      <c r="C103" s="83">
        <v>145.44899999999998</v>
      </c>
      <c r="D103" s="83">
        <v>52.97399999999999</v>
      </c>
      <c r="E103" s="83">
        <v>72.813000000000002</v>
      </c>
      <c r="F103" s="83">
        <v>77.025999999999996</v>
      </c>
      <c r="G103" s="83">
        <v>181.67499999999998</v>
      </c>
      <c r="H103" s="83">
        <v>84.408999999999992</v>
      </c>
      <c r="I103" s="83">
        <v>6.7429999999999994</v>
      </c>
      <c r="J103" s="83">
        <v>190.13600000000002</v>
      </c>
      <c r="K103" s="83">
        <v>89.558999999999997</v>
      </c>
      <c r="L103" s="83">
        <v>111.83500000000001</v>
      </c>
      <c r="M103" s="83">
        <v>50.564999999999998</v>
      </c>
      <c r="N103" s="83">
        <v>164.48200000000003</v>
      </c>
      <c r="O103" s="83">
        <v>115.42699999999999</v>
      </c>
      <c r="P103" s="83">
        <v>190.20100000000002</v>
      </c>
      <c r="Q103" s="83">
        <v>133.94299999999998</v>
      </c>
      <c r="R103" s="83">
        <v>154.315</v>
      </c>
      <c r="S103" s="83">
        <v>95.827999999999989</v>
      </c>
      <c r="T103" s="83">
        <v>93.132000000000005</v>
      </c>
      <c r="U103" s="83">
        <v>200.66800000000001</v>
      </c>
      <c r="V103" s="83">
        <v>66.266999999999996</v>
      </c>
      <c r="W103" s="83">
        <v>145.81100000000001</v>
      </c>
      <c r="X103" s="83">
        <v>82.96</v>
      </c>
      <c r="Y103" s="83">
        <v>91.606999999999999</v>
      </c>
      <c r="Z103" s="83">
        <v>95.835999999999999</v>
      </c>
      <c r="AA103" s="83">
        <v>102.73599999999999</v>
      </c>
      <c r="AB103" s="83">
        <v>90.203000000000003</v>
      </c>
      <c r="AC103" s="83">
        <v>191.80099999999999</v>
      </c>
      <c r="AD103" s="83">
        <v>155.38799999999998</v>
      </c>
      <c r="AE103" s="83">
        <v>100.36999999999999</v>
      </c>
      <c r="AF103" s="83">
        <v>89.463999999999999</v>
      </c>
      <c r="AG103" s="83">
        <v>110.22209090909088</v>
      </c>
    </row>
    <row r="104" spans="1:33" x14ac:dyDescent="0.3">
      <c r="A104" s="39" t="s">
        <v>440</v>
      </c>
      <c r="B104" s="139">
        <v>2</v>
      </c>
      <c r="C104" s="83">
        <v>102.98</v>
      </c>
      <c r="D104" s="83">
        <v>33.747</v>
      </c>
      <c r="E104" s="83">
        <v>24.268000000000001</v>
      </c>
      <c r="F104" s="83">
        <v>82.448000000000008</v>
      </c>
      <c r="G104" s="83">
        <v>171.77299999999997</v>
      </c>
      <c r="H104" s="83">
        <v>186.94900000000001</v>
      </c>
      <c r="I104" s="83">
        <v>135.12200000000001</v>
      </c>
      <c r="J104" s="83">
        <v>119.55800000000002</v>
      </c>
      <c r="K104" s="83">
        <v>86.26</v>
      </c>
      <c r="L104" s="83">
        <v>28.473999999999997</v>
      </c>
      <c r="M104" s="83">
        <v>110.10899999999998</v>
      </c>
      <c r="N104" s="83">
        <v>229.41700000000003</v>
      </c>
      <c r="O104" s="83">
        <v>276.13399999999996</v>
      </c>
      <c r="P104" s="83">
        <v>326.63700000000006</v>
      </c>
      <c r="Q104" s="83">
        <v>228.97399999999999</v>
      </c>
      <c r="R104" s="83">
        <v>159.87400000000002</v>
      </c>
      <c r="S104" s="83">
        <v>39.608999999999995</v>
      </c>
      <c r="T104" s="83">
        <v>143.10999999999999</v>
      </c>
      <c r="U104" s="83">
        <v>261.13099999999997</v>
      </c>
      <c r="V104" s="83">
        <v>319.22199999999998</v>
      </c>
      <c r="W104" s="83">
        <v>298.15899999999993</v>
      </c>
      <c r="X104" s="83">
        <v>295.57900000000001</v>
      </c>
      <c r="Y104" s="83">
        <v>129.16399999999999</v>
      </c>
      <c r="Z104" s="83">
        <v>42.048000000000002</v>
      </c>
      <c r="AA104" s="83">
        <v>184.07199999999997</v>
      </c>
      <c r="AB104" s="83">
        <v>259.46199999999999</v>
      </c>
      <c r="AC104" s="83">
        <v>350.95499999999998</v>
      </c>
      <c r="AD104" s="83">
        <v>325.34300000000007</v>
      </c>
      <c r="AE104" s="83">
        <v>268.10899999999998</v>
      </c>
      <c r="AF104" s="83">
        <v>251.50899999999996</v>
      </c>
      <c r="AG104" s="83">
        <v>247.60199999999998</v>
      </c>
    </row>
    <row r="105" spans="1:33" x14ac:dyDescent="0.3">
      <c r="A105" s="39" t="s">
        <v>484</v>
      </c>
      <c r="B105" s="139">
        <v>1</v>
      </c>
      <c r="C105" s="83">
        <v>0</v>
      </c>
      <c r="D105" s="83">
        <v>0</v>
      </c>
      <c r="E105" s="83">
        <v>0</v>
      </c>
      <c r="F105" s="83">
        <v>5.1350000000000007</v>
      </c>
      <c r="G105" s="83">
        <v>0</v>
      </c>
      <c r="H105" s="83">
        <v>0</v>
      </c>
      <c r="I105" s="83">
        <v>0</v>
      </c>
      <c r="J105" s="83">
        <v>0</v>
      </c>
      <c r="K105" s="83">
        <v>0</v>
      </c>
      <c r="L105" s="83">
        <v>0</v>
      </c>
      <c r="M105" s="83">
        <v>0</v>
      </c>
      <c r="N105" s="83">
        <v>0</v>
      </c>
      <c r="O105" s="83">
        <v>0</v>
      </c>
      <c r="P105" s="83">
        <v>2.3650000000000002</v>
      </c>
      <c r="Q105" s="83">
        <v>2.11</v>
      </c>
      <c r="R105" s="83">
        <v>0</v>
      </c>
      <c r="S105" s="83">
        <v>0</v>
      </c>
      <c r="T105" s="83">
        <v>3.0819999999999999</v>
      </c>
      <c r="U105" s="83">
        <v>2.4859999999999998</v>
      </c>
      <c r="V105" s="83">
        <v>8.0000000000000002E-3</v>
      </c>
      <c r="W105" s="83">
        <v>0</v>
      </c>
      <c r="X105" s="83">
        <v>0</v>
      </c>
      <c r="Y105" s="83">
        <v>0</v>
      </c>
      <c r="Z105" s="83">
        <v>0</v>
      </c>
      <c r="AA105" s="83">
        <v>0</v>
      </c>
      <c r="AB105" s="83">
        <v>0</v>
      </c>
      <c r="AC105" s="83">
        <v>3.0310000000000001</v>
      </c>
      <c r="AD105" s="83">
        <v>0</v>
      </c>
      <c r="AE105" s="83">
        <v>0</v>
      </c>
      <c r="AF105" s="83">
        <v>0</v>
      </c>
      <c r="AG105" s="83">
        <v>0.27627272727272728</v>
      </c>
    </row>
    <row r="106" spans="1:33" x14ac:dyDescent="0.3">
      <c r="A106" s="39" t="s">
        <v>110</v>
      </c>
      <c r="B106" s="139">
        <v>1</v>
      </c>
      <c r="C106" s="83">
        <v>0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</row>
    <row r="107" spans="1:33" x14ac:dyDescent="0.3">
      <c r="A107" s="71" t="s">
        <v>555</v>
      </c>
      <c r="B107" s="139">
        <v>15</v>
      </c>
      <c r="C107" s="83"/>
      <c r="D107" s="83"/>
      <c r="E107" s="83"/>
      <c r="F107" s="83"/>
      <c r="G107" s="83"/>
      <c r="H107" s="83"/>
      <c r="I107" s="83"/>
      <c r="J107" s="83"/>
      <c r="K107" s="83"/>
      <c r="L107" s="83">
        <v>0</v>
      </c>
      <c r="M107" s="83">
        <v>0</v>
      </c>
      <c r="N107" s="83">
        <v>0</v>
      </c>
      <c r="O107" s="83">
        <v>0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83">
        <v>0</v>
      </c>
      <c r="V107" s="83">
        <v>0</v>
      </c>
      <c r="W107" s="83">
        <v>0</v>
      </c>
      <c r="X107" s="83">
        <v>0</v>
      </c>
      <c r="Y107" s="83">
        <v>0</v>
      </c>
      <c r="Z107" s="83">
        <v>0</v>
      </c>
      <c r="AA107" s="83">
        <v>0</v>
      </c>
      <c r="AB107" s="83">
        <v>0</v>
      </c>
      <c r="AC107" s="83">
        <v>0</v>
      </c>
      <c r="AD107" s="83">
        <v>0</v>
      </c>
      <c r="AE107" s="83">
        <v>0</v>
      </c>
      <c r="AF107" s="83">
        <v>0</v>
      </c>
      <c r="AG107" s="83">
        <v>0</v>
      </c>
    </row>
    <row r="108" spans="1:33" x14ac:dyDescent="0.3">
      <c r="A108" s="95" t="s">
        <v>561</v>
      </c>
      <c r="B108" s="139">
        <v>1</v>
      </c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>
        <v>3.9950000000000001</v>
      </c>
      <c r="O108" s="83">
        <v>0</v>
      </c>
      <c r="P108" s="83">
        <v>0</v>
      </c>
      <c r="Q108" s="83">
        <v>20.852</v>
      </c>
      <c r="R108" s="83">
        <v>0</v>
      </c>
      <c r="S108" s="83">
        <v>0</v>
      </c>
      <c r="T108" s="83">
        <v>0</v>
      </c>
      <c r="U108" s="83">
        <v>21.391999999999999</v>
      </c>
      <c r="V108" s="83">
        <v>18.068999999999999</v>
      </c>
      <c r="W108" s="83">
        <v>41.508000000000003</v>
      </c>
      <c r="X108" s="83">
        <v>20.766999999999999</v>
      </c>
      <c r="Y108" s="83">
        <v>15.659000000000001</v>
      </c>
      <c r="Z108" s="83">
        <v>0</v>
      </c>
      <c r="AA108" s="83">
        <v>0</v>
      </c>
      <c r="AB108" s="83">
        <v>19.977</v>
      </c>
      <c r="AC108" s="83">
        <v>18.694000000000003</v>
      </c>
      <c r="AD108" s="83">
        <v>0</v>
      </c>
      <c r="AE108" s="83">
        <v>29.734999999999999</v>
      </c>
      <c r="AF108" s="83">
        <v>27.416000000000004</v>
      </c>
      <c r="AG108" s="83">
        <v>17.438636363636363</v>
      </c>
    </row>
    <row r="109" spans="1:33" x14ac:dyDescent="0.3">
      <c r="A109" s="95" t="s">
        <v>557</v>
      </c>
      <c r="B109" s="139">
        <v>16</v>
      </c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>
        <v>13.891999999999996</v>
      </c>
      <c r="O109" s="83">
        <v>36.472000000000008</v>
      </c>
      <c r="P109" s="83">
        <v>42.825000000000003</v>
      </c>
      <c r="Q109" s="83">
        <v>66.445000000000007</v>
      </c>
      <c r="R109" s="83">
        <v>82.384000000000015</v>
      </c>
      <c r="S109" s="83">
        <v>68.965000000000003</v>
      </c>
      <c r="T109" s="83">
        <v>73.553000000000011</v>
      </c>
      <c r="U109" s="83">
        <v>79.192999999999984</v>
      </c>
      <c r="V109" s="83">
        <v>85.814999999999998</v>
      </c>
      <c r="W109" s="83">
        <v>80.920999999999978</v>
      </c>
      <c r="X109" s="83">
        <v>91.260999999999981</v>
      </c>
      <c r="Y109" s="83">
        <v>122.95999999999998</v>
      </c>
      <c r="Z109" s="83">
        <v>95.557999999999979</v>
      </c>
      <c r="AA109" s="83">
        <v>115.43499999999999</v>
      </c>
      <c r="AB109" s="83">
        <v>93.900999999999982</v>
      </c>
      <c r="AC109" s="83">
        <v>89.27000000000001</v>
      </c>
      <c r="AD109" s="83">
        <v>100.99299999999999</v>
      </c>
      <c r="AE109" s="83">
        <v>101.20000000000002</v>
      </c>
      <c r="AF109" s="83">
        <v>120.992</v>
      </c>
      <c r="AG109" s="83">
        <v>99.846000000000004</v>
      </c>
    </row>
    <row r="110" spans="1:33" x14ac:dyDescent="0.3">
      <c r="A110" s="95" t="s">
        <v>564</v>
      </c>
      <c r="B110" s="139">
        <v>1</v>
      </c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Z110" s="83">
        <v>0</v>
      </c>
      <c r="AA110" s="83">
        <v>0</v>
      </c>
      <c r="AB110" s="83">
        <v>0</v>
      </c>
      <c r="AC110" s="83">
        <v>0</v>
      </c>
      <c r="AD110" s="83">
        <v>0</v>
      </c>
      <c r="AE110" s="83">
        <v>0</v>
      </c>
      <c r="AF110" s="83">
        <v>0</v>
      </c>
      <c r="AG110" s="83">
        <v>0</v>
      </c>
    </row>
    <row r="111" spans="1:33" x14ac:dyDescent="0.3">
      <c r="A111" s="95" t="s">
        <v>568</v>
      </c>
      <c r="B111" s="139">
        <v>14</v>
      </c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>
        <v>0</v>
      </c>
      <c r="R111" s="83">
        <v>0</v>
      </c>
      <c r="S111" s="83">
        <v>0</v>
      </c>
      <c r="T111" s="83">
        <v>0.14099999999999999</v>
      </c>
      <c r="U111" s="83">
        <v>1.0310000000000001</v>
      </c>
      <c r="V111" s="83">
        <v>0</v>
      </c>
      <c r="W111" s="83">
        <v>0</v>
      </c>
      <c r="X111" s="83">
        <v>0</v>
      </c>
      <c r="Y111" s="83">
        <v>0</v>
      </c>
      <c r="Z111" s="83">
        <v>0</v>
      </c>
      <c r="AA111" s="83">
        <v>0</v>
      </c>
      <c r="AB111" s="83">
        <v>0</v>
      </c>
      <c r="AC111" s="83">
        <v>0</v>
      </c>
      <c r="AD111" s="83">
        <v>0</v>
      </c>
      <c r="AE111" s="83">
        <v>0</v>
      </c>
      <c r="AF111" s="83">
        <v>0</v>
      </c>
      <c r="AG111" s="83">
        <v>0</v>
      </c>
    </row>
    <row r="112" spans="1:33" x14ac:dyDescent="0.3">
      <c r="A112" s="95" t="s">
        <v>570</v>
      </c>
      <c r="B112" s="139">
        <v>7</v>
      </c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Z112" s="83">
        <v>0</v>
      </c>
      <c r="AA112" s="83">
        <v>0</v>
      </c>
      <c r="AB112" s="83">
        <v>0</v>
      </c>
      <c r="AC112" s="83">
        <v>0</v>
      </c>
      <c r="AD112" s="83">
        <v>0</v>
      </c>
      <c r="AE112" s="83">
        <v>0</v>
      </c>
      <c r="AF112" s="83">
        <v>0</v>
      </c>
      <c r="AG112" s="83">
        <v>0</v>
      </c>
    </row>
    <row r="113" spans="1:33" x14ac:dyDescent="0.3">
      <c r="A113" s="95" t="s">
        <v>571</v>
      </c>
      <c r="B113" s="139">
        <v>12</v>
      </c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Z113" s="83">
        <v>0</v>
      </c>
      <c r="AA113" s="83">
        <v>0</v>
      </c>
      <c r="AB113" s="83">
        <v>0</v>
      </c>
      <c r="AC113" s="83">
        <v>0</v>
      </c>
      <c r="AD113" s="83">
        <v>0</v>
      </c>
      <c r="AE113" s="83">
        <v>0</v>
      </c>
      <c r="AF113" s="83">
        <v>0</v>
      </c>
      <c r="AG113" s="83">
        <v>0</v>
      </c>
    </row>
    <row r="114" spans="1:33" x14ac:dyDescent="0.3">
      <c r="A114" s="95" t="s">
        <v>574</v>
      </c>
      <c r="B114" s="139">
        <v>5</v>
      </c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>
        <v>11.861000000000001</v>
      </c>
      <c r="S114" s="83">
        <v>23.612000000000002</v>
      </c>
      <c r="T114" s="83">
        <v>12.009999999999998</v>
      </c>
      <c r="U114" s="83">
        <v>27.911999999999999</v>
      </c>
      <c r="V114" s="83">
        <v>33.65</v>
      </c>
      <c r="W114" s="83">
        <v>25.435000000000002</v>
      </c>
      <c r="X114" s="83">
        <v>29.085000000000001</v>
      </c>
      <c r="Y114" s="83">
        <v>30.632000000000005</v>
      </c>
      <c r="Z114" s="83">
        <v>15.611000000000001</v>
      </c>
      <c r="AA114" s="83">
        <v>38.254000000000005</v>
      </c>
      <c r="AB114" s="83">
        <v>23.404</v>
      </c>
      <c r="AC114" s="83">
        <v>46.122999999999998</v>
      </c>
      <c r="AD114" s="83">
        <v>18.465999999999998</v>
      </c>
      <c r="AE114" s="83">
        <v>44.857999999999997</v>
      </c>
      <c r="AF114" s="83">
        <v>22.634999999999998</v>
      </c>
      <c r="AG114" s="83">
        <v>29.832090909090912</v>
      </c>
    </row>
    <row r="115" spans="1:33" x14ac:dyDescent="0.3">
      <c r="A115" s="95" t="s">
        <v>577</v>
      </c>
      <c r="B115" s="139">
        <v>1</v>
      </c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>
        <v>0.13300000000000001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Z115" s="83">
        <v>0</v>
      </c>
      <c r="AA115" s="83">
        <v>0</v>
      </c>
      <c r="AB115" s="83">
        <v>0</v>
      </c>
      <c r="AC115" s="83">
        <v>0</v>
      </c>
      <c r="AD115" s="83">
        <v>0</v>
      </c>
      <c r="AE115" s="83">
        <v>0</v>
      </c>
      <c r="AF115" s="83">
        <v>0</v>
      </c>
      <c r="AG115" s="83">
        <v>0</v>
      </c>
    </row>
    <row r="116" spans="1:33" x14ac:dyDescent="0.3">
      <c r="A116" s="95" t="s">
        <v>575</v>
      </c>
      <c r="B116" s="139">
        <v>1</v>
      </c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>
        <v>2.87</v>
      </c>
      <c r="S116" s="83">
        <v>0</v>
      </c>
      <c r="T116" s="83">
        <v>0</v>
      </c>
      <c r="U116" s="83">
        <v>0</v>
      </c>
      <c r="V116" s="83">
        <v>0</v>
      </c>
      <c r="W116" s="83">
        <v>0</v>
      </c>
      <c r="X116" s="83">
        <v>0</v>
      </c>
      <c r="Y116" s="83">
        <v>0</v>
      </c>
      <c r="Z116" s="83">
        <v>0</v>
      </c>
      <c r="AA116" s="83">
        <v>0</v>
      </c>
      <c r="AB116" s="83">
        <v>0</v>
      </c>
      <c r="AC116" s="83">
        <v>0</v>
      </c>
      <c r="AD116" s="83">
        <v>0</v>
      </c>
      <c r="AE116" s="83">
        <v>0</v>
      </c>
      <c r="AF116" s="83">
        <v>0</v>
      </c>
      <c r="AG116" s="83">
        <v>0</v>
      </c>
    </row>
    <row r="117" spans="1:33" x14ac:dyDescent="0.3">
      <c r="A117" s="95" t="s">
        <v>591</v>
      </c>
      <c r="B117" s="139">
        <v>5</v>
      </c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>
        <v>0</v>
      </c>
      <c r="AB117" s="83">
        <v>3.0000000000000001E-3</v>
      </c>
      <c r="AC117" s="83">
        <v>0</v>
      </c>
      <c r="AD117" s="83">
        <v>0</v>
      </c>
      <c r="AE117" s="83">
        <v>0</v>
      </c>
      <c r="AF117" s="83">
        <v>0</v>
      </c>
      <c r="AG117" s="83">
        <v>5.0000000000000001E-4</v>
      </c>
    </row>
    <row r="118" spans="1:33" x14ac:dyDescent="0.3">
      <c r="A118" s="26" t="s">
        <v>83</v>
      </c>
      <c r="B118" s="136">
        <v>889</v>
      </c>
      <c r="C118" s="82">
        <v>3715.5899999999992</v>
      </c>
      <c r="D118" s="82">
        <v>4380.1160000000018</v>
      </c>
      <c r="E118" s="82">
        <v>4963.2800000000016</v>
      </c>
      <c r="F118" s="82">
        <v>5394.3689999999979</v>
      </c>
      <c r="G118" s="82">
        <v>5937.3339999999998</v>
      </c>
      <c r="H118" s="82">
        <v>6240.0690000000004</v>
      </c>
      <c r="I118" s="82">
        <v>6202.6610000000019</v>
      </c>
      <c r="J118" s="82">
        <v>6038.0620000000008</v>
      </c>
      <c r="K118" s="82">
        <v>5811.7040000000025</v>
      </c>
      <c r="L118" s="82">
        <v>5440.6890000000003</v>
      </c>
      <c r="M118" s="82">
        <v>5221.1959999999999</v>
      </c>
      <c r="N118" s="82">
        <v>6262.0379999999986</v>
      </c>
      <c r="O118" s="82">
        <v>6099.77</v>
      </c>
      <c r="P118" s="82">
        <v>6497.192</v>
      </c>
      <c r="Q118" s="82">
        <v>6459.8829999999989</v>
      </c>
      <c r="R118" s="82">
        <v>5851.3239999999978</v>
      </c>
      <c r="S118" s="82">
        <v>5501.7310000000007</v>
      </c>
      <c r="T118" s="82">
        <v>5748.8349999999991</v>
      </c>
      <c r="U118" s="82">
        <v>5990.2030000000013</v>
      </c>
      <c r="V118" s="82">
        <v>5866.7759999999989</v>
      </c>
      <c r="W118" s="82">
        <v>5617.7709999999997</v>
      </c>
      <c r="X118" s="82">
        <v>6251.552999999999</v>
      </c>
      <c r="Y118" s="82">
        <v>5890.0249999999996</v>
      </c>
      <c r="Z118" s="82">
        <v>5414.1169999999984</v>
      </c>
      <c r="AA118" s="82">
        <v>5614.55</v>
      </c>
      <c r="AB118" s="82">
        <v>6017.2349999999988</v>
      </c>
      <c r="AC118" s="82">
        <v>6544.9700000000012</v>
      </c>
      <c r="AD118" s="82">
        <v>6499.3570000000027</v>
      </c>
      <c r="AE118" s="82">
        <v>6514.1410000000005</v>
      </c>
      <c r="AF118" s="82">
        <v>6297.0429999999988</v>
      </c>
      <c r="AG118" s="82">
        <v>6047.9582272727275</v>
      </c>
    </row>
    <row r="123" spans="1:33" x14ac:dyDescent="0.3">
      <c r="A123" s="86"/>
      <c r="B123" s="84"/>
      <c r="C123" s="84"/>
      <c r="D123" s="84"/>
      <c r="E123" s="84"/>
    </row>
    <row r="124" spans="1:33" x14ac:dyDescent="0.3">
      <c r="A124" s="26"/>
      <c r="B124" s="85"/>
      <c r="C124" s="85"/>
      <c r="D124" s="85"/>
      <c r="E124" s="85"/>
    </row>
    <row r="125" spans="1:33" x14ac:dyDescent="0.3">
      <c r="A125" s="26"/>
      <c r="B125" s="85"/>
      <c r="C125" s="85"/>
      <c r="D125" s="85"/>
      <c r="E125" s="85"/>
    </row>
    <row r="126" spans="1:33" x14ac:dyDescent="0.3">
      <c r="A126" s="26"/>
      <c r="B126" s="85"/>
      <c r="C126" s="85"/>
      <c r="D126" s="85"/>
      <c r="E126" s="85"/>
    </row>
    <row r="127" spans="1:33" x14ac:dyDescent="0.3">
      <c r="A127" s="26"/>
      <c r="B127" s="85"/>
      <c r="C127" s="85"/>
      <c r="D127" s="85"/>
      <c r="E127" s="85"/>
    </row>
    <row r="128" spans="1:33" x14ac:dyDescent="0.3">
      <c r="A128" s="26"/>
    </row>
    <row r="136" spans="1:16" x14ac:dyDescent="0.3">
      <c r="A136" s="26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</row>
    <row r="137" spans="1:16" x14ac:dyDescent="0.3">
      <c r="A137" s="26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</row>
    <row r="138" spans="1:16" x14ac:dyDescent="0.3">
      <c r="A138" s="26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</row>
    <row r="139" spans="1:16" x14ac:dyDescent="0.3">
      <c r="A139" s="26"/>
    </row>
    <row r="145" spans="1:31" x14ac:dyDescent="0.3">
      <c r="A145" s="30" t="s">
        <v>542</v>
      </c>
      <c r="B145" s="12" t="s">
        <v>545</v>
      </c>
      <c r="C145" s="12" t="s">
        <v>546</v>
      </c>
      <c r="D145" s="12" t="s">
        <v>547</v>
      </c>
      <c r="E145" s="12" t="s">
        <v>548</v>
      </c>
      <c r="F145" s="12" t="s">
        <v>549</v>
      </c>
      <c r="G145" s="12" t="s">
        <v>550</v>
      </c>
      <c r="H145" s="12" t="s">
        <v>551</v>
      </c>
      <c r="I145" s="12" t="s">
        <v>552</v>
      </c>
      <c r="J145" s="12" t="s">
        <v>553</v>
      </c>
      <c r="K145" s="12" t="s">
        <v>554</v>
      </c>
      <c r="L145" s="12" t="s">
        <v>556</v>
      </c>
      <c r="M145" s="12" t="s">
        <v>562</v>
      </c>
      <c r="N145" s="12" t="s">
        <v>566</v>
      </c>
      <c r="O145" s="12" t="s">
        <v>567</v>
      </c>
      <c r="P145" s="12" t="s">
        <v>573</v>
      </c>
      <c r="Q145" s="12" t="s">
        <v>579</v>
      </c>
      <c r="R145" s="12" t="s">
        <v>580</v>
      </c>
      <c r="S145" s="12" t="s">
        <v>581</v>
      </c>
      <c r="T145" s="12" t="s">
        <v>582</v>
      </c>
      <c r="U145" s="12" t="s">
        <v>583</v>
      </c>
      <c r="V145" s="12" t="s">
        <v>584</v>
      </c>
      <c r="W145" s="12" t="s">
        <v>585</v>
      </c>
      <c r="X145" s="12" t="s">
        <v>586</v>
      </c>
      <c r="Y145" s="12" t="s">
        <v>587</v>
      </c>
      <c r="Z145" s="12" t="s">
        <v>588</v>
      </c>
      <c r="AA145" s="12" t="s">
        <v>592</v>
      </c>
      <c r="AB145" s="12" t="s">
        <v>593</v>
      </c>
      <c r="AC145" s="12" t="s">
        <v>594</v>
      </c>
      <c r="AD145" s="12" t="s">
        <v>595</v>
      </c>
      <c r="AE145" s="12" t="s">
        <v>596</v>
      </c>
    </row>
    <row r="146" spans="1:31" x14ac:dyDescent="0.3">
      <c r="A146" s="39" t="s">
        <v>273</v>
      </c>
      <c r="B146" s="69">
        <v>2199.2560000000003</v>
      </c>
      <c r="C146" s="69">
        <v>2457.9060000000004</v>
      </c>
      <c r="D146" s="69">
        <v>2771.5490000000004</v>
      </c>
      <c r="E146" s="69">
        <v>2980.4939999999997</v>
      </c>
      <c r="F146" s="69">
        <v>3083.4989999999998</v>
      </c>
      <c r="G146" s="69">
        <v>3387.0210000000006</v>
      </c>
      <c r="H146" s="69">
        <v>3419.4660000000013</v>
      </c>
      <c r="I146" s="69">
        <v>3217.9640000000004</v>
      </c>
      <c r="J146" s="69">
        <v>3131.1880000000006</v>
      </c>
      <c r="K146" s="69">
        <v>3206.7669999999985</v>
      </c>
      <c r="L146" s="69">
        <v>2984.3409999999994</v>
      </c>
      <c r="M146" s="69">
        <v>3375.2969999999991</v>
      </c>
      <c r="N146" s="69">
        <v>3014.5210000000006</v>
      </c>
      <c r="O146" s="69">
        <v>3558.8999999999996</v>
      </c>
      <c r="P146" s="69">
        <v>3677.5249999999996</v>
      </c>
      <c r="Q146" s="69">
        <v>3275.8709999999996</v>
      </c>
      <c r="R146" s="69">
        <v>3179.8170000000005</v>
      </c>
      <c r="S146" s="69">
        <v>3412.6979999999999</v>
      </c>
      <c r="T146" s="69">
        <v>3278.6640000000002</v>
      </c>
      <c r="U146" s="69">
        <v>3273.3</v>
      </c>
      <c r="V146" s="69">
        <v>3079.777</v>
      </c>
      <c r="W146" s="69">
        <v>3350.7459999999992</v>
      </c>
      <c r="X146" s="69">
        <v>3542.7540000000008</v>
      </c>
      <c r="Y146" s="69">
        <v>3052.232</v>
      </c>
      <c r="Z146" s="69">
        <v>3124.5610000000006</v>
      </c>
      <c r="AA146" s="69">
        <v>3350.6129999999998</v>
      </c>
      <c r="AB146" s="69">
        <v>3418.6149999999998</v>
      </c>
      <c r="AC146" s="69">
        <v>3520.5430000000006</v>
      </c>
      <c r="AD146" s="69">
        <v>3382.0560000000005</v>
      </c>
      <c r="AE146" s="69">
        <v>3628.2849999999989</v>
      </c>
    </row>
    <row r="147" spans="1:31" x14ac:dyDescent="0.3">
      <c r="A147" s="39" t="s">
        <v>160</v>
      </c>
      <c r="B147" s="69">
        <v>545.23899999999992</v>
      </c>
      <c r="C147" s="69">
        <v>457.31900000000007</v>
      </c>
      <c r="D147" s="69">
        <v>582.81100000000004</v>
      </c>
      <c r="E147" s="69">
        <v>832.44100000000014</v>
      </c>
      <c r="F147" s="69">
        <v>1044.509</v>
      </c>
      <c r="G147" s="69">
        <v>1014.1769999999999</v>
      </c>
      <c r="H147" s="69">
        <v>883.17299999999989</v>
      </c>
      <c r="I147" s="69">
        <v>973.72099999999978</v>
      </c>
      <c r="J147" s="69">
        <v>809.54600000000016</v>
      </c>
      <c r="K147" s="69">
        <v>536.35800000000006</v>
      </c>
      <c r="L147" s="69">
        <v>839.26899999999978</v>
      </c>
      <c r="M147" s="69">
        <v>1225.1389999999999</v>
      </c>
      <c r="N147" s="69">
        <v>1179.9859999999999</v>
      </c>
      <c r="O147" s="69">
        <v>1138.5709999999999</v>
      </c>
      <c r="P147" s="69">
        <v>1190.4100000000001</v>
      </c>
      <c r="Q147" s="69">
        <v>809.82799999999997</v>
      </c>
      <c r="R147" s="69">
        <v>595.83200000000011</v>
      </c>
      <c r="S147" s="69">
        <v>847.02499999999998</v>
      </c>
      <c r="T147" s="69">
        <v>1162.9499999999998</v>
      </c>
      <c r="U147" s="69">
        <v>1271.4659999999999</v>
      </c>
      <c r="V147" s="69">
        <v>1207.8089999999997</v>
      </c>
      <c r="W147" s="69">
        <v>1224.2089999999998</v>
      </c>
      <c r="X147" s="69">
        <v>780.82500000000005</v>
      </c>
      <c r="Y147" s="69">
        <v>615.49200000000019</v>
      </c>
      <c r="Z147" s="69">
        <v>1006.3100000000001</v>
      </c>
      <c r="AA147" s="69">
        <v>1125.7079999999999</v>
      </c>
      <c r="AB147" s="69">
        <v>1242.5719999999999</v>
      </c>
      <c r="AC147" s="69">
        <v>1246.9839999999999</v>
      </c>
      <c r="AD147" s="69">
        <v>1258.8630000000001</v>
      </c>
      <c r="AE147" s="69">
        <v>855.76099999999985</v>
      </c>
    </row>
    <row r="148" spans="1:31" x14ac:dyDescent="0.3">
      <c r="A148" s="39" t="s">
        <v>589</v>
      </c>
      <c r="B148" s="69">
        <v>732.23900000000003</v>
      </c>
      <c r="C148" s="69">
        <v>1380.8490000000002</v>
      </c>
      <c r="D148" s="69">
        <v>1520.9130000000002</v>
      </c>
      <c r="E148" s="69">
        <v>1365.875</v>
      </c>
      <c r="F148" s="69">
        <v>1514.4089999999999</v>
      </c>
      <c r="G148" s="69">
        <v>1651.1739999999995</v>
      </c>
      <c r="H148" s="69">
        <v>1852.9280000000001</v>
      </c>
      <c r="I148" s="69">
        <v>1604.9809999999998</v>
      </c>
      <c r="J148" s="69">
        <v>1743.3139999999999</v>
      </c>
      <c r="K148" s="69">
        <v>1572.3809999999999</v>
      </c>
      <c r="L148" s="69">
        <v>1259.9279999999999</v>
      </c>
      <c r="M148" s="69">
        <v>1397.3390000000004</v>
      </c>
      <c r="N148" s="69">
        <v>1679.923</v>
      </c>
      <c r="O148" s="69">
        <v>1504.6820000000005</v>
      </c>
      <c r="P148" s="69">
        <v>1432.826</v>
      </c>
      <c r="Q148" s="69">
        <v>1578.884</v>
      </c>
      <c r="R148" s="69">
        <v>1573.1759999999999</v>
      </c>
      <c r="S148" s="69">
        <v>1304.231</v>
      </c>
      <c r="T148" s="69">
        <v>1241.654</v>
      </c>
      <c r="U148" s="69">
        <v>1163.5069999999998</v>
      </c>
      <c r="V148" s="69">
        <v>1100.211</v>
      </c>
      <c r="W148" s="69">
        <v>1461.4670000000001</v>
      </c>
      <c r="X148" s="69">
        <v>1450.028</v>
      </c>
      <c r="Y148" s="69">
        <v>1606.3370000000004</v>
      </c>
      <c r="Z148" s="69">
        <v>1302.5630000000001</v>
      </c>
      <c r="AA148" s="69">
        <v>1356.9829999999999</v>
      </c>
      <c r="AB148" s="69">
        <v>1613.5470000000003</v>
      </c>
      <c r="AC148" s="69">
        <v>1464.316</v>
      </c>
      <c r="AD148" s="69">
        <v>1622.5739999999996</v>
      </c>
      <c r="AE148" s="69">
        <v>1654.1610000000001</v>
      </c>
    </row>
    <row r="149" spans="1:31" x14ac:dyDescent="0.3">
      <c r="A149" s="39" t="s">
        <v>590</v>
      </c>
      <c r="B149" s="69">
        <v>238.85599999999997</v>
      </c>
      <c r="C149" s="69">
        <v>84.041999999999987</v>
      </c>
      <c r="D149" s="69">
        <v>88.007000000000005</v>
      </c>
      <c r="E149" s="69">
        <v>215.559</v>
      </c>
      <c r="F149" s="69">
        <v>294.91699999999997</v>
      </c>
      <c r="G149" s="69">
        <v>187.697</v>
      </c>
      <c r="H149" s="69">
        <v>47.094000000000001</v>
      </c>
      <c r="I149" s="69">
        <v>241.39600000000002</v>
      </c>
      <c r="J149" s="69">
        <v>127.65600000000001</v>
      </c>
      <c r="K149" s="69">
        <v>125.18300000000001</v>
      </c>
      <c r="L149" s="69">
        <v>137.65799999999999</v>
      </c>
      <c r="M149" s="69">
        <v>264.26300000000003</v>
      </c>
      <c r="N149" s="69">
        <v>225.34</v>
      </c>
      <c r="O149" s="69">
        <v>295.03900000000004</v>
      </c>
      <c r="P149" s="69">
        <v>159.12199999999999</v>
      </c>
      <c r="Q149" s="69">
        <v>186.74099999999999</v>
      </c>
      <c r="R149" s="69">
        <v>152.90600000000001</v>
      </c>
      <c r="S149" s="69">
        <v>184.881</v>
      </c>
      <c r="T149" s="69">
        <v>306.935</v>
      </c>
      <c r="U149" s="69">
        <v>158.50299999999999</v>
      </c>
      <c r="V149" s="69">
        <v>229.97400000000002</v>
      </c>
      <c r="W149" s="69">
        <v>215.131</v>
      </c>
      <c r="X149" s="69">
        <v>116.41800000000001</v>
      </c>
      <c r="Y149" s="69">
        <v>140.05599999999998</v>
      </c>
      <c r="Z149" s="69">
        <v>181.11600000000001</v>
      </c>
      <c r="AA149" s="69">
        <v>183.93100000000001</v>
      </c>
      <c r="AB149" s="69">
        <v>270.23600000000005</v>
      </c>
      <c r="AC149" s="69">
        <v>267.51399999999995</v>
      </c>
      <c r="AD149" s="69">
        <v>250.64800000000002</v>
      </c>
      <c r="AE149" s="69">
        <v>158.83600000000001</v>
      </c>
    </row>
    <row r="150" spans="1:31" x14ac:dyDescent="0.3">
      <c r="A150" s="39" t="s">
        <v>83</v>
      </c>
      <c r="B150" s="137">
        <v>3715.59</v>
      </c>
      <c r="C150" s="137">
        <v>4380.1160000000009</v>
      </c>
      <c r="D150" s="137">
        <v>4963.2800000000007</v>
      </c>
      <c r="E150" s="137">
        <v>5394.3689999999997</v>
      </c>
      <c r="F150" s="137">
        <v>5937.3339999999998</v>
      </c>
      <c r="G150" s="137">
        <v>6240.0689999999995</v>
      </c>
      <c r="H150" s="137">
        <v>6202.661000000001</v>
      </c>
      <c r="I150" s="137">
        <v>6038.0619999999999</v>
      </c>
      <c r="J150" s="137">
        <v>5811.7040000000006</v>
      </c>
      <c r="K150" s="137">
        <v>5440.6889999999985</v>
      </c>
      <c r="L150" s="137">
        <v>5221.195999999999</v>
      </c>
      <c r="M150" s="137">
        <v>6262.0379999999996</v>
      </c>
      <c r="N150" s="137">
        <v>6099.77</v>
      </c>
      <c r="O150" s="137">
        <v>6497.192</v>
      </c>
      <c r="P150" s="137">
        <v>6459.8829999999998</v>
      </c>
      <c r="Q150" s="137">
        <v>5851.3239999999996</v>
      </c>
      <c r="R150" s="137">
        <v>5501.7310000000007</v>
      </c>
      <c r="S150" s="137">
        <v>5748.835</v>
      </c>
      <c r="T150" s="137">
        <v>5990.2030000000004</v>
      </c>
      <c r="U150" s="137">
        <v>5866.7759999999989</v>
      </c>
      <c r="V150" s="137">
        <v>5617.7709999999997</v>
      </c>
      <c r="W150" s="137">
        <v>6251.552999999999</v>
      </c>
      <c r="X150" s="137">
        <v>5890.0250000000005</v>
      </c>
      <c r="Y150" s="137">
        <v>5414.1170000000002</v>
      </c>
      <c r="Z150" s="137">
        <v>5614.5500000000011</v>
      </c>
      <c r="AA150" s="137">
        <v>6017.2349999999997</v>
      </c>
      <c r="AB150" s="137">
        <v>6544.97</v>
      </c>
      <c r="AC150" s="137">
        <v>6499.357</v>
      </c>
      <c r="AD150" s="137">
        <v>6514.1410000000005</v>
      </c>
      <c r="AE150" s="137">
        <v>6297.0429999999988</v>
      </c>
    </row>
  </sheetData>
  <pageMargins left="0.7" right="0.7" top="0.75" bottom="0.75" header="0.3" footer="0.3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O147"/>
  <sheetViews>
    <sheetView topLeftCell="A133" zoomScale="102" zoomScaleNormal="100" workbookViewId="0">
      <pane xSplit="8" topLeftCell="AI1" activePane="topRight" state="frozen"/>
      <selection activeCell="F29" sqref="F29"/>
      <selection pane="topRight" activeCell="A140" sqref="A140:XFD140"/>
    </sheetView>
  </sheetViews>
  <sheetFormatPr defaultRowHeight="14.4" x14ac:dyDescent="0.3"/>
  <cols>
    <col min="1" max="1" width="6.6640625" bestFit="1" customWidth="1"/>
    <col min="2" max="2" width="11" customWidth="1"/>
    <col min="3" max="3" width="41.33203125" customWidth="1"/>
    <col min="4" max="4" width="15.5546875" customWidth="1"/>
    <col min="5" max="5" width="12.6640625" bestFit="1" customWidth="1"/>
    <col min="6" max="6" width="9.33203125" customWidth="1"/>
    <col min="7" max="7" width="10.6640625" bestFit="1" customWidth="1"/>
    <col min="8" max="8" width="8.6640625" bestFit="1" customWidth="1"/>
    <col min="9" max="9" width="21" bestFit="1" customWidth="1"/>
    <col min="10" max="10" width="10.44140625" style="28" bestFit="1" customWidth="1"/>
    <col min="11" max="11" width="10.44140625" style="27" bestFit="1" customWidth="1"/>
    <col min="12" max="12" width="10.44140625" style="28" bestFit="1" customWidth="1"/>
    <col min="13" max="13" width="10.44140625" bestFit="1" customWidth="1"/>
    <col min="14" max="14" width="10.5546875" customWidth="1"/>
    <col min="15" max="15" width="10.88671875" customWidth="1"/>
    <col min="16" max="16" width="10.44140625" bestFit="1" customWidth="1"/>
    <col min="17" max="18" width="11" customWidth="1"/>
    <col min="19" max="38" width="10.44140625" bestFit="1" customWidth="1"/>
    <col min="39" max="39" width="10.44140625" customWidth="1"/>
    <col min="41" max="41" width="10.33203125" customWidth="1"/>
  </cols>
  <sheetData>
    <row r="1" spans="1:41" ht="30.75" customHeight="1" x14ac:dyDescent="0.3">
      <c r="A1" s="1" t="s">
        <v>0</v>
      </c>
      <c r="B1" s="2" t="s">
        <v>1</v>
      </c>
      <c r="C1" s="2" t="s">
        <v>394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158</v>
      </c>
      <c r="J1" s="16">
        <v>45597</v>
      </c>
      <c r="K1" s="16">
        <v>45598</v>
      </c>
      <c r="L1" s="16">
        <v>45599</v>
      </c>
      <c r="M1" s="16">
        <v>45600</v>
      </c>
      <c r="N1" s="16">
        <v>45601</v>
      </c>
      <c r="O1" s="16">
        <v>45602</v>
      </c>
      <c r="P1" s="16">
        <v>45603</v>
      </c>
      <c r="Q1" s="16">
        <v>45604</v>
      </c>
      <c r="R1" s="16">
        <v>45605</v>
      </c>
      <c r="S1" s="16">
        <v>45606</v>
      </c>
      <c r="T1" s="16">
        <v>45607</v>
      </c>
      <c r="U1" s="16">
        <v>45608</v>
      </c>
      <c r="V1" s="16">
        <v>45609</v>
      </c>
      <c r="W1" s="16">
        <v>45610</v>
      </c>
      <c r="X1" s="16">
        <v>45611</v>
      </c>
      <c r="Y1" s="16">
        <v>45612</v>
      </c>
      <c r="Z1" s="16">
        <v>45613</v>
      </c>
      <c r="AA1" s="16">
        <v>45614</v>
      </c>
      <c r="AB1" s="16">
        <v>45615</v>
      </c>
      <c r="AC1" s="16">
        <v>45616</v>
      </c>
      <c r="AD1" s="16">
        <v>45617</v>
      </c>
      <c r="AE1" s="16">
        <v>45618</v>
      </c>
      <c r="AF1" s="16">
        <v>45619</v>
      </c>
      <c r="AG1" s="16">
        <v>45620</v>
      </c>
      <c r="AH1" s="16">
        <v>45621</v>
      </c>
      <c r="AI1" s="16">
        <v>45622</v>
      </c>
      <c r="AJ1" s="16">
        <v>45623</v>
      </c>
      <c r="AK1" s="16">
        <v>45624</v>
      </c>
      <c r="AL1" s="16">
        <v>45625</v>
      </c>
      <c r="AM1" s="16">
        <v>45626</v>
      </c>
      <c r="AN1" s="13" t="s">
        <v>8</v>
      </c>
      <c r="AO1" s="66" t="s">
        <v>154</v>
      </c>
    </row>
    <row r="2" spans="1:41" x14ac:dyDescent="0.3">
      <c r="A2" s="5">
        <v>1</v>
      </c>
      <c r="B2" s="6" t="s">
        <v>9</v>
      </c>
      <c r="C2" s="12" t="s">
        <v>199</v>
      </c>
      <c r="D2" s="6" t="s">
        <v>11</v>
      </c>
      <c r="E2" s="6" t="s">
        <v>12</v>
      </c>
      <c r="F2" s="6" t="s">
        <v>13</v>
      </c>
      <c r="G2" s="6" t="s">
        <v>35</v>
      </c>
      <c r="H2" s="92">
        <v>6</v>
      </c>
      <c r="I2" s="67" t="s">
        <v>160</v>
      </c>
      <c r="J2" s="93">
        <v>17.493000000000002</v>
      </c>
      <c r="K2" s="10">
        <v>9.0310000000000006</v>
      </c>
      <c r="L2" s="10">
        <v>39.680000000000007</v>
      </c>
      <c r="M2" s="10">
        <v>53.546999999999997</v>
      </c>
      <c r="N2" s="10">
        <v>74.527999999999992</v>
      </c>
      <c r="O2" s="10">
        <v>55.170999999999999</v>
      </c>
      <c r="P2" s="10">
        <v>15.037000000000001</v>
      </c>
      <c r="Q2" s="10">
        <v>45.107999999999997</v>
      </c>
      <c r="R2" s="10">
        <v>32.305999999999997</v>
      </c>
      <c r="S2" s="10">
        <v>59.98</v>
      </c>
      <c r="T2" s="10">
        <v>78.569999999999993</v>
      </c>
      <c r="U2" s="10">
        <v>68.775999999999996</v>
      </c>
      <c r="V2" s="10">
        <v>62.641999999999996</v>
      </c>
      <c r="W2" s="10">
        <v>83.132000000000005</v>
      </c>
      <c r="X2" s="10">
        <v>63.533999999999999</v>
      </c>
      <c r="Y2" s="10">
        <v>67.235000000000014</v>
      </c>
      <c r="Z2" s="10">
        <v>50.039000000000009</v>
      </c>
      <c r="AA2" s="10">
        <v>57.518999999999998</v>
      </c>
      <c r="AB2" s="10">
        <v>37.283999999999999</v>
      </c>
      <c r="AC2" s="10">
        <v>94.371000000000009</v>
      </c>
      <c r="AD2" s="10">
        <v>61.542000000000002</v>
      </c>
      <c r="AE2" s="10">
        <v>49.262999999999998</v>
      </c>
      <c r="AF2" s="10">
        <v>82.143000000000001</v>
      </c>
      <c r="AG2" s="10">
        <v>31.68</v>
      </c>
      <c r="AH2" s="10">
        <v>47.970999999999989</v>
      </c>
      <c r="AI2" s="10">
        <v>68.527000000000015</v>
      </c>
      <c r="AJ2" s="10">
        <v>65.775000000000006</v>
      </c>
      <c r="AK2" s="10">
        <v>51.025999999999996</v>
      </c>
      <c r="AL2" s="10">
        <v>50.78</v>
      </c>
      <c r="AM2" s="10">
        <v>74.141999999999996</v>
      </c>
      <c r="AN2" s="46">
        <f>AVERAGE(AC2:AM2)</f>
        <v>61.56545454545455</v>
      </c>
      <c r="AO2" s="7">
        <f>AN2/H2</f>
        <v>10.260909090909092</v>
      </c>
    </row>
    <row r="3" spans="1:41" x14ac:dyDescent="0.3">
      <c r="A3" s="5">
        <v>2</v>
      </c>
      <c r="B3" s="6" t="s">
        <v>9</v>
      </c>
      <c r="C3" s="12" t="s">
        <v>200</v>
      </c>
      <c r="D3" s="6" t="s">
        <v>11</v>
      </c>
      <c r="E3" s="6" t="s">
        <v>12</v>
      </c>
      <c r="F3" s="6" t="s">
        <v>13</v>
      </c>
      <c r="G3" s="6" t="s">
        <v>35</v>
      </c>
      <c r="H3" s="92">
        <v>9</v>
      </c>
      <c r="I3" s="67" t="s">
        <v>160</v>
      </c>
      <c r="J3" s="93">
        <v>112.28200000000002</v>
      </c>
      <c r="K3" s="10">
        <v>106.35600000000002</v>
      </c>
      <c r="L3" s="10">
        <v>155.68100000000001</v>
      </c>
      <c r="M3" s="10">
        <v>147.91500000000002</v>
      </c>
      <c r="N3" s="10">
        <v>115.18800000000002</v>
      </c>
      <c r="O3" s="10">
        <v>186.98100000000005</v>
      </c>
      <c r="P3" s="10">
        <v>162.25699999999998</v>
      </c>
      <c r="Q3" s="10">
        <v>134.61599999999996</v>
      </c>
      <c r="R3" s="10">
        <v>164.87500000000006</v>
      </c>
      <c r="S3" s="10">
        <v>148.273</v>
      </c>
      <c r="T3" s="10">
        <v>139.12099999999998</v>
      </c>
      <c r="U3" s="10">
        <v>149.20599999999999</v>
      </c>
      <c r="V3" s="10">
        <v>114.74800000000002</v>
      </c>
      <c r="W3" s="10">
        <v>141.83300000000003</v>
      </c>
      <c r="X3" s="10">
        <v>145.49199999999999</v>
      </c>
      <c r="Y3" s="10">
        <v>150.14499999999998</v>
      </c>
      <c r="Z3" s="10">
        <v>170.72499999999999</v>
      </c>
      <c r="AA3" s="10">
        <v>115.373</v>
      </c>
      <c r="AB3" s="10">
        <v>160.17399999999998</v>
      </c>
      <c r="AC3" s="10">
        <v>176.07599999999996</v>
      </c>
      <c r="AD3" s="10">
        <v>171.63199999999995</v>
      </c>
      <c r="AE3" s="10">
        <v>160.53999999999996</v>
      </c>
      <c r="AF3" s="10">
        <v>154.60099999999997</v>
      </c>
      <c r="AG3" s="10">
        <v>164.2290000000001</v>
      </c>
      <c r="AH3" s="10">
        <v>149.83799999999997</v>
      </c>
      <c r="AI3" s="10">
        <v>180.291</v>
      </c>
      <c r="AJ3" s="10">
        <v>162.22</v>
      </c>
      <c r="AK3" s="10">
        <v>183.94800000000001</v>
      </c>
      <c r="AL3" s="10">
        <v>170.28100000000001</v>
      </c>
      <c r="AM3" s="10">
        <v>176.42399999999992</v>
      </c>
      <c r="AN3" s="46">
        <f t="shared" ref="AN3:AN66" si="0">AVERAGE(AC3:AM3)</f>
        <v>168.18909090909091</v>
      </c>
      <c r="AO3" s="7">
        <f t="shared" ref="AO3:AO66" si="1">AN3/H3</f>
        <v>18.687676767676766</v>
      </c>
    </row>
    <row r="4" spans="1:41" x14ac:dyDescent="0.3">
      <c r="A4" s="5">
        <v>3</v>
      </c>
      <c r="B4" s="6" t="s">
        <v>9</v>
      </c>
      <c r="C4" s="12" t="s">
        <v>201</v>
      </c>
      <c r="D4" s="6" t="s">
        <v>11</v>
      </c>
      <c r="E4" s="6" t="s">
        <v>12</v>
      </c>
      <c r="F4" s="6" t="s">
        <v>13</v>
      </c>
      <c r="G4" s="6" t="s">
        <v>35</v>
      </c>
      <c r="H4" s="92">
        <v>3</v>
      </c>
      <c r="I4" s="67" t="s">
        <v>160</v>
      </c>
      <c r="J4" s="54">
        <v>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5">
        <v>0</v>
      </c>
      <c r="T4" s="45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54">
        <v>0</v>
      </c>
      <c r="AN4" s="46">
        <f t="shared" si="0"/>
        <v>0</v>
      </c>
      <c r="AO4" s="7">
        <f t="shared" si="1"/>
        <v>0</v>
      </c>
    </row>
    <row r="5" spans="1:41" ht="15" customHeight="1" x14ac:dyDescent="0.3">
      <c r="A5" s="5">
        <v>4</v>
      </c>
      <c r="B5" s="6" t="s">
        <v>9</v>
      </c>
      <c r="C5" s="12" t="s">
        <v>202</v>
      </c>
      <c r="D5" s="6" t="s">
        <v>30</v>
      </c>
      <c r="E5" s="6" t="s">
        <v>12</v>
      </c>
      <c r="F5" s="6" t="s">
        <v>13</v>
      </c>
      <c r="G5" s="6" t="s">
        <v>35</v>
      </c>
      <c r="H5" s="92">
        <v>8</v>
      </c>
      <c r="I5" s="94" t="s">
        <v>589</v>
      </c>
      <c r="J5" s="93">
        <v>46.025999999999996</v>
      </c>
      <c r="K5" s="10">
        <v>76.105000000000004</v>
      </c>
      <c r="L5" s="10">
        <v>109.02800000000002</v>
      </c>
      <c r="M5" s="10">
        <v>82.161000000000001</v>
      </c>
      <c r="N5" s="10">
        <v>101.908</v>
      </c>
      <c r="O5" s="10">
        <v>126.36700000000002</v>
      </c>
      <c r="P5" s="10">
        <v>124.27999999999999</v>
      </c>
      <c r="Q5" s="10">
        <v>92.167000000000002</v>
      </c>
      <c r="R5" s="10">
        <v>119.27300000000002</v>
      </c>
      <c r="S5" s="10">
        <v>109.18099999999998</v>
      </c>
      <c r="T5" s="10">
        <v>99.554000000000002</v>
      </c>
      <c r="U5" s="10">
        <v>109.18</v>
      </c>
      <c r="V5" s="10">
        <v>116.46100000000001</v>
      </c>
      <c r="W5" s="10">
        <v>88.481999999999985</v>
      </c>
      <c r="X5" s="10">
        <v>128.316</v>
      </c>
      <c r="Y5" s="10">
        <v>89.060000000000016</v>
      </c>
      <c r="Z5" s="10">
        <v>100.34</v>
      </c>
      <c r="AA5" s="10">
        <v>93.983000000000004</v>
      </c>
      <c r="AB5" s="10">
        <v>110.598</v>
      </c>
      <c r="AC5" s="10">
        <v>105.63</v>
      </c>
      <c r="AD5" s="10">
        <v>45.773999999999994</v>
      </c>
      <c r="AE5" s="10">
        <v>74.106999999999999</v>
      </c>
      <c r="AF5" s="10">
        <v>84.046999999999997</v>
      </c>
      <c r="AG5" s="10">
        <v>126.97099999999999</v>
      </c>
      <c r="AH5" s="10">
        <v>91.291999999999987</v>
      </c>
      <c r="AI5" s="10">
        <v>64.055000000000007</v>
      </c>
      <c r="AJ5" s="10">
        <v>99.39500000000001</v>
      </c>
      <c r="AK5" s="10">
        <v>82.277999999999992</v>
      </c>
      <c r="AL5" s="10">
        <v>98.373999999999995</v>
      </c>
      <c r="AM5" s="10">
        <v>76.316999999999993</v>
      </c>
      <c r="AN5" s="46">
        <f t="shared" si="0"/>
        <v>86.203636363636363</v>
      </c>
      <c r="AO5" s="7">
        <f t="shared" si="1"/>
        <v>10.775454545454545</v>
      </c>
    </row>
    <row r="6" spans="1:41" ht="15" customHeight="1" x14ac:dyDescent="0.3">
      <c r="A6" s="5">
        <v>5</v>
      </c>
      <c r="B6" s="6" t="s">
        <v>9</v>
      </c>
      <c r="C6" s="96" t="s">
        <v>203</v>
      </c>
      <c r="D6" s="6" t="s">
        <v>128</v>
      </c>
      <c r="E6" s="6" t="s">
        <v>12</v>
      </c>
      <c r="F6" s="6" t="s">
        <v>13</v>
      </c>
      <c r="G6" s="6" t="s">
        <v>35</v>
      </c>
      <c r="H6" s="92">
        <v>54</v>
      </c>
      <c r="I6" s="94" t="s">
        <v>273</v>
      </c>
      <c r="J6" s="93">
        <v>647.69000000000005</v>
      </c>
      <c r="K6" s="10">
        <v>478.30699999999996</v>
      </c>
      <c r="L6" s="10">
        <v>771.04900000000021</v>
      </c>
      <c r="M6" s="10">
        <v>750.8929999999998</v>
      </c>
      <c r="N6" s="10">
        <v>650.27399999999966</v>
      </c>
      <c r="O6" s="10">
        <v>655.23099999999988</v>
      </c>
      <c r="P6" s="10">
        <v>902.39600000000019</v>
      </c>
      <c r="Q6" s="10">
        <v>732.90600000000006</v>
      </c>
      <c r="R6" s="10">
        <v>813.47800000000018</v>
      </c>
      <c r="S6" s="10">
        <v>694.91399999999987</v>
      </c>
      <c r="T6" s="10">
        <v>612.73900000000003</v>
      </c>
      <c r="U6" s="10">
        <v>886.05</v>
      </c>
      <c r="V6" s="10">
        <v>715.07800000000009</v>
      </c>
      <c r="W6" s="10">
        <v>788.12600000000009</v>
      </c>
      <c r="X6" s="10">
        <v>939.59100000000012</v>
      </c>
      <c r="Y6" s="10">
        <v>816.67700000000013</v>
      </c>
      <c r="Z6" s="10">
        <v>754.0799999999997</v>
      </c>
      <c r="AA6" s="10">
        <v>866.26799999999992</v>
      </c>
      <c r="AB6" s="10">
        <v>704.14599999999984</v>
      </c>
      <c r="AC6" s="10">
        <v>850.42200000000014</v>
      </c>
      <c r="AD6" s="10">
        <v>456.642</v>
      </c>
      <c r="AE6" s="10">
        <v>959.06299999999965</v>
      </c>
      <c r="AF6" s="10">
        <v>1068.453</v>
      </c>
      <c r="AG6" s="10">
        <v>789.87999999999988</v>
      </c>
      <c r="AH6" s="10">
        <v>787.31299999999987</v>
      </c>
      <c r="AI6" s="10">
        <v>1084.086</v>
      </c>
      <c r="AJ6" s="10">
        <v>767.827</v>
      </c>
      <c r="AK6" s="10">
        <v>911.32900000000029</v>
      </c>
      <c r="AL6" s="10">
        <v>784.28899999999999</v>
      </c>
      <c r="AM6" s="10">
        <v>1045.9069999999997</v>
      </c>
      <c r="AN6" s="46">
        <f t="shared" si="0"/>
        <v>864.1100909090909</v>
      </c>
      <c r="AO6" s="7">
        <f t="shared" si="1"/>
        <v>16.002038720538721</v>
      </c>
    </row>
    <row r="7" spans="1:41" x14ac:dyDescent="0.3">
      <c r="A7" s="5">
        <v>6</v>
      </c>
      <c r="B7" s="6" t="s">
        <v>9</v>
      </c>
      <c r="C7" s="12" t="s">
        <v>203</v>
      </c>
      <c r="D7" s="6" t="s">
        <v>128</v>
      </c>
      <c r="E7" s="6" t="s">
        <v>12</v>
      </c>
      <c r="F7" s="6" t="s">
        <v>274</v>
      </c>
      <c r="G7" s="6" t="s">
        <v>80</v>
      </c>
      <c r="H7" s="92">
        <v>1</v>
      </c>
      <c r="I7" s="94" t="s">
        <v>273</v>
      </c>
      <c r="J7" s="54">
        <v>0</v>
      </c>
      <c r="K7" s="46">
        <v>0</v>
      </c>
      <c r="L7" s="10">
        <v>6.1</v>
      </c>
      <c r="M7" s="10">
        <v>7.51</v>
      </c>
      <c r="N7" s="10">
        <v>5.24</v>
      </c>
      <c r="O7" s="46">
        <v>0</v>
      </c>
      <c r="P7" s="46">
        <v>0</v>
      </c>
      <c r="Q7" s="46">
        <v>0</v>
      </c>
      <c r="R7" s="46">
        <v>0</v>
      </c>
      <c r="S7" s="10">
        <v>8.35</v>
      </c>
      <c r="T7" s="10">
        <v>8.1300000000000008</v>
      </c>
      <c r="U7" s="10">
        <v>8.2200000000000006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54">
        <v>0</v>
      </c>
      <c r="AN7" s="46">
        <f t="shared" si="0"/>
        <v>0</v>
      </c>
      <c r="AO7" s="7">
        <f t="shared" si="1"/>
        <v>0</v>
      </c>
    </row>
    <row r="8" spans="1:41" x14ac:dyDescent="0.3">
      <c r="A8" s="5">
        <v>7</v>
      </c>
      <c r="B8" s="6" t="s">
        <v>9</v>
      </c>
      <c r="C8" s="12" t="s">
        <v>203</v>
      </c>
      <c r="D8" s="6" t="s">
        <v>128</v>
      </c>
      <c r="E8" s="6" t="s">
        <v>12</v>
      </c>
      <c r="F8" s="6" t="s">
        <v>64</v>
      </c>
      <c r="G8" s="6" t="s">
        <v>80</v>
      </c>
      <c r="H8" s="92">
        <v>1</v>
      </c>
      <c r="I8" s="94" t="s">
        <v>273</v>
      </c>
      <c r="J8" s="54">
        <v>0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54">
        <v>0</v>
      </c>
      <c r="AN8" s="46">
        <f t="shared" si="0"/>
        <v>0</v>
      </c>
      <c r="AO8" s="7">
        <f t="shared" si="1"/>
        <v>0</v>
      </c>
    </row>
    <row r="9" spans="1:41" x14ac:dyDescent="0.3">
      <c r="A9" s="5">
        <v>8</v>
      </c>
      <c r="B9" s="6" t="s">
        <v>9</v>
      </c>
      <c r="C9" s="12" t="s">
        <v>203</v>
      </c>
      <c r="D9" s="6" t="s">
        <v>128</v>
      </c>
      <c r="E9" s="6" t="s">
        <v>12</v>
      </c>
      <c r="F9" s="6" t="s">
        <v>124</v>
      </c>
      <c r="G9" s="6" t="s">
        <v>80</v>
      </c>
      <c r="H9" s="92">
        <v>2</v>
      </c>
      <c r="I9" s="94" t="s">
        <v>273</v>
      </c>
      <c r="J9" s="54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54">
        <v>0</v>
      </c>
      <c r="AN9" s="46">
        <f t="shared" si="0"/>
        <v>0</v>
      </c>
      <c r="AO9" s="7">
        <f t="shared" si="1"/>
        <v>0</v>
      </c>
    </row>
    <row r="10" spans="1:41" x14ac:dyDescent="0.3">
      <c r="A10" s="5">
        <v>9</v>
      </c>
      <c r="B10" s="6" t="s">
        <v>9</v>
      </c>
      <c r="C10" s="12" t="s">
        <v>204</v>
      </c>
      <c r="D10" s="6" t="s">
        <v>128</v>
      </c>
      <c r="E10" s="6" t="s">
        <v>12</v>
      </c>
      <c r="F10" s="6" t="s">
        <v>13</v>
      </c>
      <c r="G10" s="6" t="s">
        <v>35</v>
      </c>
      <c r="H10" s="92">
        <v>6</v>
      </c>
      <c r="I10" s="94" t="s">
        <v>273</v>
      </c>
      <c r="J10" s="93">
        <v>9.8060000000000009</v>
      </c>
      <c r="K10" s="10">
        <v>32.398000000000003</v>
      </c>
      <c r="L10" s="10">
        <v>18.484999999999999</v>
      </c>
      <c r="M10" s="10">
        <v>36.260999999999996</v>
      </c>
      <c r="N10" s="10">
        <v>29.992999999999999</v>
      </c>
      <c r="O10" s="10">
        <v>38.786000000000001</v>
      </c>
      <c r="P10" s="10">
        <v>32.706000000000003</v>
      </c>
      <c r="Q10" s="10">
        <v>18.117999999999999</v>
      </c>
      <c r="R10" s="10">
        <v>44.620000000000005</v>
      </c>
      <c r="S10" s="10">
        <v>26.347999999999999</v>
      </c>
      <c r="T10" s="10">
        <v>31.072999999999997</v>
      </c>
      <c r="U10" s="10">
        <v>33.735999999999997</v>
      </c>
      <c r="V10" s="10">
        <v>39.225000000000001</v>
      </c>
      <c r="W10" s="10">
        <v>33.511000000000003</v>
      </c>
      <c r="X10" s="10">
        <v>43.697000000000003</v>
      </c>
      <c r="Y10" s="10">
        <v>29.539000000000001</v>
      </c>
      <c r="Z10" s="10">
        <v>39.81600000000001</v>
      </c>
      <c r="AA10" s="10">
        <v>39.055</v>
      </c>
      <c r="AB10" s="10">
        <v>41.54</v>
      </c>
      <c r="AC10" s="10">
        <v>35.407999999999994</v>
      </c>
      <c r="AD10" s="10">
        <v>36.476999999999997</v>
      </c>
      <c r="AE10" s="10">
        <v>27.864999999999998</v>
      </c>
      <c r="AF10" s="10">
        <v>22.683</v>
      </c>
      <c r="AG10" s="10">
        <v>35.723999999999997</v>
      </c>
      <c r="AH10" s="10">
        <v>19.640999999999998</v>
      </c>
      <c r="AI10" s="10">
        <v>48.756</v>
      </c>
      <c r="AJ10" s="10">
        <v>38.274000000000001</v>
      </c>
      <c r="AK10" s="10">
        <v>41.951000000000008</v>
      </c>
      <c r="AL10" s="10">
        <v>22.565999999999999</v>
      </c>
      <c r="AM10" s="10">
        <v>33.099999999999994</v>
      </c>
      <c r="AN10" s="46">
        <f t="shared" si="0"/>
        <v>32.949545454545451</v>
      </c>
      <c r="AO10" s="7">
        <f t="shared" si="1"/>
        <v>5.4915909090909087</v>
      </c>
    </row>
    <row r="11" spans="1:41" x14ac:dyDescent="0.3">
      <c r="A11" s="5">
        <v>10</v>
      </c>
      <c r="B11" s="6" t="s">
        <v>9</v>
      </c>
      <c r="C11" s="12" t="s">
        <v>205</v>
      </c>
      <c r="D11" s="6" t="s">
        <v>30</v>
      </c>
      <c r="E11" s="6" t="s">
        <v>12</v>
      </c>
      <c r="F11" s="6" t="s">
        <v>13</v>
      </c>
      <c r="G11" s="6" t="s">
        <v>35</v>
      </c>
      <c r="H11" s="92">
        <v>3</v>
      </c>
      <c r="I11" s="94" t="s">
        <v>589</v>
      </c>
      <c r="J11" s="93">
        <v>53.935000000000002</v>
      </c>
      <c r="K11" s="10">
        <v>88.72499999999998</v>
      </c>
      <c r="L11" s="10">
        <v>92.418000000000006</v>
      </c>
      <c r="M11" s="10">
        <v>128.50300000000001</v>
      </c>
      <c r="N11" s="10">
        <v>133.13499999999999</v>
      </c>
      <c r="O11" s="10">
        <v>49.350999999999999</v>
      </c>
      <c r="P11" s="10">
        <v>132.459</v>
      </c>
      <c r="Q11" s="10">
        <v>79.910000000000011</v>
      </c>
      <c r="R11" s="10">
        <v>60.588999999999999</v>
      </c>
      <c r="S11" s="10">
        <v>97.123000000000019</v>
      </c>
      <c r="T11" s="10">
        <v>84.349000000000004</v>
      </c>
      <c r="U11" s="10">
        <v>113.77899999999998</v>
      </c>
      <c r="V11" s="10">
        <v>97.148999999999987</v>
      </c>
      <c r="W11" s="10">
        <v>66.159000000000006</v>
      </c>
      <c r="X11" s="10">
        <v>48.784999999999997</v>
      </c>
      <c r="Y11" s="10">
        <v>93.751999999999995</v>
      </c>
      <c r="Z11" s="10">
        <v>85.826999999999998</v>
      </c>
      <c r="AA11" s="10">
        <v>87.13</v>
      </c>
      <c r="AB11" s="10">
        <v>103.345</v>
      </c>
      <c r="AC11" s="10">
        <v>56.811</v>
      </c>
      <c r="AD11" s="10">
        <v>51.753</v>
      </c>
      <c r="AE11" s="10">
        <v>112.66500000000001</v>
      </c>
      <c r="AF11" s="10">
        <v>76.013000000000005</v>
      </c>
      <c r="AG11" s="10">
        <v>92.319000000000003</v>
      </c>
      <c r="AH11" s="10">
        <v>83.935000000000002</v>
      </c>
      <c r="AI11" s="10">
        <v>115.59399999999999</v>
      </c>
      <c r="AJ11" s="10">
        <v>80.024999999999991</v>
      </c>
      <c r="AK11" s="10">
        <v>87.646999999999991</v>
      </c>
      <c r="AL11" s="10">
        <v>53.220000000000006</v>
      </c>
      <c r="AM11" s="10">
        <v>86.206999999999994</v>
      </c>
      <c r="AN11" s="46">
        <f t="shared" si="0"/>
        <v>81.471727272727264</v>
      </c>
      <c r="AO11" s="7">
        <f t="shared" si="1"/>
        <v>27.157242424242423</v>
      </c>
    </row>
    <row r="12" spans="1:41" x14ac:dyDescent="0.3">
      <c r="A12" s="5">
        <v>11</v>
      </c>
      <c r="B12" s="6" t="s">
        <v>9</v>
      </c>
      <c r="C12" s="12" t="s">
        <v>248</v>
      </c>
      <c r="D12" s="6" t="s">
        <v>128</v>
      </c>
      <c r="E12" s="6" t="s">
        <v>19</v>
      </c>
      <c r="F12" s="6" t="s">
        <v>13</v>
      </c>
      <c r="G12" s="6" t="s">
        <v>35</v>
      </c>
      <c r="H12" s="92">
        <v>1</v>
      </c>
      <c r="I12" s="12" t="s">
        <v>590</v>
      </c>
      <c r="J12" s="54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10">
        <v>3.3879999999999999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10">
        <v>3.395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10">
        <v>3.41</v>
      </c>
      <c r="AG12" s="46">
        <v>0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54">
        <v>0</v>
      </c>
      <c r="AN12" s="46">
        <f t="shared" si="0"/>
        <v>0.31</v>
      </c>
      <c r="AO12" s="7">
        <f t="shared" si="1"/>
        <v>0.31</v>
      </c>
    </row>
    <row r="13" spans="1:41" x14ac:dyDescent="0.3">
      <c r="A13" s="5">
        <v>12</v>
      </c>
      <c r="B13" s="6" t="s">
        <v>9</v>
      </c>
      <c r="C13" s="12" t="s">
        <v>207</v>
      </c>
      <c r="D13" s="6" t="s">
        <v>128</v>
      </c>
      <c r="E13" s="6" t="s">
        <v>12</v>
      </c>
      <c r="F13" s="6" t="s">
        <v>40</v>
      </c>
      <c r="G13" s="6" t="s">
        <v>35</v>
      </c>
      <c r="H13" s="92">
        <v>2</v>
      </c>
      <c r="I13" s="67" t="s">
        <v>160</v>
      </c>
      <c r="J13" s="54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10">
        <v>5.0979999999999999</v>
      </c>
      <c r="Z13" s="46">
        <v>0</v>
      </c>
      <c r="AA13" s="10">
        <v>48.072000000000003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10">
        <v>2.5670000000000002</v>
      </c>
      <c r="AK13" s="46">
        <v>0</v>
      </c>
      <c r="AL13" s="46">
        <v>0</v>
      </c>
      <c r="AM13" s="54">
        <v>0</v>
      </c>
      <c r="AN13" s="46">
        <f t="shared" si="0"/>
        <v>0.23336363636363638</v>
      </c>
      <c r="AO13" s="7">
        <f t="shared" si="1"/>
        <v>0.11668181818181819</v>
      </c>
    </row>
    <row r="14" spans="1:41" x14ac:dyDescent="0.3">
      <c r="A14" s="5">
        <v>13</v>
      </c>
      <c r="B14" s="6" t="s">
        <v>9</v>
      </c>
      <c r="C14" s="12" t="s">
        <v>207</v>
      </c>
      <c r="D14" s="6" t="s">
        <v>128</v>
      </c>
      <c r="E14" s="6" t="s">
        <v>12</v>
      </c>
      <c r="F14" s="6" t="s">
        <v>255</v>
      </c>
      <c r="G14" s="6" t="s">
        <v>80</v>
      </c>
      <c r="H14" s="92">
        <v>2</v>
      </c>
      <c r="I14" s="67" t="s">
        <v>160</v>
      </c>
      <c r="J14" s="93">
        <v>87.75</v>
      </c>
      <c r="K14" s="10">
        <v>51.03</v>
      </c>
      <c r="L14" s="10">
        <v>78.900000000000006</v>
      </c>
      <c r="M14" s="10">
        <v>54.440000000000005</v>
      </c>
      <c r="N14" s="10">
        <v>110.80000000000001</v>
      </c>
      <c r="O14" s="10">
        <v>27.169999999999998</v>
      </c>
      <c r="P14" s="10">
        <v>55.690000000000005</v>
      </c>
      <c r="Q14" s="10">
        <v>122.05999999999997</v>
      </c>
      <c r="R14" s="10">
        <v>143.47</v>
      </c>
      <c r="S14" s="10">
        <v>21.86</v>
      </c>
      <c r="T14" s="10">
        <v>28.16</v>
      </c>
      <c r="U14" s="10">
        <v>68.109999999999985</v>
      </c>
      <c r="V14" s="10">
        <v>87.800000000000011</v>
      </c>
      <c r="W14" s="10">
        <v>46.720000000000006</v>
      </c>
      <c r="X14" s="10">
        <v>96.329999999999984</v>
      </c>
      <c r="Y14" s="10">
        <v>23.02</v>
      </c>
      <c r="Z14" s="10">
        <v>31.380000000000003</v>
      </c>
      <c r="AA14" s="10">
        <v>57.11</v>
      </c>
      <c r="AB14" s="10">
        <v>32.590000000000003</v>
      </c>
      <c r="AC14" s="10">
        <v>86.139999999999986</v>
      </c>
      <c r="AD14" s="10">
        <v>33.21</v>
      </c>
      <c r="AE14" s="10">
        <v>27.89</v>
      </c>
      <c r="AF14" s="10">
        <v>38.39</v>
      </c>
      <c r="AG14" s="10">
        <v>41.53</v>
      </c>
      <c r="AH14" s="10">
        <v>30.28</v>
      </c>
      <c r="AI14" s="46">
        <v>0</v>
      </c>
      <c r="AJ14" s="10">
        <v>24.42</v>
      </c>
      <c r="AK14" s="10">
        <v>44.95</v>
      </c>
      <c r="AL14" s="10">
        <v>31.53</v>
      </c>
      <c r="AM14" s="10">
        <v>16.57</v>
      </c>
      <c r="AN14" s="46">
        <f t="shared" si="0"/>
        <v>34.082727272727276</v>
      </c>
      <c r="AO14" s="7">
        <f t="shared" si="1"/>
        <v>17.041363636363638</v>
      </c>
    </row>
    <row r="15" spans="1:41" x14ac:dyDescent="0.3">
      <c r="A15" s="5">
        <v>14</v>
      </c>
      <c r="B15" s="6" t="s">
        <v>9</v>
      </c>
      <c r="C15" s="12" t="s">
        <v>208</v>
      </c>
      <c r="D15" s="6" t="s">
        <v>128</v>
      </c>
      <c r="E15" s="6" t="s">
        <v>12</v>
      </c>
      <c r="F15" s="6" t="s">
        <v>13</v>
      </c>
      <c r="G15" s="6" t="s">
        <v>35</v>
      </c>
      <c r="H15" s="92">
        <v>10</v>
      </c>
      <c r="I15" s="94" t="s">
        <v>273</v>
      </c>
      <c r="J15" s="93">
        <v>137.18799999999999</v>
      </c>
      <c r="K15" s="10">
        <v>315.69799999999998</v>
      </c>
      <c r="L15" s="10">
        <v>84.024000000000001</v>
      </c>
      <c r="M15" s="10">
        <v>169.81200000000001</v>
      </c>
      <c r="N15" s="10">
        <v>154.79600000000002</v>
      </c>
      <c r="O15" s="10">
        <v>204.37299999999999</v>
      </c>
      <c r="P15" s="10">
        <v>162.66499999999999</v>
      </c>
      <c r="Q15" s="10">
        <v>138.01599999999999</v>
      </c>
      <c r="R15" s="10">
        <v>39.551000000000002</v>
      </c>
      <c r="S15" s="10">
        <v>276.87200000000001</v>
      </c>
      <c r="T15" s="10">
        <v>123.364</v>
      </c>
      <c r="U15" s="10">
        <v>104.283</v>
      </c>
      <c r="V15" s="10">
        <v>38.484999999999999</v>
      </c>
      <c r="W15" s="10">
        <v>361.63500000000005</v>
      </c>
      <c r="X15" s="10">
        <v>238.02600000000001</v>
      </c>
      <c r="Y15" s="10">
        <v>32.583999999999996</v>
      </c>
      <c r="Z15" s="10">
        <v>43.86</v>
      </c>
      <c r="AA15" s="10">
        <v>323.46899999999999</v>
      </c>
      <c r="AB15" s="10">
        <v>156.64200000000002</v>
      </c>
      <c r="AC15" s="10">
        <v>156.41400000000002</v>
      </c>
      <c r="AD15" s="10">
        <v>112.029</v>
      </c>
      <c r="AE15" s="10">
        <v>83.031000000000006</v>
      </c>
      <c r="AF15" s="10">
        <v>23.547999999999998</v>
      </c>
      <c r="AG15" s="10">
        <v>70.968000000000004</v>
      </c>
      <c r="AH15" s="10">
        <v>217.54599999999999</v>
      </c>
      <c r="AI15" s="10">
        <v>104.18100000000001</v>
      </c>
      <c r="AJ15" s="10">
        <v>106.38100000000001</v>
      </c>
      <c r="AK15" s="10">
        <v>119.58499999999999</v>
      </c>
      <c r="AL15" s="10">
        <v>183.21899999999999</v>
      </c>
      <c r="AM15" s="10">
        <v>133.58099999999999</v>
      </c>
      <c r="AN15" s="46">
        <f t="shared" si="0"/>
        <v>119.13481818181818</v>
      </c>
      <c r="AO15" s="7">
        <f t="shared" si="1"/>
        <v>11.913481818181818</v>
      </c>
    </row>
    <row r="16" spans="1:41" x14ac:dyDescent="0.3">
      <c r="A16" s="5">
        <v>15</v>
      </c>
      <c r="B16" s="6" t="s">
        <v>9</v>
      </c>
      <c r="C16" s="12" t="s">
        <v>208</v>
      </c>
      <c r="D16" s="6" t="s">
        <v>128</v>
      </c>
      <c r="E16" s="6" t="s">
        <v>12</v>
      </c>
      <c r="F16" s="6" t="s">
        <v>124</v>
      </c>
      <c r="G16" s="6" t="s">
        <v>80</v>
      </c>
      <c r="H16" s="92">
        <v>1</v>
      </c>
      <c r="I16" s="94" t="s">
        <v>273</v>
      </c>
      <c r="J16" s="93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54">
        <v>0</v>
      </c>
      <c r="AN16" s="46">
        <f t="shared" si="0"/>
        <v>0</v>
      </c>
      <c r="AO16" s="7">
        <f t="shared" si="1"/>
        <v>0</v>
      </c>
    </row>
    <row r="17" spans="1:41" x14ac:dyDescent="0.3">
      <c r="A17" s="5">
        <v>16</v>
      </c>
      <c r="B17" s="6" t="s">
        <v>9</v>
      </c>
      <c r="C17" s="12" t="s">
        <v>244</v>
      </c>
      <c r="D17" s="6" t="s">
        <v>128</v>
      </c>
      <c r="E17" s="6" t="s">
        <v>12</v>
      </c>
      <c r="F17" s="6" t="s">
        <v>13</v>
      </c>
      <c r="G17" s="6" t="s">
        <v>35</v>
      </c>
      <c r="H17" s="92">
        <v>4</v>
      </c>
      <c r="I17" s="67" t="s">
        <v>160</v>
      </c>
      <c r="J17" s="93">
        <v>8.8819999999999997</v>
      </c>
      <c r="K17" s="10">
        <v>15.027000000000001</v>
      </c>
      <c r="L17" s="10">
        <v>12.14</v>
      </c>
      <c r="M17" s="10">
        <v>15.959</v>
      </c>
      <c r="N17" s="10">
        <v>28.797000000000001</v>
      </c>
      <c r="O17" s="10">
        <v>12.645999999999997</v>
      </c>
      <c r="P17" s="10">
        <v>21.305</v>
      </c>
      <c r="Q17" s="10">
        <v>10.65</v>
      </c>
      <c r="R17" s="10">
        <v>22.341000000000001</v>
      </c>
      <c r="S17" s="10">
        <v>51.171000000000006</v>
      </c>
      <c r="T17" s="10">
        <v>10.411999999999999</v>
      </c>
      <c r="U17" s="10">
        <v>18.290000000000003</v>
      </c>
      <c r="V17" s="10">
        <v>20.536999999999995</v>
      </c>
      <c r="W17" s="10">
        <v>30.706</v>
      </c>
      <c r="X17" s="10">
        <v>15.01</v>
      </c>
      <c r="Y17" s="10">
        <v>20.709</v>
      </c>
      <c r="Z17" s="10">
        <v>23.317</v>
      </c>
      <c r="AA17" s="10">
        <v>23.138999999999999</v>
      </c>
      <c r="AB17" s="10">
        <v>28.032</v>
      </c>
      <c r="AC17" s="10">
        <v>23.272000000000002</v>
      </c>
      <c r="AD17" s="10">
        <v>30.857000000000006</v>
      </c>
      <c r="AE17" s="10">
        <v>19.366</v>
      </c>
      <c r="AF17" s="10">
        <v>20.098000000000003</v>
      </c>
      <c r="AG17" s="10">
        <v>26.840000000000003</v>
      </c>
      <c r="AH17" s="10">
        <v>26.688000000000006</v>
      </c>
      <c r="AI17" s="10">
        <v>16.358999999999998</v>
      </c>
      <c r="AJ17" s="10">
        <v>28.450000000000003</v>
      </c>
      <c r="AK17" s="10">
        <v>16.346000000000004</v>
      </c>
      <c r="AL17" s="10">
        <v>6.7039999999999997</v>
      </c>
      <c r="AM17" s="10">
        <v>5.633</v>
      </c>
      <c r="AN17" s="46">
        <f t="shared" si="0"/>
        <v>20.055727272727275</v>
      </c>
      <c r="AO17" s="7">
        <f t="shared" si="1"/>
        <v>5.0139318181818187</v>
      </c>
    </row>
    <row r="18" spans="1:41" x14ac:dyDescent="0.3">
      <c r="A18" s="5">
        <v>17</v>
      </c>
      <c r="B18" s="6" t="s">
        <v>9</v>
      </c>
      <c r="C18" s="12" t="s">
        <v>244</v>
      </c>
      <c r="D18" s="6" t="s">
        <v>128</v>
      </c>
      <c r="E18" s="6" t="s">
        <v>12</v>
      </c>
      <c r="F18" s="6" t="s">
        <v>40</v>
      </c>
      <c r="G18" s="6" t="s">
        <v>35</v>
      </c>
      <c r="H18" s="92">
        <v>1</v>
      </c>
      <c r="I18" s="67" t="s">
        <v>160</v>
      </c>
      <c r="J18" s="54">
        <v>0</v>
      </c>
      <c r="K18" s="45">
        <v>0</v>
      </c>
      <c r="L18" s="45">
        <v>0</v>
      </c>
      <c r="M18" s="46">
        <v>0</v>
      </c>
      <c r="N18" s="45">
        <v>0</v>
      </c>
      <c r="O18" s="46">
        <v>0</v>
      </c>
      <c r="P18" s="46">
        <v>0</v>
      </c>
      <c r="Q18" s="46">
        <v>0</v>
      </c>
      <c r="R18" s="45">
        <v>0</v>
      </c>
      <c r="S18" s="45">
        <v>0</v>
      </c>
      <c r="T18" s="45">
        <v>0</v>
      </c>
      <c r="U18" s="45">
        <v>0</v>
      </c>
      <c r="V18" s="45">
        <v>0</v>
      </c>
      <c r="W18" s="45">
        <v>0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0</v>
      </c>
      <c r="AD18" s="46">
        <v>0</v>
      </c>
      <c r="AE18" s="60">
        <v>0</v>
      </c>
      <c r="AF18" s="60">
        <v>0</v>
      </c>
      <c r="AG18" s="46">
        <v>0</v>
      </c>
      <c r="AH18" s="46">
        <v>0</v>
      </c>
      <c r="AI18" s="60">
        <v>0</v>
      </c>
      <c r="AJ18" s="60">
        <v>0</v>
      </c>
      <c r="AK18" s="46">
        <v>0</v>
      </c>
      <c r="AL18" s="46">
        <v>0</v>
      </c>
      <c r="AM18" s="54">
        <v>0</v>
      </c>
      <c r="AN18" s="46">
        <f t="shared" si="0"/>
        <v>0</v>
      </c>
      <c r="AO18" s="7">
        <f t="shared" si="1"/>
        <v>0</v>
      </c>
    </row>
    <row r="19" spans="1:41" x14ac:dyDescent="0.3">
      <c r="A19" s="5">
        <v>18</v>
      </c>
      <c r="B19" s="6" t="s">
        <v>9</v>
      </c>
      <c r="C19" s="12" t="s">
        <v>196</v>
      </c>
      <c r="D19" s="6" t="s">
        <v>128</v>
      </c>
      <c r="E19" s="6" t="s">
        <v>12</v>
      </c>
      <c r="F19" s="6" t="s">
        <v>13</v>
      </c>
      <c r="G19" s="6" t="s">
        <v>35</v>
      </c>
      <c r="H19" s="92">
        <v>19</v>
      </c>
      <c r="I19" s="94" t="s">
        <v>273</v>
      </c>
      <c r="J19" s="93">
        <v>187.92599999999999</v>
      </c>
      <c r="K19" s="10">
        <v>161.09399999999999</v>
      </c>
      <c r="L19" s="10">
        <v>144.12600000000003</v>
      </c>
      <c r="M19" s="10">
        <v>206.285</v>
      </c>
      <c r="N19" s="10">
        <v>180.51199999999997</v>
      </c>
      <c r="O19" s="10">
        <v>186.89000000000004</v>
      </c>
      <c r="P19" s="10">
        <v>172.88</v>
      </c>
      <c r="Q19" s="10">
        <v>175.501</v>
      </c>
      <c r="R19" s="10">
        <v>145.399</v>
      </c>
      <c r="S19" s="10">
        <v>126.80200000000001</v>
      </c>
      <c r="T19" s="10">
        <v>190.54399999999995</v>
      </c>
      <c r="U19" s="10">
        <v>229.82099999999997</v>
      </c>
      <c r="V19" s="10">
        <v>174.78</v>
      </c>
      <c r="W19" s="10">
        <v>160.87</v>
      </c>
      <c r="X19" s="10">
        <v>202.67599999999999</v>
      </c>
      <c r="Y19" s="10">
        <v>189.697</v>
      </c>
      <c r="Z19" s="10">
        <v>208.93499999999997</v>
      </c>
      <c r="AA19" s="10">
        <v>155.744</v>
      </c>
      <c r="AB19" s="10">
        <v>192.74499999999998</v>
      </c>
      <c r="AC19" s="10">
        <v>182.691</v>
      </c>
      <c r="AD19" s="10">
        <v>184.66299999999995</v>
      </c>
      <c r="AE19" s="10">
        <v>169.75900000000001</v>
      </c>
      <c r="AF19" s="10">
        <v>179.52899999999997</v>
      </c>
      <c r="AG19" s="10">
        <v>131.85099999999997</v>
      </c>
      <c r="AH19" s="10">
        <v>92.751000000000005</v>
      </c>
      <c r="AI19" s="10">
        <v>190.77899999999994</v>
      </c>
      <c r="AJ19" s="10">
        <v>140.523</v>
      </c>
      <c r="AK19" s="10">
        <v>177.74599999999998</v>
      </c>
      <c r="AL19" s="10">
        <v>147.96799999999999</v>
      </c>
      <c r="AM19" s="10">
        <v>125.33899999999998</v>
      </c>
      <c r="AN19" s="46">
        <f t="shared" si="0"/>
        <v>156.69081818181817</v>
      </c>
      <c r="AO19" s="7">
        <f t="shared" si="1"/>
        <v>8.2468851674641144</v>
      </c>
    </row>
    <row r="20" spans="1:41" x14ac:dyDescent="0.3">
      <c r="A20" s="5">
        <v>19</v>
      </c>
      <c r="B20" s="6" t="s">
        <v>9</v>
      </c>
      <c r="C20" s="12" t="s">
        <v>196</v>
      </c>
      <c r="D20" s="6" t="s">
        <v>128</v>
      </c>
      <c r="E20" s="6" t="s">
        <v>12</v>
      </c>
      <c r="F20" s="6" t="s">
        <v>124</v>
      </c>
      <c r="G20" s="6" t="s">
        <v>80</v>
      </c>
      <c r="H20" s="92">
        <v>1</v>
      </c>
      <c r="I20" s="94" t="s">
        <v>273</v>
      </c>
      <c r="J20" s="54">
        <v>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54">
        <v>0</v>
      </c>
      <c r="AN20" s="46">
        <f t="shared" si="0"/>
        <v>0</v>
      </c>
      <c r="AO20" s="7">
        <f t="shared" si="1"/>
        <v>0</v>
      </c>
    </row>
    <row r="21" spans="1:41" x14ac:dyDescent="0.3">
      <c r="A21" s="5">
        <v>20</v>
      </c>
      <c r="B21" s="6" t="s">
        <v>9</v>
      </c>
      <c r="C21" s="12" t="s">
        <v>196</v>
      </c>
      <c r="D21" s="6" t="s">
        <v>128</v>
      </c>
      <c r="E21" s="6" t="s">
        <v>12</v>
      </c>
      <c r="F21" s="6" t="s">
        <v>516</v>
      </c>
      <c r="G21" s="6" t="s">
        <v>80</v>
      </c>
      <c r="H21" s="92">
        <v>1</v>
      </c>
      <c r="I21" s="94" t="s">
        <v>273</v>
      </c>
      <c r="J21" s="93">
        <v>30.26</v>
      </c>
      <c r="K21" s="10">
        <v>23.54</v>
      </c>
      <c r="L21" s="10">
        <v>0.29000000000000004</v>
      </c>
      <c r="M21" s="10">
        <v>17.310000000000002</v>
      </c>
      <c r="N21" s="10">
        <v>0.25</v>
      </c>
      <c r="O21" s="10">
        <v>6.5099999999999989</v>
      </c>
      <c r="P21" s="10">
        <v>6.7700000000000005</v>
      </c>
      <c r="Q21" s="10">
        <v>0.22999999999999998</v>
      </c>
      <c r="R21" s="10">
        <v>2.25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10">
        <v>13.92</v>
      </c>
      <c r="AJ21" s="10">
        <v>21.15</v>
      </c>
      <c r="AK21" s="10">
        <v>43.56</v>
      </c>
      <c r="AL21" s="10">
        <v>58.370000000000005</v>
      </c>
      <c r="AM21" s="10">
        <v>34.290000000000006</v>
      </c>
      <c r="AN21" s="46">
        <f t="shared" si="0"/>
        <v>15.571818181818184</v>
      </c>
      <c r="AO21" s="7">
        <f t="shared" si="1"/>
        <v>15.571818181818184</v>
      </c>
    </row>
    <row r="22" spans="1:41" x14ac:dyDescent="0.3">
      <c r="A22" s="5">
        <v>21</v>
      </c>
      <c r="B22" s="6" t="s">
        <v>9</v>
      </c>
      <c r="C22" s="12" t="s">
        <v>474</v>
      </c>
      <c r="D22" s="6" t="s">
        <v>128</v>
      </c>
      <c r="E22" s="6" t="s">
        <v>12</v>
      </c>
      <c r="F22" s="6" t="s">
        <v>13</v>
      </c>
      <c r="G22" s="6" t="s">
        <v>35</v>
      </c>
      <c r="H22" s="92">
        <v>8</v>
      </c>
      <c r="I22" s="94" t="s">
        <v>273</v>
      </c>
      <c r="J22" s="93">
        <v>162.39500000000004</v>
      </c>
      <c r="K22" s="10">
        <v>127.00900000000003</v>
      </c>
      <c r="L22" s="10">
        <v>212.35900000000004</v>
      </c>
      <c r="M22" s="10">
        <v>121.598</v>
      </c>
      <c r="N22" s="10">
        <v>151.45000000000002</v>
      </c>
      <c r="O22" s="10">
        <v>182.96599999999995</v>
      </c>
      <c r="P22" s="10">
        <v>148.48600000000002</v>
      </c>
      <c r="Q22" s="10">
        <v>192.45999999999995</v>
      </c>
      <c r="R22" s="10">
        <v>155.36199999999999</v>
      </c>
      <c r="S22" s="10">
        <v>143.44200000000001</v>
      </c>
      <c r="T22" s="10">
        <v>210.36000000000007</v>
      </c>
      <c r="U22" s="10">
        <v>166.685</v>
      </c>
      <c r="V22" s="10">
        <v>137.44100000000006</v>
      </c>
      <c r="W22" s="10">
        <v>158.24799999999993</v>
      </c>
      <c r="X22" s="10">
        <v>256.36600000000004</v>
      </c>
      <c r="Y22" s="10">
        <v>217.626</v>
      </c>
      <c r="Z22" s="10">
        <v>169.20700000000002</v>
      </c>
      <c r="AA22" s="10">
        <v>201.14999999999998</v>
      </c>
      <c r="AB22" s="10">
        <v>181.38800000000009</v>
      </c>
      <c r="AC22" s="10">
        <v>202.00800000000004</v>
      </c>
      <c r="AD22" s="10">
        <v>168.697</v>
      </c>
      <c r="AE22" s="10">
        <v>209.52600000000001</v>
      </c>
      <c r="AF22" s="10">
        <v>140.19300000000004</v>
      </c>
      <c r="AG22" s="10">
        <v>137.49</v>
      </c>
      <c r="AH22" s="10">
        <v>149.346</v>
      </c>
      <c r="AI22" s="10">
        <v>110.63399999999999</v>
      </c>
      <c r="AJ22" s="10">
        <v>282.32599999999991</v>
      </c>
      <c r="AK22" s="10">
        <v>197.27100000000007</v>
      </c>
      <c r="AL22" s="10">
        <v>225.17700000000002</v>
      </c>
      <c r="AM22" s="10">
        <v>253.94400000000002</v>
      </c>
      <c r="AN22" s="46">
        <f t="shared" si="0"/>
        <v>188.7829090909091</v>
      </c>
      <c r="AO22" s="7">
        <f t="shared" si="1"/>
        <v>23.597863636363638</v>
      </c>
    </row>
    <row r="23" spans="1:41" x14ac:dyDescent="0.3">
      <c r="A23" s="5">
        <v>22</v>
      </c>
      <c r="B23" s="6" t="s">
        <v>9</v>
      </c>
      <c r="C23" s="12" t="s">
        <v>473</v>
      </c>
      <c r="D23" s="6" t="s">
        <v>128</v>
      </c>
      <c r="E23" s="6" t="s">
        <v>12</v>
      </c>
      <c r="F23" s="6" t="s">
        <v>40</v>
      </c>
      <c r="G23" s="6" t="s">
        <v>35</v>
      </c>
      <c r="H23" s="92">
        <v>2</v>
      </c>
      <c r="I23" s="67" t="s">
        <v>160</v>
      </c>
      <c r="J23" s="93">
        <v>8.17</v>
      </c>
      <c r="K23" s="10">
        <v>2.621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10">
        <v>3.5870000000000002</v>
      </c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54">
        <v>0</v>
      </c>
      <c r="AN23" s="46">
        <f t="shared" si="0"/>
        <v>0.3260909090909091</v>
      </c>
      <c r="AO23" s="7">
        <f t="shared" si="1"/>
        <v>0.16304545454545455</v>
      </c>
    </row>
    <row r="24" spans="1:41" x14ac:dyDescent="0.3">
      <c r="A24" s="5">
        <v>23</v>
      </c>
      <c r="B24" s="6" t="s">
        <v>9</v>
      </c>
      <c r="C24" s="12" t="s">
        <v>473</v>
      </c>
      <c r="D24" s="6" t="s">
        <v>128</v>
      </c>
      <c r="E24" s="6" t="s">
        <v>12</v>
      </c>
      <c r="F24" s="6" t="s">
        <v>95</v>
      </c>
      <c r="G24" s="6" t="s">
        <v>80</v>
      </c>
      <c r="H24" s="92">
        <v>1</v>
      </c>
      <c r="I24" s="67" t="s">
        <v>160</v>
      </c>
      <c r="J24" s="54">
        <v>0</v>
      </c>
      <c r="K24" s="46">
        <v>0</v>
      </c>
      <c r="L24" s="46">
        <v>0</v>
      </c>
      <c r="M24" s="46">
        <v>0</v>
      </c>
      <c r="N24" s="10">
        <v>8.82</v>
      </c>
      <c r="O24" s="10">
        <v>17.7</v>
      </c>
      <c r="P24" s="46">
        <v>0</v>
      </c>
      <c r="Q24" s="10">
        <v>11.1</v>
      </c>
      <c r="R24" s="46">
        <v>0</v>
      </c>
      <c r="S24" s="46">
        <v>0</v>
      </c>
      <c r="T24" s="45">
        <v>0</v>
      </c>
      <c r="U24" s="10">
        <v>10.16</v>
      </c>
      <c r="V24" s="10">
        <v>10.32</v>
      </c>
      <c r="W24" s="46">
        <v>0</v>
      </c>
      <c r="X24" s="10">
        <v>24.11</v>
      </c>
      <c r="Y24" s="10">
        <v>14.530000000000001</v>
      </c>
      <c r="Z24" s="10">
        <v>46.67</v>
      </c>
      <c r="AA24" s="46">
        <v>0</v>
      </c>
      <c r="AB24" s="46">
        <v>0</v>
      </c>
      <c r="AC24" s="46">
        <v>0</v>
      </c>
      <c r="AD24" s="46">
        <v>0</v>
      </c>
      <c r="AE24" s="10">
        <v>9.16</v>
      </c>
      <c r="AF24" s="10">
        <v>18.22</v>
      </c>
      <c r="AG24" s="10">
        <v>21.73</v>
      </c>
      <c r="AH24" s="10">
        <v>18.229999999999997</v>
      </c>
      <c r="AI24" s="46">
        <v>0</v>
      </c>
      <c r="AJ24" s="46">
        <v>0</v>
      </c>
      <c r="AK24" s="46">
        <v>0</v>
      </c>
      <c r="AL24" s="10">
        <v>1.95</v>
      </c>
      <c r="AM24" s="10">
        <v>0.36</v>
      </c>
      <c r="AN24" s="46">
        <f t="shared" si="0"/>
        <v>6.331818181818182</v>
      </c>
      <c r="AO24" s="7">
        <f t="shared" si="1"/>
        <v>6.331818181818182</v>
      </c>
    </row>
    <row r="25" spans="1:41" x14ac:dyDescent="0.3">
      <c r="A25" s="5">
        <v>24</v>
      </c>
      <c r="B25" s="6" t="s">
        <v>9</v>
      </c>
      <c r="C25" s="12" t="s">
        <v>473</v>
      </c>
      <c r="D25" s="6" t="s">
        <v>128</v>
      </c>
      <c r="E25" s="6" t="s">
        <v>12</v>
      </c>
      <c r="F25" s="6" t="s">
        <v>309</v>
      </c>
      <c r="G25" s="6" t="s">
        <v>80</v>
      </c>
      <c r="H25" s="92">
        <v>1</v>
      </c>
      <c r="I25" s="67" t="s">
        <v>160</v>
      </c>
      <c r="J25" s="93">
        <v>12.88</v>
      </c>
      <c r="K25" s="10">
        <v>10.130000000000001</v>
      </c>
      <c r="L25" s="10">
        <v>1.98</v>
      </c>
      <c r="M25" s="10">
        <v>49.099999999999994</v>
      </c>
      <c r="N25" s="10">
        <v>30.44</v>
      </c>
      <c r="O25" s="10">
        <v>38.409999999999997</v>
      </c>
      <c r="P25" s="10">
        <v>54.029999999999994</v>
      </c>
      <c r="Q25" s="10">
        <v>38.770000000000003</v>
      </c>
      <c r="R25" s="10">
        <v>14.16</v>
      </c>
      <c r="S25" s="10">
        <v>0.67</v>
      </c>
      <c r="T25" s="10">
        <v>34.870000000000005</v>
      </c>
      <c r="U25" s="10">
        <v>32.67</v>
      </c>
      <c r="V25" s="10">
        <v>43.63</v>
      </c>
      <c r="W25" s="10">
        <v>37.700000000000003</v>
      </c>
      <c r="X25" s="10">
        <v>25.57</v>
      </c>
      <c r="Y25" s="46">
        <v>0</v>
      </c>
      <c r="Z25" s="10">
        <v>2.2899999999999996</v>
      </c>
      <c r="AA25" s="10">
        <v>40.730000000000004</v>
      </c>
      <c r="AB25" s="10">
        <v>45.05</v>
      </c>
      <c r="AC25" s="10">
        <v>52.49</v>
      </c>
      <c r="AD25" s="10">
        <v>33.56</v>
      </c>
      <c r="AE25" s="10">
        <v>42.17</v>
      </c>
      <c r="AF25" s="10">
        <v>5.33</v>
      </c>
      <c r="AG25" s="46">
        <v>0</v>
      </c>
      <c r="AH25" s="10">
        <v>34.510000000000005</v>
      </c>
      <c r="AI25" s="10">
        <v>37.39</v>
      </c>
      <c r="AJ25" s="10">
        <v>27.54</v>
      </c>
      <c r="AK25" s="10">
        <v>29.99</v>
      </c>
      <c r="AL25" s="10">
        <v>24.500999999999998</v>
      </c>
      <c r="AM25" s="10">
        <v>19.09</v>
      </c>
      <c r="AN25" s="46">
        <f t="shared" si="0"/>
        <v>27.870090909090905</v>
      </c>
      <c r="AO25" s="7">
        <f t="shared" si="1"/>
        <v>27.870090909090905</v>
      </c>
    </row>
    <row r="26" spans="1:41" x14ac:dyDescent="0.3">
      <c r="A26" s="5">
        <v>25</v>
      </c>
      <c r="B26" s="6" t="s">
        <v>9</v>
      </c>
      <c r="C26" s="12" t="s">
        <v>473</v>
      </c>
      <c r="D26" s="6" t="s">
        <v>128</v>
      </c>
      <c r="E26" s="6" t="s">
        <v>12</v>
      </c>
      <c r="F26" s="6" t="s">
        <v>290</v>
      </c>
      <c r="G26" s="6" t="s">
        <v>80</v>
      </c>
      <c r="H26" s="92">
        <v>1</v>
      </c>
      <c r="I26" s="67" t="s">
        <v>160</v>
      </c>
      <c r="J26" s="93">
        <v>50.649000000000001</v>
      </c>
      <c r="K26" s="10">
        <v>58.025999999999996</v>
      </c>
      <c r="L26" s="10">
        <v>108.14999999999999</v>
      </c>
      <c r="M26" s="10">
        <v>133.97499999999999</v>
      </c>
      <c r="N26" s="10">
        <v>172.55000000000004</v>
      </c>
      <c r="O26" s="10">
        <v>113.74999999999999</v>
      </c>
      <c r="P26" s="10">
        <v>102.499</v>
      </c>
      <c r="Q26" s="10">
        <v>175.45100000000002</v>
      </c>
      <c r="R26" s="10">
        <v>66.3</v>
      </c>
      <c r="S26" s="10">
        <v>11.074999999999999</v>
      </c>
      <c r="T26" s="10">
        <v>144.75</v>
      </c>
      <c r="U26" s="10">
        <v>154.14999999999998</v>
      </c>
      <c r="V26" s="10">
        <v>139.29999999999998</v>
      </c>
      <c r="W26" s="10">
        <v>133.92500000000001</v>
      </c>
      <c r="X26" s="10">
        <v>155.30000000000004</v>
      </c>
      <c r="Y26" s="10">
        <v>119.05</v>
      </c>
      <c r="Z26" s="10">
        <v>19.649999999999999</v>
      </c>
      <c r="AA26" s="10">
        <v>79.574999999999989</v>
      </c>
      <c r="AB26" s="10">
        <v>172.47500000000002</v>
      </c>
      <c r="AC26" s="10">
        <v>123.54999999999997</v>
      </c>
      <c r="AD26" s="10">
        <v>122.52499999999999</v>
      </c>
      <c r="AE26" s="10">
        <v>197.47500000000002</v>
      </c>
      <c r="AF26" s="10">
        <v>71.400000000000006</v>
      </c>
      <c r="AG26" s="10">
        <v>34.35</v>
      </c>
      <c r="AH26" s="10">
        <v>135.14999999999998</v>
      </c>
      <c r="AI26" s="10">
        <v>166.5</v>
      </c>
      <c r="AJ26" s="10">
        <v>151.27500000000001</v>
      </c>
      <c r="AK26" s="10">
        <v>160.6</v>
      </c>
      <c r="AL26" s="10">
        <v>240.875</v>
      </c>
      <c r="AM26" s="10">
        <v>68.75</v>
      </c>
      <c r="AN26" s="46">
        <f t="shared" si="0"/>
        <v>133.8590909090909</v>
      </c>
      <c r="AO26" s="7">
        <f t="shared" si="1"/>
        <v>133.8590909090909</v>
      </c>
    </row>
    <row r="27" spans="1:41" x14ac:dyDescent="0.3">
      <c r="A27" s="5">
        <v>26</v>
      </c>
      <c r="B27" s="6" t="s">
        <v>9</v>
      </c>
      <c r="C27" s="12" t="s">
        <v>473</v>
      </c>
      <c r="D27" s="6" t="s">
        <v>128</v>
      </c>
      <c r="E27" s="6" t="s">
        <v>12</v>
      </c>
      <c r="F27" s="6" t="s">
        <v>409</v>
      </c>
      <c r="G27" s="6" t="s">
        <v>80</v>
      </c>
      <c r="H27" s="92">
        <v>1</v>
      </c>
      <c r="I27" s="67" t="s">
        <v>160</v>
      </c>
      <c r="J27" s="93">
        <v>62.76</v>
      </c>
      <c r="K27" s="10">
        <v>78.09</v>
      </c>
      <c r="L27" s="10">
        <v>95.030000000000015</v>
      </c>
      <c r="M27" s="10">
        <v>232.77000000000004</v>
      </c>
      <c r="N27" s="10">
        <v>301.72000000000003</v>
      </c>
      <c r="O27" s="10">
        <v>255.10999999999999</v>
      </c>
      <c r="P27" s="10">
        <v>200.07</v>
      </c>
      <c r="Q27" s="10">
        <v>274.47999999999996</v>
      </c>
      <c r="R27" s="10">
        <v>110.23</v>
      </c>
      <c r="S27" s="10">
        <v>136.86999999999998</v>
      </c>
      <c r="T27" s="10">
        <v>221.51000000000002</v>
      </c>
      <c r="U27" s="10">
        <v>256.68</v>
      </c>
      <c r="V27" s="10">
        <v>236.70000000000005</v>
      </c>
      <c r="W27" s="10">
        <v>212.26000000000002</v>
      </c>
      <c r="X27" s="10">
        <v>240.22</v>
      </c>
      <c r="Y27" s="10">
        <v>166.37</v>
      </c>
      <c r="Z27" s="10">
        <v>101.22</v>
      </c>
      <c r="AA27" s="10">
        <v>157.81</v>
      </c>
      <c r="AB27" s="10">
        <v>230.87999999999994</v>
      </c>
      <c r="AC27" s="10">
        <v>256.87</v>
      </c>
      <c r="AD27" s="10">
        <v>223.82</v>
      </c>
      <c r="AE27" s="10">
        <v>207.54999999999998</v>
      </c>
      <c r="AF27" s="10">
        <v>102.49000000000001</v>
      </c>
      <c r="AG27" s="10">
        <v>144.6</v>
      </c>
      <c r="AH27" s="10">
        <v>229.83999999999995</v>
      </c>
      <c r="AI27" s="10">
        <v>178.76999999999998</v>
      </c>
      <c r="AJ27" s="10">
        <v>295.21999999999997</v>
      </c>
      <c r="AK27" s="10">
        <v>266.45999999999998</v>
      </c>
      <c r="AL27" s="10">
        <v>228.47</v>
      </c>
      <c r="AM27" s="10">
        <v>88.809999999999988</v>
      </c>
      <c r="AN27" s="46">
        <f t="shared" si="0"/>
        <v>202.08181818181819</v>
      </c>
      <c r="AO27" s="7">
        <f t="shared" si="1"/>
        <v>202.08181818181819</v>
      </c>
    </row>
    <row r="28" spans="1:41" x14ac:dyDescent="0.3">
      <c r="A28" s="5">
        <v>27</v>
      </c>
      <c r="B28" s="6" t="s">
        <v>9</v>
      </c>
      <c r="C28" s="12" t="s">
        <v>269</v>
      </c>
      <c r="D28" s="6" t="s">
        <v>128</v>
      </c>
      <c r="E28" s="6" t="s">
        <v>12</v>
      </c>
      <c r="F28" s="6" t="s">
        <v>13</v>
      </c>
      <c r="G28" s="6" t="s">
        <v>35</v>
      </c>
      <c r="H28" s="92">
        <v>7</v>
      </c>
      <c r="I28" s="94" t="s">
        <v>273</v>
      </c>
      <c r="J28" s="93">
        <v>97.300999999999988</v>
      </c>
      <c r="K28" s="10">
        <v>52.137</v>
      </c>
      <c r="L28" s="10">
        <v>73.968999999999994</v>
      </c>
      <c r="M28" s="10">
        <v>122.45</v>
      </c>
      <c r="N28" s="10">
        <v>116.139</v>
      </c>
      <c r="O28" s="10">
        <v>139.96699999999998</v>
      </c>
      <c r="P28" s="10">
        <v>158.05599999999998</v>
      </c>
      <c r="Q28" s="10">
        <v>140.078</v>
      </c>
      <c r="R28" s="10">
        <v>151.041</v>
      </c>
      <c r="S28" s="10">
        <v>70.407000000000011</v>
      </c>
      <c r="T28" s="10">
        <v>142.83099999999999</v>
      </c>
      <c r="U28" s="10">
        <v>110.96499999999999</v>
      </c>
      <c r="V28" s="10">
        <v>130.536</v>
      </c>
      <c r="W28" s="10">
        <v>122.572</v>
      </c>
      <c r="X28" s="10">
        <v>108.538</v>
      </c>
      <c r="Y28" s="10">
        <v>132.57499999999999</v>
      </c>
      <c r="Z28" s="10">
        <v>86.103000000000009</v>
      </c>
      <c r="AA28" s="10">
        <v>117.17400000000001</v>
      </c>
      <c r="AB28" s="10">
        <v>88.706000000000003</v>
      </c>
      <c r="AC28" s="10">
        <v>77.950000000000017</v>
      </c>
      <c r="AD28" s="10">
        <v>57.076000000000001</v>
      </c>
      <c r="AE28" s="10">
        <v>65.840999999999994</v>
      </c>
      <c r="AF28" s="10">
        <v>107.508</v>
      </c>
      <c r="AG28" s="10">
        <v>79.668999999999997</v>
      </c>
      <c r="AH28" s="10">
        <v>117.53799999999998</v>
      </c>
      <c r="AI28" s="10">
        <v>77.081000000000003</v>
      </c>
      <c r="AJ28" s="10">
        <v>114.88100000000001</v>
      </c>
      <c r="AK28" s="10">
        <v>93.98599999999999</v>
      </c>
      <c r="AL28" s="10">
        <v>135.51999999999998</v>
      </c>
      <c r="AM28" s="10">
        <v>144.084</v>
      </c>
      <c r="AN28" s="46">
        <f t="shared" si="0"/>
        <v>97.37581818181819</v>
      </c>
      <c r="AO28" s="7">
        <f t="shared" si="1"/>
        <v>13.910831168831169</v>
      </c>
    </row>
    <row r="29" spans="1:41" x14ac:dyDescent="0.3">
      <c r="A29" s="5">
        <v>28</v>
      </c>
      <c r="B29" s="6" t="s">
        <v>9</v>
      </c>
      <c r="C29" s="12" t="s">
        <v>270</v>
      </c>
      <c r="D29" s="6" t="s">
        <v>128</v>
      </c>
      <c r="E29" s="6" t="s">
        <v>12</v>
      </c>
      <c r="F29" s="6" t="s">
        <v>13</v>
      </c>
      <c r="G29" s="6" t="s">
        <v>35</v>
      </c>
      <c r="H29" s="92">
        <v>1</v>
      </c>
      <c r="I29" s="67" t="s">
        <v>160</v>
      </c>
      <c r="J29" s="93">
        <v>4.8840000000000003</v>
      </c>
      <c r="K29" s="46">
        <v>0</v>
      </c>
      <c r="L29" s="10">
        <v>9.141</v>
      </c>
      <c r="M29" s="10">
        <v>5.4459999999999997</v>
      </c>
      <c r="N29" s="10">
        <v>3.8460000000000001</v>
      </c>
      <c r="O29" s="10">
        <v>6.41</v>
      </c>
      <c r="P29" s="46">
        <v>0</v>
      </c>
      <c r="Q29" s="46">
        <v>0</v>
      </c>
      <c r="R29" s="10">
        <v>2.4460000000000002</v>
      </c>
      <c r="S29" s="46">
        <v>0</v>
      </c>
      <c r="T29" s="46">
        <v>0</v>
      </c>
      <c r="U29" s="10">
        <v>3.4540000000000002</v>
      </c>
      <c r="V29" s="46">
        <v>0</v>
      </c>
      <c r="W29" s="10">
        <v>1.391</v>
      </c>
      <c r="X29" s="10">
        <v>1.014</v>
      </c>
      <c r="Y29" s="10">
        <v>5.2639999999999993</v>
      </c>
      <c r="Z29" s="46">
        <v>0</v>
      </c>
      <c r="AA29" s="46">
        <v>0</v>
      </c>
      <c r="AB29" s="46">
        <v>0</v>
      </c>
      <c r="AC29" s="10">
        <v>6.7610000000000001</v>
      </c>
      <c r="AD29" s="46">
        <v>0</v>
      </c>
      <c r="AE29" s="10">
        <v>7.8460000000000001</v>
      </c>
      <c r="AF29" s="10">
        <v>3.1720000000000002</v>
      </c>
      <c r="AG29" s="10">
        <v>5.0069999999999997</v>
      </c>
      <c r="AH29" s="10">
        <v>1.8559999999999999</v>
      </c>
      <c r="AI29" s="10">
        <v>3.6669999999999998</v>
      </c>
      <c r="AJ29" s="10">
        <v>10.064</v>
      </c>
      <c r="AK29" s="10">
        <v>0.54700000000000004</v>
      </c>
      <c r="AL29" s="10">
        <v>0.49399999999999999</v>
      </c>
      <c r="AM29" s="46">
        <v>0</v>
      </c>
      <c r="AN29" s="46">
        <f t="shared" si="0"/>
        <v>3.5830909090909091</v>
      </c>
      <c r="AO29" s="7">
        <f t="shared" si="1"/>
        <v>3.5830909090909091</v>
      </c>
    </row>
    <row r="30" spans="1:41" x14ac:dyDescent="0.3">
      <c r="A30" s="5">
        <v>29</v>
      </c>
      <c r="B30" s="6" t="s">
        <v>9</v>
      </c>
      <c r="C30" s="12" t="s">
        <v>270</v>
      </c>
      <c r="D30" s="6" t="s">
        <v>128</v>
      </c>
      <c r="E30" s="6" t="s">
        <v>12</v>
      </c>
      <c r="F30" s="6" t="s">
        <v>40</v>
      </c>
      <c r="G30" s="6" t="s">
        <v>35</v>
      </c>
      <c r="H30" s="92">
        <v>1</v>
      </c>
      <c r="I30" s="67" t="s">
        <v>160</v>
      </c>
      <c r="J30" s="54">
        <v>0</v>
      </c>
      <c r="K30" s="10">
        <v>10.629</v>
      </c>
      <c r="L30" s="46">
        <v>0</v>
      </c>
      <c r="M30" s="46">
        <v>0</v>
      </c>
      <c r="N30" s="10">
        <v>1.268</v>
      </c>
      <c r="O30" s="46">
        <v>0</v>
      </c>
      <c r="P30" s="46">
        <v>0</v>
      </c>
      <c r="Q30" s="46">
        <v>0</v>
      </c>
      <c r="R30" s="10">
        <v>10.828999999999999</v>
      </c>
      <c r="S30" s="10">
        <v>24.838000000000001</v>
      </c>
      <c r="T30" s="46">
        <v>0</v>
      </c>
      <c r="U30" s="10">
        <v>0.92200000000000004</v>
      </c>
      <c r="V30" s="10">
        <v>11.996</v>
      </c>
      <c r="W30" s="10">
        <v>21.707999999999998</v>
      </c>
      <c r="X30" s="10">
        <v>11.146000000000001</v>
      </c>
      <c r="Y30" s="10">
        <v>11.185</v>
      </c>
      <c r="Z30" s="46">
        <v>0</v>
      </c>
      <c r="AA30" s="10">
        <v>4.5439999999999996</v>
      </c>
      <c r="AB30" s="10">
        <v>24.17</v>
      </c>
      <c r="AC30" s="10">
        <v>0.77100000000000002</v>
      </c>
      <c r="AD30" s="46">
        <v>0</v>
      </c>
      <c r="AE30" s="10">
        <v>8.3140000000000001</v>
      </c>
      <c r="AF30" s="46">
        <v>0</v>
      </c>
      <c r="AG30" s="46">
        <v>0</v>
      </c>
      <c r="AH30" s="10">
        <v>20.567</v>
      </c>
      <c r="AI30" s="10">
        <v>29.145</v>
      </c>
      <c r="AJ30" s="10">
        <v>13.16</v>
      </c>
      <c r="AK30" s="10">
        <v>25.587</v>
      </c>
      <c r="AL30" s="10">
        <v>38.417000000000002</v>
      </c>
      <c r="AM30" s="54">
        <v>0</v>
      </c>
      <c r="AN30" s="46">
        <f t="shared" si="0"/>
        <v>12.360090909090911</v>
      </c>
      <c r="AO30" s="7">
        <f t="shared" si="1"/>
        <v>12.360090909090911</v>
      </c>
    </row>
    <row r="31" spans="1:41" x14ac:dyDescent="0.3">
      <c r="A31" s="5">
        <v>30</v>
      </c>
      <c r="B31" s="6" t="s">
        <v>9</v>
      </c>
      <c r="C31" s="12" t="s">
        <v>270</v>
      </c>
      <c r="D31" s="6" t="s">
        <v>128</v>
      </c>
      <c r="E31" s="6" t="s">
        <v>12</v>
      </c>
      <c r="F31" s="6" t="s">
        <v>124</v>
      </c>
      <c r="G31" s="6" t="s">
        <v>80</v>
      </c>
      <c r="H31" s="92">
        <v>1</v>
      </c>
      <c r="I31" s="67" t="s">
        <v>160</v>
      </c>
      <c r="J31" s="93">
        <v>22.21</v>
      </c>
      <c r="K31" s="10">
        <v>2.31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10">
        <v>0.47</v>
      </c>
      <c r="AB31" s="10">
        <v>8.58</v>
      </c>
      <c r="AC31" s="10">
        <v>14.850000000000001</v>
      </c>
      <c r="AD31" s="10">
        <v>19.420000000000002</v>
      </c>
      <c r="AE31" s="10">
        <v>28.52</v>
      </c>
      <c r="AF31" s="10">
        <v>17.54</v>
      </c>
      <c r="AG31" s="10">
        <v>25.369999999999997</v>
      </c>
      <c r="AH31" s="46">
        <v>0</v>
      </c>
      <c r="AI31" s="46">
        <v>0</v>
      </c>
      <c r="AJ31" s="46">
        <v>0</v>
      </c>
      <c r="AK31" s="46">
        <v>0</v>
      </c>
      <c r="AL31" s="10">
        <v>12.85</v>
      </c>
      <c r="AM31" s="10">
        <v>23.159999999999997</v>
      </c>
      <c r="AN31" s="46">
        <f t="shared" si="0"/>
        <v>12.882727272727273</v>
      </c>
      <c r="AO31" s="7">
        <f t="shared" si="1"/>
        <v>12.882727272727273</v>
      </c>
    </row>
    <row r="32" spans="1:41" x14ac:dyDescent="0.3">
      <c r="A32" s="5">
        <v>31</v>
      </c>
      <c r="B32" s="6" t="s">
        <v>9</v>
      </c>
      <c r="C32" s="12" t="s">
        <v>270</v>
      </c>
      <c r="D32" s="6" t="s">
        <v>128</v>
      </c>
      <c r="E32" s="6" t="s">
        <v>12</v>
      </c>
      <c r="F32" s="6" t="s">
        <v>251</v>
      </c>
      <c r="G32" s="6" t="s">
        <v>80</v>
      </c>
      <c r="H32" s="92">
        <v>1</v>
      </c>
      <c r="I32" s="67" t="s">
        <v>160</v>
      </c>
      <c r="J32" s="93">
        <v>46.690999999999995</v>
      </c>
      <c r="K32" s="10">
        <v>69.76400000000001</v>
      </c>
      <c r="L32" s="10">
        <v>43.097999999999999</v>
      </c>
      <c r="M32" s="10">
        <v>52.401000000000003</v>
      </c>
      <c r="N32" s="10">
        <v>11.635999999999999</v>
      </c>
      <c r="O32" s="10">
        <v>82.558999999999983</v>
      </c>
      <c r="P32" s="10">
        <v>93.792000000000002</v>
      </c>
      <c r="Q32" s="10">
        <v>24.016000000000002</v>
      </c>
      <c r="R32" s="10">
        <v>138.80599999999998</v>
      </c>
      <c r="S32" s="10">
        <v>4.1959999999999997</v>
      </c>
      <c r="T32" s="10">
        <v>53.338999999999999</v>
      </c>
      <c r="U32" s="10">
        <v>140.988</v>
      </c>
      <c r="V32" s="10">
        <v>158.42800000000003</v>
      </c>
      <c r="W32" s="10">
        <v>66.949999999999989</v>
      </c>
      <c r="X32" s="10">
        <v>137.80099999999999</v>
      </c>
      <c r="Y32" s="10">
        <v>34.069000000000003</v>
      </c>
      <c r="Z32" s="10">
        <v>76.015000000000001</v>
      </c>
      <c r="AA32" s="10">
        <v>55.939</v>
      </c>
      <c r="AB32" s="10">
        <v>126.31300000000002</v>
      </c>
      <c r="AC32" s="10">
        <v>70.85499999999999</v>
      </c>
      <c r="AD32" s="10">
        <v>107.203</v>
      </c>
      <c r="AE32" s="10">
        <v>130.16899999999998</v>
      </c>
      <c r="AF32" s="10">
        <v>68.453000000000003</v>
      </c>
      <c r="AG32" s="10">
        <v>59.979000000000006</v>
      </c>
      <c r="AH32" s="10">
        <v>103.27100000000002</v>
      </c>
      <c r="AI32" s="10">
        <v>137.45800000000003</v>
      </c>
      <c r="AJ32" s="10">
        <v>60.939</v>
      </c>
      <c r="AK32" s="10">
        <v>114.27100000000002</v>
      </c>
      <c r="AL32" s="10">
        <v>129.352</v>
      </c>
      <c r="AM32" s="10">
        <v>63.477000000000004</v>
      </c>
      <c r="AN32" s="46">
        <f t="shared" si="0"/>
        <v>95.038818181818172</v>
      </c>
      <c r="AO32" s="7">
        <f t="shared" si="1"/>
        <v>95.038818181818172</v>
      </c>
    </row>
    <row r="33" spans="1:41" x14ac:dyDescent="0.3">
      <c r="A33" s="5">
        <v>32</v>
      </c>
      <c r="B33" s="6" t="s">
        <v>9</v>
      </c>
      <c r="C33" s="12" t="s">
        <v>260</v>
      </c>
      <c r="D33" s="6" t="s">
        <v>128</v>
      </c>
      <c r="E33" s="6" t="s">
        <v>12</v>
      </c>
      <c r="F33" s="6" t="s">
        <v>13</v>
      </c>
      <c r="G33" s="6" t="s">
        <v>35</v>
      </c>
      <c r="H33" s="92">
        <v>9</v>
      </c>
      <c r="I33" s="94" t="s">
        <v>273</v>
      </c>
      <c r="J33" s="93">
        <v>58.289000000000001</v>
      </c>
      <c r="K33" s="10">
        <v>77.190000000000012</v>
      </c>
      <c r="L33" s="10">
        <v>90.889999999999986</v>
      </c>
      <c r="M33" s="10">
        <v>100.83399999999999</v>
      </c>
      <c r="N33" s="10">
        <v>145.64000000000001</v>
      </c>
      <c r="O33" s="10">
        <v>183.79500000000002</v>
      </c>
      <c r="P33" s="10">
        <v>162.58600000000004</v>
      </c>
      <c r="Q33" s="10">
        <v>173.404</v>
      </c>
      <c r="R33" s="10">
        <v>103.38600000000001</v>
      </c>
      <c r="S33" s="10">
        <v>175.19400000000005</v>
      </c>
      <c r="T33" s="10">
        <v>118.386</v>
      </c>
      <c r="U33" s="10">
        <v>115.438</v>
      </c>
      <c r="V33" s="10">
        <v>135.59799999999998</v>
      </c>
      <c r="W33" s="10">
        <v>151.21200000000002</v>
      </c>
      <c r="X33" s="10">
        <v>131.82599999999999</v>
      </c>
      <c r="Y33" s="10">
        <v>84.387</v>
      </c>
      <c r="Z33" s="10">
        <v>153.251</v>
      </c>
      <c r="AA33" s="10">
        <v>124.94800000000002</v>
      </c>
      <c r="AB33" s="10">
        <v>138.822</v>
      </c>
      <c r="AC33" s="10">
        <v>148.97999999999999</v>
      </c>
      <c r="AD33" s="10">
        <v>168.40100000000004</v>
      </c>
      <c r="AE33" s="10">
        <v>146.33599999999998</v>
      </c>
      <c r="AF33" s="10">
        <v>168.524</v>
      </c>
      <c r="AG33" s="10">
        <v>114.327</v>
      </c>
      <c r="AH33" s="10">
        <v>195.13900000000004</v>
      </c>
      <c r="AI33" s="10">
        <v>110.75799999999997</v>
      </c>
      <c r="AJ33" s="10">
        <v>151.89399999999998</v>
      </c>
      <c r="AK33" s="10">
        <v>158</v>
      </c>
      <c r="AL33" s="10">
        <v>150.89900000000003</v>
      </c>
      <c r="AM33" s="10">
        <v>132.27500000000001</v>
      </c>
      <c r="AN33" s="46">
        <f t="shared" si="0"/>
        <v>149.59390909090911</v>
      </c>
      <c r="AO33" s="7">
        <f t="shared" si="1"/>
        <v>16.621545454545455</v>
      </c>
    </row>
    <row r="34" spans="1:41" x14ac:dyDescent="0.3">
      <c r="A34" s="5">
        <v>33</v>
      </c>
      <c r="B34" s="6" t="s">
        <v>9</v>
      </c>
      <c r="C34" s="12" t="s">
        <v>260</v>
      </c>
      <c r="D34" s="6" t="s">
        <v>128</v>
      </c>
      <c r="E34" s="6" t="s">
        <v>12</v>
      </c>
      <c r="F34" s="6" t="s">
        <v>309</v>
      </c>
      <c r="G34" s="6" t="s">
        <v>80</v>
      </c>
      <c r="H34" s="92">
        <v>1</v>
      </c>
      <c r="I34" s="94" t="s">
        <v>273</v>
      </c>
      <c r="J34" s="93">
        <v>5.71</v>
      </c>
      <c r="K34" s="10">
        <v>12.4</v>
      </c>
      <c r="L34" s="10">
        <v>22.96</v>
      </c>
      <c r="M34" s="10">
        <v>6.53</v>
      </c>
      <c r="N34" s="10">
        <v>35.369999999999997</v>
      </c>
      <c r="O34" s="10">
        <v>57.78</v>
      </c>
      <c r="P34" s="10">
        <v>49.459999999999994</v>
      </c>
      <c r="Q34" s="10">
        <v>47.870000000000005</v>
      </c>
      <c r="R34" s="10">
        <v>14.460000000000003</v>
      </c>
      <c r="S34" s="10">
        <v>65.990000000000009</v>
      </c>
      <c r="T34" s="10">
        <v>37.83</v>
      </c>
      <c r="U34" s="10">
        <v>38.58</v>
      </c>
      <c r="V34" s="10">
        <v>28.67</v>
      </c>
      <c r="W34" s="10">
        <v>50.27</v>
      </c>
      <c r="X34" s="10">
        <v>28.529999999999998</v>
      </c>
      <c r="Y34" s="10">
        <v>28.91</v>
      </c>
      <c r="Z34" s="10">
        <v>29.57</v>
      </c>
      <c r="AA34" s="10">
        <v>13.82</v>
      </c>
      <c r="AB34" s="10">
        <v>37.71</v>
      </c>
      <c r="AC34" s="10">
        <v>30.89</v>
      </c>
      <c r="AD34" s="10">
        <v>27.010000000000005</v>
      </c>
      <c r="AE34" s="10">
        <v>23.73</v>
      </c>
      <c r="AF34" s="10">
        <v>18.95</v>
      </c>
      <c r="AG34" s="10">
        <v>23.14</v>
      </c>
      <c r="AH34" s="10">
        <v>22.87</v>
      </c>
      <c r="AI34" s="10">
        <v>20.81</v>
      </c>
      <c r="AJ34" s="10">
        <v>20.059999999999999</v>
      </c>
      <c r="AK34" s="10">
        <v>35.629999999999995</v>
      </c>
      <c r="AL34" s="10">
        <v>21.27</v>
      </c>
      <c r="AM34" s="10">
        <v>16.369999999999997</v>
      </c>
      <c r="AN34" s="46">
        <f t="shared" si="0"/>
        <v>23.702727272727273</v>
      </c>
      <c r="AO34" s="7">
        <f t="shared" si="1"/>
        <v>23.702727272727273</v>
      </c>
    </row>
    <row r="35" spans="1:41" x14ac:dyDescent="0.3">
      <c r="A35" s="5">
        <v>34</v>
      </c>
      <c r="B35" s="6" t="s">
        <v>9</v>
      </c>
      <c r="C35" s="12" t="s">
        <v>352</v>
      </c>
      <c r="D35" s="6" t="s">
        <v>128</v>
      </c>
      <c r="E35" s="6" t="s">
        <v>12</v>
      </c>
      <c r="F35" s="6" t="s">
        <v>13</v>
      </c>
      <c r="G35" s="6" t="s">
        <v>35</v>
      </c>
      <c r="H35" s="92">
        <v>8</v>
      </c>
      <c r="I35" s="94" t="s">
        <v>273</v>
      </c>
      <c r="J35" s="93">
        <v>84.382000000000005</v>
      </c>
      <c r="K35" s="10">
        <v>69.179000000000016</v>
      </c>
      <c r="L35" s="10">
        <v>64.518999999999991</v>
      </c>
      <c r="M35" s="10">
        <v>115.232</v>
      </c>
      <c r="N35" s="10">
        <v>99.649000000000001</v>
      </c>
      <c r="O35" s="10">
        <v>164.53100000000001</v>
      </c>
      <c r="P35" s="10">
        <v>120.44</v>
      </c>
      <c r="Q35" s="10">
        <v>117.16</v>
      </c>
      <c r="R35" s="10">
        <v>97.903999999999996</v>
      </c>
      <c r="S35" s="10">
        <v>78.792000000000002</v>
      </c>
      <c r="T35" s="10">
        <v>104.27200000000001</v>
      </c>
      <c r="U35" s="10">
        <v>87.098000000000013</v>
      </c>
      <c r="V35" s="10">
        <v>94.416999999999987</v>
      </c>
      <c r="W35" s="10">
        <v>81.796999999999969</v>
      </c>
      <c r="X35" s="10">
        <v>101.10100000000001</v>
      </c>
      <c r="Y35" s="10">
        <v>99.817999999999998</v>
      </c>
      <c r="Z35" s="10">
        <v>70.894999999999982</v>
      </c>
      <c r="AA35" s="10">
        <v>108.42599999999997</v>
      </c>
      <c r="AB35" s="10">
        <v>96.046999999999983</v>
      </c>
      <c r="AC35" s="10">
        <v>80.281000000000006</v>
      </c>
      <c r="AD35" s="10">
        <v>121.89100000000001</v>
      </c>
      <c r="AE35" s="10">
        <v>110.53699999999999</v>
      </c>
      <c r="AF35" s="10">
        <v>126.56</v>
      </c>
      <c r="AG35" s="10">
        <v>88.34</v>
      </c>
      <c r="AH35" s="10">
        <v>99.201999999999998</v>
      </c>
      <c r="AI35" s="10">
        <v>100.90599999999999</v>
      </c>
      <c r="AJ35" s="10">
        <v>102.40299999999999</v>
      </c>
      <c r="AK35" s="10">
        <v>102.46700000000001</v>
      </c>
      <c r="AL35" s="10">
        <v>121.93500000000002</v>
      </c>
      <c r="AM35" s="10">
        <v>106.49199999999999</v>
      </c>
      <c r="AN35" s="46">
        <f t="shared" si="0"/>
        <v>105.54672727272727</v>
      </c>
      <c r="AO35" s="7">
        <f t="shared" si="1"/>
        <v>13.193340909090908</v>
      </c>
    </row>
    <row r="36" spans="1:41" x14ac:dyDescent="0.3">
      <c r="A36" s="5">
        <v>35</v>
      </c>
      <c r="B36" s="6" t="s">
        <v>9</v>
      </c>
      <c r="C36" s="12" t="s">
        <v>352</v>
      </c>
      <c r="D36" s="6" t="s">
        <v>128</v>
      </c>
      <c r="E36" s="6" t="s">
        <v>12</v>
      </c>
      <c r="F36" s="6" t="s">
        <v>40</v>
      </c>
      <c r="G36" s="6" t="s">
        <v>35</v>
      </c>
      <c r="H36" s="92">
        <v>2</v>
      </c>
      <c r="I36" s="94" t="s">
        <v>273</v>
      </c>
      <c r="J36" s="93">
        <v>36.477999999999994</v>
      </c>
      <c r="K36" s="10">
        <v>16.183</v>
      </c>
      <c r="L36" s="46">
        <v>0</v>
      </c>
      <c r="M36" s="10">
        <v>58.393000000000001</v>
      </c>
      <c r="N36" s="10">
        <v>22.603000000000002</v>
      </c>
      <c r="O36" s="10">
        <v>29.779999999999998</v>
      </c>
      <c r="P36" s="10">
        <v>37.256999999999998</v>
      </c>
      <c r="Q36" s="10">
        <v>40.822000000000003</v>
      </c>
      <c r="R36" s="10">
        <v>39.347000000000001</v>
      </c>
      <c r="S36" s="10">
        <v>30.475999999999999</v>
      </c>
      <c r="T36" s="46">
        <v>0</v>
      </c>
      <c r="U36" s="10">
        <v>30.392000000000003</v>
      </c>
      <c r="V36" s="10">
        <v>43.051000000000002</v>
      </c>
      <c r="W36" s="10">
        <v>23.122</v>
      </c>
      <c r="X36" s="10">
        <v>42.26</v>
      </c>
      <c r="Y36" s="10">
        <v>16.033000000000001</v>
      </c>
      <c r="Z36" s="10">
        <v>34.47</v>
      </c>
      <c r="AA36" s="10">
        <v>16.621000000000002</v>
      </c>
      <c r="AB36" s="10">
        <v>42.391000000000005</v>
      </c>
      <c r="AC36" s="10">
        <v>13.315999999999999</v>
      </c>
      <c r="AD36" s="10">
        <v>37.783000000000001</v>
      </c>
      <c r="AE36" s="10">
        <v>6.0280000000000005</v>
      </c>
      <c r="AF36" s="10">
        <v>73.077999999999989</v>
      </c>
      <c r="AG36" s="10">
        <v>50.215000000000003</v>
      </c>
      <c r="AH36" s="10">
        <v>48.538000000000004</v>
      </c>
      <c r="AI36" s="10">
        <v>34.107999999999997</v>
      </c>
      <c r="AJ36" s="10">
        <v>86.915000000000006</v>
      </c>
      <c r="AK36" s="10">
        <v>39.100000000000009</v>
      </c>
      <c r="AL36" s="10">
        <v>43.788000000000004</v>
      </c>
      <c r="AM36" s="10">
        <v>74.701999999999998</v>
      </c>
      <c r="AN36" s="46">
        <f t="shared" si="0"/>
        <v>46.142818181818186</v>
      </c>
      <c r="AO36" s="7">
        <f t="shared" si="1"/>
        <v>23.071409090909093</v>
      </c>
    </row>
    <row r="37" spans="1:41" x14ac:dyDescent="0.3">
      <c r="A37" s="5">
        <v>36</v>
      </c>
      <c r="B37" s="6" t="s">
        <v>9</v>
      </c>
      <c r="C37" s="12" t="s">
        <v>370</v>
      </c>
      <c r="D37" s="6" t="s">
        <v>128</v>
      </c>
      <c r="E37" s="6" t="s">
        <v>12</v>
      </c>
      <c r="F37" s="6" t="s">
        <v>13</v>
      </c>
      <c r="G37" s="6" t="s">
        <v>35</v>
      </c>
      <c r="H37" s="92">
        <v>1</v>
      </c>
      <c r="I37" s="12" t="s">
        <v>589</v>
      </c>
      <c r="J37" s="93">
        <v>20.070999999999998</v>
      </c>
      <c r="K37" s="10">
        <v>26.198999999999998</v>
      </c>
      <c r="L37" s="10">
        <v>14.568999999999999</v>
      </c>
      <c r="M37" s="10">
        <v>10.029999999999999</v>
      </c>
      <c r="N37" s="10">
        <v>23.502000000000002</v>
      </c>
      <c r="O37" s="10">
        <v>21.391999999999999</v>
      </c>
      <c r="P37" s="10">
        <v>12.506</v>
      </c>
      <c r="Q37" s="10">
        <v>15.147</v>
      </c>
      <c r="R37" s="10">
        <v>16.287000000000003</v>
      </c>
      <c r="S37" s="10">
        <v>8.3339999999999996</v>
      </c>
      <c r="T37" s="10">
        <v>11.541</v>
      </c>
      <c r="U37" s="10">
        <v>17.899000000000001</v>
      </c>
      <c r="V37" s="10">
        <v>24.645000000000003</v>
      </c>
      <c r="W37" s="10">
        <v>17.2</v>
      </c>
      <c r="X37" s="10">
        <v>9.86</v>
      </c>
      <c r="Y37" s="10">
        <v>20.588000000000001</v>
      </c>
      <c r="Z37" s="10">
        <v>12.264999999999999</v>
      </c>
      <c r="AA37" s="10">
        <v>9.9610000000000003</v>
      </c>
      <c r="AB37" s="10">
        <v>11.538</v>
      </c>
      <c r="AC37" s="10">
        <v>16.419</v>
      </c>
      <c r="AD37" s="10">
        <v>15.641999999999999</v>
      </c>
      <c r="AE37" s="10">
        <v>14.506</v>
      </c>
      <c r="AF37" s="10">
        <v>7.9540000000000006</v>
      </c>
      <c r="AG37" s="10">
        <v>18.093</v>
      </c>
      <c r="AH37" s="10">
        <v>12.683999999999999</v>
      </c>
      <c r="AI37" s="10">
        <v>15.727000000000002</v>
      </c>
      <c r="AJ37" s="10">
        <v>21.838999999999999</v>
      </c>
      <c r="AK37" s="10">
        <v>10.255000000000001</v>
      </c>
      <c r="AL37" s="10">
        <v>6.9939999999999998</v>
      </c>
      <c r="AM37" s="10">
        <v>32.326999999999998</v>
      </c>
      <c r="AN37" s="46">
        <f t="shared" si="0"/>
        <v>15.676363636363636</v>
      </c>
      <c r="AO37" s="7">
        <f t="shared" si="1"/>
        <v>15.676363636363636</v>
      </c>
    </row>
    <row r="38" spans="1:41" x14ac:dyDescent="0.3">
      <c r="A38" s="5">
        <v>37</v>
      </c>
      <c r="B38" s="6" t="s">
        <v>9</v>
      </c>
      <c r="C38" s="12" t="s">
        <v>283</v>
      </c>
      <c r="D38" s="6" t="s">
        <v>128</v>
      </c>
      <c r="E38" s="6" t="s">
        <v>12</v>
      </c>
      <c r="F38" s="6" t="s">
        <v>13</v>
      </c>
      <c r="G38" s="6" t="s">
        <v>35</v>
      </c>
      <c r="H38" s="92">
        <v>11</v>
      </c>
      <c r="I38" s="94" t="s">
        <v>273</v>
      </c>
      <c r="J38" s="93">
        <v>53.821999999999989</v>
      </c>
      <c r="K38" s="10">
        <v>186.21200000000005</v>
      </c>
      <c r="L38" s="10">
        <v>166.80700000000002</v>
      </c>
      <c r="M38" s="10">
        <v>102.04299999999999</v>
      </c>
      <c r="N38" s="10">
        <v>213.61</v>
      </c>
      <c r="O38" s="10">
        <v>213.45700000000011</v>
      </c>
      <c r="P38" s="10">
        <v>185.92700000000002</v>
      </c>
      <c r="Q38" s="10">
        <v>217.12700000000004</v>
      </c>
      <c r="R38" s="10">
        <v>186.30300000000003</v>
      </c>
      <c r="S38" s="10">
        <v>198.06899999999996</v>
      </c>
      <c r="T38" s="10">
        <v>67.33</v>
      </c>
      <c r="U38" s="10">
        <v>183.58</v>
      </c>
      <c r="V38" s="10">
        <v>180.02799999999996</v>
      </c>
      <c r="W38" s="10">
        <v>255.94799999999995</v>
      </c>
      <c r="X38" s="10">
        <v>236.46700000000001</v>
      </c>
      <c r="Y38" s="10">
        <v>199.68199999999999</v>
      </c>
      <c r="Z38" s="10">
        <v>176.46099999999996</v>
      </c>
      <c r="AA38" s="10">
        <v>99.773000000000025</v>
      </c>
      <c r="AB38" s="10">
        <v>235.65099999999998</v>
      </c>
      <c r="AC38" s="10">
        <v>140.441</v>
      </c>
      <c r="AD38" s="10">
        <v>261.36999999999995</v>
      </c>
      <c r="AE38" s="10">
        <v>185.19</v>
      </c>
      <c r="AF38" s="10">
        <v>196.96899999999999</v>
      </c>
      <c r="AG38" s="10">
        <v>183.785</v>
      </c>
      <c r="AH38" s="10">
        <v>63.598999999999997</v>
      </c>
      <c r="AI38" s="10">
        <v>180.13100000000003</v>
      </c>
      <c r="AJ38" s="10">
        <v>193.53299999999999</v>
      </c>
      <c r="AK38" s="10">
        <v>217.18599999999998</v>
      </c>
      <c r="AL38" s="10">
        <v>193.84199999999996</v>
      </c>
      <c r="AM38" s="10">
        <v>232.94099999999997</v>
      </c>
      <c r="AN38" s="46">
        <f t="shared" si="0"/>
        <v>186.27154545454542</v>
      </c>
      <c r="AO38" s="7">
        <f t="shared" si="1"/>
        <v>16.933776859504128</v>
      </c>
    </row>
    <row r="39" spans="1:41" x14ac:dyDescent="0.3">
      <c r="A39" s="5">
        <v>38</v>
      </c>
      <c r="B39" s="6" t="s">
        <v>9</v>
      </c>
      <c r="C39" s="12" t="s">
        <v>283</v>
      </c>
      <c r="D39" s="6" t="s">
        <v>128</v>
      </c>
      <c r="E39" s="6" t="s">
        <v>12</v>
      </c>
      <c r="F39" s="6" t="s">
        <v>124</v>
      </c>
      <c r="G39" s="6" t="s">
        <v>80</v>
      </c>
      <c r="H39" s="92">
        <v>1</v>
      </c>
      <c r="I39" s="94" t="s">
        <v>273</v>
      </c>
      <c r="J39" s="54">
        <v>0</v>
      </c>
      <c r="K39" s="10">
        <v>1.99</v>
      </c>
      <c r="L39" s="10">
        <v>6.81</v>
      </c>
      <c r="M39" s="46">
        <v>0</v>
      </c>
      <c r="N39" s="10">
        <v>7</v>
      </c>
      <c r="O39" s="46">
        <v>0</v>
      </c>
      <c r="P39" s="10">
        <v>9.1499999999999986</v>
      </c>
      <c r="Q39" s="46">
        <v>0</v>
      </c>
      <c r="R39" s="10">
        <v>6.94</v>
      </c>
      <c r="S39" s="46">
        <v>0</v>
      </c>
      <c r="T39" s="10">
        <v>3.37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54">
        <v>0</v>
      </c>
      <c r="AN39" s="46">
        <f t="shared" si="0"/>
        <v>0</v>
      </c>
      <c r="AO39" s="7">
        <f t="shared" si="1"/>
        <v>0</v>
      </c>
    </row>
    <row r="40" spans="1:41" x14ac:dyDescent="0.3">
      <c r="A40" s="5">
        <v>39</v>
      </c>
      <c r="B40" s="6" t="s">
        <v>9</v>
      </c>
      <c r="C40" s="12" t="s">
        <v>318</v>
      </c>
      <c r="D40" s="6" t="s">
        <v>128</v>
      </c>
      <c r="E40" s="6" t="s">
        <v>12</v>
      </c>
      <c r="F40" s="6" t="s">
        <v>13</v>
      </c>
      <c r="G40" s="6" t="s">
        <v>35</v>
      </c>
      <c r="H40" s="92">
        <v>1</v>
      </c>
      <c r="I40" s="12" t="s">
        <v>590</v>
      </c>
      <c r="J40" s="54">
        <v>0</v>
      </c>
      <c r="K40" s="46">
        <v>0</v>
      </c>
      <c r="L40" s="46">
        <v>0</v>
      </c>
      <c r="M40" s="10">
        <v>1.6839999999999999</v>
      </c>
      <c r="N40" s="46">
        <v>0</v>
      </c>
      <c r="O40" s="10">
        <v>2.3820000000000001</v>
      </c>
      <c r="P40" s="46">
        <v>0</v>
      </c>
      <c r="Q40" s="10">
        <v>0.112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10">
        <v>0.17499999999999999</v>
      </c>
      <c r="AB40" s="10">
        <v>2.9729999999999999</v>
      </c>
      <c r="AC40" s="46">
        <v>0</v>
      </c>
      <c r="AD40" s="46">
        <v>0</v>
      </c>
      <c r="AE40" s="10">
        <v>2.7440000000000002</v>
      </c>
      <c r="AF40" s="46">
        <v>0</v>
      </c>
      <c r="AG40" s="46">
        <v>0</v>
      </c>
      <c r="AH40" s="10">
        <v>1.4990000000000001</v>
      </c>
      <c r="AI40" s="46">
        <v>0</v>
      </c>
      <c r="AJ40" s="10">
        <v>1.37</v>
      </c>
      <c r="AK40" s="46">
        <v>0</v>
      </c>
      <c r="AL40" s="46">
        <v>0</v>
      </c>
      <c r="AM40" s="54">
        <v>0</v>
      </c>
      <c r="AN40" s="46">
        <f t="shared" si="0"/>
        <v>0.51027272727272732</v>
      </c>
      <c r="AO40" s="7">
        <f t="shared" si="1"/>
        <v>0.51027272727272732</v>
      </c>
    </row>
    <row r="41" spans="1:41" x14ac:dyDescent="0.3">
      <c r="A41" s="5">
        <v>40</v>
      </c>
      <c r="B41" s="6" t="s">
        <v>9</v>
      </c>
      <c r="C41" s="12" t="s">
        <v>323</v>
      </c>
      <c r="D41" s="6" t="s">
        <v>128</v>
      </c>
      <c r="E41" s="6" t="s">
        <v>12</v>
      </c>
      <c r="F41" s="6" t="s">
        <v>13</v>
      </c>
      <c r="G41" s="6" t="s">
        <v>35</v>
      </c>
      <c r="H41" s="92">
        <v>6</v>
      </c>
      <c r="I41" s="94" t="s">
        <v>273</v>
      </c>
      <c r="J41" s="93">
        <v>39.880000000000003</v>
      </c>
      <c r="K41" s="10">
        <v>71.146999999999991</v>
      </c>
      <c r="L41" s="10">
        <v>84.647999999999996</v>
      </c>
      <c r="M41" s="10">
        <v>72.316000000000003</v>
      </c>
      <c r="N41" s="10">
        <v>74.519000000000005</v>
      </c>
      <c r="O41" s="10">
        <v>82.112999999999985</v>
      </c>
      <c r="P41" s="10">
        <v>79.920999999999992</v>
      </c>
      <c r="Q41" s="10">
        <v>81.076999999999998</v>
      </c>
      <c r="R41" s="10">
        <v>70.02</v>
      </c>
      <c r="S41" s="10">
        <v>59.549000000000007</v>
      </c>
      <c r="T41" s="10">
        <v>45.142999999999994</v>
      </c>
      <c r="U41" s="10">
        <v>98.867000000000019</v>
      </c>
      <c r="V41" s="10">
        <v>81.490000000000009</v>
      </c>
      <c r="W41" s="10">
        <v>75.355999999999995</v>
      </c>
      <c r="X41" s="10">
        <v>59.160999999999994</v>
      </c>
      <c r="Y41" s="10">
        <v>101.85600000000001</v>
      </c>
      <c r="Z41" s="10">
        <v>75.709000000000003</v>
      </c>
      <c r="AA41" s="10">
        <v>82.629000000000005</v>
      </c>
      <c r="AB41" s="10">
        <v>83.471999999999994</v>
      </c>
      <c r="AC41" s="10">
        <v>101.88300000000001</v>
      </c>
      <c r="AD41" s="10">
        <v>69.203999999999994</v>
      </c>
      <c r="AE41" s="10">
        <v>60.449999999999996</v>
      </c>
      <c r="AF41" s="10">
        <v>81.136999999999986</v>
      </c>
      <c r="AG41" s="10">
        <v>114.096</v>
      </c>
      <c r="AH41" s="10">
        <v>45.748999999999995</v>
      </c>
      <c r="AI41" s="10">
        <v>112.40199999999997</v>
      </c>
      <c r="AJ41" s="10">
        <v>76.783000000000001</v>
      </c>
      <c r="AK41" s="10">
        <v>110.15999999999998</v>
      </c>
      <c r="AL41" s="10">
        <v>78.199000000000012</v>
      </c>
      <c r="AM41" s="10">
        <v>102.152</v>
      </c>
      <c r="AN41" s="46">
        <f t="shared" si="0"/>
        <v>86.564999999999998</v>
      </c>
      <c r="AO41" s="7">
        <f t="shared" si="1"/>
        <v>14.4275</v>
      </c>
    </row>
    <row r="42" spans="1:41" x14ac:dyDescent="0.3">
      <c r="A42" s="5">
        <v>41</v>
      </c>
      <c r="B42" s="6" t="s">
        <v>9</v>
      </c>
      <c r="C42" s="12" t="s">
        <v>354</v>
      </c>
      <c r="D42" s="6" t="s">
        <v>128</v>
      </c>
      <c r="E42" s="6" t="s">
        <v>12</v>
      </c>
      <c r="F42" s="6" t="s">
        <v>13</v>
      </c>
      <c r="G42" s="6" t="s">
        <v>35</v>
      </c>
      <c r="H42" s="92">
        <v>13</v>
      </c>
      <c r="I42" s="94" t="s">
        <v>273</v>
      </c>
      <c r="J42" s="93">
        <v>74.234000000000009</v>
      </c>
      <c r="K42" s="10">
        <v>26.997</v>
      </c>
      <c r="L42" s="10">
        <v>80.421999999999997</v>
      </c>
      <c r="M42" s="10">
        <v>122.846</v>
      </c>
      <c r="N42" s="10">
        <v>103.47899999999998</v>
      </c>
      <c r="O42" s="10">
        <v>124.47300000000004</v>
      </c>
      <c r="P42" s="10">
        <v>132.31100000000006</v>
      </c>
      <c r="Q42" s="10">
        <v>175.393</v>
      </c>
      <c r="R42" s="10">
        <v>147.99700000000001</v>
      </c>
      <c r="S42" s="10">
        <v>86.578000000000003</v>
      </c>
      <c r="T42" s="10">
        <v>167.99400000000009</v>
      </c>
      <c r="U42" s="10">
        <v>134.92199999999997</v>
      </c>
      <c r="V42" s="10">
        <v>96.53600000000003</v>
      </c>
      <c r="W42" s="10">
        <v>131.077</v>
      </c>
      <c r="X42" s="10">
        <v>172.34699999999998</v>
      </c>
      <c r="Y42" s="10">
        <v>94.644000000000005</v>
      </c>
      <c r="Z42" s="10">
        <v>121.81199999999995</v>
      </c>
      <c r="AA42" s="10">
        <v>112.74099999999999</v>
      </c>
      <c r="AB42" s="10">
        <v>151.90799999999999</v>
      </c>
      <c r="AC42" s="10">
        <v>115.49299999999999</v>
      </c>
      <c r="AD42" s="10">
        <v>121.70700000000002</v>
      </c>
      <c r="AE42" s="10">
        <v>136.34200000000001</v>
      </c>
      <c r="AF42" s="10">
        <v>146.60999999999999</v>
      </c>
      <c r="AG42" s="10">
        <v>129.85900000000001</v>
      </c>
      <c r="AH42" s="10">
        <v>101.90900000000002</v>
      </c>
      <c r="AI42" s="10">
        <v>146.892</v>
      </c>
      <c r="AJ42" s="10">
        <v>129.536</v>
      </c>
      <c r="AK42" s="10">
        <v>114.13599999999998</v>
      </c>
      <c r="AL42" s="10">
        <v>133.91199999999998</v>
      </c>
      <c r="AM42" s="10">
        <v>85.302000000000007</v>
      </c>
      <c r="AN42" s="46">
        <f t="shared" si="0"/>
        <v>123.79072727272728</v>
      </c>
      <c r="AO42" s="7">
        <f t="shared" si="1"/>
        <v>9.5223636363636377</v>
      </c>
    </row>
    <row r="43" spans="1:41" x14ac:dyDescent="0.3">
      <c r="A43" s="5">
        <v>42</v>
      </c>
      <c r="B43" s="6" t="s">
        <v>9</v>
      </c>
      <c r="C43" s="12" t="s">
        <v>357</v>
      </c>
      <c r="D43" s="6" t="s">
        <v>128</v>
      </c>
      <c r="E43" s="6" t="s">
        <v>12</v>
      </c>
      <c r="F43" s="6" t="s">
        <v>353</v>
      </c>
      <c r="G43" s="6" t="s">
        <v>35</v>
      </c>
      <c r="H43" s="92">
        <v>1</v>
      </c>
      <c r="I43" s="12" t="s">
        <v>590</v>
      </c>
      <c r="J43" s="54">
        <v>0</v>
      </c>
      <c r="K43" s="46">
        <v>0</v>
      </c>
      <c r="L43" s="46">
        <v>0</v>
      </c>
      <c r="M43" s="10">
        <v>16.259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10">
        <v>13.51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10">
        <v>1.1279999999999999</v>
      </c>
      <c r="AN43" s="46">
        <f t="shared" si="0"/>
        <v>0.10254545454545454</v>
      </c>
      <c r="AO43" s="7">
        <f t="shared" si="1"/>
        <v>0.10254545454545454</v>
      </c>
    </row>
    <row r="44" spans="1:41" x14ac:dyDescent="0.3">
      <c r="A44" s="5">
        <v>43</v>
      </c>
      <c r="B44" s="6" t="s">
        <v>9</v>
      </c>
      <c r="C44" s="39" t="s">
        <v>366</v>
      </c>
      <c r="D44" s="6" t="s">
        <v>128</v>
      </c>
      <c r="E44" s="6" t="s">
        <v>12</v>
      </c>
      <c r="F44" s="6" t="s">
        <v>13</v>
      </c>
      <c r="G44" s="6" t="s">
        <v>35</v>
      </c>
      <c r="H44" s="92">
        <v>5</v>
      </c>
      <c r="I44" s="94" t="s">
        <v>273</v>
      </c>
      <c r="J44" s="93">
        <v>7.5840000000000005</v>
      </c>
      <c r="K44" s="10">
        <v>3.9950000000000001</v>
      </c>
      <c r="L44" s="10">
        <v>2.6949999999999998</v>
      </c>
      <c r="M44" s="10">
        <v>3.16</v>
      </c>
      <c r="N44" s="10">
        <v>6.484</v>
      </c>
      <c r="O44" s="10">
        <v>7.8389999999999995</v>
      </c>
      <c r="P44" s="10">
        <v>6.2229999999999999</v>
      </c>
      <c r="Q44" s="10">
        <v>8.9689999999999994</v>
      </c>
      <c r="R44" s="10">
        <v>27.35</v>
      </c>
      <c r="S44" s="10">
        <v>17.204999999999998</v>
      </c>
      <c r="T44" s="10">
        <v>25.452999999999999</v>
      </c>
      <c r="U44" s="10">
        <v>53.518999999999998</v>
      </c>
      <c r="V44" s="10">
        <v>16.952999999999999</v>
      </c>
      <c r="W44" s="10">
        <v>54.003</v>
      </c>
      <c r="X44" s="10">
        <v>36.956000000000003</v>
      </c>
      <c r="Y44" s="10">
        <v>31.966000000000001</v>
      </c>
      <c r="Z44" s="10">
        <v>27.762000000000004</v>
      </c>
      <c r="AA44" s="10">
        <v>11.153999999999998</v>
      </c>
      <c r="AB44" s="10">
        <v>32.221000000000004</v>
      </c>
      <c r="AC44" s="10">
        <v>20.704000000000001</v>
      </c>
      <c r="AD44" s="10">
        <v>30.235999999999997</v>
      </c>
      <c r="AE44" s="10">
        <v>23.065000000000005</v>
      </c>
      <c r="AF44" s="10">
        <v>13.950999999999999</v>
      </c>
      <c r="AG44" s="10">
        <v>12.782999999999999</v>
      </c>
      <c r="AH44" s="10">
        <v>8.2199999999999989</v>
      </c>
      <c r="AI44" s="10">
        <v>20.494999999999997</v>
      </c>
      <c r="AJ44" s="10">
        <v>20.380999999999997</v>
      </c>
      <c r="AK44" s="10">
        <v>36.487000000000002</v>
      </c>
      <c r="AL44" s="10">
        <v>20.901</v>
      </c>
      <c r="AM44" s="10">
        <v>26.306000000000001</v>
      </c>
      <c r="AN44" s="46">
        <f t="shared" si="0"/>
        <v>21.229909090909089</v>
      </c>
      <c r="AO44" s="7">
        <f t="shared" si="1"/>
        <v>4.2459818181818179</v>
      </c>
    </row>
    <row r="45" spans="1:41" x14ac:dyDescent="0.3">
      <c r="A45" s="5">
        <v>44</v>
      </c>
      <c r="B45" s="6" t="s">
        <v>9</v>
      </c>
      <c r="C45" s="12" t="s">
        <v>403</v>
      </c>
      <c r="D45" s="6" t="s">
        <v>30</v>
      </c>
      <c r="E45" s="6" t="s">
        <v>12</v>
      </c>
      <c r="F45" s="6" t="s">
        <v>13</v>
      </c>
      <c r="G45" s="6" t="s">
        <v>35</v>
      </c>
      <c r="H45" s="92">
        <v>1</v>
      </c>
      <c r="I45" s="12" t="s">
        <v>589</v>
      </c>
      <c r="J45" s="54">
        <v>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54">
        <v>0</v>
      </c>
      <c r="AN45" s="46">
        <f t="shared" si="0"/>
        <v>0</v>
      </c>
      <c r="AO45" s="7">
        <f t="shared" si="1"/>
        <v>0</v>
      </c>
    </row>
    <row r="46" spans="1:41" x14ac:dyDescent="0.3">
      <c r="A46" s="5">
        <v>45</v>
      </c>
      <c r="B46" s="6" t="s">
        <v>9</v>
      </c>
      <c r="C46" s="12" t="s">
        <v>404</v>
      </c>
      <c r="D46" s="6" t="s">
        <v>128</v>
      </c>
      <c r="E46" s="6" t="s">
        <v>12</v>
      </c>
      <c r="F46" s="6" t="s">
        <v>13</v>
      </c>
      <c r="G46" s="6" t="s">
        <v>35</v>
      </c>
      <c r="H46" s="92">
        <v>1</v>
      </c>
      <c r="I46" s="12" t="s">
        <v>590</v>
      </c>
      <c r="J46" s="54">
        <v>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54">
        <v>0</v>
      </c>
      <c r="AN46" s="46">
        <f t="shared" si="0"/>
        <v>0</v>
      </c>
      <c r="AO46" s="7">
        <f t="shared" si="1"/>
        <v>0</v>
      </c>
    </row>
    <row r="47" spans="1:41" x14ac:dyDescent="0.3">
      <c r="A47" s="5">
        <v>46</v>
      </c>
      <c r="B47" s="6" t="s">
        <v>9</v>
      </c>
      <c r="C47" s="12" t="s">
        <v>433</v>
      </c>
      <c r="D47" s="6" t="s">
        <v>30</v>
      </c>
      <c r="E47" s="6" t="s">
        <v>12</v>
      </c>
      <c r="F47" s="6" t="s">
        <v>13</v>
      </c>
      <c r="G47" s="6" t="s">
        <v>35</v>
      </c>
      <c r="H47" s="92">
        <v>1</v>
      </c>
      <c r="I47" s="12" t="s">
        <v>589</v>
      </c>
      <c r="J47" s="54">
        <v>0</v>
      </c>
      <c r="K47" s="10">
        <v>4.2030000000000012</v>
      </c>
      <c r="L47" s="46">
        <v>0</v>
      </c>
      <c r="M47" s="46">
        <v>0</v>
      </c>
      <c r="N47" s="10">
        <v>1.2000000000000002E-2</v>
      </c>
      <c r="O47" s="10">
        <v>4.8340000000000005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10">
        <v>3.13</v>
      </c>
      <c r="W47" s="46">
        <v>0</v>
      </c>
      <c r="X47" s="46">
        <v>0</v>
      </c>
      <c r="Y47" s="46">
        <v>0</v>
      </c>
      <c r="Z47" s="46">
        <v>0</v>
      </c>
      <c r="AA47" s="10">
        <v>1.3069999999999999</v>
      </c>
      <c r="AB47" s="10">
        <v>6.0239999999999991</v>
      </c>
      <c r="AC47" s="46">
        <v>0</v>
      </c>
      <c r="AD47" s="10">
        <v>2.7199999999999998</v>
      </c>
      <c r="AE47" s="46">
        <v>0</v>
      </c>
      <c r="AF47" s="10">
        <v>2.367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10">
        <v>0.80900000000000005</v>
      </c>
      <c r="AN47" s="46">
        <f t="shared" si="0"/>
        <v>0.53600000000000003</v>
      </c>
      <c r="AO47" s="7">
        <f t="shared" si="1"/>
        <v>0.53600000000000003</v>
      </c>
    </row>
    <row r="48" spans="1:41" x14ac:dyDescent="0.3">
      <c r="A48" s="5">
        <v>47</v>
      </c>
      <c r="B48" s="6" t="s">
        <v>9</v>
      </c>
      <c r="C48" s="12" t="s">
        <v>434</v>
      </c>
      <c r="D48" s="6" t="s">
        <v>30</v>
      </c>
      <c r="E48" s="6" t="s">
        <v>12</v>
      </c>
      <c r="F48" s="6" t="s">
        <v>13</v>
      </c>
      <c r="G48" s="6" t="s">
        <v>35</v>
      </c>
      <c r="H48" s="92">
        <v>1</v>
      </c>
      <c r="I48" s="12" t="s">
        <v>589</v>
      </c>
      <c r="J48" s="54">
        <v>0</v>
      </c>
      <c r="K48" s="46">
        <v>0</v>
      </c>
      <c r="L48" s="46">
        <v>0</v>
      </c>
      <c r="M48" s="46">
        <v>0</v>
      </c>
      <c r="N48" s="46">
        <v>0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0</v>
      </c>
      <c r="AD48" s="46">
        <v>0</v>
      </c>
      <c r="AE48" s="46">
        <v>0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10">
        <v>4.5469999999999997</v>
      </c>
      <c r="AL48" s="46">
        <v>0</v>
      </c>
      <c r="AM48" s="54">
        <v>0</v>
      </c>
      <c r="AN48" s="46">
        <f t="shared" si="0"/>
        <v>0.41336363636363632</v>
      </c>
      <c r="AO48" s="7">
        <f t="shared" si="1"/>
        <v>0.41336363636363632</v>
      </c>
    </row>
    <row r="49" spans="1:41" ht="13.5" customHeight="1" x14ac:dyDescent="0.3">
      <c r="A49" s="5">
        <v>48</v>
      </c>
      <c r="B49" s="6" t="s">
        <v>9</v>
      </c>
      <c r="C49" t="s">
        <v>440</v>
      </c>
      <c r="D49" s="6" t="s">
        <v>128</v>
      </c>
      <c r="E49" s="6" t="s">
        <v>12</v>
      </c>
      <c r="F49" s="6" t="s">
        <v>441</v>
      </c>
      <c r="G49" s="6" t="s">
        <v>80</v>
      </c>
      <c r="H49" s="92">
        <v>2</v>
      </c>
      <c r="I49" s="67" t="s">
        <v>160</v>
      </c>
      <c r="J49" s="93">
        <v>102.98</v>
      </c>
      <c r="K49" s="10">
        <v>33.747</v>
      </c>
      <c r="L49" s="10">
        <v>24.268000000000001</v>
      </c>
      <c r="M49" s="10">
        <v>82.448000000000008</v>
      </c>
      <c r="N49" s="10">
        <v>171.77299999999997</v>
      </c>
      <c r="O49" s="10">
        <v>186.94900000000001</v>
      </c>
      <c r="P49" s="10">
        <v>135.12200000000001</v>
      </c>
      <c r="Q49" s="10">
        <v>119.55800000000002</v>
      </c>
      <c r="R49" s="10">
        <v>86.26</v>
      </c>
      <c r="S49" s="10">
        <v>28.473999999999997</v>
      </c>
      <c r="T49" s="10">
        <v>110.10899999999998</v>
      </c>
      <c r="U49" s="10">
        <v>229.41700000000003</v>
      </c>
      <c r="V49" s="10">
        <v>276.13399999999996</v>
      </c>
      <c r="W49" s="10">
        <v>326.63700000000006</v>
      </c>
      <c r="X49" s="10">
        <v>228.97399999999999</v>
      </c>
      <c r="Y49" s="10">
        <v>159.87400000000002</v>
      </c>
      <c r="Z49" s="10">
        <v>39.608999999999995</v>
      </c>
      <c r="AA49" s="10">
        <v>143.10999999999999</v>
      </c>
      <c r="AB49" s="10">
        <v>261.13099999999997</v>
      </c>
      <c r="AC49" s="10">
        <v>319.22199999999998</v>
      </c>
      <c r="AD49" s="10">
        <v>298.15899999999993</v>
      </c>
      <c r="AE49" s="10">
        <v>295.57900000000001</v>
      </c>
      <c r="AF49" s="10">
        <v>129.16399999999999</v>
      </c>
      <c r="AG49" s="10">
        <v>42.048000000000002</v>
      </c>
      <c r="AH49" s="10">
        <v>184.07199999999997</v>
      </c>
      <c r="AI49" s="10">
        <v>259.46199999999999</v>
      </c>
      <c r="AJ49" s="10">
        <v>350.95499999999998</v>
      </c>
      <c r="AK49" s="10">
        <v>325.34300000000007</v>
      </c>
      <c r="AL49" s="10">
        <v>268.10899999999998</v>
      </c>
      <c r="AM49" s="10">
        <v>251.50899999999996</v>
      </c>
      <c r="AN49" s="46">
        <f t="shared" si="0"/>
        <v>247.60199999999998</v>
      </c>
      <c r="AO49" s="7">
        <f t="shared" si="1"/>
        <v>123.80099999999999</v>
      </c>
    </row>
    <row r="50" spans="1:41" x14ac:dyDescent="0.3">
      <c r="A50" s="5">
        <v>49</v>
      </c>
      <c r="B50" s="6" t="s">
        <v>9</v>
      </c>
      <c r="C50" s="12" t="s">
        <v>455</v>
      </c>
      <c r="D50" s="6" t="s">
        <v>128</v>
      </c>
      <c r="E50" s="6" t="s">
        <v>12</v>
      </c>
      <c r="F50" s="6" t="s">
        <v>13</v>
      </c>
      <c r="G50" s="6" t="s">
        <v>35</v>
      </c>
      <c r="H50" s="92">
        <v>5</v>
      </c>
      <c r="I50" s="12" t="s">
        <v>590</v>
      </c>
      <c r="J50" s="93">
        <v>23.445999999999998</v>
      </c>
      <c r="K50" s="10">
        <v>25.230000000000004</v>
      </c>
      <c r="L50" s="10">
        <v>11.934000000000001</v>
      </c>
      <c r="M50" s="10">
        <v>28.800999999999998</v>
      </c>
      <c r="N50" s="10">
        <v>30.785</v>
      </c>
      <c r="O50" s="10">
        <v>29.126999999999999</v>
      </c>
      <c r="P50" s="10">
        <v>22.858000000000001</v>
      </c>
      <c r="Q50" s="10">
        <v>4.8249999999999993</v>
      </c>
      <c r="R50" s="10">
        <v>16.756</v>
      </c>
      <c r="S50" s="10">
        <v>13.347999999999999</v>
      </c>
      <c r="T50" s="10">
        <v>11.748999999999999</v>
      </c>
      <c r="U50" s="10">
        <v>23.09</v>
      </c>
      <c r="V50" s="10">
        <v>32.552999999999997</v>
      </c>
      <c r="W50" s="10">
        <v>37.56</v>
      </c>
      <c r="X50" s="10">
        <v>7.5890000000000004</v>
      </c>
      <c r="Y50" s="10">
        <v>22.029</v>
      </c>
      <c r="Z50" s="10">
        <v>40.019000000000005</v>
      </c>
      <c r="AA50" s="10">
        <v>14.117000000000001</v>
      </c>
      <c r="AB50" s="10">
        <v>10.456</v>
      </c>
      <c r="AC50" s="10">
        <v>11.35</v>
      </c>
      <c r="AD50" s="10">
        <v>12.822999999999999</v>
      </c>
      <c r="AE50" s="10">
        <v>29.143999999999998</v>
      </c>
      <c r="AF50" s="10">
        <v>6.4649999999999999</v>
      </c>
      <c r="AG50" s="10">
        <v>34.222000000000001</v>
      </c>
      <c r="AH50" s="10">
        <v>4.8100000000000005</v>
      </c>
      <c r="AI50" s="46">
        <v>0</v>
      </c>
      <c r="AJ50" s="10">
        <v>16.526</v>
      </c>
      <c r="AK50" s="10">
        <v>32.085000000000001</v>
      </c>
      <c r="AL50" s="10">
        <v>65.186999999999998</v>
      </c>
      <c r="AM50" s="10">
        <v>43.768000000000001</v>
      </c>
      <c r="AN50" s="46">
        <f t="shared" si="0"/>
        <v>23.307272727272728</v>
      </c>
      <c r="AO50" s="7">
        <f t="shared" si="1"/>
        <v>4.6614545454545455</v>
      </c>
    </row>
    <row r="51" spans="1:41" x14ac:dyDescent="0.3">
      <c r="A51" s="5">
        <v>50</v>
      </c>
      <c r="B51" s="6" t="s">
        <v>9</v>
      </c>
      <c r="C51" s="12" t="s">
        <v>456</v>
      </c>
      <c r="D51" s="6" t="s">
        <v>128</v>
      </c>
      <c r="E51" s="6" t="s">
        <v>12</v>
      </c>
      <c r="F51" s="6" t="s">
        <v>13</v>
      </c>
      <c r="G51" s="6" t="s">
        <v>35</v>
      </c>
      <c r="H51" s="92">
        <v>2</v>
      </c>
      <c r="I51" s="12" t="s">
        <v>590</v>
      </c>
      <c r="J51" s="54">
        <v>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54">
        <v>0</v>
      </c>
      <c r="AN51" s="46">
        <f t="shared" si="0"/>
        <v>0</v>
      </c>
      <c r="AO51" s="7">
        <f t="shared" si="1"/>
        <v>0</v>
      </c>
    </row>
    <row r="52" spans="1:41" x14ac:dyDescent="0.3">
      <c r="A52" s="5">
        <v>51</v>
      </c>
      <c r="B52" s="6" t="s">
        <v>9</v>
      </c>
      <c r="C52" s="12" t="s">
        <v>456</v>
      </c>
      <c r="D52" s="6" t="s">
        <v>128</v>
      </c>
      <c r="E52" s="6" t="s">
        <v>12</v>
      </c>
      <c r="F52" s="6" t="s">
        <v>353</v>
      </c>
      <c r="G52" s="6" t="s">
        <v>35</v>
      </c>
      <c r="H52" s="92">
        <v>2</v>
      </c>
      <c r="I52" s="12" t="s">
        <v>590</v>
      </c>
      <c r="J52" s="54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10">
        <v>12.641</v>
      </c>
      <c r="AJ52" s="46">
        <v>0</v>
      </c>
      <c r="AK52" s="46">
        <v>0</v>
      </c>
      <c r="AL52" s="46">
        <v>0</v>
      </c>
      <c r="AM52" s="54">
        <v>0</v>
      </c>
      <c r="AN52" s="46">
        <f t="shared" si="0"/>
        <v>1.1491818181818181</v>
      </c>
      <c r="AO52" s="7">
        <f t="shared" si="1"/>
        <v>0.57459090909090904</v>
      </c>
    </row>
    <row r="53" spans="1:41" x14ac:dyDescent="0.3">
      <c r="A53" s="5">
        <v>52</v>
      </c>
      <c r="B53" s="6" t="s">
        <v>9</v>
      </c>
      <c r="C53" s="12" t="s">
        <v>525</v>
      </c>
      <c r="D53" s="6" t="s">
        <v>128</v>
      </c>
      <c r="E53" s="6" t="s">
        <v>12</v>
      </c>
      <c r="F53" s="6" t="s">
        <v>524</v>
      </c>
      <c r="G53" s="6" t="s">
        <v>35</v>
      </c>
      <c r="H53" s="92">
        <v>1</v>
      </c>
      <c r="I53" s="67" t="s">
        <v>160</v>
      </c>
      <c r="J53" s="54">
        <v>0</v>
      </c>
      <c r="K53" s="10">
        <v>3.2519999999999998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10">
        <v>2.4289999999999998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10">
        <v>5.8470000000000004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10">
        <v>0.72</v>
      </c>
      <c r="AG53" s="46">
        <v>0</v>
      </c>
      <c r="AH53" s="46">
        <v>0</v>
      </c>
      <c r="AI53" s="46">
        <v>0</v>
      </c>
      <c r="AJ53" s="10">
        <v>0.96099999999999997</v>
      </c>
      <c r="AK53" s="46">
        <v>0</v>
      </c>
      <c r="AL53" s="46">
        <v>0</v>
      </c>
      <c r="AM53" s="54">
        <v>0</v>
      </c>
      <c r="AN53" s="46">
        <f t="shared" si="0"/>
        <v>0.15281818181818183</v>
      </c>
      <c r="AO53" s="7">
        <f t="shared" si="1"/>
        <v>0.15281818181818183</v>
      </c>
    </row>
    <row r="54" spans="1:41" x14ac:dyDescent="0.3">
      <c r="A54" s="5">
        <v>53</v>
      </c>
      <c r="B54" s="6" t="s">
        <v>9</v>
      </c>
      <c r="C54" s="12" t="s">
        <v>525</v>
      </c>
      <c r="D54" s="6" t="s">
        <v>128</v>
      </c>
      <c r="E54" s="6" t="s">
        <v>12</v>
      </c>
      <c r="F54" s="6" t="s">
        <v>135</v>
      </c>
      <c r="G54" s="6" t="s">
        <v>35</v>
      </c>
      <c r="H54" s="92">
        <v>1</v>
      </c>
      <c r="I54" s="67" t="s">
        <v>160</v>
      </c>
      <c r="J54" s="54">
        <v>0</v>
      </c>
      <c r="K54" s="46">
        <v>0</v>
      </c>
      <c r="L54" s="46">
        <v>0</v>
      </c>
      <c r="M54" s="10">
        <v>2.7440000000000002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10">
        <v>5.5010000000000003</v>
      </c>
      <c r="Y54" s="10">
        <v>2.7480000000000002</v>
      </c>
      <c r="Z54" s="46">
        <v>0</v>
      </c>
      <c r="AA54" s="46">
        <v>0</v>
      </c>
      <c r="AB54" s="46">
        <v>0</v>
      </c>
      <c r="AC54" s="10">
        <v>2.7210000000000001</v>
      </c>
      <c r="AD54" s="10">
        <v>6.0139999999999993</v>
      </c>
      <c r="AE54" s="46">
        <v>0</v>
      </c>
      <c r="AF54" s="46">
        <v>0</v>
      </c>
      <c r="AG54" s="46">
        <v>0</v>
      </c>
      <c r="AH54" s="10">
        <v>2.72</v>
      </c>
      <c r="AI54" s="46">
        <v>0</v>
      </c>
      <c r="AJ54" s="10">
        <v>4.3289999999999997</v>
      </c>
      <c r="AK54" s="10">
        <v>0.23499999999999999</v>
      </c>
      <c r="AL54" s="10">
        <v>5.742</v>
      </c>
      <c r="AM54" s="54">
        <v>0</v>
      </c>
      <c r="AN54" s="46">
        <f t="shared" si="0"/>
        <v>1.9782727272727272</v>
      </c>
      <c r="AO54" s="7">
        <f t="shared" si="1"/>
        <v>1.9782727272727272</v>
      </c>
    </row>
    <row r="55" spans="1:41" x14ac:dyDescent="0.3">
      <c r="A55" s="5">
        <v>54</v>
      </c>
      <c r="B55" s="6" t="s">
        <v>9</v>
      </c>
      <c r="C55" s="12" t="s">
        <v>525</v>
      </c>
      <c r="D55" s="6" t="s">
        <v>128</v>
      </c>
      <c r="E55" s="6" t="s">
        <v>12</v>
      </c>
      <c r="F55" s="6" t="s">
        <v>124</v>
      </c>
      <c r="G55" s="6" t="s">
        <v>80</v>
      </c>
      <c r="H55" s="92">
        <v>1</v>
      </c>
      <c r="I55" s="67" t="s">
        <v>160</v>
      </c>
      <c r="J55" s="54"/>
      <c r="K55" s="46"/>
      <c r="L55" s="46"/>
      <c r="M55" s="10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10"/>
      <c r="Y55" s="10"/>
      <c r="Z55" s="46"/>
      <c r="AA55" s="46"/>
      <c r="AB55" s="46"/>
      <c r="AC55" s="46"/>
      <c r="AD55" s="46"/>
      <c r="AE55" s="46"/>
      <c r="AF55" s="46"/>
      <c r="AG55" s="46"/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54">
        <v>0</v>
      </c>
      <c r="AN55" s="46">
        <f t="shared" si="0"/>
        <v>0</v>
      </c>
      <c r="AO55" s="7">
        <f t="shared" si="1"/>
        <v>0</v>
      </c>
    </row>
    <row r="56" spans="1:41" x14ac:dyDescent="0.3">
      <c r="A56" s="5">
        <v>55</v>
      </c>
      <c r="B56" s="6" t="s">
        <v>9</v>
      </c>
      <c r="C56" s="12" t="s">
        <v>475</v>
      </c>
      <c r="D56" s="6" t="s">
        <v>128</v>
      </c>
      <c r="E56" s="6" t="s">
        <v>12</v>
      </c>
      <c r="F56" s="6" t="s">
        <v>13</v>
      </c>
      <c r="G56" s="6" t="s">
        <v>35</v>
      </c>
      <c r="H56" s="92">
        <v>8</v>
      </c>
      <c r="I56" s="12" t="s">
        <v>590</v>
      </c>
      <c r="J56" s="93">
        <v>145.44899999999998</v>
      </c>
      <c r="K56" s="10">
        <v>52.97399999999999</v>
      </c>
      <c r="L56" s="10">
        <v>72.813000000000002</v>
      </c>
      <c r="M56" s="10">
        <v>77.025999999999996</v>
      </c>
      <c r="N56" s="10">
        <v>181.67499999999998</v>
      </c>
      <c r="O56" s="10">
        <v>84.408999999999992</v>
      </c>
      <c r="P56" s="10">
        <v>6.7429999999999994</v>
      </c>
      <c r="Q56" s="10">
        <v>190.13600000000002</v>
      </c>
      <c r="R56" s="10">
        <v>89.558999999999997</v>
      </c>
      <c r="S56" s="10">
        <v>111.83500000000001</v>
      </c>
      <c r="T56" s="10">
        <v>50.564999999999998</v>
      </c>
      <c r="U56" s="10">
        <v>164.48200000000003</v>
      </c>
      <c r="V56" s="10">
        <v>115.42699999999999</v>
      </c>
      <c r="W56" s="10">
        <v>190.20100000000002</v>
      </c>
      <c r="X56" s="10">
        <v>133.94299999999998</v>
      </c>
      <c r="Y56" s="10">
        <v>154.315</v>
      </c>
      <c r="Z56" s="10">
        <v>95.827999999999989</v>
      </c>
      <c r="AA56" s="10">
        <v>93.132000000000005</v>
      </c>
      <c r="AB56" s="10">
        <v>200.66800000000001</v>
      </c>
      <c r="AC56" s="10">
        <v>66.266999999999996</v>
      </c>
      <c r="AD56" s="10">
        <v>145.81100000000001</v>
      </c>
      <c r="AE56" s="10">
        <v>82.96</v>
      </c>
      <c r="AF56" s="10">
        <v>91.606999999999999</v>
      </c>
      <c r="AG56" s="10">
        <v>95.835999999999999</v>
      </c>
      <c r="AH56" s="10">
        <v>102.73599999999999</v>
      </c>
      <c r="AI56" s="10">
        <v>90.203000000000003</v>
      </c>
      <c r="AJ56" s="10">
        <v>191.80099999999999</v>
      </c>
      <c r="AK56" s="10">
        <v>155.38799999999998</v>
      </c>
      <c r="AL56" s="10">
        <v>100.36999999999999</v>
      </c>
      <c r="AM56" s="10">
        <v>89.463999999999999</v>
      </c>
      <c r="AN56" s="46">
        <f t="shared" si="0"/>
        <v>110.22209090909088</v>
      </c>
      <c r="AO56" s="7">
        <f t="shared" si="1"/>
        <v>13.77776136363636</v>
      </c>
    </row>
    <row r="57" spans="1:41" x14ac:dyDescent="0.3">
      <c r="A57" s="5">
        <v>56</v>
      </c>
      <c r="B57" s="6" t="s">
        <v>9</v>
      </c>
      <c r="C57" s="12" t="s">
        <v>484</v>
      </c>
      <c r="D57" s="6" t="s">
        <v>128</v>
      </c>
      <c r="E57" s="6" t="s">
        <v>12</v>
      </c>
      <c r="F57" s="6" t="s">
        <v>13</v>
      </c>
      <c r="G57" s="6" t="s">
        <v>35</v>
      </c>
      <c r="H57" s="92">
        <v>1</v>
      </c>
      <c r="I57" s="12" t="s">
        <v>590</v>
      </c>
      <c r="J57" s="54">
        <v>0</v>
      </c>
      <c r="K57" s="46">
        <v>0</v>
      </c>
      <c r="L57" s="46">
        <v>0</v>
      </c>
      <c r="M57" s="10">
        <v>5.1350000000000007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10">
        <v>2.3650000000000002</v>
      </c>
      <c r="X57" s="10">
        <v>2.11</v>
      </c>
      <c r="Y57" s="46">
        <v>0</v>
      </c>
      <c r="Z57" s="46">
        <v>0</v>
      </c>
      <c r="AA57" s="10">
        <v>3.0819999999999999</v>
      </c>
      <c r="AB57" s="10">
        <v>2.4859999999999998</v>
      </c>
      <c r="AC57" s="10">
        <v>8.0000000000000002E-3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10">
        <v>3.0310000000000001</v>
      </c>
      <c r="AK57" s="46">
        <v>0</v>
      </c>
      <c r="AL57" s="46">
        <v>0</v>
      </c>
      <c r="AM57" s="54">
        <v>0</v>
      </c>
      <c r="AN57" s="46">
        <f t="shared" si="0"/>
        <v>0.27627272727272728</v>
      </c>
      <c r="AO57" s="7">
        <f t="shared" si="1"/>
        <v>0.27627272727272728</v>
      </c>
    </row>
    <row r="58" spans="1:41" x14ac:dyDescent="0.3">
      <c r="A58" s="5">
        <v>57</v>
      </c>
      <c r="B58" s="6" t="s">
        <v>498</v>
      </c>
      <c r="C58" s="12" t="s">
        <v>501</v>
      </c>
      <c r="D58" s="6" t="s">
        <v>128</v>
      </c>
      <c r="E58" s="6" t="s">
        <v>12</v>
      </c>
      <c r="F58" s="6" t="s">
        <v>255</v>
      </c>
      <c r="G58" s="6" t="s">
        <v>80</v>
      </c>
      <c r="H58" s="92">
        <v>1</v>
      </c>
      <c r="I58" s="67" t="s">
        <v>160</v>
      </c>
      <c r="J58" s="54">
        <v>0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0</v>
      </c>
      <c r="AH58" s="46">
        <v>0</v>
      </c>
      <c r="AI58" s="46">
        <v>0</v>
      </c>
      <c r="AJ58" s="46">
        <v>0</v>
      </c>
      <c r="AK58" s="46">
        <v>0</v>
      </c>
      <c r="AL58" s="46">
        <v>0</v>
      </c>
      <c r="AM58" s="54">
        <v>0</v>
      </c>
      <c r="AN58" s="46">
        <f t="shared" si="0"/>
        <v>0</v>
      </c>
      <c r="AO58" s="7">
        <f t="shared" si="1"/>
        <v>0</v>
      </c>
    </row>
    <row r="59" spans="1:41" x14ac:dyDescent="0.3">
      <c r="A59" s="5">
        <v>58</v>
      </c>
      <c r="B59" s="6" t="s">
        <v>9</v>
      </c>
      <c r="C59" s="12" t="s">
        <v>518</v>
      </c>
      <c r="D59" s="6" t="s">
        <v>128</v>
      </c>
      <c r="E59" s="6" t="s">
        <v>12</v>
      </c>
      <c r="F59" s="6" t="s">
        <v>13</v>
      </c>
      <c r="G59" s="6" t="s">
        <v>35</v>
      </c>
      <c r="H59" s="92">
        <v>1</v>
      </c>
      <c r="I59" s="12" t="s">
        <v>589</v>
      </c>
      <c r="J59" s="54">
        <v>0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10">
        <v>5.7769999999999992</v>
      </c>
      <c r="AD59" s="10">
        <v>1.2350000000000001</v>
      </c>
      <c r="AE59" s="10">
        <v>4.9809999999999999</v>
      </c>
      <c r="AF59" s="10">
        <v>4.5060000000000002</v>
      </c>
      <c r="AG59" s="46">
        <v>0</v>
      </c>
      <c r="AH59" s="10">
        <v>2.3109999999999999</v>
      </c>
      <c r="AI59" s="10">
        <v>3.0000000000000001E-3</v>
      </c>
      <c r="AJ59" s="10">
        <v>7.0440000000000005</v>
      </c>
      <c r="AK59" s="46">
        <v>0</v>
      </c>
      <c r="AL59" s="46">
        <v>0</v>
      </c>
      <c r="AM59" s="54">
        <v>0</v>
      </c>
      <c r="AN59" s="46">
        <f t="shared" si="0"/>
        <v>2.3506363636363634</v>
      </c>
      <c r="AO59" s="7">
        <f t="shared" si="1"/>
        <v>2.3506363636363634</v>
      </c>
    </row>
    <row r="60" spans="1:41" x14ac:dyDescent="0.3">
      <c r="A60" s="5">
        <v>59</v>
      </c>
      <c r="B60" s="6" t="s">
        <v>9</v>
      </c>
      <c r="C60" s="12" t="s">
        <v>519</v>
      </c>
      <c r="D60" s="6" t="s">
        <v>128</v>
      </c>
      <c r="E60" s="6" t="s">
        <v>12</v>
      </c>
      <c r="F60" s="6" t="s">
        <v>13</v>
      </c>
      <c r="G60" s="6" t="s">
        <v>35</v>
      </c>
      <c r="H60" s="92">
        <v>10</v>
      </c>
      <c r="I60" s="94" t="s">
        <v>273</v>
      </c>
      <c r="J60" s="93">
        <v>8.072000000000001</v>
      </c>
      <c r="K60" s="10">
        <v>4.5979999999999999</v>
      </c>
      <c r="L60" s="10">
        <v>9.5739999999999998</v>
      </c>
      <c r="M60" s="10">
        <v>1.9430000000000001</v>
      </c>
      <c r="N60" s="46">
        <v>0</v>
      </c>
      <c r="O60" s="10">
        <v>8.8019999999999996</v>
      </c>
      <c r="P60" s="10">
        <v>13.66</v>
      </c>
      <c r="Q60" s="10">
        <v>2.758</v>
      </c>
      <c r="R60" s="10">
        <v>18.053999999999998</v>
      </c>
      <c r="S60" s="10">
        <v>22.526</v>
      </c>
      <c r="T60" s="10">
        <v>13.808</v>
      </c>
      <c r="U60" s="10">
        <v>16.297999999999998</v>
      </c>
      <c r="V60" s="10">
        <v>10.605</v>
      </c>
      <c r="W60" s="10">
        <v>24.694000000000003</v>
      </c>
      <c r="X60" s="10">
        <v>16.661999999999999</v>
      </c>
      <c r="Y60" s="10">
        <v>18.523</v>
      </c>
      <c r="Z60" s="10">
        <v>26.122</v>
      </c>
      <c r="AA60" s="10">
        <v>16.503</v>
      </c>
      <c r="AB60" s="10">
        <v>16.058</v>
      </c>
      <c r="AC60" s="10">
        <v>17.201000000000001</v>
      </c>
      <c r="AD60" s="10">
        <v>2.7570000000000001</v>
      </c>
      <c r="AE60" s="10">
        <v>21.577999999999999</v>
      </c>
      <c r="AF60" s="10">
        <v>16.052</v>
      </c>
      <c r="AG60" s="10">
        <v>44.187999999999995</v>
      </c>
      <c r="AH60" s="10">
        <v>22.728000000000002</v>
      </c>
      <c r="AI60" s="10">
        <v>9.9910000000000014</v>
      </c>
      <c r="AJ60" s="10">
        <v>6.581999999999999</v>
      </c>
      <c r="AK60" s="10">
        <v>26.921999999999997</v>
      </c>
      <c r="AL60" s="10">
        <v>8.8580000000000005</v>
      </c>
      <c r="AM60" s="10">
        <v>16.585000000000001</v>
      </c>
      <c r="AN60" s="46">
        <f t="shared" si="0"/>
        <v>17.585636363636365</v>
      </c>
      <c r="AO60" s="7">
        <f t="shared" si="1"/>
        <v>1.7585636363636366</v>
      </c>
    </row>
    <row r="61" spans="1:41" x14ac:dyDescent="0.3">
      <c r="A61" s="5">
        <v>60</v>
      </c>
      <c r="B61" s="6" t="s">
        <v>9</v>
      </c>
      <c r="C61" s="12" t="s">
        <v>530</v>
      </c>
      <c r="D61" s="6" t="s">
        <v>128</v>
      </c>
      <c r="E61" s="6" t="s">
        <v>12</v>
      </c>
      <c r="F61" s="6" t="s">
        <v>13</v>
      </c>
      <c r="G61" s="6" t="s">
        <v>35</v>
      </c>
      <c r="H61" s="92">
        <v>2</v>
      </c>
      <c r="I61" s="12" t="s">
        <v>589</v>
      </c>
      <c r="J61" s="54">
        <v>0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10">
        <v>1.175</v>
      </c>
      <c r="AB61" s="46">
        <v>0</v>
      </c>
      <c r="AC61" s="10">
        <v>4.5220000000000002</v>
      </c>
      <c r="AD61" s="10">
        <v>2.7909999999999999</v>
      </c>
      <c r="AE61" s="10">
        <v>0.80600000000000005</v>
      </c>
      <c r="AF61" s="10">
        <v>8.5999999999999993E-2</v>
      </c>
      <c r="AG61" s="10">
        <v>5.5270000000000001</v>
      </c>
      <c r="AH61" s="10">
        <v>7.3460000000000001</v>
      </c>
      <c r="AI61" s="10">
        <v>14.973999999999997</v>
      </c>
      <c r="AJ61" s="10">
        <v>3.73</v>
      </c>
      <c r="AK61" s="10">
        <v>19.038999999999998</v>
      </c>
      <c r="AL61" s="10">
        <v>9.5869999999999997</v>
      </c>
      <c r="AM61" s="10">
        <v>16.770000000000003</v>
      </c>
      <c r="AN61" s="46">
        <f t="shared" si="0"/>
        <v>7.7434545454545454</v>
      </c>
      <c r="AO61" s="7">
        <f t="shared" si="1"/>
        <v>3.8717272727272727</v>
      </c>
    </row>
    <row r="62" spans="1:41" x14ac:dyDescent="0.3">
      <c r="A62" s="5">
        <v>61</v>
      </c>
      <c r="B62" s="6" t="s">
        <v>9</v>
      </c>
      <c r="C62" s="6" t="s">
        <v>93</v>
      </c>
      <c r="D62" s="6" t="s">
        <v>26</v>
      </c>
      <c r="E62" s="6" t="s">
        <v>19</v>
      </c>
      <c r="F62" s="6" t="s">
        <v>13</v>
      </c>
      <c r="G62" s="6" t="s">
        <v>14</v>
      </c>
      <c r="H62" s="92">
        <v>1</v>
      </c>
      <c r="I62" s="67" t="s">
        <v>160</v>
      </c>
      <c r="J62" s="54">
        <v>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54">
        <v>0</v>
      </c>
      <c r="AN62" s="46">
        <f t="shared" si="0"/>
        <v>0</v>
      </c>
      <c r="AO62" s="7">
        <f t="shared" si="1"/>
        <v>0</v>
      </c>
    </row>
    <row r="63" spans="1:41" x14ac:dyDescent="0.3">
      <c r="A63" s="5">
        <v>62</v>
      </c>
      <c r="B63" s="6" t="s">
        <v>9</v>
      </c>
      <c r="C63" s="6" t="s">
        <v>574</v>
      </c>
      <c r="D63" s="6" t="s">
        <v>128</v>
      </c>
      <c r="E63" s="6" t="s">
        <v>12</v>
      </c>
      <c r="F63" s="6" t="s">
        <v>13</v>
      </c>
      <c r="G63" s="6" t="s">
        <v>35</v>
      </c>
      <c r="H63" s="92">
        <v>5</v>
      </c>
      <c r="I63" s="94" t="s">
        <v>273</v>
      </c>
      <c r="J63" s="54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10">
        <v>11.861000000000001</v>
      </c>
      <c r="Z63" s="10">
        <v>23.612000000000002</v>
      </c>
      <c r="AA63" s="10">
        <v>12.009999999999998</v>
      </c>
      <c r="AB63" s="10">
        <v>27.911999999999999</v>
      </c>
      <c r="AC63" s="10">
        <v>33.65</v>
      </c>
      <c r="AD63" s="10">
        <v>25.435000000000002</v>
      </c>
      <c r="AE63" s="10">
        <v>29.085000000000001</v>
      </c>
      <c r="AF63" s="10">
        <v>30.632000000000005</v>
      </c>
      <c r="AG63" s="10">
        <v>15.611000000000001</v>
      </c>
      <c r="AH63" s="10">
        <v>38.254000000000005</v>
      </c>
      <c r="AI63" s="10">
        <v>23.404</v>
      </c>
      <c r="AJ63" s="10">
        <v>46.122999999999998</v>
      </c>
      <c r="AK63" s="10">
        <v>18.465999999999998</v>
      </c>
      <c r="AL63" s="10">
        <v>44.857999999999997</v>
      </c>
      <c r="AM63" s="10">
        <v>22.634999999999998</v>
      </c>
      <c r="AN63" s="46">
        <f t="shared" si="0"/>
        <v>29.832090909090912</v>
      </c>
      <c r="AO63" s="7">
        <f t="shared" si="1"/>
        <v>5.9664181818181827</v>
      </c>
    </row>
    <row r="64" spans="1:41" x14ac:dyDescent="0.3">
      <c r="A64" s="5">
        <v>63</v>
      </c>
      <c r="B64" s="6" t="s">
        <v>536</v>
      </c>
      <c r="C64" s="6" t="s">
        <v>534</v>
      </c>
      <c r="D64" s="6" t="s">
        <v>128</v>
      </c>
      <c r="E64" s="6" t="s">
        <v>12</v>
      </c>
      <c r="F64" s="6" t="s">
        <v>255</v>
      </c>
      <c r="G64" s="6" t="s">
        <v>80</v>
      </c>
      <c r="H64" s="92">
        <v>1</v>
      </c>
      <c r="I64" s="67" t="s">
        <v>160</v>
      </c>
      <c r="J64" s="54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54">
        <v>0</v>
      </c>
      <c r="AN64" s="46">
        <f t="shared" si="0"/>
        <v>0</v>
      </c>
      <c r="AO64" s="7">
        <f t="shared" si="1"/>
        <v>0</v>
      </c>
    </row>
    <row r="65" spans="1:41" x14ac:dyDescent="0.3">
      <c r="A65" s="5">
        <v>64</v>
      </c>
      <c r="B65" s="6" t="s">
        <v>9</v>
      </c>
      <c r="C65" s="6" t="s">
        <v>27</v>
      </c>
      <c r="D65" s="6" t="s">
        <v>28</v>
      </c>
      <c r="E65" s="6" t="s">
        <v>19</v>
      </c>
      <c r="F65" s="6" t="s">
        <v>13</v>
      </c>
      <c r="G65" s="6" t="s">
        <v>14</v>
      </c>
      <c r="H65" s="92">
        <v>4</v>
      </c>
      <c r="I65" s="67" t="s">
        <v>160</v>
      </c>
      <c r="J65" s="54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54">
        <v>0</v>
      </c>
      <c r="AN65" s="46">
        <f t="shared" si="0"/>
        <v>0</v>
      </c>
      <c r="AO65" s="7">
        <f t="shared" si="1"/>
        <v>0</v>
      </c>
    </row>
    <row r="66" spans="1:41" x14ac:dyDescent="0.3">
      <c r="A66" s="5">
        <v>65</v>
      </c>
      <c r="B66" s="6" t="s">
        <v>9</v>
      </c>
      <c r="C66" s="6" t="s">
        <v>94</v>
      </c>
      <c r="D66" s="6" t="s">
        <v>32</v>
      </c>
      <c r="E66" s="6" t="s">
        <v>19</v>
      </c>
      <c r="F66" s="6" t="s">
        <v>13</v>
      </c>
      <c r="G66" s="6" t="s">
        <v>14</v>
      </c>
      <c r="H66" s="92">
        <v>2</v>
      </c>
      <c r="I66" s="67" t="s">
        <v>160</v>
      </c>
      <c r="J66" s="54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54">
        <v>0</v>
      </c>
      <c r="AN66" s="46">
        <f t="shared" si="0"/>
        <v>0</v>
      </c>
      <c r="AO66" s="7">
        <f t="shared" si="1"/>
        <v>0</v>
      </c>
    </row>
    <row r="67" spans="1:41" x14ac:dyDescent="0.3">
      <c r="A67" s="5">
        <v>66</v>
      </c>
      <c r="B67" s="6" t="s">
        <v>49</v>
      </c>
      <c r="C67" s="12" t="s">
        <v>388</v>
      </c>
      <c r="D67" s="6" t="s">
        <v>128</v>
      </c>
      <c r="E67" s="6" t="s">
        <v>12</v>
      </c>
      <c r="F67" s="6" t="s">
        <v>13</v>
      </c>
      <c r="G67" s="6" t="s">
        <v>35</v>
      </c>
      <c r="H67" s="92">
        <v>5</v>
      </c>
      <c r="I67" s="12" t="s">
        <v>589</v>
      </c>
      <c r="J67" s="93">
        <v>7.2960000000000003</v>
      </c>
      <c r="K67" s="10">
        <v>17.012</v>
      </c>
      <c r="L67" s="46">
        <v>0</v>
      </c>
      <c r="M67" s="10">
        <v>9.5180000000000007</v>
      </c>
      <c r="N67" s="10">
        <v>6.2749999999999995</v>
      </c>
      <c r="O67" s="10">
        <v>0.96299999999999997</v>
      </c>
      <c r="P67" s="10">
        <v>16.606000000000002</v>
      </c>
      <c r="Q67" s="10">
        <v>1E-3</v>
      </c>
      <c r="R67" s="10">
        <v>10.893999999999998</v>
      </c>
      <c r="S67" s="10">
        <v>1.29</v>
      </c>
      <c r="T67" s="10">
        <v>14.32</v>
      </c>
      <c r="U67" s="10">
        <v>13.168999999999999</v>
      </c>
      <c r="V67" s="10">
        <v>13.012</v>
      </c>
      <c r="W67" s="10">
        <v>5.3010000000000002</v>
      </c>
      <c r="X67" s="10">
        <v>2.927</v>
      </c>
      <c r="Y67" s="10">
        <v>5.625</v>
      </c>
      <c r="Z67" s="46">
        <v>0</v>
      </c>
      <c r="AA67" s="10">
        <v>7.456999999999999</v>
      </c>
      <c r="AB67" s="10">
        <v>2.7899999999999996</v>
      </c>
      <c r="AC67" s="10">
        <v>12.774999999999999</v>
      </c>
      <c r="AD67" s="10">
        <v>5.3559999999999999</v>
      </c>
      <c r="AE67" s="10">
        <v>5.9749999999999996</v>
      </c>
      <c r="AF67" s="10">
        <v>5.5790000000000006</v>
      </c>
      <c r="AG67" s="46">
        <v>0</v>
      </c>
      <c r="AH67" s="10">
        <v>11.547000000000002</v>
      </c>
      <c r="AI67" s="10">
        <v>10.550999999999998</v>
      </c>
      <c r="AJ67" s="10">
        <v>11.348000000000001</v>
      </c>
      <c r="AK67" s="10">
        <v>5.5519999999999996</v>
      </c>
      <c r="AL67" s="10">
        <v>11.087</v>
      </c>
      <c r="AM67" s="10">
        <v>9.8439999999999994</v>
      </c>
      <c r="AN67" s="46">
        <f t="shared" ref="AN67:AN130" si="2">AVERAGE(AC67:AM67)</f>
        <v>8.1467272727272722</v>
      </c>
      <c r="AO67" s="7">
        <f t="shared" ref="AO67:AO130" si="3">AN67/H67</f>
        <v>1.6293454545454544</v>
      </c>
    </row>
    <row r="68" spans="1:41" x14ac:dyDescent="0.3">
      <c r="A68" s="5">
        <v>67</v>
      </c>
      <c r="B68" s="6" t="s">
        <v>49</v>
      </c>
      <c r="C68" s="12" t="s">
        <v>389</v>
      </c>
      <c r="D68" s="6" t="s">
        <v>128</v>
      </c>
      <c r="E68" s="6" t="s">
        <v>12</v>
      </c>
      <c r="F68" s="6" t="s">
        <v>13</v>
      </c>
      <c r="G68" s="6" t="s">
        <v>35</v>
      </c>
      <c r="H68" s="92">
        <v>10</v>
      </c>
      <c r="I68" s="12" t="s">
        <v>589</v>
      </c>
      <c r="J68" s="93">
        <v>89.76900000000002</v>
      </c>
      <c r="K68" s="10">
        <v>60.861999999999995</v>
      </c>
      <c r="L68" s="10">
        <v>100.97</v>
      </c>
      <c r="M68" s="10">
        <v>83.602999999999994</v>
      </c>
      <c r="N68" s="10">
        <v>79.696999999999989</v>
      </c>
      <c r="O68" s="10">
        <v>77.780999999999977</v>
      </c>
      <c r="P68" s="10">
        <v>89.603999999999999</v>
      </c>
      <c r="Q68" s="10">
        <v>75.224999999999994</v>
      </c>
      <c r="R68" s="10">
        <v>89.995000000000005</v>
      </c>
      <c r="S68" s="10">
        <v>84.342000000000013</v>
      </c>
      <c r="T68" s="10">
        <v>88.242999999999995</v>
      </c>
      <c r="U68" s="10">
        <v>90.106999999999999</v>
      </c>
      <c r="V68" s="10">
        <v>70.990999999999985</v>
      </c>
      <c r="W68" s="10">
        <v>98.546000000000021</v>
      </c>
      <c r="X68" s="10">
        <v>52.826999999999998</v>
      </c>
      <c r="Y68" s="10">
        <v>103.41000000000001</v>
      </c>
      <c r="Z68" s="10">
        <v>81.071999999999989</v>
      </c>
      <c r="AA68" s="10">
        <v>87.318999999999988</v>
      </c>
      <c r="AB68" s="10">
        <v>79.813999999999993</v>
      </c>
      <c r="AC68" s="10">
        <v>109.26099999999998</v>
      </c>
      <c r="AD68" s="10">
        <v>87.091000000000008</v>
      </c>
      <c r="AE68" s="10">
        <v>90.185999999999993</v>
      </c>
      <c r="AF68" s="10">
        <v>90.192000000000021</v>
      </c>
      <c r="AG68" s="10">
        <v>81.272000000000006</v>
      </c>
      <c r="AH68" s="10">
        <v>67.281999999999996</v>
      </c>
      <c r="AI68" s="10">
        <v>84.819000000000003</v>
      </c>
      <c r="AJ68" s="10">
        <v>84.395999999999987</v>
      </c>
      <c r="AK68" s="10">
        <v>92.442999999999998</v>
      </c>
      <c r="AL68" s="10">
        <v>78.060000000000016</v>
      </c>
      <c r="AM68" s="10">
        <v>60.460999999999991</v>
      </c>
      <c r="AN68" s="46">
        <f t="shared" si="2"/>
        <v>84.132999999999996</v>
      </c>
      <c r="AO68" s="7">
        <f t="shared" si="3"/>
        <v>8.4132999999999996</v>
      </c>
    </row>
    <row r="69" spans="1:41" x14ac:dyDescent="0.3">
      <c r="A69" s="5">
        <v>68</v>
      </c>
      <c r="B69" s="6" t="s">
        <v>52</v>
      </c>
      <c r="C69" s="12" t="s">
        <v>390</v>
      </c>
      <c r="D69" s="6" t="s">
        <v>128</v>
      </c>
      <c r="E69" s="6" t="s">
        <v>12</v>
      </c>
      <c r="F69" s="6" t="s">
        <v>13</v>
      </c>
      <c r="G69" s="6" t="s">
        <v>35</v>
      </c>
      <c r="H69" s="92">
        <v>3</v>
      </c>
      <c r="I69" s="12" t="s">
        <v>589</v>
      </c>
      <c r="J69" s="54">
        <v>0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0</v>
      </c>
      <c r="AL69" s="46">
        <v>0</v>
      </c>
      <c r="AM69" s="54">
        <v>0</v>
      </c>
      <c r="AN69" s="46">
        <f t="shared" si="2"/>
        <v>0</v>
      </c>
      <c r="AO69" s="7">
        <f t="shared" si="3"/>
        <v>0</v>
      </c>
    </row>
    <row r="70" spans="1:41" x14ac:dyDescent="0.3">
      <c r="A70" s="5">
        <v>69</v>
      </c>
      <c r="B70" s="6" t="s">
        <v>52</v>
      </c>
      <c r="C70" s="12" t="s">
        <v>212</v>
      </c>
      <c r="D70" s="6" t="s">
        <v>128</v>
      </c>
      <c r="E70" s="6" t="s">
        <v>12</v>
      </c>
      <c r="F70" s="6" t="s">
        <v>13</v>
      </c>
      <c r="G70" s="6" t="s">
        <v>35</v>
      </c>
      <c r="H70" s="92">
        <v>7</v>
      </c>
      <c r="I70" s="12" t="s">
        <v>273</v>
      </c>
      <c r="J70" s="93">
        <v>105.066</v>
      </c>
      <c r="K70" s="10">
        <v>76.692999999999998</v>
      </c>
      <c r="L70" s="10">
        <v>102.16699999999999</v>
      </c>
      <c r="M70" s="10">
        <v>130.52499999999998</v>
      </c>
      <c r="N70" s="10">
        <v>85.278000000000006</v>
      </c>
      <c r="O70" s="10">
        <v>96.097000000000008</v>
      </c>
      <c r="P70" s="10">
        <v>84.896000000000001</v>
      </c>
      <c r="Q70" s="10">
        <v>96.495999999999995</v>
      </c>
      <c r="R70" s="10">
        <v>145.50899999999999</v>
      </c>
      <c r="S70" s="10">
        <v>77.254999999999995</v>
      </c>
      <c r="T70" s="10">
        <v>152.00500000000002</v>
      </c>
      <c r="U70" s="10">
        <v>73.292999999999992</v>
      </c>
      <c r="V70" s="10">
        <v>100.84500000000001</v>
      </c>
      <c r="W70" s="10">
        <v>118.41999999999997</v>
      </c>
      <c r="X70" s="10">
        <v>72.057000000000002</v>
      </c>
      <c r="Y70" s="10">
        <v>127.73200000000001</v>
      </c>
      <c r="Z70" s="10">
        <v>109.73300000000002</v>
      </c>
      <c r="AA70" s="10">
        <v>115.57399999999997</v>
      </c>
      <c r="AB70" s="10">
        <v>84.847999999999999</v>
      </c>
      <c r="AC70" s="10">
        <v>98.855999999999995</v>
      </c>
      <c r="AD70" s="10">
        <v>118.68000000000004</v>
      </c>
      <c r="AE70" s="10">
        <v>125.27700000000002</v>
      </c>
      <c r="AF70" s="10">
        <v>102.72499999999998</v>
      </c>
      <c r="AG70" s="10">
        <v>122.36500000000001</v>
      </c>
      <c r="AH70" s="10">
        <v>93.745999999999981</v>
      </c>
      <c r="AI70" s="10">
        <v>82.062000000000012</v>
      </c>
      <c r="AJ70" s="10">
        <v>156.28100000000001</v>
      </c>
      <c r="AK70" s="10">
        <v>107.005</v>
      </c>
      <c r="AL70" s="10">
        <v>87.65</v>
      </c>
      <c r="AM70" s="10">
        <v>93.146999999999991</v>
      </c>
      <c r="AN70" s="46">
        <f t="shared" si="2"/>
        <v>107.98127272727271</v>
      </c>
      <c r="AO70" s="7">
        <f t="shared" si="3"/>
        <v>15.425896103896102</v>
      </c>
    </row>
    <row r="71" spans="1:41" x14ac:dyDescent="0.3">
      <c r="A71" s="5">
        <v>70</v>
      </c>
      <c r="B71" s="6" t="s">
        <v>134</v>
      </c>
      <c r="C71" s="6" t="s">
        <v>504</v>
      </c>
      <c r="D71" s="6" t="s">
        <v>128</v>
      </c>
      <c r="E71" s="6" t="s">
        <v>12</v>
      </c>
      <c r="F71" s="6" t="s">
        <v>13</v>
      </c>
      <c r="G71" s="6" t="s">
        <v>35</v>
      </c>
      <c r="H71" s="92">
        <v>7</v>
      </c>
      <c r="I71" s="12" t="s">
        <v>273</v>
      </c>
      <c r="J71" s="93">
        <v>33.792000000000002</v>
      </c>
      <c r="K71" s="10">
        <v>67.42</v>
      </c>
      <c r="L71" s="10">
        <v>43.146999999999998</v>
      </c>
      <c r="M71" s="10">
        <v>31.066000000000003</v>
      </c>
      <c r="N71" s="10">
        <v>43.396999999999998</v>
      </c>
      <c r="O71" s="10">
        <v>50.121000000000002</v>
      </c>
      <c r="P71" s="10">
        <v>57.01</v>
      </c>
      <c r="Q71" s="10">
        <v>26.614000000000004</v>
      </c>
      <c r="R71" s="10">
        <v>33.649000000000001</v>
      </c>
      <c r="S71" s="10">
        <v>48.697999999999993</v>
      </c>
      <c r="T71" s="10">
        <v>55.952999999999996</v>
      </c>
      <c r="U71" s="10">
        <v>45.619</v>
      </c>
      <c r="V71" s="10">
        <v>40.193000000000005</v>
      </c>
      <c r="W71" s="10">
        <v>43.939</v>
      </c>
      <c r="X71" s="10">
        <v>49.81600000000001</v>
      </c>
      <c r="Y71" s="10">
        <v>58.075000000000003</v>
      </c>
      <c r="Z71" s="10">
        <v>43.055000000000007</v>
      </c>
      <c r="AA71" s="10">
        <v>41.427</v>
      </c>
      <c r="AB71" s="10">
        <v>31.447000000000003</v>
      </c>
      <c r="AC71" s="10">
        <v>52.886999999999986</v>
      </c>
      <c r="AD71" s="10">
        <v>38.442999999999998</v>
      </c>
      <c r="AE71" s="10">
        <v>27.642000000000003</v>
      </c>
      <c r="AF71" s="10">
        <v>44.740999999999993</v>
      </c>
      <c r="AG71" s="10">
        <v>41.943999999999996</v>
      </c>
      <c r="AH71" s="10">
        <v>42.108000000000004</v>
      </c>
      <c r="AI71" s="10">
        <v>34.039000000000001</v>
      </c>
      <c r="AJ71" s="10">
        <v>40.214999999999996</v>
      </c>
      <c r="AK71" s="10">
        <v>36.066999999999986</v>
      </c>
      <c r="AL71" s="10">
        <v>42.634999999999998</v>
      </c>
      <c r="AM71" s="10">
        <v>25.673999999999996</v>
      </c>
      <c r="AN71" s="46">
        <f t="shared" si="2"/>
        <v>38.763181818181813</v>
      </c>
      <c r="AO71" s="7">
        <f t="shared" si="3"/>
        <v>5.5375974025974015</v>
      </c>
    </row>
    <row r="72" spans="1:41" x14ac:dyDescent="0.3">
      <c r="A72" s="5">
        <v>71</v>
      </c>
      <c r="B72" s="12" t="s">
        <v>246</v>
      </c>
      <c r="C72" s="12" t="s">
        <v>247</v>
      </c>
      <c r="D72" s="6" t="s">
        <v>128</v>
      </c>
      <c r="E72" s="6" t="s">
        <v>12</v>
      </c>
      <c r="F72" s="6" t="s">
        <v>13</v>
      </c>
      <c r="G72" s="6" t="s">
        <v>35</v>
      </c>
      <c r="H72" s="92">
        <v>5</v>
      </c>
      <c r="I72" s="12" t="s">
        <v>273</v>
      </c>
      <c r="J72" s="93">
        <v>23.132999999999999</v>
      </c>
      <c r="K72" s="10">
        <v>35.357999999999997</v>
      </c>
      <c r="L72" s="10">
        <v>31.808</v>
      </c>
      <c r="M72" s="10">
        <v>19.542999999999999</v>
      </c>
      <c r="N72" s="10">
        <v>48.875</v>
      </c>
      <c r="O72" s="10">
        <v>27.076999999999998</v>
      </c>
      <c r="P72" s="10">
        <v>25.331000000000003</v>
      </c>
      <c r="Q72" s="10">
        <v>27.509</v>
      </c>
      <c r="R72" s="10">
        <v>44.205000000000005</v>
      </c>
      <c r="S72" s="10">
        <v>24.793999999999997</v>
      </c>
      <c r="T72" s="10">
        <v>33.337999999999994</v>
      </c>
      <c r="U72" s="10">
        <v>47.954999999999998</v>
      </c>
      <c r="V72" s="10">
        <v>50.529000000000003</v>
      </c>
      <c r="W72" s="10">
        <v>17.161999999999999</v>
      </c>
      <c r="X72" s="10">
        <v>54.081999999999994</v>
      </c>
      <c r="Y72" s="10">
        <v>25.654</v>
      </c>
      <c r="Z72" s="10">
        <v>26.925000000000001</v>
      </c>
      <c r="AA72" s="10">
        <v>49.415000000000006</v>
      </c>
      <c r="AB72" s="10">
        <v>19.559000000000001</v>
      </c>
      <c r="AC72" s="10">
        <v>31.046999999999997</v>
      </c>
      <c r="AD72" s="10">
        <v>29.976000000000003</v>
      </c>
      <c r="AE72" s="10">
        <v>49.268999999999998</v>
      </c>
      <c r="AF72" s="10">
        <v>27.978000000000002</v>
      </c>
      <c r="AG72" s="10">
        <v>35.073999999999998</v>
      </c>
      <c r="AH72" s="10">
        <v>25.295000000000002</v>
      </c>
      <c r="AI72" s="10">
        <v>15.239000000000001</v>
      </c>
      <c r="AJ72" s="10">
        <v>41.280999999999999</v>
      </c>
      <c r="AK72" s="10">
        <v>31.934000000000001</v>
      </c>
      <c r="AL72" s="10">
        <v>30.127000000000002</v>
      </c>
      <c r="AM72" s="10">
        <v>22.869</v>
      </c>
      <c r="AN72" s="46">
        <f t="shared" si="2"/>
        <v>30.917181818181824</v>
      </c>
      <c r="AO72" s="7">
        <f t="shared" si="3"/>
        <v>6.183436363636365</v>
      </c>
    </row>
    <row r="73" spans="1:41" x14ac:dyDescent="0.3">
      <c r="A73" s="5">
        <v>72</v>
      </c>
      <c r="B73" s="6" t="s">
        <v>58</v>
      </c>
      <c r="C73" s="12" t="s">
        <v>213</v>
      </c>
      <c r="D73" s="6" t="s">
        <v>61</v>
      </c>
      <c r="E73" s="6" t="s">
        <v>12</v>
      </c>
      <c r="F73" s="6" t="s">
        <v>13</v>
      </c>
      <c r="G73" s="6" t="s">
        <v>35</v>
      </c>
      <c r="H73" s="92">
        <v>4</v>
      </c>
      <c r="I73" s="12" t="s">
        <v>589</v>
      </c>
      <c r="J73" s="93">
        <v>17.353999999999999</v>
      </c>
      <c r="K73" s="10">
        <v>71.836999999999975</v>
      </c>
      <c r="L73" s="10">
        <v>51.792999999999992</v>
      </c>
      <c r="M73" s="10">
        <v>98.748000000000033</v>
      </c>
      <c r="N73" s="10">
        <v>76.87</v>
      </c>
      <c r="O73" s="10">
        <v>84.493999999999986</v>
      </c>
      <c r="P73" s="10">
        <v>95.39400000000002</v>
      </c>
      <c r="Q73" s="10">
        <v>93.58</v>
      </c>
      <c r="R73" s="10">
        <v>95.254999999999995</v>
      </c>
      <c r="S73" s="10">
        <v>77.778999999999996</v>
      </c>
      <c r="T73" s="10">
        <v>98.946999999999989</v>
      </c>
      <c r="U73" s="10">
        <v>88.22499999999998</v>
      </c>
      <c r="V73" s="10">
        <v>96.266999999999996</v>
      </c>
      <c r="W73" s="10">
        <v>81.180999999999997</v>
      </c>
      <c r="X73" s="10">
        <v>89.119</v>
      </c>
      <c r="Y73" s="10">
        <v>94.724999999999994</v>
      </c>
      <c r="Z73" s="10">
        <v>108.85300000000002</v>
      </c>
      <c r="AA73" s="10">
        <v>88.405000000000001</v>
      </c>
      <c r="AB73" s="10">
        <v>80.588999999999999</v>
      </c>
      <c r="AC73" s="10">
        <v>80.335999999999999</v>
      </c>
      <c r="AD73" s="10">
        <v>86.614999999999981</v>
      </c>
      <c r="AE73" s="10">
        <v>93.258999999999986</v>
      </c>
      <c r="AF73" s="10">
        <v>83.13</v>
      </c>
      <c r="AG73" s="10">
        <v>96.218999999999994</v>
      </c>
      <c r="AH73" s="10">
        <v>78.173000000000002</v>
      </c>
      <c r="AI73" s="10">
        <v>101.53400000000003</v>
      </c>
      <c r="AJ73" s="10">
        <v>79.336000000000013</v>
      </c>
      <c r="AK73" s="10">
        <v>97.261999999999986</v>
      </c>
      <c r="AL73" s="10">
        <v>83.996999999999986</v>
      </c>
      <c r="AM73" s="10">
        <v>83.437999999999988</v>
      </c>
      <c r="AN73" s="46">
        <f t="shared" si="2"/>
        <v>87.572636363636349</v>
      </c>
      <c r="AO73" s="7">
        <f t="shared" si="3"/>
        <v>21.893159090909087</v>
      </c>
    </row>
    <row r="74" spans="1:41" x14ac:dyDescent="0.3">
      <c r="A74" s="5">
        <v>73</v>
      </c>
      <c r="B74" s="6" t="s">
        <v>58</v>
      </c>
      <c r="C74" s="12" t="s">
        <v>214</v>
      </c>
      <c r="D74" s="6" t="s">
        <v>61</v>
      </c>
      <c r="E74" s="6" t="s">
        <v>12</v>
      </c>
      <c r="F74" s="6" t="s">
        <v>13</v>
      </c>
      <c r="G74" s="6" t="s">
        <v>35</v>
      </c>
      <c r="H74" s="92">
        <v>9</v>
      </c>
      <c r="I74" s="12" t="s">
        <v>589</v>
      </c>
      <c r="J74" s="93">
        <v>67.129000000000005</v>
      </c>
      <c r="K74" s="10">
        <v>53.446999999999989</v>
      </c>
      <c r="L74" s="10">
        <v>65.188000000000002</v>
      </c>
      <c r="M74" s="10">
        <v>161.95500000000001</v>
      </c>
      <c r="N74" s="10">
        <v>132.82600000000002</v>
      </c>
      <c r="O74" s="10">
        <v>131.48700000000005</v>
      </c>
      <c r="P74" s="10">
        <v>132.57100000000005</v>
      </c>
      <c r="Q74" s="10">
        <v>78.911999999999992</v>
      </c>
      <c r="R74" s="10">
        <v>118.48499999999999</v>
      </c>
      <c r="S74" s="10">
        <v>102.39499999999998</v>
      </c>
      <c r="T74" s="10">
        <v>110.94800000000001</v>
      </c>
      <c r="U74" s="10">
        <v>149.96200000000002</v>
      </c>
      <c r="V74" s="10">
        <v>121.76000000000002</v>
      </c>
      <c r="W74" s="10">
        <v>151.01200000000003</v>
      </c>
      <c r="X74" s="10">
        <v>132.45699999999999</v>
      </c>
      <c r="Y74" s="10">
        <v>98.165999999999983</v>
      </c>
      <c r="Z74" s="10">
        <v>120.10300000000002</v>
      </c>
      <c r="AA74" s="10">
        <v>115.41200000000003</v>
      </c>
      <c r="AB74" s="10">
        <v>102.76300000000001</v>
      </c>
      <c r="AC74" s="10">
        <v>79.676999999999992</v>
      </c>
      <c r="AD74" s="10">
        <v>104.741</v>
      </c>
      <c r="AE74" s="10">
        <v>102.71400000000001</v>
      </c>
      <c r="AF74" s="10">
        <v>107.98399999999999</v>
      </c>
      <c r="AG74" s="10">
        <v>134.56099999999998</v>
      </c>
      <c r="AH74" s="10">
        <v>127.59900000000005</v>
      </c>
      <c r="AI74" s="10">
        <v>109.49000000000001</v>
      </c>
      <c r="AJ74" s="10">
        <v>187.15600000000001</v>
      </c>
      <c r="AK74" s="10">
        <v>114.16199999999999</v>
      </c>
      <c r="AL74" s="10">
        <v>140.27400000000003</v>
      </c>
      <c r="AM74" s="10">
        <v>132.85400000000001</v>
      </c>
      <c r="AN74" s="46">
        <f t="shared" si="2"/>
        <v>121.92836363636366</v>
      </c>
      <c r="AO74" s="7">
        <f t="shared" si="3"/>
        <v>13.547595959595961</v>
      </c>
    </row>
    <row r="75" spans="1:41" x14ac:dyDescent="0.3">
      <c r="A75" s="5">
        <v>74</v>
      </c>
      <c r="B75" s="6" t="s">
        <v>58</v>
      </c>
      <c r="C75" s="12" t="s">
        <v>392</v>
      </c>
      <c r="D75" s="6" t="s">
        <v>63</v>
      </c>
      <c r="E75" s="6" t="s">
        <v>19</v>
      </c>
      <c r="F75" s="6" t="s">
        <v>13</v>
      </c>
      <c r="G75" s="12" t="s">
        <v>35</v>
      </c>
      <c r="H75" s="92">
        <v>8</v>
      </c>
      <c r="I75" s="94" t="s">
        <v>273</v>
      </c>
      <c r="J75" s="93">
        <v>16.292999999999999</v>
      </c>
      <c r="K75" s="10">
        <v>4.3370000000000006</v>
      </c>
      <c r="L75" s="10">
        <v>17.927</v>
      </c>
      <c r="M75" s="10">
        <v>6.0000000000000001E-3</v>
      </c>
      <c r="N75" s="10">
        <v>41.753</v>
      </c>
      <c r="O75" s="10">
        <v>36.424999999999997</v>
      </c>
      <c r="P75" s="10">
        <v>35.171999999999997</v>
      </c>
      <c r="Q75" s="10">
        <v>41.902999999999999</v>
      </c>
      <c r="R75" s="10">
        <v>36.655999999999999</v>
      </c>
      <c r="S75" s="10">
        <v>63.685000000000002</v>
      </c>
      <c r="T75" s="10">
        <v>35.158000000000001</v>
      </c>
      <c r="U75" s="10">
        <v>7.8339999999999996</v>
      </c>
      <c r="V75" s="10">
        <v>53.736000000000004</v>
      </c>
      <c r="W75" s="10">
        <v>11.477</v>
      </c>
      <c r="X75" s="10">
        <v>41.344000000000008</v>
      </c>
      <c r="Y75" s="10">
        <v>18.434999999999999</v>
      </c>
      <c r="Z75" s="10">
        <v>45.877000000000002</v>
      </c>
      <c r="AA75" s="10">
        <v>18.283999999999999</v>
      </c>
      <c r="AB75" s="10">
        <v>34.64</v>
      </c>
      <c r="AC75" s="10">
        <v>34.594000000000001</v>
      </c>
      <c r="AD75" s="10">
        <v>33.937999999999995</v>
      </c>
      <c r="AE75" s="10">
        <v>37.940999999999995</v>
      </c>
      <c r="AF75" s="10">
        <v>43.963999999999999</v>
      </c>
      <c r="AG75" s="10">
        <v>20.016000000000002</v>
      </c>
      <c r="AH75" s="10">
        <v>49.454000000000008</v>
      </c>
      <c r="AI75" s="10">
        <v>14.316000000000001</v>
      </c>
      <c r="AJ75" s="10">
        <v>34.478999999999999</v>
      </c>
      <c r="AK75" s="10">
        <v>31.776000000000003</v>
      </c>
      <c r="AL75" s="10">
        <v>31.172000000000001</v>
      </c>
      <c r="AM75" s="10">
        <v>43.030999999999999</v>
      </c>
      <c r="AN75" s="46">
        <f t="shared" si="2"/>
        <v>34.061909090909097</v>
      </c>
      <c r="AO75" s="7">
        <f t="shared" si="3"/>
        <v>4.2577386363636371</v>
      </c>
    </row>
    <row r="76" spans="1:41" ht="15" customHeight="1" x14ac:dyDescent="0.3">
      <c r="A76" s="5">
        <v>75</v>
      </c>
      <c r="B76" s="6" t="s">
        <v>58</v>
      </c>
      <c r="C76" s="12" t="s">
        <v>392</v>
      </c>
      <c r="D76" s="6" t="s">
        <v>63</v>
      </c>
      <c r="E76" s="6" t="s">
        <v>19</v>
      </c>
      <c r="F76" s="6" t="s">
        <v>64</v>
      </c>
      <c r="G76" s="6" t="s">
        <v>80</v>
      </c>
      <c r="H76" s="92">
        <v>1</v>
      </c>
      <c r="I76" s="94" t="s">
        <v>273</v>
      </c>
      <c r="J76" s="54">
        <v>0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0</v>
      </c>
      <c r="AL76" s="46">
        <v>0</v>
      </c>
      <c r="AM76" s="54">
        <v>0</v>
      </c>
      <c r="AN76" s="46">
        <f t="shared" si="2"/>
        <v>0</v>
      </c>
      <c r="AO76" s="7">
        <f t="shared" si="3"/>
        <v>0</v>
      </c>
    </row>
    <row r="77" spans="1:41" x14ac:dyDescent="0.3">
      <c r="A77" s="5">
        <v>76</v>
      </c>
      <c r="B77" s="6" t="s">
        <v>58</v>
      </c>
      <c r="C77" s="12" t="s">
        <v>216</v>
      </c>
      <c r="D77" s="6" t="s">
        <v>128</v>
      </c>
      <c r="E77" s="6" t="s">
        <v>12</v>
      </c>
      <c r="F77" s="6" t="s">
        <v>13</v>
      </c>
      <c r="G77" s="12" t="s">
        <v>35</v>
      </c>
      <c r="H77" s="92">
        <v>7</v>
      </c>
      <c r="I77" s="94" t="s">
        <v>273</v>
      </c>
      <c r="J77" s="93">
        <v>12.324999999999999</v>
      </c>
      <c r="K77" s="10">
        <v>72.247</v>
      </c>
      <c r="L77" s="10">
        <v>141.99300000000002</v>
      </c>
      <c r="M77" s="10">
        <v>133.959</v>
      </c>
      <c r="N77" s="10">
        <v>172.36700000000002</v>
      </c>
      <c r="O77" s="10">
        <v>182.93399999999997</v>
      </c>
      <c r="P77" s="10">
        <v>169.59599999999998</v>
      </c>
      <c r="Q77" s="10">
        <v>148.80599999999998</v>
      </c>
      <c r="R77" s="10">
        <v>184.72800000000001</v>
      </c>
      <c r="S77" s="10">
        <v>209.34400000000005</v>
      </c>
      <c r="T77" s="10">
        <v>176.80899999999997</v>
      </c>
      <c r="U77" s="10">
        <v>171.13800000000003</v>
      </c>
      <c r="V77" s="10">
        <v>143.441</v>
      </c>
      <c r="W77" s="10">
        <v>153.87400000000002</v>
      </c>
      <c r="X77" s="10">
        <v>167.95499999999998</v>
      </c>
      <c r="Y77" s="10">
        <v>155.67900000000003</v>
      </c>
      <c r="Z77" s="10">
        <v>146.54900000000001</v>
      </c>
      <c r="AA77" s="10">
        <v>123.59100000000001</v>
      </c>
      <c r="AB77" s="10">
        <v>139.34300000000002</v>
      </c>
      <c r="AC77" s="10">
        <v>123.92299999999999</v>
      </c>
      <c r="AD77" s="10">
        <v>142.696</v>
      </c>
      <c r="AE77" s="10">
        <v>135.66200000000001</v>
      </c>
      <c r="AF77" s="10">
        <v>119.857</v>
      </c>
      <c r="AG77" s="10">
        <v>109.92800000000003</v>
      </c>
      <c r="AH77" s="10">
        <v>106.015</v>
      </c>
      <c r="AI77" s="10">
        <v>125.199</v>
      </c>
      <c r="AJ77" s="10">
        <v>125.486</v>
      </c>
      <c r="AK77" s="10">
        <v>137.761</v>
      </c>
      <c r="AL77" s="10">
        <v>116.849</v>
      </c>
      <c r="AM77" s="10">
        <v>122.85000000000001</v>
      </c>
      <c r="AN77" s="46">
        <f t="shared" si="2"/>
        <v>124.2023636363636</v>
      </c>
      <c r="AO77" s="7">
        <f t="shared" si="3"/>
        <v>17.743194805194801</v>
      </c>
    </row>
    <row r="78" spans="1:41" x14ac:dyDescent="0.3">
      <c r="A78" s="5">
        <v>77</v>
      </c>
      <c r="B78" s="6" t="s">
        <v>58</v>
      </c>
      <c r="C78" s="12" t="s">
        <v>355</v>
      </c>
      <c r="D78" s="6" t="s">
        <v>128</v>
      </c>
      <c r="E78" s="6" t="s">
        <v>12</v>
      </c>
      <c r="F78" s="6" t="s">
        <v>13</v>
      </c>
      <c r="G78" s="12" t="s">
        <v>35</v>
      </c>
      <c r="H78" s="92">
        <v>10</v>
      </c>
      <c r="I78" s="94" t="s">
        <v>273</v>
      </c>
      <c r="J78" s="93">
        <v>93.392000000000024</v>
      </c>
      <c r="K78" s="10">
        <v>132.553</v>
      </c>
      <c r="L78" s="10">
        <v>179.126</v>
      </c>
      <c r="M78" s="10">
        <v>157.76600000000005</v>
      </c>
      <c r="N78" s="10">
        <v>167.89699999999999</v>
      </c>
      <c r="O78" s="10">
        <v>162.83299999999997</v>
      </c>
      <c r="P78" s="10">
        <v>166.37300000000005</v>
      </c>
      <c r="Q78" s="10">
        <v>186.40200000000004</v>
      </c>
      <c r="R78" s="10">
        <v>183.40799999999999</v>
      </c>
      <c r="S78" s="10">
        <v>207.36699999999993</v>
      </c>
      <c r="T78" s="10">
        <v>193.68500000000003</v>
      </c>
      <c r="U78" s="10">
        <v>156.923</v>
      </c>
      <c r="V78" s="10">
        <v>161.44399999999996</v>
      </c>
      <c r="W78" s="10">
        <v>152.56600000000003</v>
      </c>
      <c r="X78" s="10">
        <v>168.82000000000005</v>
      </c>
      <c r="Y78" s="10">
        <v>170.74899999999994</v>
      </c>
      <c r="Z78" s="10">
        <v>163.81300000000002</v>
      </c>
      <c r="AA78" s="10">
        <v>168.47899999999996</v>
      </c>
      <c r="AB78" s="10">
        <v>182.78100000000006</v>
      </c>
      <c r="AC78" s="10">
        <v>137.09399999999999</v>
      </c>
      <c r="AD78" s="10">
        <v>174.91400000000004</v>
      </c>
      <c r="AE78" s="10">
        <v>165.12199999999999</v>
      </c>
      <c r="AF78" s="10">
        <v>173.989</v>
      </c>
      <c r="AG78" s="10">
        <v>167.14800000000008</v>
      </c>
      <c r="AH78" s="10">
        <v>190.995</v>
      </c>
      <c r="AI78" s="10">
        <v>166.25</v>
      </c>
      <c r="AJ78" s="10">
        <v>182.399</v>
      </c>
      <c r="AK78" s="10">
        <v>171.63600000000002</v>
      </c>
      <c r="AL78" s="10">
        <v>159.52300000000002</v>
      </c>
      <c r="AM78" s="10">
        <v>203.58299999999991</v>
      </c>
      <c r="AN78" s="46">
        <f t="shared" si="2"/>
        <v>172.05936363636363</v>
      </c>
      <c r="AO78" s="7">
        <f t="shared" si="3"/>
        <v>17.205936363636361</v>
      </c>
    </row>
    <row r="79" spans="1:41" x14ac:dyDescent="0.3">
      <c r="A79" s="5">
        <v>78</v>
      </c>
      <c r="B79" s="6" t="s">
        <v>58</v>
      </c>
      <c r="C79" s="12" t="s">
        <v>249</v>
      </c>
      <c r="D79" s="6" t="s">
        <v>128</v>
      </c>
      <c r="E79" s="6" t="s">
        <v>12</v>
      </c>
      <c r="F79" s="6" t="s">
        <v>13</v>
      </c>
      <c r="G79" s="12" t="s">
        <v>35</v>
      </c>
      <c r="H79" s="92">
        <v>8</v>
      </c>
      <c r="I79" s="94" t="s">
        <v>273</v>
      </c>
      <c r="J79" s="93">
        <v>27.846999999999998</v>
      </c>
      <c r="K79" s="10">
        <v>61.317999999999991</v>
      </c>
      <c r="L79" s="10">
        <v>53.647000000000006</v>
      </c>
      <c r="M79" s="10">
        <v>76.965000000000003</v>
      </c>
      <c r="N79" s="10">
        <v>104.60199999999998</v>
      </c>
      <c r="O79" s="10">
        <v>78.545000000000016</v>
      </c>
      <c r="P79" s="10">
        <v>64.444000000000003</v>
      </c>
      <c r="Q79" s="10">
        <v>80.406999999999996</v>
      </c>
      <c r="R79" s="10">
        <v>81.61699999999999</v>
      </c>
      <c r="S79" s="10">
        <v>71.201999999999998</v>
      </c>
      <c r="T79" s="10">
        <v>35.975000000000001</v>
      </c>
      <c r="U79" s="10">
        <v>86.749000000000009</v>
      </c>
      <c r="V79" s="10">
        <v>60.286999999999992</v>
      </c>
      <c r="W79" s="10">
        <v>69.850999999999985</v>
      </c>
      <c r="X79" s="10">
        <v>55.055000000000007</v>
      </c>
      <c r="Y79" s="10">
        <v>68.933999999999983</v>
      </c>
      <c r="Z79" s="10">
        <v>76.13</v>
      </c>
      <c r="AA79" s="10">
        <v>55.588999999999999</v>
      </c>
      <c r="AB79" s="10">
        <v>55.471999999999994</v>
      </c>
      <c r="AC79" s="10">
        <v>74.173000000000002</v>
      </c>
      <c r="AD79" s="10">
        <v>59.600999999999999</v>
      </c>
      <c r="AE79" s="10">
        <v>51.442</v>
      </c>
      <c r="AF79" s="10">
        <v>65.088000000000008</v>
      </c>
      <c r="AG79" s="10">
        <v>37.570999999999998</v>
      </c>
      <c r="AH79" s="10">
        <v>75.204000000000008</v>
      </c>
      <c r="AI79" s="10">
        <v>43.333000000000006</v>
      </c>
      <c r="AJ79" s="10">
        <v>63.623000000000005</v>
      </c>
      <c r="AK79" s="10">
        <v>77.863000000000014</v>
      </c>
      <c r="AL79" s="10">
        <v>72.621999999999986</v>
      </c>
      <c r="AM79" s="10">
        <v>72.266999999999996</v>
      </c>
      <c r="AN79" s="46">
        <f t="shared" si="2"/>
        <v>62.980636363636364</v>
      </c>
      <c r="AO79" s="7">
        <f t="shared" si="3"/>
        <v>7.8725795454545455</v>
      </c>
    </row>
    <row r="80" spans="1:41" x14ac:dyDescent="0.3">
      <c r="A80" s="5">
        <v>79</v>
      </c>
      <c r="B80" s="6" t="s">
        <v>58</v>
      </c>
      <c r="C80" s="12" t="s">
        <v>256</v>
      </c>
      <c r="D80" s="6" t="s">
        <v>128</v>
      </c>
      <c r="E80" s="6" t="s">
        <v>12</v>
      </c>
      <c r="F80" s="6" t="s">
        <v>13</v>
      </c>
      <c r="G80" s="12" t="s">
        <v>35</v>
      </c>
      <c r="H80" s="92">
        <v>6</v>
      </c>
      <c r="I80" s="94" t="s">
        <v>273</v>
      </c>
      <c r="J80" s="54">
        <v>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10">
        <v>7.3040000000000003</v>
      </c>
      <c r="AF80" s="46">
        <v>0</v>
      </c>
      <c r="AG80" s="46">
        <v>0</v>
      </c>
      <c r="AH80" s="10">
        <v>1E-3</v>
      </c>
      <c r="AI80" s="46">
        <v>0</v>
      </c>
      <c r="AJ80" s="46">
        <v>0</v>
      </c>
      <c r="AK80" s="46">
        <v>0</v>
      </c>
      <c r="AL80" s="46">
        <v>0</v>
      </c>
      <c r="AM80" s="54">
        <v>0</v>
      </c>
      <c r="AN80" s="46">
        <f t="shared" si="2"/>
        <v>0.66409090909090918</v>
      </c>
      <c r="AO80" s="7">
        <f t="shared" si="3"/>
        <v>0.1106818181818182</v>
      </c>
    </row>
    <row r="81" spans="1:41" x14ac:dyDescent="0.3">
      <c r="A81" s="5">
        <v>80</v>
      </c>
      <c r="B81" s="6" t="s">
        <v>58</v>
      </c>
      <c r="C81" s="12" t="s">
        <v>417</v>
      </c>
      <c r="D81" s="6" t="s">
        <v>128</v>
      </c>
      <c r="E81" s="6" t="s">
        <v>12</v>
      </c>
      <c r="F81" s="6" t="s">
        <v>13</v>
      </c>
      <c r="G81" s="12" t="s">
        <v>35</v>
      </c>
      <c r="H81" s="92">
        <v>2</v>
      </c>
      <c r="I81" s="94" t="s">
        <v>273</v>
      </c>
      <c r="J81" s="54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54">
        <v>0</v>
      </c>
      <c r="AN81" s="46">
        <f t="shared" si="2"/>
        <v>0</v>
      </c>
      <c r="AO81" s="7">
        <f t="shared" si="3"/>
        <v>0</v>
      </c>
    </row>
    <row r="82" spans="1:41" x14ac:dyDescent="0.3">
      <c r="A82" s="5">
        <v>81</v>
      </c>
      <c r="B82" s="6" t="s">
        <v>476</v>
      </c>
      <c r="C82" s="12" t="s">
        <v>477</v>
      </c>
      <c r="D82" s="6" t="s">
        <v>128</v>
      </c>
      <c r="E82" s="6" t="s">
        <v>12</v>
      </c>
      <c r="F82" s="6" t="s">
        <v>13</v>
      </c>
      <c r="G82" s="12" t="s">
        <v>35</v>
      </c>
      <c r="H82" s="92">
        <v>1</v>
      </c>
      <c r="I82" s="67" t="s">
        <v>590</v>
      </c>
      <c r="J82" s="54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54">
        <v>0</v>
      </c>
      <c r="AN82" s="46">
        <f t="shared" si="2"/>
        <v>0</v>
      </c>
      <c r="AO82" s="7">
        <f t="shared" si="3"/>
        <v>0</v>
      </c>
    </row>
    <row r="83" spans="1:41" x14ac:dyDescent="0.3">
      <c r="A83" s="5">
        <v>82</v>
      </c>
      <c r="B83" s="6" t="s">
        <v>569</v>
      </c>
      <c r="C83" s="12" t="s">
        <v>568</v>
      </c>
      <c r="D83" s="6" t="s">
        <v>61</v>
      </c>
      <c r="E83" s="6" t="s">
        <v>12</v>
      </c>
      <c r="F83" s="6" t="s">
        <v>13</v>
      </c>
      <c r="G83" s="12" t="s">
        <v>35</v>
      </c>
      <c r="H83" s="92">
        <v>14</v>
      </c>
      <c r="I83" s="67" t="s">
        <v>160</v>
      </c>
      <c r="J83" s="54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>
        <v>0</v>
      </c>
      <c r="Y83" s="46">
        <v>0</v>
      </c>
      <c r="Z83" s="46">
        <v>0</v>
      </c>
      <c r="AA83" s="10">
        <v>0.14099999999999999</v>
      </c>
      <c r="AB83" s="10">
        <v>1.0310000000000001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>
        <v>0</v>
      </c>
      <c r="AK83" s="46">
        <v>0</v>
      </c>
      <c r="AL83" s="46">
        <v>0</v>
      </c>
      <c r="AM83" s="54">
        <v>0</v>
      </c>
      <c r="AN83" s="46">
        <f t="shared" si="2"/>
        <v>0</v>
      </c>
      <c r="AO83" s="7">
        <f t="shared" si="3"/>
        <v>0</v>
      </c>
    </row>
    <row r="84" spans="1:41" x14ac:dyDescent="0.3">
      <c r="A84" s="5">
        <v>83</v>
      </c>
      <c r="B84" s="6" t="s">
        <v>119</v>
      </c>
      <c r="C84" s="12" t="s">
        <v>217</v>
      </c>
      <c r="D84" s="6" t="s">
        <v>30</v>
      </c>
      <c r="E84" s="6" t="s">
        <v>12</v>
      </c>
      <c r="F84" s="6" t="s">
        <v>121</v>
      </c>
      <c r="G84" s="6" t="s">
        <v>35</v>
      </c>
      <c r="H84" s="92">
        <v>20</v>
      </c>
      <c r="I84" s="12" t="s">
        <v>589</v>
      </c>
      <c r="J84" s="54">
        <v>0</v>
      </c>
      <c r="K84" s="46">
        <v>0</v>
      </c>
      <c r="L84" s="46">
        <v>0</v>
      </c>
      <c r="M84" s="10">
        <v>2.145</v>
      </c>
      <c r="N84" s="10">
        <v>2.71</v>
      </c>
      <c r="O84" s="10">
        <v>34.673999999999999</v>
      </c>
      <c r="P84" s="10">
        <v>27.372999999999998</v>
      </c>
      <c r="Q84" s="10">
        <v>7.0090000000000003</v>
      </c>
      <c r="R84" s="46">
        <v>0</v>
      </c>
      <c r="S84" s="46">
        <v>0</v>
      </c>
      <c r="T84" s="46">
        <v>0</v>
      </c>
      <c r="U84" s="46">
        <v>0</v>
      </c>
      <c r="V84" s="10">
        <v>5.9499999999999993</v>
      </c>
      <c r="W84" s="46">
        <v>0</v>
      </c>
      <c r="X84" s="10">
        <v>0.438</v>
      </c>
      <c r="Y84" s="46">
        <v>0</v>
      </c>
      <c r="Z84" s="46">
        <v>0</v>
      </c>
      <c r="AA84" s="46">
        <v>0</v>
      </c>
      <c r="AB84" s="10">
        <v>6.2629999999999999</v>
      </c>
      <c r="AC84" s="10">
        <v>15.599999999999998</v>
      </c>
      <c r="AD84" s="10">
        <v>4.4320000000000004</v>
      </c>
      <c r="AE84" s="10">
        <v>4.8410000000000002</v>
      </c>
      <c r="AF84" s="10">
        <v>9.3049999999999997</v>
      </c>
      <c r="AG84" s="10">
        <v>2.7730000000000001</v>
      </c>
      <c r="AH84" s="46">
        <v>0</v>
      </c>
      <c r="AI84" s="10">
        <v>1.5309999999999999</v>
      </c>
      <c r="AJ84" s="10">
        <v>10.780999999999999</v>
      </c>
      <c r="AK84" s="10">
        <v>3.8779999999999997</v>
      </c>
      <c r="AL84" s="10">
        <v>19.803000000000004</v>
      </c>
      <c r="AM84" s="10">
        <v>11.154</v>
      </c>
      <c r="AN84" s="46">
        <f t="shared" si="2"/>
        <v>7.6452727272727268</v>
      </c>
      <c r="AO84" s="7">
        <f t="shared" si="3"/>
        <v>0.38226363636363636</v>
      </c>
    </row>
    <row r="85" spans="1:41" x14ac:dyDescent="0.3">
      <c r="A85" s="5">
        <v>84</v>
      </c>
      <c r="B85" s="6" t="s">
        <v>119</v>
      </c>
      <c r="C85" s="12" t="s">
        <v>457</v>
      </c>
      <c r="D85" s="6" t="s">
        <v>30</v>
      </c>
      <c r="E85" s="6" t="s">
        <v>12</v>
      </c>
      <c r="F85" s="6" t="s">
        <v>121</v>
      </c>
      <c r="G85" s="6" t="s">
        <v>35</v>
      </c>
      <c r="H85" s="92">
        <v>3</v>
      </c>
      <c r="I85" s="12" t="s">
        <v>589</v>
      </c>
      <c r="J85" s="54">
        <v>0</v>
      </c>
      <c r="K85" s="46">
        <v>0</v>
      </c>
      <c r="L85" s="10">
        <v>24.835999999999999</v>
      </c>
      <c r="M85" s="10">
        <v>31.029000000000003</v>
      </c>
      <c r="N85" s="10">
        <v>42.809000000000005</v>
      </c>
      <c r="O85" s="10">
        <v>10.388999999999999</v>
      </c>
      <c r="P85" s="10">
        <v>41.106999999999999</v>
      </c>
      <c r="Q85" s="10">
        <v>20.364999999999998</v>
      </c>
      <c r="R85" s="10">
        <v>32.853000000000002</v>
      </c>
      <c r="S85" s="10">
        <v>14.852</v>
      </c>
      <c r="T85" s="10">
        <v>51.063000000000002</v>
      </c>
      <c r="U85" s="10">
        <v>26.486999999999995</v>
      </c>
      <c r="V85" s="10">
        <v>59.868000000000002</v>
      </c>
      <c r="W85" s="10">
        <v>49.411999999999999</v>
      </c>
      <c r="X85" s="10">
        <v>6.2859999999999996</v>
      </c>
      <c r="Y85" s="10">
        <v>33.299000000000007</v>
      </c>
      <c r="Z85" s="46">
        <v>0</v>
      </c>
      <c r="AA85" s="10">
        <v>30.396999999999998</v>
      </c>
      <c r="AB85" s="10">
        <v>45.552000000000007</v>
      </c>
      <c r="AC85" s="10">
        <v>37.72</v>
      </c>
      <c r="AD85" s="10">
        <v>32.036999999999999</v>
      </c>
      <c r="AE85" s="10">
        <v>40.960999999999999</v>
      </c>
      <c r="AF85" s="10">
        <v>32.555</v>
      </c>
      <c r="AG85" s="10">
        <v>19.718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54">
        <v>0</v>
      </c>
      <c r="AN85" s="46">
        <f t="shared" si="2"/>
        <v>14.817363636363636</v>
      </c>
      <c r="AO85" s="7">
        <f t="shared" si="3"/>
        <v>4.9391212121212122</v>
      </c>
    </row>
    <row r="86" spans="1:41" x14ac:dyDescent="0.3">
      <c r="A86" s="5">
        <v>85</v>
      </c>
      <c r="B86" s="6" t="s">
        <v>578</v>
      </c>
      <c r="C86" s="10" t="s">
        <v>577</v>
      </c>
      <c r="D86" s="6" t="s">
        <v>128</v>
      </c>
      <c r="E86" s="6" t="s">
        <v>12</v>
      </c>
      <c r="F86" s="6" t="s">
        <v>255</v>
      </c>
      <c r="G86" s="6" t="s">
        <v>80</v>
      </c>
      <c r="H86" s="92">
        <v>1</v>
      </c>
      <c r="I86" s="67" t="s">
        <v>160</v>
      </c>
      <c r="J86" s="54"/>
      <c r="K86" s="46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>
        <v>0.13300000000000001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>
        <v>0</v>
      </c>
      <c r="AK86" s="46">
        <v>0</v>
      </c>
      <c r="AL86" s="46">
        <v>0</v>
      </c>
      <c r="AM86" s="54">
        <v>0</v>
      </c>
      <c r="AN86" s="46">
        <f t="shared" si="2"/>
        <v>0</v>
      </c>
      <c r="AO86" s="7">
        <f t="shared" si="3"/>
        <v>0</v>
      </c>
    </row>
    <row r="87" spans="1:41" x14ac:dyDescent="0.3">
      <c r="A87" s="5">
        <v>86</v>
      </c>
      <c r="B87" s="6" t="s">
        <v>576</v>
      </c>
      <c r="C87" s="12" t="s">
        <v>575</v>
      </c>
      <c r="D87" s="6" t="s">
        <v>128</v>
      </c>
      <c r="E87" s="6" t="s">
        <v>12</v>
      </c>
      <c r="F87" s="6" t="s">
        <v>255</v>
      </c>
      <c r="G87" s="6" t="s">
        <v>80</v>
      </c>
      <c r="H87" s="92">
        <v>1</v>
      </c>
      <c r="I87" s="67" t="s">
        <v>160</v>
      </c>
      <c r="J87" s="54"/>
      <c r="K87" s="46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>
        <v>2.87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0</v>
      </c>
      <c r="AJ87" s="46">
        <v>0</v>
      </c>
      <c r="AK87" s="46">
        <v>0</v>
      </c>
      <c r="AL87" s="46">
        <v>0</v>
      </c>
      <c r="AM87" s="54">
        <v>0</v>
      </c>
      <c r="AN87" s="46">
        <f t="shared" si="2"/>
        <v>0</v>
      </c>
      <c r="AO87" s="7">
        <f t="shared" si="3"/>
        <v>0</v>
      </c>
    </row>
    <row r="88" spans="1:41" x14ac:dyDescent="0.3">
      <c r="A88" s="5">
        <v>87</v>
      </c>
      <c r="B88" s="6" t="s">
        <v>499</v>
      </c>
      <c r="C88" s="12" t="s">
        <v>500</v>
      </c>
      <c r="D88" s="6" t="s">
        <v>128</v>
      </c>
      <c r="E88" s="6" t="s">
        <v>12</v>
      </c>
      <c r="F88" s="6" t="s">
        <v>255</v>
      </c>
      <c r="G88" s="6" t="s">
        <v>80</v>
      </c>
      <c r="H88" s="92">
        <v>1</v>
      </c>
      <c r="I88" s="67" t="s">
        <v>160</v>
      </c>
      <c r="J88" s="54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46">
        <v>0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46">
        <v>0</v>
      </c>
      <c r="AA88" s="10">
        <v>11.192</v>
      </c>
      <c r="AB88" s="46">
        <v>0</v>
      </c>
      <c r="AC88" s="46">
        <v>0</v>
      </c>
      <c r="AD88" s="46">
        <v>0</v>
      </c>
      <c r="AE88" s="10">
        <v>6.7830000000000004</v>
      </c>
      <c r="AF88" s="46">
        <v>0</v>
      </c>
      <c r="AG88" s="46">
        <v>0</v>
      </c>
      <c r="AH88" s="46">
        <v>0</v>
      </c>
      <c r="AI88" s="46">
        <v>0</v>
      </c>
      <c r="AJ88" s="46">
        <v>0</v>
      </c>
      <c r="AK88" s="46">
        <v>0</v>
      </c>
      <c r="AL88" s="46">
        <v>0</v>
      </c>
      <c r="AM88" s="54">
        <v>0</v>
      </c>
      <c r="AN88" s="46">
        <f t="shared" si="2"/>
        <v>0.61663636363636365</v>
      </c>
      <c r="AO88" s="7">
        <f t="shared" si="3"/>
        <v>0.61663636363636365</v>
      </c>
    </row>
    <row r="89" spans="1:41" x14ac:dyDescent="0.3">
      <c r="A89" s="5">
        <v>88</v>
      </c>
      <c r="B89" s="87" t="s">
        <v>560</v>
      </c>
      <c r="C89" s="12" t="s">
        <v>561</v>
      </c>
      <c r="D89" s="6" t="s">
        <v>128</v>
      </c>
      <c r="E89" s="6" t="s">
        <v>12</v>
      </c>
      <c r="F89" s="6" t="s">
        <v>255</v>
      </c>
      <c r="G89" s="6" t="s">
        <v>80</v>
      </c>
      <c r="H89" s="92">
        <v>1</v>
      </c>
      <c r="I89" s="67" t="s">
        <v>160</v>
      </c>
      <c r="J89" s="54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10">
        <v>3.9950000000000001</v>
      </c>
      <c r="V89" s="46">
        <v>0</v>
      </c>
      <c r="W89" s="46">
        <v>0</v>
      </c>
      <c r="X89" s="10">
        <v>20.852</v>
      </c>
      <c r="Y89" s="46">
        <v>0</v>
      </c>
      <c r="Z89" s="46">
        <v>0</v>
      </c>
      <c r="AA89" s="46">
        <v>0</v>
      </c>
      <c r="AB89" s="10">
        <v>21.391999999999999</v>
      </c>
      <c r="AC89" s="10">
        <v>18.068999999999999</v>
      </c>
      <c r="AD89" s="10">
        <v>41.508000000000003</v>
      </c>
      <c r="AE89" s="10">
        <v>20.766999999999999</v>
      </c>
      <c r="AF89" s="10">
        <v>15.659000000000001</v>
      </c>
      <c r="AG89" s="46">
        <v>0</v>
      </c>
      <c r="AH89" s="46">
        <v>0</v>
      </c>
      <c r="AI89" s="10">
        <v>19.977</v>
      </c>
      <c r="AJ89" s="10">
        <v>18.694000000000003</v>
      </c>
      <c r="AK89" s="46">
        <v>0</v>
      </c>
      <c r="AL89" s="10">
        <v>29.734999999999999</v>
      </c>
      <c r="AM89" s="10">
        <v>27.416000000000004</v>
      </c>
      <c r="AN89" s="46">
        <f t="shared" si="2"/>
        <v>17.438636363636363</v>
      </c>
      <c r="AO89" s="7">
        <f t="shared" si="3"/>
        <v>17.438636363636363</v>
      </c>
    </row>
    <row r="90" spans="1:41" x14ac:dyDescent="0.3">
      <c r="A90" s="5">
        <v>89</v>
      </c>
      <c r="B90" s="87" t="s">
        <v>563</v>
      </c>
      <c r="C90" s="12" t="s">
        <v>564</v>
      </c>
      <c r="D90" s="6" t="s">
        <v>128</v>
      </c>
      <c r="E90" s="6" t="s">
        <v>12</v>
      </c>
      <c r="F90" s="6" t="s">
        <v>255</v>
      </c>
      <c r="G90" s="6" t="s">
        <v>80</v>
      </c>
      <c r="H90" s="92">
        <v>1</v>
      </c>
      <c r="I90" s="67" t="s">
        <v>160</v>
      </c>
      <c r="J90" s="54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10"/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54">
        <v>0</v>
      </c>
      <c r="AN90" s="46">
        <f t="shared" si="2"/>
        <v>0</v>
      </c>
      <c r="AO90" s="7">
        <f t="shared" si="3"/>
        <v>0</v>
      </c>
    </row>
    <row r="91" spans="1:41" x14ac:dyDescent="0.3">
      <c r="A91" s="5">
        <v>90</v>
      </c>
      <c r="B91" s="6" t="s">
        <v>55</v>
      </c>
      <c r="C91" s="12" t="s">
        <v>393</v>
      </c>
      <c r="D91" s="6" t="s">
        <v>57</v>
      </c>
      <c r="E91" s="6" t="s">
        <v>12</v>
      </c>
      <c r="F91" s="6" t="s">
        <v>13</v>
      </c>
      <c r="G91" s="6" t="s">
        <v>35</v>
      </c>
      <c r="H91" s="92">
        <v>40</v>
      </c>
      <c r="I91" s="12" t="s">
        <v>589</v>
      </c>
      <c r="J91" s="93">
        <v>198.98499999999996</v>
      </c>
      <c r="K91" s="10">
        <v>610.73600000000022</v>
      </c>
      <c r="L91" s="10">
        <v>618.49800000000005</v>
      </c>
      <c r="M91" s="10">
        <v>329.03999999999996</v>
      </c>
      <c r="N91" s="10">
        <v>407.78</v>
      </c>
      <c r="O91" s="10">
        <v>653.66599999999983</v>
      </c>
      <c r="P91" s="10">
        <v>627.40299999999979</v>
      </c>
      <c r="Q91" s="10">
        <v>611.98599999999988</v>
      </c>
      <c r="R91" s="10">
        <v>668.29900000000009</v>
      </c>
      <c r="S91" s="10">
        <v>625.77799999999991</v>
      </c>
      <c r="T91" s="10">
        <v>263.49999999999994</v>
      </c>
      <c r="U91" s="10">
        <v>361.66300000000007</v>
      </c>
      <c r="V91" s="10">
        <v>577.25099999999998</v>
      </c>
      <c r="W91" s="10">
        <v>499.84900000000033</v>
      </c>
      <c r="X91" s="10">
        <v>523.61900000000003</v>
      </c>
      <c r="Y91" s="10">
        <v>566.50199999999984</v>
      </c>
      <c r="Z91" s="10">
        <v>552.60299999999984</v>
      </c>
      <c r="AA91" s="10">
        <v>248.05099999999999</v>
      </c>
      <c r="AB91" s="10">
        <v>267.7589999999999</v>
      </c>
      <c r="AC91" s="10">
        <v>405.31499999999988</v>
      </c>
      <c r="AD91" s="10">
        <v>289.1040000000001</v>
      </c>
      <c r="AE91" s="10">
        <v>415.50899999999996</v>
      </c>
      <c r="AF91" s="10">
        <v>408.65699999999987</v>
      </c>
      <c r="AG91" s="10">
        <v>520.17300000000012</v>
      </c>
      <c r="AH91" s="10">
        <v>257.173</v>
      </c>
      <c r="AI91" s="10">
        <v>284.18299999999999</v>
      </c>
      <c r="AJ91" s="10">
        <v>440.9260000000001</v>
      </c>
      <c r="AK91" s="10">
        <v>313.82400000000001</v>
      </c>
      <c r="AL91" s="10">
        <v>464.5659999999998</v>
      </c>
      <c r="AM91" s="10">
        <v>428.99599999999992</v>
      </c>
      <c r="AN91" s="46">
        <f t="shared" si="2"/>
        <v>384.40236363636359</v>
      </c>
      <c r="AO91" s="7">
        <f t="shared" si="3"/>
        <v>9.6100590909090897</v>
      </c>
    </row>
    <row r="92" spans="1:41" x14ac:dyDescent="0.3">
      <c r="A92" s="5">
        <v>91</v>
      </c>
      <c r="B92" s="12" t="s">
        <v>221</v>
      </c>
      <c r="C92" s="12" t="s">
        <v>220</v>
      </c>
      <c r="D92" s="6" t="s">
        <v>30</v>
      </c>
      <c r="E92" s="6" t="s">
        <v>12</v>
      </c>
      <c r="F92" s="6" t="s">
        <v>13</v>
      </c>
      <c r="G92" s="6" t="s">
        <v>35</v>
      </c>
      <c r="H92" s="92">
        <v>19</v>
      </c>
      <c r="I92" s="12" t="s">
        <v>589</v>
      </c>
      <c r="J92" s="93">
        <v>7.8E-2</v>
      </c>
      <c r="K92" s="10">
        <v>3.9E-2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10">
        <v>2.5379999999999998</v>
      </c>
      <c r="S92" s="46">
        <v>0</v>
      </c>
      <c r="T92" s="10">
        <v>3.6719999999999997</v>
      </c>
      <c r="U92" s="10">
        <v>2.7440000000000002</v>
      </c>
      <c r="V92" s="46">
        <v>0</v>
      </c>
      <c r="W92" s="10">
        <v>3.5859999999999999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54">
        <v>0</v>
      </c>
      <c r="AN92" s="46">
        <f t="shared" si="2"/>
        <v>0</v>
      </c>
      <c r="AO92" s="7">
        <f t="shared" si="3"/>
        <v>0</v>
      </c>
    </row>
    <row r="93" spans="1:41" x14ac:dyDescent="0.3">
      <c r="A93" s="5">
        <v>92</v>
      </c>
      <c r="B93" s="12" t="s">
        <v>222</v>
      </c>
      <c r="C93" s="12" t="s">
        <v>223</v>
      </c>
      <c r="D93" s="6" t="s">
        <v>69</v>
      </c>
      <c r="E93" s="6" t="s">
        <v>12</v>
      </c>
      <c r="F93" s="6" t="s">
        <v>40</v>
      </c>
      <c r="G93" s="6" t="s">
        <v>35</v>
      </c>
      <c r="H93" s="92">
        <v>2</v>
      </c>
      <c r="I93" s="12" t="s">
        <v>160</v>
      </c>
      <c r="J93" s="54">
        <v>0</v>
      </c>
      <c r="K93" s="46">
        <v>0</v>
      </c>
      <c r="L93" s="46">
        <v>0</v>
      </c>
      <c r="M93" s="46">
        <v>0</v>
      </c>
      <c r="N93" s="46">
        <v>0</v>
      </c>
      <c r="O93" s="10">
        <v>1.7090000000000001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10">
        <v>50.010999999999996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0</v>
      </c>
      <c r="AL93" s="46">
        <v>0</v>
      </c>
      <c r="AM93" s="54">
        <v>0</v>
      </c>
      <c r="AN93" s="46">
        <f t="shared" si="2"/>
        <v>0</v>
      </c>
      <c r="AO93" s="7">
        <f t="shared" si="3"/>
        <v>0</v>
      </c>
    </row>
    <row r="94" spans="1:41" x14ac:dyDescent="0.3">
      <c r="A94" s="5">
        <v>93</v>
      </c>
      <c r="B94" s="12" t="s">
        <v>175</v>
      </c>
      <c r="C94" s="12" t="s">
        <v>174</v>
      </c>
      <c r="D94" s="6" t="s">
        <v>128</v>
      </c>
      <c r="E94" s="6" t="s">
        <v>12</v>
      </c>
      <c r="F94" s="6" t="s">
        <v>121</v>
      </c>
      <c r="G94" s="6" t="s">
        <v>35</v>
      </c>
      <c r="H94" s="92">
        <v>10</v>
      </c>
      <c r="I94" s="12" t="s">
        <v>589</v>
      </c>
      <c r="J94" s="54">
        <v>0</v>
      </c>
      <c r="K94" s="10">
        <v>57.981000000000002</v>
      </c>
      <c r="L94" s="10">
        <v>88.330000000000013</v>
      </c>
      <c r="M94" s="10">
        <v>57.144999999999996</v>
      </c>
      <c r="N94" s="10">
        <v>102.21700000000001</v>
      </c>
      <c r="O94" s="10">
        <v>84.888000000000019</v>
      </c>
      <c r="P94" s="10">
        <v>115.50700000000001</v>
      </c>
      <c r="Q94" s="10">
        <v>92.378999999999991</v>
      </c>
      <c r="R94" s="10">
        <v>70.289999999999992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10">
        <v>16.669</v>
      </c>
      <c r="Z94" s="10">
        <v>126.81599999999999</v>
      </c>
      <c r="AA94" s="10">
        <v>106.05200000000002</v>
      </c>
      <c r="AB94" s="10">
        <v>96.296999999999983</v>
      </c>
      <c r="AC94" s="10">
        <v>58.818000000000005</v>
      </c>
      <c r="AD94" s="10">
        <v>69.331000000000017</v>
      </c>
      <c r="AE94" s="10">
        <v>156.35800000000009</v>
      </c>
      <c r="AF94" s="10">
        <v>139.02099999999999</v>
      </c>
      <c r="AG94" s="10">
        <v>162.12600000000003</v>
      </c>
      <c r="AH94" s="10">
        <v>153.42399999999998</v>
      </c>
      <c r="AI94" s="10">
        <v>140.30100000000002</v>
      </c>
      <c r="AJ94" s="10">
        <v>159.51300000000001</v>
      </c>
      <c r="AK94" s="10">
        <v>143.03</v>
      </c>
      <c r="AL94" s="10">
        <v>155.01000000000005</v>
      </c>
      <c r="AM94" s="10">
        <v>136.88600000000002</v>
      </c>
      <c r="AN94" s="46">
        <f t="shared" si="2"/>
        <v>133.98345454545458</v>
      </c>
      <c r="AO94" s="7">
        <f t="shared" si="3"/>
        <v>13.398345454545458</v>
      </c>
    </row>
    <row r="95" spans="1:41" x14ac:dyDescent="0.3">
      <c r="A95" s="5">
        <v>94</v>
      </c>
      <c r="B95" s="12" t="s">
        <v>175</v>
      </c>
      <c r="C95" s="12" t="s">
        <v>174</v>
      </c>
      <c r="D95" s="6" t="s">
        <v>128</v>
      </c>
      <c r="E95" s="6" t="s">
        <v>12</v>
      </c>
      <c r="F95" s="6" t="s">
        <v>40</v>
      </c>
      <c r="G95" s="6" t="s">
        <v>35</v>
      </c>
      <c r="H95" s="92">
        <v>1</v>
      </c>
      <c r="I95" s="12" t="s">
        <v>589</v>
      </c>
      <c r="J95" s="54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54">
        <v>0</v>
      </c>
      <c r="AN95" s="46">
        <f t="shared" si="2"/>
        <v>0</v>
      </c>
      <c r="AO95" s="7">
        <f t="shared" si="3"/>
        <v>0</v>
      </c>
    </row>
    <row r="96" spans="1:41" x14ac:dyDescent="0.3">
      <c r="A96" s="5">
        <v>95</v>
      </c>
      <c r="B96" s="12" t="s">
        <v>175</v>
      </c>
      <c r="C96" s="12" t="s">
        <v>241</v>
      </c>
      <c r="D96" s="6" t="s">
        <v>128</v>
      </c>
      <c r="E96" s="6" t="s">
        <v>12</v>
      </c>
      <c r="F96" s="6" t="s">
        <v>124</v>
      </c>
      <c r="G96" s="6" t="s">
        <v>80</v>
      </c>
      <c r="H96" s="92">
        <v>1</v>
      </c>
      <c r="I96" s="67" t="s">
        <v>160</v>
      </c>
      <c r="J96" s="54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0</v>
      </c>
      <c r="AL96" s="46">
        <v>0</v>
      </c>
      <c r="AM96" s="54">
        <v>0</v>
      </c>
      <c r="AN96" s="46">
        <f t="shared" si="2"/>
        <v>0</v>
      </c>
      <c r="AO96" s="7">
        <f t="shared" si="3"/>
        <v>0</v>
      </c>
    </row>
    <row r="97" spans="1:41" x14ac:dyDescent="0.3">
      <c r="A97" s="5">
        <v>96</v>
      </c>
      <c r="B97" s="12" t="s">
        <v>175</v>
      </c>
      <c r="C97" s="12" t="s">
        <v>240</v>
      </c>
      <c r="D97" s="6" t="s">
        <v>128</v>
      </c>
      <c r="E97" s="6" t="s">
        <v>12</v>
      </c>
      <c r="F97" s="6" t="s">
        <v>124</v>
      </c>
      <c r="G97" s="6" t="s">
        <v>80</v>
      </c>
      <c r="H97" s="92">
        <v>1</v>
      </c>
      <c r="I97" s="67" t="s">
        <v>160</v>
      </c>
      <c r="J97" s="54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0</v>
      </c>
      <c r="AL97" s="46">
        <v>0</v>
      </c>
      <c r="AM97" s="54">
        <v>0</v>
      </c>
      <c r="AN97" s="46">
        <f t="shared" si="2"/>
        <v>0</v>
      </c>
      <c r="AO97" s="7">
        <f t="shared" si="3"/>
        <v>0</v>
      </c>
    </row>
    <row r="98" spans="1:41" x14ac:dyDescent="0.3">
      <c r="A98" s="5">
        <v>97</v>
      </c>
      <c r="B98" s="12" t="s">
        <v>175</v>
      </c>
      <c r="C98" s="12" t="s">
        <v>242</v>
      </c>
      <c r="D98" s="6" t="s">
        <v>128</v>
      </c>
      <c r="E98" s="6" t="s">
        <v>12</v>
      </c>
      <c r="F98" s="6" t="s">
        <v>124</v>
      </c>
      <c r="G98" s="6" t="s">
        <v>80</v>
      </c>
      <c r="H98" s="92">
        <v>1</v>
      </c>
      <c r="I98" s="67" t="s">
        <v>160</v>
      </c>
      <c r="J98" s="54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54">
        <v>0</v>
      </c>
      <c r="AN98" s="46">
        <f t="shared" si="2"/>
        <v>0</v>
      </c>
      <c r="AO98" s="7">
        <f t="shared" si="3"/>
        <v>0</v>
      </c>
    </row>
    <row r="99" spans="1:41" x14ac:dyDescent="0.3">
      <c r="A99" s="5">
        <v>98</v>
      </c>
      <c r="B99" s="12" t="s">
        <v>565</v>
      </c>
      <c r="C99" s="12" t="s">
        <v>557</v>
      </c>
      <c r="D99" s="6" t="s">
        <v>128</v>
      </c>
      <c r="E99" s="6" t="s">
        <v>12</v>
      </c>
      <c r="F99" s="6" t="s">
        <v>558</v>
      </c>
      <c r="G99" s="6" t="s">
        <v>35</v>
      </c>
      <c r="H99" s="92">
        <v>15</v>
      </c>
      <c r="I99" s="94" t="s">
        <v>273</v>
      </c>
      <c r="J99" s="54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10">
        <v>13.891999999999996</v>
      </c>
      <c r="V99" s="10">
        <v>36.472000000000008</v>
      </c>
      <c r="W99" s="10">
        <v>38.995000000000005</v>
      </c>
      <c r="X99" s="10">
        <v>53.855000000000004</v>
      </c>
      <c r="Y99" s="10">
        <v>53.554000000000009</v>
      </c>
      <c r="Z99" s="10">
        <v>49.085000000000001</v>
      </c>
      <c r="AA99" s="10">
        <v>69.263000000000005</v>
      </c>
      <c r="AB99" s="10">
        <v>62.172999999999981</v>
      </c>
      <c r="AC99" s="10">
        <v>70.414999999999992</v>
      </c>
      <c r="AD99" s="10">
        <v>80.920999999999978</v>
      </c>
      <c r="AE99" s="10">
        <v>90.150999999999982</v>
      </c>
      <c r="AF99" s="10">
        <v>120.99999999999999</v>
      </c>
      <c r="AG99" s="10">
        <v>86.83799999999998</v>
      </c>
      <c r="AH99" s="10">
        <v>88.24499999999999</v>
      </c>
      <c r="AI99" s="10">
        <v>88.260999999999981</v>
      </c>
      <c r="AJ99" s="10">
        <v>89.27000000000001</v>
      </c>
      <c r="AK99" s="10">
        <v>100.99299999999999</v>
      </c>
      <c r="AL99" s="10">
        <v>83.410000000000025</v>
      </c>
      <c r="AM99" s="10">
        <v>120.33200000000001</v>
      </c>
      <c r="AN99" s="46">
        <f t="shared" si="2"/>
        <v>92.712363636363634</v>
      </c>
      <c r="AO99" s="7">
        <f t="shared" si="3"/>
        <v>6.1808242424242419</v>
      </c>
    </row>
    <row r="100" spans="1:41" x14ac:dyDescent="0.3">
      <c r="A100" s="5">
        <v>99</v>
      </c>
      <c r="B100" s="12" t="s">
        <v>565</v>
      </c>
      <c r="C100" s="12" t="s">
        <v>557</v>
      </c>
      <c r="D100" s="6" t="s">
        <v>128</v>
      </c>
      <c r="E100" s="6" t="s">
        <v>12</v>
      </c>
      <c r="F100" s="6" t="s">
        <v>559</v>
      </c>
      <c r="G100" s="6" t="s">
        <v>80</v>
      </c>
      <c r="H100" s="92">
        <v>1</v>
      </c>
      <c r="I100" s="94" t="s">
        <v>273</v>
      </c>
      <c r="J100" s="54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>
        <v>0</v>
      </c>
      <c r="V100" s="46">
        <v>0</v>
      </c>
      <c r="W100" s="10">
        <v>3.83</v>
      </c>
      <c r="X100" s="10">
        <v>12.59</v>
      </c>
      <c r="Y100" s="10">
        <v>28.830000000000002</v>
      </c>
      <c r="Z100" s="10">
        <v>19.880000000000003</v>
      </c>
      <c r="AA100" s="10">
        <v>4.29</v>
      </c>
      <c r="AB100" s="10">
        <v>17.02</v>
      </c>
      <c r="AC100" s="10">
        <v>15.4</v>
      </c>
      <c r="AD100" s="46">
        <v>0</v>
      </c>
      <c r="AE100" s="10">
        <v>1.1100000000000001</v>
      </c>
      <c r="AF100" s="10">
        <v>1.96</v>
      </c>
      <c r="AG100" s="10">
        <v>8.7199999999999989</v>
      </c>
      <c r="AH100" s="10">
        <v>27.19</v>
      </c>
      <c r="AI100" s="10">
        <v>5.64</v>
      </c>
      <c r="AJ100" s="46">
        <v>0</v>
      </c>
      <c r="AK100" s="46">
        <v>0</v>
      </c>
      <c r="AL100" s="10">
        <v>17.79</v>
      </c>
      <c r="AM100" s="10">
        <v>0.66</v>
      </c>
      <c r="AN100" s="46">
        <f t="shared" si="2"/>
        <v>7.1336363636363638</v>
      </c>
      <c r="AO100" s="7">
        <f t="shared" si="3"/>
        <v>7.1336363636363638</v>
      </c>
    </row>
    <row r="101" spans="1:41" x14ac:dyDescent="0.3">
      <c r="A101" s="5">
        <v>100</v>
      </c>
      <c r="B101" s="6" t="s">
        <v>65</v>
      </c>
      <c r="C101" s="12" t="s">
        <v>224</v>
      </c>
      <c r="D101" s="6" t="s">
        <v>30</v>
      </c>
      <c r="E101" s="6" t="s">
        <v>12</v>
      </c>
      <c r="F101" s="6" t="s">
        <v>13</v>
      </c>
      <c r="G101" s="6" t="s">
        <v>35</v>
      </c>
      <c r="H101" s="92">
        <v>5</v>
      </c>
      <c r="I101" s="12" t="s">
        <v>589</v>
      </c>
      <c r="J101" s="93">
        <v>6.4790000000000001</v>
      </c>
      <c r="K101" s="10">
        <v>21.673999999999999</v>
      </c>
      <c r="L101" s="10">
        <v>24.681999999999995</v>
      </c>
      <c r="M101" s="10">
        <v>29.866000000000003</v>
      </c>
      <c r="N101" s="10">
        <v>30.312999999999999</v>
      </c>
      <c r="O101" s="10">
        <v>33.969000000000001</v>
      </c>
      <c r="P101" s="10">
        <v>40.021000000000001</v>
      </c>
      <c r="Q101" s="10">
        <v>20.628</v>
      </c>
      <c r="R101" s="10">
        <v>35.151999999999994</v>
      </c>
      <c r="S101" s="10">
        <v>27.451999999999998</v>
      </c>
      <c r="T101" s="10">
        <v>39.574000000000005</v>
      </c>
      <c r="U101" s="10">
        <v>40.386999999999993</v>
      </c>
      <c r="V101" s="10">
        <v>32.741</v>
      </c>
      <c r="W101" s="10">
        <v>39.652000000000001</v>
      </c>
      <c r="X101" s="10">
        <v>25.292999999999999</v>
      </c>
      <c r="Y101" s="10">
        <v>47.589000000000006</v>
      </c>
      <c r="Z101" s="10">
        <v>30.13</v>
      </c>
      <c r="AA101" s="10">
        <v>38.17</v>
      </c>
      <c r="AB101" s="10">
        <v>31.170999999999999</v>
      </c>
      <c r="AC101" s="10">
        <v>31.529</v>
      </c>
      <c r="AD101" s="10">
        <v>43.988999999999997</v>
      </c>
      <c r="AE101" s="10">
        <v>36.567999999999998</v>
      </c>
      <c r="AF101" s="10">
        <v>34.728000000000002</v>
      </c>
      <c r="AG101" s="10">
        <v>41.302999999999997</v>
      </c>
      <c r="AH101" s="10">
        <v>34.051000000000002</v>
      </c>
      <c r="AI101" s="10">
        <v>41.651000000000003</v>
      </c>
      <c r="AJ101" s="10">
        <v>27.18</v>
      </c>
      <c r="AK101" s="10">
        <v>50.438999999999993</v>
      </c>
      <c r="AL101" s="10">
        <v>36.683999999999997</v>
      </c>
      <c r="AM101" s="10">
        <v>41.953999999999994</v>
      </c>
      <c r="AN101" s="46">
        <f t="shared" si="2"/>
        <v>38.18872727272727</v>
      </c>
      <c r="AO101" s="7">
        <f t="shared" si="3"/>
        <v>7.6377454545454544</v>
      </c>
    </row>
    <row r="102" spans="1:41" x14ac:dyDescent="0.3">
      <c r="A102" s="5">
        <v>101</v>
      </c>
      <c r="B102" s="6" t="s">
        <v>65</v>
      </c>
      <c r="C102" s="12" t="s">
        <v>225</v>
      </c>
      <c r="D102" s="6" t="s">
        <v>30</v>
      </c>
      <c r="E102" s="6" t="s">
        <v>12</v>
      </c>
      <c r="F102" s="6" t="s">
        <v>13</v>
      </c>
      <c r="G102" s="6" t="s">
        <v>35</v>
      </c>
      <c r="H102" s="92">
        <v>16</v>
      </c>
      <c r="I102" s="12" t="s">
        <v>589</v>
      </c>
      <c r="J102" s="54">
        <v>0</v>
      </c>
      <c r="K102" s="10">
        <v>13.391</v>
      </c>
      <c r="L102" s="10">
        <v>13.214</v>
      </c>
      <c r="M102" s="10">
        <v>10.600000000000001</v>
      </c>
      <c r="N102" s="10">
        <v>19.590999999999998</v>
      </c>
      <c r="O102" s="10">
        <v>2.355</v>
      </c>
      <c r="P102" s="10">
        <v>12.526</v>
      </c>
      <c r="Q102" s="10">
        <v>7.1790000000000003</v>
      </c>
      <c r="R102" s="10">
        <v>11.138000000000002</v>
      </c>
      <c r="S102" s="10">
        <v>5.343</v>
      </c>
      <c r="T102" s="10">
        <v>9.7809999999999988</v>
      </c>
      <c r="U102" s="10">
        <v>13.183</v>
      </c>
      <c r="V102" s="10">
        <v>20.152000000000001</v>
      </c>
      <c r="W102" s="10">
        <v>15.536999999999999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10">
        <v>13.814</v>
      </c>
      <c r="AE102" s="10">
        <v>20.622</v>
      </c>
      <c r="AF102" s="10">
        <v>10.106999999999999</v>
      </c>
      <c r="AG102" s="10">
        <v>5.8079999999999998</v>
      </c>
      <c r="AH102" s="46">
        <v>0</v>
      </c>
      <c r="AI102" s="10">
        <v>30.942999999999998</v>
      </c>
      <c r="AJ102" s="10">
        <v>24.275999999999996</v>
      </c>
      <c r="AK102" s="10">
        <v>45.924000000000007</v>
      </c>
      <c r="AL102" s="10">
        <v>79.921999999999997</v>
      </c>
      <c r="AM102" s="10">
        <v>117.15900000000001</v>
      </c>
      <c r="AN102" s="46">
        <f t="shared" si="2"/>
        <v>31.688636363636363</v>
      </c>
      <c r="AO102" s="7">
        <f t="shared" si="3"/>
        <v>1.9805397727272727</v>
      </c>
    </row>
    <row r="103" spans="1:41" x14ac:dyDescent="0.3">
      <c r="A103" s="5">
        <v>102</v>
      </c>
      <c r="B103" s="6" t="s">
        <v>65</v>
      </c>
      <c r="C103" s="12" t="s">
        <v>226</v>
      </c>
      <c r="D103" s="6" t="s">
        <v>30</v>
      </c>
      <c r="E103" s="6" t="s">
        <v>12</v>
      </c>
      <c r="F103" s="6" t="s">
        <v>13</v>
      </c>
      <c r="G103" s="6" t="s">
        <v>35</v>
      </c>
      <c r="H103" s="92">
        <v>10</v>
      </c>
      <c r="I103" s="12" t="s">
        <v>589</v>
      </c>
      <c r="J103" s="54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54">
        <v>0</v>
      </c>
      <c r="AN103" s="46">
        <f t="shared" si="2"/>
        <v>0</v>
      </c>
      <c r="AO103" s="7">
        <f t="shared" si="3"/>
        <v>0</v>
      </c>
    </row>
    <row r="104" spans="1:41" x14ac:dyDescent="0.3">
      <c r="A104" s="5">
        <v>103</v>
      </c>
      <c r="B104" s="6" t="s">
        <v>65</v>
      </c>
      <c r="C104" s="12" t="s">
        <v>227</v>
      </c>
      <c r="D104" s="6" t="s">
        <v>30</v>
      </c>
      <c r="E104" s="6" t="s">
        <v>12</v>
      </c>
      <c r="F104" s="6" t="s">
        <v>13</v>
      </c>
      <c r="G104" s="6" t="s">
        <v>35</v>
      </c>
      <c r="H104" s="92">
        <v>13</v>
      </c>
      <c r="I104" s="12" t="s">
        <v>589</v>
      </c>
      <c r="J104" s="93">
        <v>5.7430000000000003</v>
      </c>
      <c r="K104" s="10">
        <v>14.786</v>
      </c>
      <c r="L104" s="10">
        <v>8.7759999999999998</v>
      </c>
      <c r="M104" s="10">
        <v>22.046999999999997</v>
      </c>
      <c r="N104" s="10">
        <v>35.991999999999997</v>
      </c>
      <c r="O104" s="10">
        <v>28.503999999999998</v>
      </c>
      <c r="P104" s="10">
        <v>32.975999999999999</v>
      </c>
      <c r="Q104" s="10">
        <v>37.161000000000001</v>
      </c>
      <c r="R104" s="10">
        <v>21.242000000000001</v>
      </c>
      <c r="S104" s="10">
        <v>13.779999999999996</v>
      </c>
      <c r="T104" s="10">
        <v>17.243000000000002</v>
      </c>
      <c r="U104" s="10">
        <v>27.64</v>
      </c>
      <c r="V104" s="10">
        <v>63.137999999999998</v>
      </c>
      <c r="W104" s="10">
        <v>19.428000000000001</v>
      </c>
      <c r="X104" s="10">
        <v>52.214999999999996</v>
      </c>
      <c r="Y104" s="10">
        <v>26.161999999999999</v>
      </c>
      <c r="Z104" s="10">
        <v>21.887</v>
      </c>
      <c r="AA104" s="10">
        <v>32.487000000000002</v>
      </c>
      <c r="AB104" s="10">
        <v>4.915</v>
      </c>
      <c r="AC104" s="10">
        <v>35.988</v>
      </c>
      <c r="AD104" s="10">
        <v>26.645</v>
      </c>
      <c r="AE104" s="10">
        <v>34.945</v>
      </c>
      <c r="AF104" s="10">
        <v>14.91</v>
      </c>
      <c r="AG104" s="10">
        <v>14.488</v>
      </c>
      <c r="AH104" s="10">
        <v>44.379000000000005</v>
      </c>
      <c r="AI104" s="10">
        <v>16.79</v>
      </c>
      <c r="AJ104" s="10">
        <v>48.691000000000003</v>
      </c>
      <c r="AK104" s="10">
        <v>48.076999999999998</v>
      </c>
      <c r="AL104" s="10">
        <v>40.637999999999991</v>
      </c>
      <c r="AM104" s="10">
        <v>39.376000000000005</v>
      </c>
      <c r="AN104" s="46">
        <f t="shared" si="2"/>
        <v>33.175181818181819</v>
      </c>
      <c r="AO104" s="7">
        <f t="shared" si="3"/>
        <v>2.5519370629370632</v>
      </c>
    </row>
    <row r="105" spans="1:41" x14ac:dyDescent="0.3">
      <c r="A105" s="5">
        <v>104</v>
      </c>
      <c r="B105" s="6" t="s">
        <v>65</v>
      </c>
      <c r="C105" s="12" t="s">
        <v>356</v>
      </c>
      <c r="D105" s="6" t="s">
        <v>30</v>
      </c>
      <c r="E105" s="6" t="s">
        <v>12</v>
      </c>
      <c r="F105" s="6" t="s">
        <v>13</v>
      </c>
      <c r="G105" s="6" t="s">
        <v>35</v>
      </c>
      <c r="H105" s="92">
        <v>20</v>
      </c>
      <c r="I105" s="12" t="s">
        <v>589</v>
      </c>
      <c r="J105" s="93">
        <v>219.374</v>
      </c>
      <c r="K105" s="10">
        <v>263.85199999999998</v>
      </c>
      <c r="L105" s="10">
        <v>308.61100000000005</v>
      </c>
      <c r="M105" s="10">
        <v>309.48500000000007</v>
      </c>
      <c r="N105" s="10">
        <v>318.77199999999988</v>
      </c>
      <c r="O105" s="10">
        <v>306.06000000000006</v>
      </c>
      <c r="P105" s="10">
        <v>352.59500000000008</v>
      </c>
      <c r="Q105" s="10">
        <v>373.33199999999988</v>
      </c>
      <c r="R105" s="10">
        <v>391.024</v>
      </c>
      <c r="S105" s="10">
        <v>404.73199999999991</v>
      </c>
      <c r="T105" s="10">
        <v>367.19299999999998</v>
      </c>
      <c r="U105" s="10">
        <v>342.9140000000001</v>
      </c>
      <c r="V105" s="10">
        <v>377.4079999999999</v>
      </c>
      <c r="W105" s="10">
        <v>369.33699999999993</v>
      </c>
      <c r="X105" s="10">
        <v>360.68399999999986</v>
      </c>
      <c r="Y105" s="10">
        <v>383.3370000000001</v>
      </c>
      <c r="Z105" s="10">
        <v>333.28</v>
      </c>
      <c r="AA105" s="10">
        <v>356.92500000000001</v>
      </c>
      <c r="AB105" s="10">
        <v>292.23600000000005</v>
      </c>
      <c r="AC105" s="10">
        <v>107.32900000000001</v>
      </c>
      <c r="AD105" s="10">
        <v>217.14100000000005</v>
      </c>
      <c r="AE105" s="10">
        <v>252.46400000000003</v>
      </c>
      <c r="AF105" s="10">
        <v>338.88699999999994</v>
      </c>
      <c r="AG105" s="10">
        <v>284.98600000000005</v>
      </c>
      <c r="AH105" s="10">
        <v>331.36699999999996</v>
      </c>
      <c r="AI105" s="10">
        <v>324.83700000000005</v>
      </c>
      <c r="AJ105" s="10">
        <v>327.91100000000012</v>
      </c>
      <c r="AK105" s="10">
        <v>345.959</v>
      </c>
      <c r="AL105" s="10">
        <v>344.35799999999995</v>
      </c>
      <c r="AM105" s="10">
        <v>379.60900000000015</v>
      </c>
      <c r="AN105" s="46">
        <f t="shared" si="2"/>
        <v>295.8952727272727</v>
      </c>
      <c r="AO105" s="7">
        <f t="shared" si="3"/>
        <v>14.794763636363635</v>
      </c>
    </row>
    <row r="106" spans="1:41" x14ac:dyDescent="0.3">
      <c r="A106" s="5">
        <v>105</v>
      </c>
      <c r="B106" s="6" t="s">
        <v>65</v>
      </c>
      <c r="C106" s="12" t="s">
        <v>228</v>
      </c>
      <c r="D106" s="6" t="s">
        <v>30</v>
      </c>
      <c r="E106" s="6" t="s">
        <v>12</v>
      </c>
      <c r="F106" s="6" t="s">
        <v>13</v>
      </c>
      <c r="G106" s="6" t="s">
        <v>35</v>
      </c>
      <c r="H106" s="92">
        <v>1</v>
      </c>
      <c r="I106" s="12" t="s">
        <v>160</v>
      </c>
      <c r="J106" s="54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54">
        <v>0</v>
      </c>
      <c r="AN106" s="46">
        <f t="shared" si="2"/>
        <v>0</v>
      </c>
      <c r="AO106" s="7">
        <f t="shared" si="3"/>
        <v>0</v>
      </c>
    </row>
    <row r="107" spans="1:41" x14ac:dyDescent="0.3">
      <c r="A107" s="5">
        <v>106</v>
      </c>
      <c r="B107" s="6" t="s">
        <v>65</v>
      </c>
      <c r="C107" s="12" t="s">
        <v>110</v>
      </c>
      <c r="D107" s="6" t="s">
        <v>30</v>
      </c>
      <c r="E107" s="6" t="s">
        <v>12</v>
      </c>
      <c r="F107" s="6" t="s">
        <v>13</v>
      </c>
      <c r="G107" s="6" t="s">
        <v>35</v>
      </c>
      <c r="H107" s="92">
        <v>1</v>
      </c>
      <c r="I107" s="12" t="s">
        <v>160</v>
      </c>
      <c r="J107" s="54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54">
        <v>0</v>
      </c>
      <c r="AN107" s="46">
        <f t="shared" si="2"/>
        <v>0</v>
      </c>
      <c r="AO107" s="7">
        <f t="shared" si="3"/>
        <v>0</v>
      </c>
    </row>
    <row r="108" spans="1:41" x14ac:dyDescent="0.3">
      <c r="A108" s="5">
        <v>107</v>
      </c>
      <c r="B108" s="6" t="s">
        <v>65</v>
      </c>
      <c r="C108" s="12" t="s">
        <v>229</v>
      </c>
      <c r="D108" s="6" t="s">
        <v>128</v>
      </c>
      <c r="E108" s="6" t="s">
        <v>12</v>
      </c>
      <c r="F108" s="6" t="s">
        <v>40</v>
      </c>
      <c r="G108" s="6" t="s">
        <v>35</v>
      </c>
      <c r="H108" s="92">
        <v>2</v>
      </c>
      <c r="I108" s="67" t="s">
        <v>160</v>
      </c>
      <c r="J108" s="54">
        <v>0</v>
      </c>
      <c r="K108" s="46">
        <v>0</v>
      </c>
      <c r="L108" s="10">
        <v>13.510999999999999</v>
      </c>
      <c r="M108" s="46">
        <v>0</v>
      </c>
      <c r="N108" s="46">
        <v>0</v>
      </c>
      <c r="O108" s="46">
        <v>0</v>
      </c>
      <c r="P108" s="10">
        <v>15.199</v>
      </c>
      <c r="Q108" s="46">
        <v>0</v>
      </c>
      <c r="R108" s="46">
        <v>0</v>
      </c>
      <c r="S108" s="10">
        <v>27.056000000000001</v>
      </c>
      <c r="T108" s="46">
        <v>0</v>
      </c>
      <c r="U108" s="10">
        <v>18.064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10">
        <v>33.511000000000003</v>
      </c>
      <c r="AB108" s="46">
        <v>0</v>
      </c>
      <c r="AC108" s="46">
        <v>0</v>
      </c>
      <c r="AD108" s="10">
        <v>22.544</v>
      </c>
      <c r="AE108" s="46">
        <v>0</v>
      </c>
      <c r="AF108" s="10">
        <v>22.571999999999999</v>
      </c>
      <c r="AG108" s="10">
        <v>6.3129999999999997</v>
      </c>
      <c r="AH108" s="46">
        <v>0</v>
      </c>
      <c r="AI108" s="46">
        <v>0</v>
      </c>
      <c r="AJ108" s="10">
        <v>16.257999999999999</v>
      </c>
      <c r="AK108" s="46">
        <v>0</v>
      </c>
      <c r="AL108" s="46">
        <v>0</v>
      </c>
      <c r="AM108" s="10">
        <v>25.94</v>
      </c>
      <c r="AN108" s="46">
        <f t="shared" si="2"/>
        <v>8.5115454545454536</v>
      </c>
      <c r="AO108" s="7">
        <f t="shared" si="3"/>
        <v>4.2557727272727268</v>
      </c>
    </row>
    <row r="109" spans="1:41" x14ac:dyDescent="0.3">
      <c r="A109" s="5">
        <v>108</v>
      </c>
      <c r="B109" s="6" t="s">
        <v>65</v>
      </c>
      <c r="C109" s="12" t="s">
        <v>230</v>
      </c>
      <c r="D109" s="6"/>
      <c r="E109" s="6" t="s">
        <v>130</v>
      </c>
      <c r="F109" s="6" t="s">
        <v>121</v>
      </c>
      <c r="G109" s="6" t="s">
        <v>35</v>
      </c>
      <c r="H109" s="92">
        <v>2</v>
      </c>
      <c r="I109" s="12" t="s">
        <v>590</v>
      </c>
      <c r="J109" s="54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0</v>
      </c>
      <c r="AF109" s="46">
        <v>0</v>
      </c>
      <c r="AG109" s="46">
        <v>0</v>
      </c>
      <c r="AH109" s="46">
        <v>0</v>
      </c>
      <c r="AI109" s="46">
        <v>0</v>
      </c>
      <c r="AJ109" s="46">
        <v>0</v>
      </c>
      <c r="AK109" s="46">
        <v>0</v>
      </c>
      <c r="AL109" s="46">
        <v>0</v>
      </c>
      <c r="AM109" s="54">
        <v>0</v>
      </c>
      <c r="AN109" s="46">
        <f t="shared" si="2"/>
        <v>0</v>
      </c>
      <c r="AO109" s="7">
        <f t="shared" si="3"/>
        <v>0</v>
      </c>
    </row>
    <row r="110" spans="1:41" x14ac:dyDescent="0.3">
      <c r="A110" s="5">
        <v>109</v>
      </c>
      <c r="B110" s="6" t="s">
        <v>65</v>
      </c>
      <c r="C110" s="12" t="s">
        <v>231</v>
      </c>
      <c r="D110" s="6" t="s">
        <v>128</v>
      </c>
      <c r="E110" s="6" t="s">
        <v>19</v>
      </c>
      <c r="F110" s="6" t="s">
        <v>13</v>
      </c>
      <c r="G110" s="6" t="s">
        <v>35</v>
      </c>
      <c r="H110" s="92">
        <v>6</v>
      </c>
      <c r="I110" s="12" t="s">
        <v>590</v>
      </c>
      <c r="J110" s="93">
        <v>66.915999999999997</v>
      </c>
      <c r="K110" s="10">
        <v>4.6059999999999999</v>
      </c>
      <c r="L110" s="10">
        <v>3.26</v>
      </c>
      <c r="M110" s="10">
        <v>73.531000000000006</v>
      </c>
      <c r="N110" s="10">
        <v>73.185999999999993</v>
      </c>
      <c r="O110" s="10">
        <v>55.351999999999983</v>
      </c>
      <c r="P110" s="10">
        <v>17.493000000000002</v>
      </c>
      <c r="Q110" s="10">
        <v>42.935000000000002</v>
      </c>
      <c r="R110" s="10">
        <v>21.341000000000001</v>
      </c>
      <c r="S110" s="46">
        <v>0</v>
      </c>
      <c r="T110" s="10">
        <v>56.401999999999994</v>
      </c>
      <c r="U110" s="10">
        <v>56.822000000000003</v>
      </c>
      <c r="V110" s="10">
        <v>62.608999999999995</v>
      </c>
      <c r="W110" s="10">
        <v>48.213000000000008</v>
      </c>
      <c r="X110" s="10">
        <v>15.48</v>
      </c>
      <c r="Y110" s="10">
        <v>10.397</v>
      </c>
      <c r="Z110" s="10">
        <v>3.5489999999999999</v>
      </c>
      <c r="AA110" s="10">
        <v>74.375</v>
      </c>
      <c r="AB110" s="10">
        <v>71.213999999999999</v>
      </c>
      <c r="AC110" s="10">
        <v>73.747</v>
      </c>
      <c r="AD110" s="10">
        <v>59.61</v>
      </c>
      <c r="AE110" s="10">
        <v>81.375999999999991</v>
      </c>
      <c r="AF110" s="10">
        <v>14.936</v>
      </c>
      <c r="AG110" s="10">
        <v>9.9979999999999993</v>
      </c>
      <c r="AH110" s="10">
        <v>56.070000000000007</v>
      </c>
      <c r="AI110" s="10">
        <v>81.087000000000003</v>
      </c>
      <c r="AJ110" s="10">
        <v>49.635999999999996</v>
      </c>
      <c r="AK110" s="10">
        <v>70.466999999999985</v>
      </c>
      <c r="AL110" s="10">
        <v>60.442000000000007</v>
      </c>
      <c r="AM110" s="10">
        <v>24.476000000000003</v>
      </c>
      <c r="AN110" s="46">
        <f t="shared" si="2"/>
        <v>52.895000000000003</v>
      </c>
      <c r="AO110" s="7">
        <f t="shared" si="3"/>
        <v>8.8158333333333339</v>
      </c>
    </row>
    <row r="111" spans="1:41" x14ac:dyDescent="0.3">
      <c r="A111" s="5">
        <v>110</v>
      </c>
      <c r="B111" s="6" t="s">
        <v>65</v>
      </c>
      <c r="C111" s="12" t="s">
        <v>232</v>
      </c>
      <c r="D111" s="6" t="s">
        <v>128</v>
      </c>
      <c r="E111" s="6" t="s">
        <v>12</v>
      </c>
      <c r="F111" s="6" t="s">
        <v>121</v>
      </c>
      <c r="G111" s="6" t="s">
        <v>35</v>
      </c>
      <c r="H111" s="92">
        <v>20</v>
      </c>
      <c r="I111" s="94" t="s">
        <v>273</v>
      </c>
      <c r="J111" s="93">
        <v>40.253999999999998</v>
      </c>
      <c r="K111" s="10">
        <v>113.45899999999999</v>
      </c>
      <c r="L111" s="10">
        <v>80.596000000000004</v>
      </c>
      <c r="M111" s="10">
        <v>149.15099999999998</v>
      </c>
      <c r="N111" s="10">
        <v>151.33899999999997</v>
      </c>
      <c r="O111" s="10">
        <v>166.482</v>
      </c>
      <c r="P111" s="10">
        <v>123.09800000000001</v>
      </c>
      <c r="Q111" s="10">
        <v>95.278999999999996</v>
      </c>
      <c r="R111" s="10">
        <v>131.38200000000001</v>
      </c>
      <c r="S111" s="10">
        <v>169.11199999999997</v>
      </c>
      <c r="T111" s="10">
        <v>144.94899999999996</v>
      </c>
      <c r="U111" s="10">
        <v>147.29900000000001</v>
      </c>
      <c r="V111" s="10">
        <v>138.16799999999998</v>
      </c>
      <c r="W111" s="10">
        <v>174.39400000000001</v>
      </c>
      <c r="X111" s="10">
        <v>127.316</v>
      </c>
      <c r="Y111" s="10">
        <v>135.90299999999996</v>
      </c>
      <c r="Z111" s="10">
        <v>150.39999999999995</v>
      </c>
      <c r="AA111" s="10">
        <v>127.05500000000001</v>
      </c>
      <c r="AB111" s="10">
        <v>146.48899999999998</v>
      </c>
      <c r="AC111" s="10">
        <v>161.93199999999999</v>
      </c>
      <c r="AD111" s="10">
        <v>141.19</v>
      </c>
      <c r="AE111" s="10">
        <v>122.85699999999999</v>
      </c>
      <c r="AF111" s="10">
        <v>118.73700000000001</v>
      </c>
      <c r="AG111" s="10">
        <v>108.03500000000001</v>
      </c>
      <c r="AH111" s="10">
        <v>99.277000000000001</v>
      </c>
      <c r="AI111" s="10">
        <v>118.748</v>
      </c>
      <c r="AJ111" s="10">
        <v>113.31100000000002</v>
      </c>
      <c r="AK111" s="10">
        <v>117.45800000000004</v>
      </c>
      <c r="AL111" s="10">
        <v>138.459</v>
      </c>
      <c r="AM111" s="10">
        <v>107.45199999999998</v>
      </c>
      <c r="AN111" s="46">
        <f t="shared" si="2"/>
        <v>122.49600000000001</v>
      </c>
      <c r="AO111" s="7">
        <f t="shared" si="3"/>
        <v>6.1248000000000005</v>
      </c>
    </row>
    <row r="112" spans="1:41" x14ac:dyDescent="0.3">
      <c r="A112" s="5">
        <v>111</v>
      </c>
      <c r="B112" s="6" t="s">
        <v>65</v>
      </c>
      <c r="C112" s="12" t="s">
        <v>591</v>
      </c>
      <c r="D112" s="6" t="s">
        <v>128</v>
      </c>
      <c r="E112" s="6" t="s">
        <v>12</v>
      </c>
      <c r="F112" s="6" t="s">
        <v>121</v>
      </c>
      <c r="G112" s="6" t="s">
        <v>35</v>
      </c>
      <c r="H112" s="92">
        <v>5</v>
      </c>
      <c r="I112" s="94" t="s">
        <v>273</v>
      </c>
      <c r="J112" s="93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46">
        <v>0</v>
      </c>
      <c r="AI112" s="10">
        <v>3.0000000000000001E-3</v>
      </c>
      <c r="AJ112" s="46">
        <v>0</v>
      </c>
      <c r="AK112" s="46">
        <v>0</v>
      </c>
      <c r="AL112" s="46">
        <v>0</v>
      </c>
      <c r="AM112" s="54">
        <v>0</v>
      </c>
      <c r="AN112" s="46">
        <f t="shared" si="2"/>
        <v>5.0000000000000001E-4</v>
      </c>
      <c r="AO112" s="7">
        <f t="shared" si="3"/>
        <v>1E-4</v>
      </c>
    </row>
    <row r="113" spans="1:41" x14ac:dyDescent="0.3">
      <c r="A113" s="5">
        <v>112</v>
      </c>
      <c r="B113" s="6" t="s">
        <v>65</v>
      </c>
      <c r="C113" s="12" t="s">
        <v>254</v>
      </c>
      <c r="D113" s="6" t="s">
        <v>128</v>
      </c>
      <c r="E113" s="6" t="s">
        <v>12</v>
      </c>
      <c r="F113" s="6" t="s">
        <v>121</v>
      </c>
      <c r="G113" s="6" t="s">
        <v>35</v>
      </c>
      <c r="H113" s="92">
        <v>15</v>
      </c>
      <c r="I113" s="94" t="s">
        <v>273</v>
      </c>
      <c r="J113" s="93">
        <v>167.511</v>
      </c>
      <c r="K113" s="10">
        <v>186.375</v>
      </c>
      <c r="L113" s="10">
        <v>220.38799999999998</v>
      </c>
      <c r="M113" s="10">
        <v>218.24599999999998</v>
      </c>
      <c r="N113" s="10">
        <v>221.75499999999997</v>
      </c>
      <c r="O113" s="10">
        <v>242.85599999999999</v>
      </c>
      <c r="P113" s="10">
        <v>265.74400000000003</v>
      </c>
      <c r="Q113" s="10">
        <v>207.36400000000003</v>
      </c>
      <c r="R113" s="10">
        <v>169.49100000000001</v>
      </c>
      <c r="S113" s="10">
        <v>204.06199999999995</v>
      </c>
      <c r="T113" s="10">
        <v>182.32600000000002</v>
      </c>
      <c r="U113" s="10">
        <v>264.01599999999996</v>
      </c>
      <c r="V113" s="10">
        <v>246.08799999999999</v>
      </c>
      <c r="W113" s="10">
        <v>222.61199999999997</v>
      </c>
      <c r="X113" s="10">
        <v>188.44499999999999</v>
      </c>
      <c r="Y113" s="10">
        <v>253.08799999999997</v>
      </c>
      <c r="Z113" s="10">
        <v>245.03599999999997</v>
      </c>
      <c r="AA113" s="10">
        <v>270.36800000000005</v>
      </c>
      <c r="AB113" s="10">
        <v>213.42499999999998</v>
      </c>
      <c r="AC113" s="10">
        <v>207.59500000000003</v>
      </c>
      <c r="AD113" s="10">
        <v>317.42900000000003</v>
      </c>
      <c r="AE113" s="10">
        <v>220.12300000000005</v>
      </c>
      <c r="AF113" s="10">
        <v>245.226</v>
      </c>
      <c r="AG113" s="10">
        <v>229.02700000000002</v>
      </c>
      <c r="AH113" s="10">
        <v>218.81700000000004</v>
      </c>
      <c r="AI113" s="10">
        <v>213.39899999999997</v>
      </c>
      <c r="AJ113" s="10">
        <v>220.934</v>
      </c>
      <c r="AK113" s="10">
        <v>200.773</v>
      </c>
      <c r="AL113" s="10">
        <v>182.63000000000002</v>
      </c>
      <c r="AM113" s="10">
        <v>171.12700000000004</v>
      </c>
      <c r="AN113" s="46">
        <f t="shared" si="2"/>
        <v>220.64363636363635</v>
      </c>
      <c r="AO113" s="7">
        <f t="shared" si="3"/>
        <v>14.709575757575756</v>
      </c>
    </row>
    <row r="114" spans="1:41" x14ac:dyDescent="0.3">
      <c r="A114" s="5">
        <v>113</v>
      </c>
      <c r="B114" s="6" t="s">
        <v>65</v>
      </c>
      <c r="C114" s="12" t="s">
        <v>233</v>
      </c>
      <c r="D114" s="6" t="s">
        <v>128</v>
      </c>
      <c r="E114" s="6" t="s">
        <v>12</v>
      </c>
      <c r="F114" s="6" t="s">
        <v>121</v>
      </c>
      <c r="G114" s="6" t="s">
        <v>35</v>
      </c>
      <c r="H114" s="92">
        <v>4</v>
      </c>
      <c r="I114" s="12" t="s">
        <v>160</v>
      </c>
      <c r="J114" s="54">
        <v>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10">
        <v>2.78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0</v>
      </c>
      <c r="AD114" s="10">
        <v>2.73</v>
      </c>
      <c r="AE114" s="46">
        <v>0</v>
      </c>
      <c r="AF114" s="10">
        <v>3.3839999999999999</v>
      </c>
      <c r="AG114" s="46">
        <v>0</v>
      </c>
      <c r="AH114" s="46">
        <v>0</v>
      </c>
      <c r="AI114" s="10">
        <v>4.5030000000000001</v>
      </c>
      <c r="AJ114" s="46">
        <v>0</v>
      </c>
      <c r="AK114" s="46">
        <v>0</v>
      </c>
      <c r="AL114" s="46">
        <v>0</v>
      </c>
      <c r="AM114" s="54">
        <v>0</v>
      </c>
      <c r="AN114" s="46">
        <f t="shared" si="2"/>
        <v>0.96518181818181825</v>
      </c>
      <c r="AO114" s="7">
        <f t="shared" si="3"/>
        <v>0.24129545454545456</v>
      </c>
    </row>
    <row r="115" spans="1:41" x14ac:dyDescent="0.3">
      <c r="A115" s="5">
        <v>114</v>
      </c>
      <c r="B115" s="6" t="s">
        <v>65</v>
      </c>
      <c r="C115" s="12" t="s">
        <v>233</v>
      </c>
      <c r="D115" s="6" t="s">
        <v>128</v>
      </c>
      <c r="E115" s="6" t="s">
        <v>12</v>
      </c>
      <c r="F115" s="6" t="s">
        <v>40</v>
      </c>
      <c r="G115" s="6" t="s">
        <v>35</v>
      </c>
      <c r="H115" s="92">
        <v>2</v>
      </c>
      <c r="I115" s="12" t="s">
        <v>160</v>
      </c>
      <c r="J115" s="54">
        <v>0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54">
        <v>0</v>
      </c>
      <c r="AN115" s="46">
        <f t="shared" si="2"/>
        <v>0</v>
      </c>
      <c r="AO115" s="7">
        <f t="shared" si="3"/>
        <v>0</v>
      </c>
    </row>
    <row r="116" spans="1:41" x14ac:dyDescent="0.3">
      <c r="A116" s="5">
        <v>115</v>
      </c>
      <c r="B116" s="6" t="s">
        <v>65</v>
      </c>
      <c r="C116" s="12" t="s">
        <v>442</v>
      </c>
      <c r="D116" s="6" t="s">
        <v>236</v>
      </c>
      <c r="E116" s="6" t="s">
        <v>12</v>
      </c>
      <c r="F116" s="6" t="s">
        <v>121</v>
      </c>
      <c r="G116" s="6" t="s">
        <v>35</v>
      </c>
      <c r="H116" s="92">
        <v>2</v>
      </c>
      <c r="I116" s="67" t="s">
        <v>160</v>
      </c>
      <c r="J116" s="54">
        <v>0</v>
      </c>
      <c r="K116" s="10">
        <v>2.948</v>
      </c>
      <c r="L116" s="46">
        <v>0</v>
      </c>
      <c r="M116" s="46">
        <v>0</v>
      </c>
      <c r="N116" s="46">
        <v>0</v>
      </c>
      <c r="O116" s="10">
        <v>17.329000000000001</v>
      </c>
      <c r="P116" s="10">
        <v>8.9459999999999997</v>
      </c>
      <c r="Q116" s="10">
        <v>2.569</v>
      </c>
      <c r="R116" s="10">
        <v>7.03</v>
      </c>
      <c r="S116" s="46">
        <v>0</v>
      </c>
      <c r="T116" s="10">
        <v>2E-3</v>
      </c>
      <c r="U116" s="10">
        <v>7.2460000000000004</v>
      </c>
      <c r="V116" s="10">
        <v>9.66</v>
      </c>
      <c r="W116" s="10">
        <v>10.77</v>
      </c>
      <c r="X116" s="10">
        <v>12.545</v>
      </c>
      <c r="Y116" s="10">
        <v>6.9930000000000003</v>
      </c>
      <c r="Z116" s="10">
        <v>1.845</v>
      </c>
      <c r="AA116" s="10">
        <v>5.931</v>
      </c>
      <c r="AB116" s="46">
        <v>0</v>
      </c>
      <c r="AC116" s="10">
        <v>8.4749999999999996</v>
      </c>
      <c r="AD116" s="10">
        <v>11.648999999999999</v>
      </c>
      <c r="AE116" s="46">
        <v>0</v>
      </c>
      <c r="AF116" s="10">
        <v>9.3390000000000004</v>
      </c>
      <c r="AG116" s="10">
        <v>11.816000000000001</v>
      </c>
      <c r="AH116" s="10">
        <v>1.1240000000000001</v>
      </c>
      <c r="AI116" s="10">
        <v>7.2039999999999997</v>
      </c>
      <c r="AJ116" s="46">
        <v>0</v>
      </c>
      <c r="AK116" s="10">
        <v>15.057</v>
      </c>
      <c r="AL116" s="10">
        <v>2.94</v>
      </c>
      <c r="AM116" s="10">
        <v>4.6189999999999998</v>
      </c>
      <c r="AN116" s="46">
        <f t="shared" si="2"/>
        <v>6.5657272727272726</v>
      </c>
      <c r="AO116" s="7">
        <f t="shared" si="3"/>
        <v>3.2828636363636363</v>
      </c>
    </row>
    <row r="117" spans="1:41" x14ac:dyDescent="0.3">
      <c r="A117" s="5">
        <v>116</v>
      </c>
      <c r="B117" s="6" t="s">
        <v>65</v>
      </c>
      <c r="C117" s="12" t="s">
        <v>252</v>
      </c>
      <c r="D117" s="6" t="s">
        <v>236</v>
      </c>
      <c r="E117" s="6" t="s">
        <v>12</v>
      </c>
      <c r="F117" s="6" t="s">
        <v>121</v>
      </c>
      <c r="G117" s="6" t="s">
        <v>35</v>
      </c>
      <c r="H117" s="92">
        <v>3</v>
      </c>
      <c r="I117" s="67" t="s">
        <v>160</v>
      </c>
      <c r="J117" s="54">
        <v>0</v>
      </c>
      <c r="K117" s="46">
        <v>0</v>
      </c>
      <c r="L117" s="46">
        <v>0</v>
      </c>
      <c r="M117" s="46">
        <v>0</v>
      </c>
      <c r="N117" s="46">
        <v>0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0</v>
      </c>
      <c r="AL117" s="46">
        <v>0</v>
      </c>
      <c r="AM117" s="54">
        <v>0</v>
      </c>
      <c r="AN117" s="46">
        <f t="shared" si="2"/>
        <v>0</v>
      </c>
      <c r="AO117" s="7">
        <f t="shared" si="3"/>
        <v>0</v>
      </c>
    </row>
    <row r="118" spans="1:41" x14ac:dyDescent="0.3">
      <c r="A118" s="5">
        <v>117</v>
      </c>
      <c r="B118" s="6" t="s">
        <v>65</v>
      </c>
      <c r="C118" s="12" t="s">
        <v>238</v>
      </c>
      <c r="D118" s="6" t="s">
        <v>236</v>
      </c>
      <c r="E118" s="6" t="s">
        <v>12</v>
      </c>
      <c r="F118" s="6" t="s">
        <v>121</v>
      </c>
      <c r="G118" s="6" t="s">
        <v>35</v>
      </c>
      <c r="H118" s="92">
        <v>3</v>
      </c>
      <c r="I118" s="67" t="s">
        <v>160</v>
      </c>
      <c r="J118" s="54">
        <v>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54">
        <v>0</v>
      </c>
      <c r="AN118" s="46">
        <f t="shared" si="2"/>
        <v>0</v>
      </c>
      <c r="AO118" s="7">
        <f t="shared" si="3"/>
        <v>0</v>
      </c>
    </row>
    <row r="119" spans="1:41" x14ac:dyDescent="0.3">
      <c r="A119" s="5">
        <v>118</v>
      </c>
      <c r="B119" s="6" t="s">
        <v>65</v>
      </c>
      <c r="C119" s="12" t="s">
        <v>238</v>
      </c>
      <c r="D119" s="6" t="s">
        <v>236</v>
      </c>
      <c r="E119" s="6" t="s">
        <v>12</v>
      </c>
      <c r="F119" s="6" t="s">
        <v>95</v>
      </c>
      <c r="G119" s="6" t="s">
        <v>80</v>
      </c>
      <c r="H119" s="92">
        <v>1</v>
      </c>
      <c r="I119" s="67" t="s">
        <v>160</v>
      </c>
      <c r="J119" s="54">
        <v>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0</v>
      </c>
      <c r="AL119" s="46">
        <v>0</v>
      </c>
      <c r="AM119" s="54">
        <v>0</v>
      </c>
      <c r="AN119" s="46">
        <f t="shared" si="2"/>
        <v>0</v>
      </c>
      <c r="AO119" s="7">
        <f t="shared" si="3"/>
        <v>0</v>
      </c>
    </row>
    <row r="120" spans="1:41" x14ac:dyDescent="0.3">
      <c r="A120" s="5">
        <v>119</v>
      </c>
      <c r="B120" s="6" t="s">
        <v>65</v>
      </c>
      <c r="C120" s="12" t="s">
        <v>235</v>
      </c>
      <c r="D120" s="6" t="s">
        <v>236</v>
      </c>
      <c r="E120" s="6" t="s">
        <v>12</v>
      </c>
      <c r="F120" s="6" t="s">
        <v>121</v>
      </c>
      <c r="G120" s="6" t="s">
        <v>35</v>
      </c>
      <c r="H120" s="92">
        <v>3</v>
      </c>
      <c r="I120" s="67" t="s">
        <v>160</v>
      </c>
      <c r="J120" s="54">
        <v>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54">
        <v>0</v>
      </c>
      <c r="AN120" s="46">
        <f t="shared" si="2"/>
        <v>0</v>
      </c>
      <c r="AO120" s="7">
        <f t="shared" si="3"/>
        <v>0</v>
      </c>
    </row>
    <row r="121" spans="1:41" x14ac:dyDescent="0.3">
      <c r="A121" s="5">
        <v>120</v>
      </c>
      <c r="B121" s="6" t="s">
        <v>65</v>
      </c>
      <c r="C121" s="12" t="s">
        <v>237</v>
      </c>
      <c r="D121" s="6" t="s">
        <v>236</v>
      </c>
      <c r="E121" s="6" t="s">
        <v>12</v>
      </c>
      <c r="F121" s="6" t="s">
        <v>121</v>
      </c>
      <c r="G121" s="6" t="s">
        <v>35</v>
      </c>
      <c r="H121" s="92">
        <v>3</v>
      </c>
      <c r="I121" s="67" t="s">
        <v>160</v>
      </c>
      <c r="J121" s="93">
        <v>7.6080000000000005</v>
      </c>
      <c r="K121" s="10">
        <v>4.3579999999999997</v>
      </c>
      <c r="L121" s="10">
        <v>1.232</v>
      </c>
      <c r="M121" s="10">
        <v>1.696</v>
      </c>
      <c r="N121" s="10">
        <v>13.143000000000001</v>
      </c>
      <c r="O121" s="10">
        <v>12.282999999999999</v>
      </c>
      <c r="P121" s="10">
        <v>19.225999999999999</v>
      </c>
      <c r="Q121" s="10">
        <v>15.343</v>
      </c>
      <c r="R121" s="10">
        <v>10.493</v>
      </c>
      <c r="S121" s="10">
        <v>21.894999999999996</v>
      </c>
      <c r="T121" s="10">
        <v>15.997</v>
      </c>
      <c r="U121" s="10">
        <v>13</v>
      </c>
      <c r="V121" s="10">
        <v>8.0910000000000011</v>
      </c>
      <c r="W121" s="10">
        <v>22.058999999999997</v>
      </c>
      <c r="X121" s="10">
        <v>7.0110000000000001</v>
      </c>
      <c r="Y121" s="10">
        <v>20.535</v>
      </c>
      <c r="Z121" s="10">
        <v>27.225000000000001</v>
      </c>
      <c r="AA121" s="10">
        <v>12.859000000000002</v>
      </c>
      <c r="AB121" s="10">
        <v>13.848000000000001</v>
      </c>
      <c r="AC121" s="10">
        <v>13.385999999999999</v>
      </c>
      <c r="AD121" s="10">
        <v>21.436</v>
      </c>
      <c r="AE121" s="10">
        <v>12.817</v>
      </c>
      <c r="AF121" s="10">
        <v>18.150000000000002</v>
      </c>
      <c r="AG121" s="46">
        <v>0</v>
      </c>
      <c r="AH121" s="10">
        <v>20.192999999999998</v>
      </c>
      <c r="AI121" s="10">
        <v>16.454999999999998</v>
      </c>
      <c r="AJ121" s="10">
        <v>9.7449999999999992</v>
      </c>
      <c r="AK121" s="10">
        <v>12.623999999999999</v>
      </c>
      <c r="AL121" s="10">
        <v>16.133000000000003</v>
      </c>
      <c r="AM121" s="10">
        <v>9.8610000000000007</v>
      </c>
      <c r="AN121" s="46">
        <f t="shared" si="2"/>
        <v>13.709090909090907</v>
      </c>
      <c r="AO121" s="7">
        <f t="shared" si="3"/>
        <v>4.5696969696969694</v>
      </c>
    </row>
    <row r="122" spans="1:41" x14ac:dyDescent="0.3">
      <c r="A122" s="5">
        <v>121</v>
      </c>
      <c r="B122" s="6" t="s">
        <v>65</v>
      </c>
      <c r="C122" s="12" t="s">
        <v>245</v>
      </c>
      <c r="D122" s="6" t="s">
        <v>236</v>
      </c>
      <c r="E122" s="6" t="s">
        <v>12</v>
      </c>
      <c r="F122" s="6" t="s">
        <v>121</v>
      </c>
      <c r="G122" s="6" t="s">
        <v>35</v>
      </c>
      <c r="H122" s="92">
        <v>3</v>
      </c>
      <c r="I122" s="67" t="s">
        <v>160</v>
      </c>
      <c r="J122" s="54">
        <v>0</v>
      </c>
      <c r="K122" s="46">
        <v>0</v>
      </c>
      <c r="L122" s="46">
        <v>0</v>
      </c>
      <c r="M122" s="46">
        <v>0</v>
      </c>
      <c r="N122" s="46">
        <v>0</v>
      </c>
      <c r="O122" s="46">
        <v>0</v>
      </c>
      <c r="P122" s="46">
        <v>0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0</v>
      </c>
      <c r="AK122" s="46">
        <v>0</v>
      </c>
      <c r="AL122" s="46">
        <v>0</v>
      </c>
      <c r="AM122" s="54">
        <v>0</v>
      </c>
      <c r="AN122" s="46">
        <f t="shared" si="2"/>
        <v>0</v>
      </c>
      <c r="AO122" s="7">
        <f t="shared" si="3"/>
        <v>0</v>
      </c>
    </row>
    <row r="123" spans="1:41" x14ac:dyDescent="0.3">
      <c r="A123" s="5">
        <v>122</v>
      </c>
      <c r="B123" s="6" t="s">
        <v>65</v>
      </c>
      <c r="C123" s="12" t="s">
        <v>253</v>
      </c>
      <c r="D123" s="6" t="s">
        <v>236</v>
      </c>
      <c r="E123" s="6" t="s">
        <v>12</v>
      </c>
      <c r="F123" s="6" t="s">
        <v>121</v>
      </c>
      <c r="G123" s="6" t="s">
        <v>35</v>
      </c>
      <c r="H123" s="92">
        <v>3</v>
      </c>
      <c r="I123" s="67" t="s">
        <v>160</v>
      </c>
      <c r="J123" s="54">
        <v>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54">
        <v>0</v>
      </c>
      <c r="AN123" s="46">
        <f t="shared" si="2"/>
        <v>0</v>
      </c>
      <c r="AO123" s="7">
        <f t="shared" si="3"/>
        <v>0</v>
      </c>
    </row>
    <row r="124" spans="1:41" x14ac:dyDescent="0.3">
      <c r="A124" s="5">
        <v>123</v>
      </c>
      <c r="B124" s="6" t="s">
        <v>65</v>
      </c>
      <c r="C124" s="12" t="s">
        <v>261</v>
      </c>
      <c r="D124" s="6" t="s">
        <v>236</v>
      </c>
      <c r="E124" s="6" t="s">
        <v>12</v>
      </c>
      <c r="F124" s="6" t="s">
        <v>121</v>
      </c>
      <c r="G124" s="6" t="s">
        <v>35</v>
      </c>
      <c r="H124" s="92">
        <v>10</v>
      </c>
      <c r="I124" s="67" t="s">
        <v>160</v>
      </c>
      <c r="J124" s="54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54">
        <v>0</v>
      </c>
      <c r="AN124" s="46">
        <f t="shared" si="2"/>
        <v>0</v>
      </c>
      <c r="AO124" s="7">
        <f t="shared" si="3"/>
        <v>0</v>
      </c>
    </row>
    <row r="125" spans="1:41" x14ac:dyDescent="0.3">
      <c r="A125" s="5">
        <v>124</v>
      </c>
      <c r="B125" s="6" t="s">
        <v>65</v>
      </c>
      <c r="C125" s="12" t="s">
        <v>298</v>
      </c>
      <c r="D125" s="6" t="s">
        <v>30</v>
      </c>
      <c r="E125" s="6" t="s">
        <v>12</v>
      </c>
      <c r="F125" s="6" t="s">
        <v>121</v>
      </c>
      <c r="G125" s="6" t="s">
        <v>35</v>
      </c>
      <c r="H125" s="92">
        <v>4</v>
      </c>
      <c r="I125" s="12" t="s">
        <v>590</v>
      </c>
      <c r="J125" s="54">
        <v>0</v>
      </c>
      <c r="K125" s="10">
        <v>1.232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54">
        <v>0</v>
      </c>
      <c r="AN125" s="46">
        <f t="shared" si="2"/>
        <v>0</v>
      </c>
      <c r="AO125" s="7">
        <f t="shared" si="3"/>
        <v>0</v>
      </c>
    </row>
    <row r="126" spans="1:41" x14ac:dyDescent="0.3">
      <c r="A126" s="5">
        <v>125</v>
      </c>
      <c r="B126" s="6" t="s">
        <v>65</v>
      </c>
      <c r="C126" s="12" t="s">
        <v>405</v>
      </c>
      <c r="D126" s="6" t="s">
        <v>128</v>
      </c>
      <c r="E126" s="6" t="s">
        <v>12</v>
      </c>
      <c r="F126" s="6" t="s">
        <v>121</v>
      </c>
      <c r="G126" s="6" t="s">
        <v>35</v>
      </c>
      <c r="H126" s="92">
        <v>15</v>
      </c>
      <c r="I126" s="94" t="s">
        <v>273</v>
      </c>
      <c r="J126" s="93">
        <v>38.626000000000005</v>
      </c>
      <c r="K126" s="10">
        <v>48.071999999999996</v>
      </c>
      <c r="L126" s="10">
        <v>61.023000000000003</v>
      </c>
      <c r="M126" s="10">
        <v>47.850999999999999</v>
      </c>
      <c r="N126" s="10">
        <v>49.228000000000002</v>
      </c>
      <c r="O126" s="10">
        <v>56.357999999999997</v>
      </c>
      <c r="P126" s="10">
        <v>46.908000000000001</v>
      </c>
      <c r="Q126" s="10">
        <v>45.295000000000002</v>
      </c>
      <c r="R126" s="10">
        <v>57.080999999999996</v>
      </c>
      <c r="S126" s="10">
        <v>49.733999999999995</v>
      </c>
      <c r="T126" s="10">
        <v>71.516000000000005</v>
      </c>
      <c r="U126" s="10">
        <v>62.125</v>
      </c>
      <c r="V126" s="10">
        <v>60.42499999999999</v>
      </c>
      <c r="W126" s="10">
        <v>79.338999999999999</v>
      </c>
      <c r="X126" s="10">
        <v>71.98599999999999</v>
      </c>
      <c r="Y126" s="10">
        <v>72.86</v>
      </c>
      <c r="Z126" s="10">
        <v>61.669000000000004</v>
      </c>
      <c r="AA126" s="10">
        <v>67.878</v>
      </c>
      <c r="AB126" s="10">
        <v>64.108000000000004</v>
      </c>
      <c r="AC126" s="10">
        <v>57.652000000000015</v>
      </c>
      <c r="AD126" s="10">
        <v>60.610999999999997</v>
      </c>
      <c r="AE126" s="10">
        <v>59.42</v>
      </c>
      <c r="AF126" s="10">
        <v>63.112000000000009</v>
      </c>
      <c r="AG126" s="10">
        <v>63.64</v>
      </c>
      <c r="AH126" s="10">
        <v>77.870999999999995</v>
      </c>
      <c r="AI126" s="10">
        <v>54.79</v>
      </c>
      <c r="AJ126" s="10">
        <v>45.763999999999996</v>
      </c>
      <c r="AK126" s="10">
        <v>63.294999999999995</v>
      </c>
      <c r="AL126" s="10">
        <v>43.617999999999995</v>
      </c>
      <c r="AM126" s="10">
        <v>59.287999999999997</v>
      </c>
      <c r="AN126" s="46">
        <f t="shared" si="2"/>
        <v>59.005545454545448</v>
      </c>
      <c r="AO126" s="7">
        <f t="shared" si="3"/>
        <v>3.9337030303030298</v>
      </c>
    </row>
    <row r="127" spans="1:41" x14ac:dyDescent="0.3">
      <c r="A127" s="5">
        <v>126</v>
      </c>
      <c r="B127" s="6" t="s">
        <v>65</v>
      </c>
      <c r="C127" s="12" t="s">
        <v>406</v>
      </c>
      <c r="D127" s="6" t="s">
        <v>407</v>
      </c>
      <c r="E127" s="6" t="s">
        <v>19</v>
      </c>
      <c r="F127" s="6" t="s">
        <v>121</v>
      </c>
      <c r="G127" s="6" t="s">
        <v>35</v>
      </c>
      <c r="H127" s="92">
        <v>2</v>
      </c>
      <c r="I127" s="12" t="s">
        <v>590</v>
      </c>
      <c r="J127" s="54">
        <v>0</v>
      </c>
      <c r="K127" s="46">
        <v>0</v>
      </c>
      <c r="L127" s="46">
        <v>0</v>
      </c>
      <c r="M127" s="10">
        <v>13.123000000000001</v>
      </c>
      <c r="N127" s="10">
        <v>7.3490000000000002</v>
      </c>
      <c r="O127" s="10">
        <v>6.8419999999999996</v>
      </c>
      <c r="P127" s="46">
        <v>0</v>
      </c>
      <c r="Q127" s="46">
        <v>0</v>
      </c>
      <c r="R127" s="46">
        <v>0</v>
      </c>
      <c r="S127" s="46">
        <v>0</v>
      </c>
      <c r="T127" s="10">
        <v>18.942</v>
      </c>
      <c r="U127" s="10">
        <v>5.8559999999999999</v>
      </c>
      <c r="V127" s="10">
        <v>1.089</v>
      </c>
      <c r="W127" s="10">
        <v>5.7590000000000003</v>
      </c>
      <c r="X127" s="46">
        <v>0</v>
      </c>
      <c r="Y127" s="46">
        <v>0</v>
      </c>
      <c r="Z127" s="46">
        <v>0</v>
      </c>
      <c r="AA127" s="46">
        <v>0</v>
      </c>
      <c r="AB127" s="10">
        <v>5.5289999999999999</v>
      </c>
      <c r="AC127" s="46">
        <v>0</v>
      </c>
      <c r="AD127" s="10">
        <v>11.73</v>
      </c>
      <c r="AE127" s="10">
        <v>4.4820000000000002</v>
      </c>
      <c r="AF127" s="46">
        <v>0</v>
      </c>
      <c r="AG127" s="46">
        <v>0</v>
      </c>
      <c r="AH127" s="10">
        <v>9.9</v>
      </c>
      <c r="AI127" s="46">
        <v>0</v>
      </c>
      <c r="AJ127" s="10">
        <v>7.8719999999999999</v>
      </c>
      <c r="AK127" s="10">
        <v>9.5739999999999998</v>
      </c>
      <c r="AL127" s="10">
        <v>6.8479999999999999</v>
      </c>
      <c r="AM127" s="54">
        <v>0</v>
      </c>
      <c r="AN127" s="46">
        <f t="shared" si="2"/>
        <v>4.5823636363636364</v>
      </c>
      <c r="AO127" s="7">
        <f t="shared" si="3"/>
        <v>2.2911818181818182</v>
      </c>
    </row>
    <row r="128" spans="1:41" x14ac:dyDescent="0.3">
      <c r="A128" s="5">
        <v>127</v>
      </c>
      <c r="B128" s="6" t="s">
        <v>65</v>
      </c>
      <c r="C128" s="12" t="s">
        <v>431</v>
      </c>
      <c r="D128" s="6" t="s">
        <v>432</v>
      </c>
      <c r="E128" s="6" t="s">
        <v>19</v>
      </c>
      <c r="F128" s="6" t="s">
        <v>121</v>
      </c>
      <c r="G128" s="6" t="s">
        <v>35</v>
      </c>
      <c r="H128" s="92">
        <v>2</v>
      </c>
      <c r="I128" s="12" t="s">
        <v>590</v>
      </c>
      <c r="J128" s="54">
        <v>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10">
        <v>14.012</v>
      </c>
      <c r="V128" s="10">
        <v>13.662000000000001</v>
      </c>
      <c r="W128" s="10">
        <v>7.5460000000000003</v>
      </c>
      <c r="X128" s="46">
        <v>0</v>
      </c>
      <c r="Y128" s="46">
        <v>0</v>
      </c>
      <c r="Z128" s="46">
        <v>0</v>
      </c>
      <c r="AA128" s="46">
        <v>0</v>
      </c>
      <c r="AB128" s="10">
        <v>13.609</v>
      </c>
      <c r="AC128" s="10">
        <v>7.1310000000000002</v>
      </c>
      <c r="AD128" s="46">
        <v>0</v>
      </c>
      <c r="AE128" s="10">
        <v>14.425000000000001</v>
      </c>
      <c r="AF128" s="46">
        <v>0</v>
      </c>
      <c r="AG128" s="46">
        <v>0</v>
      </c>
      <c r="AH128" s="10">
        <v>6.101</v>
      </c>
      <c r="AI128" s="46">
        <v>0</v>
      </c>
      <c r="AJ128" s="46">
        <v>0</v>
      </c>
      <c r="AK128" s="46">
        <v>0</v>
      </c>
      <c r="AL128" s="10">
        <v>17.801000000000002</v>
      </c>
      <c r="AM128" s="54">
        <v>0</v>
      </c>
      <c r="AN128" s="46">
        <f t="shared" si="2"/>
        <v>4.1325454545454541</v>
      </c>
      <c r="AO128" s="7">
        <f t="shared" si="3"/>
        <v>2.066272727272727</v>
      </c>
    </row>
    <row r="129" spans="1:41" x14ac:dyDescent="0.3">
      <c r="A129" s="5">
        <v>128</v>
      </c>
      <c r="B129" s="6" t="s">
        <v>65</v>
      </c>
      <c r="C129" s="12" t="s">
        <v>435</v>
      </c>
      <c r="D129" s="6" t="s">
        <v>407</v>
      </c>
      <c r="E129" s="6" t="s">
        <v>19</v>
      </c>
      <c r="F129" s="6" t="s">
        <v>121</v>
      </c>
      <c r="G129" s="6" t="s">
        <v>35</v>
      </c>
      <c r="H129" s="92">
        <v>1</v>
      </c>
      <c r="I129" s="12" t="s">
        <v>590</v>
      </c>
      <c r="J129" s="54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54">
        <v>0</v>
      </c>
      <c r="AN129" s="46">
        <f t="shared" si="2"/>
        <v>0</v>
      </c>
      <c r="AO129" s="7">
        <f t="shared" si="3"/>
        <v>0</v>
      </c>
    </row>
    <row r="130" spans="1:41" x14ac:dyDescent="0.3">
      <c r="A130" s="5">
        <v>129</v>
      </c>
      <c r="B130" s="6" t="s">
        <v>65</v>
      </c>
      <c r="C130" s="12" t="s">
        <v>458</v>
      </c>
      <c r="D130" s="6" t="s">
        <v>432</v>
      </c>
      <c r="E130" s="6" t="s">
        <v>19</v>
      </c>
      <c r="F130" s="6" t="s">
        <v>121</v>
      </c>
      <c r="G130" s="6" t="s">
        <v>35</v>
      </c>
      <c r="H130" s="92">
        <v>2</v>
      </c>
      <c r="I130" s="12" t="s">
        <v>590</v>
      </c>
      <c r="J130" s="93">
        <v>3.0449999999999999</v>
      </c>
      <c r="K130" s="46">
        <v>0</v>
      </c>
      <c r="L130" s="46">
        <v>0</v>
      </c>
      <c r="M130" s="46">
        <v>0</v>
      </c>
      <c r="N130" s="10">
        <v>1.9219999999999999</v>
      </c>
      <c r="O130" s="10">
        <v>9.5849999999999991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10">
        <v>1E-3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54">
        <v>0</v>
      </c>
      <c r="AN130" s="46">
        <f t="shared" si="2"/>
        <v>0</v>
      </c>
      <c r="AO130" s="7">
        <f t="shared" si="3"/>
        <v>0</v>
      </c>
    </row>
    <row r="131" spans="1:41" x14ac:dyDescent="0.3">
      <c r="A131" s="5">
        <v>130</v>
      </c>
      <c r="B131" s="6" t="s">
        <v>65</v>
      </c>
      <c r="C131" s="12" t="s">
        <v>520</v>
      </c>
      <c r="D131" s="6" t="s">
        <v>521</v>
      </c>
      <c r="E131" s="6" t="s">
        <v>19</v>
      </c>
      <c r="F131" s="6" t="s">
        <v>121</v>
      </c>
      <c r="G131" s="6" t="s">
        <v>35</v>
      </c>
      <c r="H131" s="92">
        <v>1</v>
      </c>
      <c r="I131" s="12" t="s">
        <v>590</v>
      </c>
      <c r="J131" s="54">
        <v>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0</v>
      </c>
      <c r="AL131" s="46">
        <v>0</v>
      </c>
      <c r="AM131" s="54">
        <v>0</v>
      </c>
      <c r="AN131" s="46">
        <f t="shared" ref="AN131:AN140" si="4">AVERAGE(AC131:AM131)</f>
        <v>0</v>
      </c>
      <c r="AO131" s="7">
        <f t="shared" ref="AO131:AO141" si="5">AN131/H131</f>
        <v>0</v>
      </c>
    </row>
    <row r="132" spans="1:41" x14ac:dyDescent="0.3">
      <c r="A132" s="5">
        <v>131</v>
      </c>
      <c r="B132" s="6" t="s">
        <v>65</v>
      </c>
      <c r="C132" s="12" t="s">
        <v>555</v>
      </c>
      <c r="D132" s="6" t="s">
        <v>128</v>
      </c>
      <c r="E132" s="6" t="s">
        <v>12</v>
      </c>
      <c r="F132" s="6" t="s">
        <v>121</v>
      </c>
      <c r="G132" s="6" t="s">
        <v>35</v>
      </c>
      <c r="H132" s="92">
        <v>15</v>
      </c>
      <c r="I132" s="94" t="s">
        <v>273</v>
      </c>
      <c r="J132" s="54"/>
      <c r="K132" s="46"/>
      <c r="L132" s="46"/>
      <c r="M132" s="46"/>
      <c r="N132" s="46"/>
      <c r="O132" s="46"/>
      <c r="P132" s="46"/>
      <c r="Q132" s="46"/>
      <c r="R132" s="46"/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54">
        <v>0</v>
      </c>
      <c r="AN132" s="46">
        <f t="shared" si="4"/>
        <v>0</v>
      </c>
      <c r="AO132" s="7">
        <f t="shared" si="5"/>
        <v>0</v>
      </c>
    </row>
    <row r="133" spans="1:41" x14ac:dyDescent="0.3">
      <c r="A133" s="5">
        <v>132</v>
      </c>
      <c r="B133" s="6" t="s">
        <v>65</v>
      </c>
      <c r="C133" s="39" t="s">
        <v>115</v>
      </c>
      <c r="D133" s="6" t="s">
        <v>113</v>
      </c>
      <c r="E133" s="6" t="s">
        <v>19</v>
      </c>
      <c r="F133" s="6" t="s">
        <v>116</v>
      </c>
      <c r="G133" s="6" t="s">
        <v>80</v>
      </c>
      <c r="H133" s="92">
        <v>1</v>
      </c>
      <c r="I133" s="67" t="s">
        <v>160</v>
      </c>
      <c r="J133" s="54">
        <v>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54">
        <v>0</v>
      </c>
      <c r="AN133" s="46">
        <f t="shared" si="4"/>
        <v>0</v>
      </c>
      <c r="AO133" s="7">
        <f t="shared" si="5"/>
        <v>0</v>
      </c>
    </row>
    <row r="134" spans="1:41" x14ac:dyDescent="0.3">
      <c r="A134" s="5">
        <v>133</v>
      </c>
      <c r="B134" s="6" t="s">
        <v>65</v>
      </c>
      <c r="C134" s="39" t="s">
        <v>117</v>
      </c>
      <c r="D134" s="6" t="s">
        <v>113</v>
      </c>
      <c r="E134" s="6" t="s">
        <v>19</v>
      </c>
      <c r="F134" s="6" t="s">
        <v>116</v>
      </c>
      <c r="G134" s="6" t="s">
        <v>80</v>
      </c>
      <c r="H134" s="92">
        <v>1</v>
      </c>
      <c r="I134" s="67" t="s">
        <v>160</v>
      </c>
      <c r="J134" s="54">
        <v>0</v>
      </c>
      <c r="K134" s="46">
        <v>0</v>
      </c>
      <c r="L134" s="46">
        <v>0</v>
      </c>
      <c r="M134" s="46">
        <v>0</v>
      </c>
      <c r="N134" s="46">
        <v>0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0</v>
      </c>
      <c r="AL134" s="46">
        <v>0</v>
      </c>
      <c r="AM134" s="54">
        <v>0</v>
      </c>
      <c r="AN134" s="46">
        <f t="shared" si="4"/>
        <v>0</v>
      </c>
      <c r="AO134" s="7">
        <f t="shared" si="5"/>
        <v>0</v>
      </c>
    </row>
    <row r="135" spans="1:41" x14ac:dyDescent="0.3">
      <c r="A135" s="5">
        <v>134</v>
      </c>
      <c r="B135" s="6" t="s">
        <v>65</v>
      </c>
      <c r="C135" s="6" t="s">
        <v>66</v>
      </c>
      <c r="D135" s="6" t="s">
        <v>67</v>
      </c>
      <c r="E135" s="6" t="s">
        <v>12</v>
      </c>
      <c r="F135" s="6" t="s">
        <v>13</v>
      </c>
      <c r="G135" s="6" t="s">
        <v>14</v>
      </c>
      <c r="H135" s="92">
        <v>87</v>
      </c>
      <c r="I135" s="67" t="s">
        <v>160</v>
      </c>
      <c r="J135" s="54">
        <v>0</v>
      </c>
      <c r="K135" s="46">
        <v>0</v>
      </c>
      <c r="L135" s="46">
        <v>0</v>
      </c>
      <c r="M135" s="46">
        <v>0</v>
      </c>
      <c r="N135" s="46">
        <v>0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0</v>
      </c>
      <c r="AL135" s="46">
        <v>0</v>
      </c>
      <c r="AM135" s="54">
        <v>0</v>
      </c>
      <c r="AN135" s="46">
        <f t="shared" si="4"/>
        <v>0</v>
      </c>
      <c r="AO135" s="7">
        <f t="shared" si="5"/>
        <v>0</v>
      </c>
    </row>
    <row r="136" spans="1:41" x14ac:dyDescent="0.3">
      <c r="A136" s="5">
        <v>135</v>
      </c>
      <c r="B136" s="6" t="s">
        <v>65</v>
      </c>
      <c r="C136" s="6" t="s">
        <v>70</v>
      </c>
      <c r="D136" s="6"/>
      <c r="E136" s="6" t="s">
        <v>12</v>
      </c>
      <c r="F136" s="6" t="s">
        <v>13</v>
      </c>
      <c r="G136" s="6" t="s">
        <v>14</v>
      </c>
      <c r="H136" s="92">
        <v>82</v>
      </c>
      <c r="I136" s="67" t="s">
        <v>160</v>
      </c>
      <c r="J136" s="54">
        <v>0</v>
      </c>
      <c r="K136" s="46">
        <v>0</v>
      </c>
      <c r="L136" s="46">
        <v>0</v>
      </c>
      <c r="M136" s="46">
        <v>0</v>
      </c>
      <c r="N136" s="46">
        <v>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0</v>
      </c>
      <c r="AM136" s="54">
        <v>0</v>
      </c>
      <c r="AN136" s="46">
        <f t="shared" si="4"/>
        <v>0</v>
      </c>
      <c r="AO136" s="7">
        <f t="shared" si="5"/>
        <v>0</v>
      </c>
    </row>
    <row r="137" spans="1:41" x14ac:dyDescent="0.3">
      <c r="A137" s="5">
        <v>136</v>
      </c>
      <c r="B137" s="6" t="s">
        <v>65</v>
      </c>
      <c r="C137" s="6" t="s">
        <v>74</v>
      </c>
      <c r="D137" s="6" t="s">
        <v>30</v>
      </c>
      <c r="E137" s="6" t="s">
        <v>19</v>
      </c>
      <c r="F137" s="6" t="s">
        <v>13</v>
      </c>
      <c r="G137" s="6" t="s">
        <v>14</v>
      </c>
      <c r="H137" s="92">
        <v>2</v>
      </c>
      <c r="I137" s="67" t="s">
        <v>160</v>
      </c>
      <c r="J137" s="54">
        <v>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54">
        <v>0</v>
      </c>
      <c r="AN137" s="46">
        <f t="shared" si="4"/>
        <v>0</v>
      </c>
      <c r="AO137" s="7">
        <f t="shared" si="5"/>
        <v>0</v>
      </c>
    </row>
    <row r="138" spans="1:41" x14ac:dyDescent="0.3">
      <c r="A138" s="5">
        <v>137</v>
      </c>
      <c r="B138" s="6" t="s">
        <v>65</v>
      </c>
      <c r="C138" s="39" t="s">
        <v>122</v>
      </c>
      <c r="D138" s="6" t="s">
        <v>30</v>
      </c>
      <c r="E138" s="6" t="s">
        <v>19</v>
      </c>
      <c r="F138" s="6" t="s">
        <v>13</v>
      </c>
      <c r="G138" s="6" t="s">
        <v>14</v>
      </c>
      <c r="H138" s="92">
        <v>3</v>
      </c>
      <c r="I138" s="67" t="s">
        <v>160</v>
      </c>
      <c r="J138" s="54">
        <v>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54">
        <v>0</v>
      </c>
      <c r="AN138" s="46">
        <f t="shared" si="4"/>
        <v>0</v>
      </c>
      <c r="AO138" s="7">
        <f t="shared" si="5"/>
        <v>0</v>
      </c>
    </row>
    <row r="139" spans="1:41" x14ac:dyDescent="0.3">
      <c r="A139" s="5">
        <v>138</v>
      </c>
      <c r="B139" s="6" t="s">
        <v>572</v>
      </c>
      <c r="C139" s="39" t="s">
        <v>570</v>
      </c>
      <c r="D139" s="6" t="s">
        <v>61</v>
      </c>
      <c r="E139" s="6" t="s">
        <v>12</v>
      </c>
      <c r="F139" s="6" t="s">
        <v>121</v>
      </c>
      <c r="G139" s="6" t="s">
        <v>35</v>
      </c>
      <c r="H139" s="92">
        <v>7</v>
      </c>
      <c r="I139" s="12" t="s">
        <v>160</v>
      </c>
      <c r="J139" s="54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54">
        <v>0</v>
      </c>
      <c r="AN139" s="46">
        <f t="shared" si="4"/>
        <v>0</v>
      </c>
      <c r="AO139" s="7">
        <f t="shared" si="5"/>
        <v>0</v>
      </c>
    </row>
    <row r="140" spans="1:41" x14ac:dyDescent="0.3">
      <c r="A140" s="5">
        <v>139</v>
      </c>
      <c r="B140" s="6" t="s">
        <v>572</v>
      </c>
      <c r="C140" s="39" t="s">
        <v>571</v>
      </c>
      <c r="D140" s="6" t="s">
        <v>61</v>
      </c>
      <c r="E140" s="6"/>
      <c r="F140" s="6"/>
      <c r="G140" s="6"/>
      <c r="H140" s="92">
        <v>12</v>
      </c>
      <c r="I140" s="12" t="s">
        <v>160</v>
      </c>
      <c r="J140" s="54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0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0</v>
      </c>
      <c r="AL140" s="46">
        <v>0</v>
      </c>
      <c r="AM140" s="54">
        <v>0</v>
      </c>
      <c r="AN140" s="46">
        <f t="shared" si="4"/>
        <v>0</v>
      </c>
      <c r="AO140" s="7">
        <f t="shared" si="5"/>
        <v>0</v>
      </c>
    </row>
    <row r="141" spans="1:41" x14ac:dyDescent="0.3">
      <c r="G141" s="89" t="s">
        <v>79</v>
      </c>
      <c r="H141" s="90">
        <f>SUM(H2:H138)</f>
        <v>870</v>
      </c>
      <c r="I141" s="90"/>
      <c r="J141" s="91">
        <f t="shared" ref="J141:AM141" si="6">SUM(J2:J138)</f>
        <v>3715.5899999999997</v>
      </c>
      <c r="K141" s="91">
        <f t="shared" si="6"/>
        <v>4380.1160000000018</v>
      </c>
      <c r="L141" s="91">
        <f t="shared" si="6"/>
        <v>4963.2800000000007</v>
      </c>
      <c r="M141" s="91">
        <f t="shared" si="6"/>
        <v>5394.3689999999997</v>
      </c>
      <c r="N141" s="91">
        <f t="shared" si="6"/>
        <v>5937.3339999999998</v>
      </c>
      <c r="O141" s="91">
        <f t="shared" si="6"/>
        <v>6240.0690000000004</v>
      </c>
      <c r="P141" s="91">
        <f t="shared" si="6"/>
        <v>6202.6609999999991</v>
      </c>
      <c r="Q141" s="91">
        <f t="shared" si="6"/>
        <v>6038.0619999999981</v>
      </c>
      <c r="R141" s="91">
        <f t="shared" si="6"/>
        <v>5811.7040000000006</v>
      </c>
      <c r="S141" s="91">
        <f t="shared" si="6"/>
        <v>5440.6889999999994</v>
      </c>
      <c r="T141" s="91">
        <f t="shared" si="6"/>
        <v>5221.1959999999999</v>
      </c>
      <c r="U141" s="91">
        <f t="shared" si="6"/>
        <v>6262.0379999999996</v>
      </c>
      <c r="V141" s="91">
        <f t="shared" si="6"/>
        <v>6099.7699999999995</v>
      </c>
      <c r="W141" s="91">
        <f t="shared" si="6"/>
        <v>6497.192</v>
      </c>
      <c r="X141" s="91">
        <f t="shared" si="6"/>
        <v>6459.8830000000007</v>
      </c>
      <c r="Y141" s="91">
        <f t="shared" si="6"/>
        <v>5851.3239999999996</v>
      </c>
      <c r="Z141" s="91">
        <f t="shared" si="6"/>
        <v>5501.7309999999998</v>
      </c>
      <c r="AA141" s="91">
        <f t="shared" si="6"/>
        <v>5748.8350000000009</v>
      </c>
      <c r="AB141" s="91">
        <f t="shared" si="6"/>
        <v>5990.2029999999995</v>
      </c>
      <c r="AC141" s="91">
        <f t="shared" si="6"/>
        <v>5866.7760000000017</v>
      </c>
      <c r="AD141" s="91">
        <f t="shared" si="6"/>
        <v>5617.7709999999988</v>
      </c>
      <c r="AE141" s="91">
        <f t="shared" si="6"/>
        <v>6251.5529999999999</v>
      </c>
      <c r="AF141" s="91">
        <f t="shared" si="6"/>
        <v>5890.0249999999978</v>
      </c>
      <c r="AG141" s="91">
        <f t="shared" si="6"/>
        <v>5414.1169999999993</v>
      </c>
      <c r="AH141" s="91">
        <f t="shared" si="6"/>
        <v>5614.5499999999993</v>
      </c>
      <c r="AI141" s="91">
        <f t="shared" si="6"/>
        <v>6017.2349999999997</v>
      </c>
      <c r="AJ141" s="91">
        <f t="shared" si="6"/>
        <v>6544.97</v>
      </c>
      <c r="AK141" s="91">
        <f t="shared" si="6"/>
        <v>6499.3570000000009</v>
      </c>
      <c r="AL141" s="91">
        <f t="shared" si="6"/>
        <v>6514.1410000000005</v>
      </c>
      <c r="AM141" s="91">
        <f t="shared" si="6"/>
        <v>6297.0430000000006</v>
      </c>
      <c r="AN141" s="46">
        <f>AVERAGE(AC141:AM141)</f>
        <v>6047.9579999999996</v>
      </c>
      <c r="AO141" s="7">
        <f t="shared" si="5"/>
        <v>6.9516758620689654</v>
      </c>
    </row>
    <row r="142" spans="1:41" x14ac:dyDescent="0.3">
      <c r="AJ142" s="81"/>
      <c r="AN142" s="50"/>
    </row>
    <row r="145" spans="22:31" x14ac:dyDescent="0.3">
      <c r="AB145" s="88"/>
    </row>
    <row r="146" spans="22:31" x14ac:dyDescent="0.3">
      <c r="V146" s="88"/>
    </row>
    <row r="147" spans="22:31" x14ac:dyDescent="0.3">
      <c r="AA147" s="88"/>
      <c r="AD147" s="88"/>
      <c r="AE147" s="88"/>
    </row>
  </sheetData>
  <autoFilter ref="A1:I141" xr:uid="{00000000-0009-0000-0000-000030000000}"/>
  <pageMargins left="0.7" right="0.7" top="0.75" bottom="0.75" header="0.3" footer="0.3"/>
  <pageSetup scale="1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3:Y34"/>
  <sheetViews>
    <sheetView topLeftCell="A25" workbookViewId="0">
      <selection activeCell="L32" sqref="L32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9.44140625" bestFit="1" customWidth="1"/>
    <col min="4" max="4" width="10.88671875" bestFit="1" customWidth="1"/>
    <col min="5" max="5" width="9" customWidth="1"/>
    <col min="6" max="6" width="9.77734375" bestFit="1" customWidth="1"/>
    <col min="7" max="7" width="7" bestFit="1" customWidth="1"/>
    <col min="8" max="8" width="10.21875" bestFit="1" customWidth="1"/>
    <col min="9" max="9" width="6.21875" bestFit="1" customWidth="1"/>
    <col min="10" max="11" width="8.6640625" bestFit="1" customWidth="1"/>
    <col min="12" max="12" width="7.21875" bestFit="1" customWidth="1"/>
    <col min="13" max="13" width="6" bestFit="1" customWidth="1"/>
    <col min="14" max="14" width="12.44140625" bestFit="1" customWidth="1"/>
    <col min="15" max="15" width="10.77734375" bestFit="1" customWidth="1"/>
    <col min="16" max="16" width="14.21875" bestFit="1" customWidth="1"/>
    <col min="17" max="17" width="9" bestFit="1" customWidth="1"/>
    <col min="18" max="18" width="7.6640625" bestFit="1" customWidth="1"/>
    <col min="19" max="19" width="7.33203125" bestFit="1" customWidth="1"/>
    <col min="20" max="20" width="9" bestFit="1" customWidth="1"/>
    <col min="21" max="21" width="7.88671875" bestFit="1" customWidth="1"/>
    <col min="22" max="22" width="5.88671875" bestFit="1" customWidth="1"/>
    <col min="23" max="23" width="6.33203125" bestFit="1" customWidth="1"/>
    <col min="24" max="24" width="8.33203125" bestFit="1" customWidth="1"/>
    <col min="25" max="25" width="10.77734375" bestFit="1" customWidth="1"/>
    <col min="26" max="48" width="19.33203125" bestFit="1" customWidth="1"/>
    <col min="49" max="50" width="22.33203125" bestFit="1" customWidth="1"/>
    <col min="51" max="51" width="24.33203125" bestFit="1" customWidth="1"/>
  </cols>
  <sheetData>
    <row r="3" spans="1:25" x14ac:dyDescent="0.3">
      <c r="B3" s="29" t="s">
        <v>144</v>
      </c>
    </row>
    <row r="4" spans="1:25" x14ac:dyDescent="0.3">
      <c r="A4" s="29" t="s">
        <v>131</v>
      </c>
      <c r="B4" t="s">
        <v>175</v>
      </c>
      <c r="C4" t="s">
        <v>58</v>
      </c>
      <c r="D4" t="s">
        <v>476</v>
      </c>
      <c r="E4" t="s">
        <v>65</v>
      </c>
      <c r="F4" t="s">
        <v>222</v>
      </c>
      <c r="G4" t="s">
        <v>134</v>
      </c>
      <c r="H4" t="s">
        <v>9</v>
      </c>
      <c r="I4" t="s">
        <v>536</v>
      </c>
      <c r="J4" t="s">
        <v>55</v>
      </c>
      <c r="K4" t="s">
        <v>499</v>
      </c>
      <c r="L4" t="s">
        <v>119</v>
      </c>
      <c r="M4" t="s">
        <v>221</v>
      </c>
      <c r="N4" t="s">
        <v>246</v>
      </c>
      <c r="O4" t="s">
        <v>49</v>
      </c>
      <c r="P4" t="s">
        <v>52</v>
      </c>
      <c r="Q4" t="s">
        <v>498</v>
      </c>
      <c r="R4" t="s">
        <v>560</v>
      </c>
      <c r="S4" t="s">
        <v>563</v>
      </c>
      <c r="T4" t="s">
        <v>565</v>
      </c>
      <c r="U4" t="s">
        <v>569</v>
      </c>
      <c r="V4" t="s">
        <v>572</v>
      </c>
      <c r="W4" t="s">
        <v>578</v>
      </c>
      <c r="X4" t="s">
        <v>576</v>
      </c>
      <c r="Y4" t="s">
        <v>83</v>
      </c>
    </row>
    <row r="5" spans="1:25" x14ac:dyDescent="0.3">
      <c r="A5" s="26" t="s">
        <v>545</v>
      </c>
      <c r="B5" s="136">
        <v>0</v>
      </c>
      <c r="C5" s="136">
        <v>234.34000000000006</v>
      </c>
      <c r="D5" s="136">
        <v>0</v>
      </c>
      <c r="E5" s="136">
        <v>555.55599999999993</v>
      </c>
      <c r="F5" s="136">
        <v>0</v>
      </c>
      <c r="G5" s="136">
        <v>33.792000000000002</v>
      </c>
      <c r="H5" s="136">
        <v>2467.5750000000003</v>
      </c>
      <c r="I5" s="136">
        <v>0</v>
      </c>
      <c r="J5" s="136">
        <v>198.98499999999996</v>
      </c>
      <c r="K5" s="136">
        <v>0</v>
      </c>
      <c r="L5" s="136">
        <v>0</v>
      </c>
      <c r="M5" s="136">
        <v>7.8E-2</v>
      </c>
      <c r="N5" s="136">
        <v>23.132999999999999</v>
      </c>
      <c r="O5" s="136">
        <v>97.065000000000026</v>
      </c>
      <c r="P5" s="136">
        <v>105.066</v>
      </c>
      <c r="Q5" s="136">
        <v>0</v>
      </c>
      <c r="R5" s="136"/>
      <c r="S5" s="136"/>
      <c r="T5" s="136"/>
      <c r="U5" s="136"/>
      <c r="V5" s="136"/>
      <c r="W5" s="136"/>
      <c r="X5" s="136"/>
      <c r="Y5" s="136">
        <v>3715.59</v>
      </c>
    </row>
    <row r="6" spans="1:25" x14ac:dyDescent="0.3">
      <c r="A6" s="26" t="s">
        <v>546</v>
      </c>
      <c r="B6" s="136">
        <v>57.981000000000002</v>
      </c>
      <c r="C6" s="136">
        <v>395.73899999999992</v>
      </c>
      <c r="D6" s="136">
        <v>0</v>
      </c>
      <c r="E6" s="136">
        <v>674.75299999999993</v>
      </c>
      <c r="F6" s="136">
        <v>0</v>
      </c>
      <c r="G6" s="136">
        <v>67.42</v>
      </c>
      <c r="H6" s="136">
        <v>2383.5229999999997</v>
      </c>
      <c r="I6" s="136">
        <v>0</v>
      </c>
      <c r="J6" s="136">
        <v>610.73600000000022</v>
      </c>
      <c r="K6" s="136">
        <v>0</v>
      </c>
      <c r="L6" s="136">
        <v>0</v>
      </c>
      <c r="M6" s="136">
        <v>3.9E-2</v>
      </c>
      <c r="N6" s="136">
        <v>35.357999999999997</v>
      </c>
      <c r="O6" s="136">
        <v>77.873999999999995</v>
      </c>
      <c r="P6" s="136">
        <v>76.692999999999998</v>
      </c>
      <c r="Q6" s="136">
        <v>0</v>
      </c>
      <c r="R6" s="136"/>
      <c r="S6" s="136"/>
      <c r="T6" s="136"/>
      <c r="U6" s="136"/>
      <c r="V6" s="136"/>
      <c r="W6" s="136"/>
      <c r="X6" s="136"/>
      <c r="Y6" s="136">
        <v>4380.116</v>
      </c>
    </row>
    <row r="7" spans="1:25" x14ac:dyDescent="0.3">
      <c r="A7" s="26" t="s">
        <v>547</v>
      </c>
      <c r="B7" s="136">
        <v>88.330000000000013</v>
      </c>
      <c r="C7" s="136">
        <v>509.67400000000004</v>
      </c>
      <c r="D7" s="136">
        <v>0</v>
      </c>
      <c r="E7" s="136">
        <v>735.29300000000001</v>
      </c>
      <c r="F7" s="136">
        <v>0</v>
      </c>
      <c r="G7" s="136">
        <v>43.146999999999998</v>
      </c>
      <c r="H7" s="136">
        <v>2708.5570000000007</v>
      </c>
      <c r="I7" s="136">
        <v>0</v>
      </c>
      <c r="J7" s="136">
        <v>618.49800000000005</v>
      </c>
      <c r="K7" s="136">
        <v>0</v>
      </c>
      <c r="L7" s="136">
        <v>24.835999999999999</v>
      </c>
      <c r="M7" s="136">
        <v>0</v>
      </c>
      <c r="N7" s="136">
        <v>31.808</v>
      </c>
      <c r="O7" s="136">
        <v>100.97</v>
      </c>
      <c r="P7" s="136">
        <v>102.16699999999999</v>
      </c>
      <c r="Q7" s="136">
        <v>0</v>
      </c>
      <c r="R7" s="136"/>
      <c r="S7" s="136"/>
      <c r="T7" s="136"/>
      <c r="U7" s="136"/>
      <c r="V7" s="136"/>
      <c r="W7" s="136"/>
      <c r="X7" s="136"/>
      <c r="Y7" s="136">
        <v>4963.2800000000016</v>
      </c>
    </row>
    <row r="8" spans="1:25" x14ac:dyDescent="0.3">
      <c r="A8" s="26" t="s">
        <v>548</v>
      </c>
      <c r="B8" s="136">
        <v>57.144999999999996</v>
      </c>
      <c r="C8" s="136">
        <v>629.39900000000011</v>
      </c>
      <c r="D8" s="136">
        <v>0</v>
      </c>
      <c r="E8" s="136">
        <v>875.59600000000012</v>
      </c>
      <c r="F8" s="136">
        <v>0</v>
      </c>
      <c r="G8" s="136">
        <v>31.066000000000003</v>
      </c>
      <c r="H8" s="136">
        <v>3195.7599999999998</v>
      </c>
      <c r="I8" s="136">
        <v>0</v>
      </c>
      <c r="J8" s="136">
        <v>329.03999999999996</v>
      </c>
      <c r="K8" s="136">
        <v>0</v>
      </c>
      <c r="L8" s="136">
        <v>33.174000000000007</v>
      </c>
      <c r="M8" s="136">
        <v>0</v>
      </c>
      <c r="N8" s="136">
        <v>19.542999999999999</v>
      </c>
      <c r="O8" s="136">
        <v>93.120999999999995</v>
      </c>
      <c r="P8" s="136">
        <v>130.52499999999998</v>
      </c>
      <c r="Q8" s="136">
        <v>0</v>
      </c>
      <c r="R8" s="136"/>
      <c r="S8" s="136"/>
      <c r="T8" s="136"/>
      <c r="U8" s="136"/>
      <c r="V8" s="136"/>
      <c r="W8" s="136"/>
      <c r="X8" s="136"/>
      <c r="Y8" s="136">
        <v>5394.3689999999997</v>
      </c>
    </row>
    <row r="9" spans="1:25" x14ac:dyDescent="0.3">
      <c r="A9" s="26" t="s">
        <v>549</v>
      </c>
      <c r="B9" s="136">
        <v>102.21700000000001</v>
      </c>
      <c r="C9" s="136">
        <v>696.31499999999994</v>
      </c>
      <c r="D9" s="136">
        <v>0</v>
      </c>
      <c r="E9" s="136">
        <v>922.58999999999992</v>
      </c>
      <c r="F9" s="136">
        <v>0</v>
      </c>
      <c r="G9" s="136">
        <v>43.396999999999998</v>
      </c>
      <c r="H9" s="136">
        <v>3499.3910000000001</v>
      </c>
      <c r="I9" s="136">
        <v>0</v>
      </c>
      <c r="J9" s="136">
        <v>407.78</v>
      </c>
      <c r="K9" s="136">
        <v>0</v>
      </c>
      <c r="L9" s="136">
        <v>45.519000000000005</v>
      </c>
      <c r="M9" s="136">
        <v>0</v>
      </c>
      <c r="N9" s="136">
        <v>48.875</v>
      </c>
      <c r="O9" s="136">
        <v>85.971999999999994</v>
      </c>
      <c r="P9" s="136">
        <v>85.278000000000006</v>
      </c>
      <c r="Q9" s="136">
        <v>0</v>
      </c>
      <c r="R9" s="136"/>
      <c r="S9" s="136"/>
      <c r="T9" s="136"/>
      <c r="U9" s="136"/>
      <c r="V9" s="136"/>
      <c r="W9" s="136"/>
      <c r="X9" s="136"/>
      <c r="Y9" s="136">
        <v>5937.3339999999998</v>
      </c>
    </row>
    <row r="10" spans="1:25" x14ac:dyDescent="0.3">
      <c r="A10" s="26" t="s">
        <v>550</v>
      </c>
      <c r="B10" s="136">
        <v>84.888000000000019</v>
      </c>
      <c r="C10" s="136">
        <v>676.71800000000007</v>
      </c>
      <c r="D10" s="136">
        <v>0</v>
      </c>
      <c r="E10" s="136">
        <v>937.97499999999991</v>
      </c>
      <c r="F10" s="136">
        <v>1.7090000000000001</v>
      </c>
      <c r="G10" s="136">
        <v>50.121000000000002</v>
      </c>
      <c r="H10" s="136">
        <v>3588.0110000000004</v>
      </c>
      <c r="I10" s="136">
        <v>0</v>
      </c>
      <c r="J10" s="136">
        <v>653.66599999999983</v>
      </c>
      <c r="K10" s="136">
        <v>0</v>
      </c>
      <c r="L10" s="136">
        <v>45.063000000000002</v>
      </c>
      <c r="M10" s="136">
        <v>0</v>
      </c>
      <c r="N10" s="136">
        <v>27.076999999999998</v>
      </c>
      <c r="O10" s="136">
        <v>78.743999999999971</v>
      </c>
      <c r="P10" s="136">
        <v>96.097000000000008</v>
      </c>
      <c r="Q10" s="136">
        <v>0</v>
      </c>
      <c r="R10" s="136"/>
      <c r="S10" s="136"/>
      <c r="T10" s="136"/>
      <c r="U10" s="136"/>
      <c r="V10" s="136"/>
      <c r="W10" s="136"/>
      <c r="X10" s="136"/>
      <c r="Y10" s="136">
        <v>6240.0690000000004</v>
      </c>
    </row>
    <row r="11" spans="1:25" x14ac:dyDescent="0.3">
      <c r="A11" s="26" t="s">
        <v>551</v>
      </c>
      <c r="B11" s="136">
        <v>115.50700000000001</v>
      </c>
      <c r="C11" s="136">
        <v>663.55000000000007</v>
      </c>
      <c r="D11" s="136">
        <v>0</v>
      </c>
      <c r="E11" s="136">
        <v>934.7320000000002</v>
      </c>
      <c r="F11" s="136">
        <v>0</v>
      </c>
      <c r="G11" s="136">
        <v>57.01</v>
      </c>
      <c r="H11" s="136">
        <v>3519.5420000000004</v>
      </c>
      <c r="I11" s="136">
        <v>0</v>
      </c>
      <c r="J11" s="136">
        <v>627.40299999999979</v>
      </c>
      <c r="K11" s="136">
        <v>0</v>
      </c>
      <c r="L11" s="136">
        <v>68.47999999999999</v>
      </c>
      <c r="M11" s="136">
        <v>0</v>
      </c>
      <c r="N11" s="136">
        <v>25.331000000000003</v>
      </c>
      <c r="O11" s="136">
        <v>106.21000000000001</v>
      </c>
      <c r="P11" s="136">
        <v>84.896000000000001</v>
      </c>
      <c r="Q11" s="136">
        <v>0</v>
      </c>
      <c r="R11" s="136"/>
      <c r="S11" s="136"/>
      <c r="T11" s="136"/>
      <c r="U11" s="136"/>
      <c r="V11" s="136"/>
      <c r="W11" s="136"/>
      <c r="X11" s="136"/>
      <c r="Y11" s="136">
        <v>6202.6610000000001</v>
      </c>
    </row>
    <row r="12" spans="1:25" x14ac:dyDescent="0.3">
      <c r="A12" s="26" t="s">
        <v>552</v>
      </c>
      <c r="B12" s="136">
        <v>92.378999999999991</v>
      </c>
      <c r="C12" s="136">
        <v>630.0100000000001</v>
      </c>
      <c r="D12" s="136">
        <v>0</v>
      </c>
      <c r="E12" s="136">
        <v>847.08499999999981</v>
      </c>
      <c r="F12" s="136">
        <v>0</v>
      </c>
      <c r="G12" s="136">
        <v>26.614000000000004</v>
      </c>
      <c r="H12" s="136">
        <v>3603.3829999999994</v>
      </c>
      <c r="I12" s="136">
        <v>0</v>
      </c>
      <c r="J12" s="136">
        <v>611.98599999999988</v>
      </c>
      <c r="K12" s="136">
        <v>0</v>
      </c>
      <c r="L12" s="136">
        <v>27.373999999999999</v>
      </c>
      <c r="M12" s="136">
        <v>0</v>
      </c>
      <c r="N12" s="136">
        <v>27.509</v>
      </c>
      <c r="O12" s="136">
        <v>75.225999999999999</v>
      </c>
      <c r="P12" s="136">
        <v>96.495999999999995</v>
      </c>
      <c r="Q12" s="136">
        <v>0</v>
      </c>
      <c r="R12" s="136"/>
      <c r="S12" s="136"/>
      <c r="T12" s="136"/>
      <c r="U12" s="136"/>
      <c r="V12" s="136"/>
      <c r="W12" s="136"/>
      <c r="X12" s="136"/>
      <c r="Y12" s="136">
        <v>6038.061999999999</v>
      </c>
    </row>
    <row r="13" spans="1:25" x14ac:dyDescent="0.3">
      <c r="A13" s="26" t="s">
        <v>553</v>
      </c>
      <c r="B13" s="136">
        <v>70.289999999999992</v>
      </c>
      <c r="C13" s="136">
        <v>700.149</v>
      </c>
      <c r="D13" s="136">
        <v>0</v>
      </c>
      <c r="E13" s="136">
        <v>855.37400000000002</v>
      </c>
      <c r="F13" s="136">
        <v>0</v>
      </c>
      <c r="G13" s="136">
        <v>33.649000000000001</v>
      </c>
      <c r="H13" s="136">
        <v>3157.9490000000005</v>
      </c>
      <c r="I13" s="136">
        <v>0</v>
      </c>
      <c r="J13" s="136">
        <v>668.29900000000009</v>
      </c>
      <c r="K13" s="136">
        <v>0</v>
      </c>
      <c r="L13" s="136">
        <v>32.853000000000002</v>
      </c>
      <c r="M13" s="136">
        <v>2.5379999999999998</v>
      </c>
      <c r="N13" s="136">
        <v>44.205000000000005</v>
      </c>
      <c r="O13" s="136">
        <v>100.88900000000001</v>
      </c>
      <c r="P13" s="136">
        <v>145.50899999999999</v>
      </c>
      <c r="Q13" s="136">
        <v>0</v>
      </c>
      <c r="R13" s="136"/>
      <c r="S13" s="136"/>
      <c r="T13" s="136"/>
      <c r="U13" s="136"/>
      <c r="V13" s="136"/>
      <c r="W13" s="136"/>
      <c r="X13" s="136"/>
      <c r="Y13" s="136">
        <v>5811.7039999999997</v>
      </c>
    </row>
    <row r="14" spans="1:25" x14ac:dyDescent="0.3">
      <c r="A14" s="26" t="s">
        <v>554</v>
      </c>
      <c r="B14" s="136">
        <v>0</v>
      </c>
      <c r="C14" s="136">
        <v>731.77199999999993</v>
      </c>
      <c r="D14" s="136">
        <v>0</v>
      </c>
      <c r="E14" s="136">
        <v>923.16599999999983</v>
      </c>
      <c r="F14" s="136">
        <v>0</v>
      </c>
      <c r="G14" s="136">
        <v>48.697999999999993</v>
      </c>
      <c r="H14" s="136">
        <v>2908.7419999999993</v>
      </c>
      <c r="I14" s="136">
        <v>0</v>
      </c>
      <c r="J14" s="136">
        <v>625.77799999999991</v>
      </c>
      <c r="K14" s="136">
        <v>0</v>
      </c>
      <c r="L14" s="136">
        <v>14.852</v>
      </c>
      <c r="M14" s="136">
        <v>0</v>
      </c>
      <c r="N14" s="136">
        <v>24.793999999999997</v>
      </c>
      <c r="O14" s="136">
        <v>85.632000000000019</v>
      </c>
      <c r="P14" s="136">
        <v>77.254999999999995</v>
      </c>
      <c r="Q14" s="136">
        <v>0</v>
      </c>
      <c r="R14" s="136"/>
      <c r="S14" s="136"/>
      <c r="T14" s="136"/>
      <c r="U14" s="136"/>
      <c r="V14" s="136"/>
      <c r="W14" s="136"/>
      <c r="X14" s="136"/>
      <c r="Y14" s="136">
        <v>5440.6889999999985</v>
      </c>
    </row>
    <row r="15" spans="1:25" x14ac:dyDescent="0.3">
      <c r="A15" s="26" t="s">
        <v>556</v>
      </c>
      <c r="B15" s="136">
        <v>0</v>
      </c>
      <c r="C15" s="136">
        <v>651.52200000000005</v>
      </c>
      <c r="D15" s="136">
        <v>0</v>
      </c>
      <c r="E15" s="136">
        <v>923.92499999999984</v>
      </c>
      <c r="F15" s="136">
        <v>0</v>
      </c>
      <c r="G15" s="136">
        <v>55.952999999999996</v>
      </c>
      <c r="H15" s="136">
        <v>2983.6549999999997</v>
      </c>
      <c r="I15" s="136">
        <v>0</v>
      </c>
      <c r="J15" s="136">
        <v>263.49999999999994</v>
      </c>
      <c r="K15" s="136">
        <v>0</v>
      </c>
      <c r="L15" s="136">
        <v>51.063000000000002</v>
      </c>
      <c r="M15" s="136">
        <v>3.6719999999999997</v>
      </c>
      <c r="N15" s="136">
        <v>33.337999999999994</v>
      </c>
      <c r="O15" s="136">
        <v>102.56299999999999</v>
      </c>
      <c r="P15" s="136">
        <v>152.00500000000002</v>
      </c>
      <c r="Q15" s="136">
        <v>0</v>
      </c>
      <c r="R15" s="136"/>
      <c r="S15" s="136"/>
      <c r="T15" s="136"/>
      <c r="U15" s="136"/>
      <c r="V15" s="136"/>
      <c r="W15" s="136"/>
      <c r="X15" s="136"/>
      <c r="Y15" s="136">
        <v>5221.195999999999</v>
      </c>
    </row>
    <row r="16" spans="1:25" x14ac:dyDescent="0.3">
      <c r="A16" s="26" t="s">
        <v>562</v>
      </c>
      <c r="B16" s="136">
        <v>0</v>
      </c>
      <c r="C16" s="136">
        <v>660.83100000000013</v>
      </c>
      <c r="D16" s="136">
        <v>0</v>
      </c>
      <c r="E16" s="136">
        <v>1012.5650000000001</v>
      </c>
      <c r="F16" s="136">
        <v>50.010999999999996</v>
      </c>
      <c r="G16" s="136">
        <v>45.619</v>
      </c>
      <c r="H16" s="136">
        <v>3859.7069999999994</v>
      </c>
      <c r="I16" s="136">
        <v>0</v>
      </c>
      <c r="J16" s="136">
        <v>361.66300000000007</v>
      </c>
      <c r="K16" s="136">
        <v>0</v>
      </c>
      <c r="L16" s="136">
        <v>26.486999999999995</v>
      </c>
      <c r="M16" s="136">
        <v>2.7440000000000002</v>
      </c>
      <c r="N16" s="136">
        <v>47.954999999999998</v>
      </c>
      <c r="O16" s="136">
        <v>103.276</v>
      </c>
      <c r="P16" s="136">
        <v>73.292999999999992</v>
      </c>
      <c r="Q16" s="136">
        <v>0</v>
      </c>
      <c r="R16" s="136">
        <v>3.9950000000000001</v>
      </c>
      <c r="S16" s="136"/>
      <c r="T16" s="136">
        <v>13.891999999999996</v>
      </c>
      <c r="U16" s="136"/>
      <c r="V16" s="136"/>
      <c r="W16" s="136"/>
      <c r="X16" s="136"/>
      <c r="Y16" s="136">
        <v>6262.0379999999986</v>
      </c>
    </row>
    <row r="17" spans="1:25" x14ac:dyDescent="0.3">
      <c r="A17" s="26" t="s">
        <v>566</v>
      </c>
      <c r="B17" s="136">
        <v>0</v>
      </c>
      <c r="C17" s="136">
        <v>636.93500000000006</v>
      </c>
      <c r="D17" s="136">
        <v>0</v>
      </c>
      <c r="E17" s="136">
        <v>1033.2309999999998</v>
      </c>
      <c r="F17" s="136">
        <v>0</v>
      </c>
      <c r="G17" s="136">
        <v>40.193000000000005</v>
      </c>
      <c r="H17" s="136">
        <v>3474.4929999999999</v>
      </c>
      <c r="I17" s="136">
        <v>0</v>
      </c>
      <c r="J17" s="136">
        <v>577.25099999999998</v>
      </c>
      <c r="K17" s="136">
        <v>0</v>
      </c>
      <c r="L17" s="136">
        <v>65.817999999999998</v>
      </c>
      <c r="M17" s="136">
        <v>0</v>
      </c>
      <c r="N17" s="136">
        <v>50.529000000000003</v>
      </c>
      <c r="O17" s="136">
        <v>84.002999999999986</v>
      </c>
      <c r="P17" s="136">
        <v>100.84500000000001</v>
      </c>
      <c r="Q17" s="136">
        <v>0</v>
      </c>
      <c r="R17" s="136">
        <v>0</v>
      </c>
      <c r="S17" s="136">
        <v>0</v>
      </c>
      <c r="T17" s="136">
        <v>36.472000000000008</v>
      </c>
      <c r="U17" s="136"/>
      <c r="V17" s="136"/>
      <c r="W17" s="136"/>
      <c r="X17" s="136"/>
      <c r="Y17" s="136">
        <v>6099.77</v>
      </c>
    </row>
    <row r="18" spans="1:25" x14ac:dyDescent="0.3">
      <c r="A18" s="26" t="s">
        <v>567</v>
      </c>
      <c r="B18" s="136">
        <v>0</v>
      </c>
      <c r="C18" s="136">
        <v>619.96100000000013</v>
      </c>
      <c r="D18" s="136">
        <v>0</v>
      </c>
      <c r="E18" s="136">
        <v>1017.4259999999999</v>
      </c>
      <c r="F18" s="136">
        <v>0</v>
      </c>
      <c r="G18" s="136">
        <v>43.939</v>
      </c>
      <c r="H18" s="136">
        <v>3980.7650000000003</v>
      </c>
      <c r="I18" s="136">
        <v>0</v>
      </c>
      <c r="J18" s="136">
        <v>499.84900000000033</v>
      </c>
      <c r="K18" s="136">
        <v>0</v>
      </c>
      <c r="L18" s="136">
        <v>49.411999999999999</v>
      </c>
      <c r="M18" s="136">
        <v>3.5859999999999999</v>
      </c>
      <c r="N18" s="136">
        <v>17.161999999999999</v>
      </c>
      <c r="O18" s="136">
        <v>103.84700000000002</v>
      </c>
      <c r="P18" s="136">
        <v>118.41999999999997</v>
      </c>
      <c r="Q18" s="136">
        <v>0</v>
      </c>
      <c r="R18" s="136">
        <v>0</v>
      </c>
      <c r="S18" s="136">
        <v>0</v>
      </c>
      <c r="T18" s="136">
        <v>42.825000000000003</v>
      </c>
      <c r="U18" s="136"/>
      <c r="V18" s="136"/>
      <c r="W18" s="136"/>
      <c r="X18" s="136"/>
      <c r="Y18" s="136">
        <v>6497.1920000000009</v>
      </c>
    </row>
    <row r="19" spans="1:25" x14ac:dyDescent="0.3">
      <c r="A19" s="26" t="s">
        <v>573</v>
      </c>
      <c r="B19" s="136">
        <v>0</v>
      </c>
      <c r="C19" s="136">
        <v>654.75</v>
      </c>
      <c r="D19" s="136">
        <v>0</v>
      </c>
      <c r="E19" s="136">
        <v>860.97499999999968</v>
      </c>
      <c r="F19" s="136">
        <v>0</v>
      </c>
      <c r="G19" s="136">
        <v>49.81600000000001</v>
      </c>
      <c r="H19" s="136">
        <v>4094.809000000002</v>
      </c>
      <c r="I19" s="136">
        <v>0</v>
      </c>
      <c r="J19" s="136">
        <v>523.61900000000003</v>
      </c>
      <c r="K19" s="136">
        <v>0</v>
      </c>
      <c r="L19" s="136">
        <v>6.7239999999999993</v>
      </c>
      <c r="M19" s="136">
        <v>0</v>
      </c>
      <c r="N19" s="136">
        <v>54.081999999999994</v>
      </c>
      <c r="O19" s="136">
        <v>55.753999999999998</v>
      </c>
      <c r="P19" s="136">
        <v>72.057000000000002</v>
      </c>
      <c r="Q19" s="136">
        <v>0</v>
      </c>
      <c r="R19" s="136">
        <v>20.852</v>
      </c>
      <c r="S19" s="136">
        <v>0</v>
      </c>
      <c r="T19" s="136">
        <v>66.445000000000007</v>
      </c>
      <c r="U19" s="136">
        <v>0</v>
      </c>
      <c r="V19" s="136">
        <v>0</v>
      </c>
      <c r="W19" s="136"/>
      <c r="X19" s="136"/>
      <c r="Y19" s="136">
        <v>6459.8830000000016</v>
      </c>
    </row>
    <row r="20" spans="1:25" x14ac:dyDescent="0.3">
      <c r="A20" s="26" t="s">
        <v>579</v>
      </c>
      <c r="B20" s="136">
        <v>16.669</v>
      </c>
      <c r="C20" s="136">
        <v>606.68799999999987</v>
      </c>
      <c r="D20" s="136">
        <v>0</v>
      </c>
      <c r="E20" s="136">
        <v>956.86400000000003</v>
      </c>
      <c r="F20" s="136">
        <v>0</v>
      </c>
      <c r="G20" s="136">
        <v>58.075000000000003</v>
      </c>
      <c r="H20" s="136">
        <v>3265.4190000000003</v>
      </c>
      <c r="I20" s="136">
        <v>0</v>
      </c>
      <c r="J20" s="136">
        <v>566.50199999999984</v>
      </c>
      <c r="K20" s="136">
        <v>0</v>
      </c>
      <c r="L20" s="136">
        <v>33.299000000000007</v>
      </c>
      <c r="M20" s="136">
        <v>0</v>
      </c>
      <c r="N20" s="136">
        <v>25.654</v>
      </c>
      <c r="O20" s="136">
        <v>109.03500000000001</v>
      </c>
      <c r="P20" s="136">
        <v>127.73200000000001</v>
      </c>
      <c r="Q20" s="136">
        <v>0</v>
      </c>
      <c r="R20" s="136">
        <v>0</v>
      </c>
      <c r="S20" s="136">
        <v>0</v>
      </c>
      <c r="T20" s="136">
        <v>82.384000000000015</v>
      </c>
      <c r="U20" s="136">
        <v>0</v>
      </c>
      <c r="V20" s="136">
        <v>0</v>
      </c>
      <c r="W20" s="136">
        <v>0.13300000000000001</v>
      </c>
      <c r="X20" s="136">
        <v>2.87</v>
      </c>
      <c r="Y20" s="136">
        <v>5851.3239999999996</v>
      </c>
    </row>
    <row r="21" spans="1:25" x14ac:dyDescent="0.3">
      <c r="A21" s="26" t="s">
        <v>580</v>
      </c>
      <c r="B21" s="136">
        <v>126.81599999999999</v>
      </c>
      <c r="C21" s="136">
        <v>661.32500000000005</v>
      </c>
      <c r="D21" s="136">
        <v>0</v>
      </c>
      <c r="E21" s="136">
        <v>875.02099999999984</v>
      </c>
      <c r="F21" s="136">
        <v>0</v>
      </c>
      <c r="G21" s="136">
        <v>43.055000000000007</v>
      </c>
      <c r="H21" s="136">
        <v>2956.2159999999999</v>
      </c>
      <c r="I21" s="136">
        <v>0</v>
      </c>
      <c r="J21" s="136">
        <v>552.60299999999984</v>
      </c>
      <c r="K21" s="136">
        <v>0</v>
      </c>
      <c r="L21" s="136">
        <v>0</v>
      </c>
      <c r="M21" s="136">
        <v>0</v>
      </c>
      <c r="N21" s="136">
        <v>26.925000000000001</v>
      </c>
      <c r="O21" s="136">
        <v>81.071999999999989</v>
      </c>
      <c r="P21" s="136">
        <v>109.73300000000002</v>
      </c>
      <c r="Q21" s="136">
        <v>0</v>
      </c>
      <c r="R21" s="136">
        <v>0</v>
      </c>
      <c r="S21" s="136">
        <v>0</v>
      </c>
      <c r="T21" s="136">
        <v>68.965000000000003</v>
      </c>
      <c r="U21" s="136">
        <v>0</v>
      </c>
      <c r="V21" s="136">
        <v>0</v>
      </c>
      <c r="W21" s="136">
        <v>0</v>
      </c>
      <c r="X21" s="136">
        <v>0</v>
      </c>
      <c r="Y21" s="136">
        <v>5501.7310000000007</v>
      </c>
    </row>
    <row r="22" spans="1:25" x14ac:dyDescent="0.3">
      <c r="A22" s="26" t="s">
        <v>581</v>
      </c>
      <c r="B22" s="136">
        <v>106.05200000000002</v>
      </c>
      <c r="C22" s="136">
        <v>569.76</v>
      </c>
      <c r="D22" s="136">
        <v>0</v>
      </c>
      <c r="E22" s="136">
        <v>1019.5590000000003</v>
      </c>
      <c r="F22" s="136">
        <v>0</v>
      </c>
      <c r="G22" s="136">
        <v>41.427</v>
      </c>
      <c r="H22" s="136">
        <v>3388.9379999999996</v>
      </c>
      <c r="I22" s="136">
        <v>0</v>
      </c>
      <c r="J22" s="136">
        <v>248.05099999999999</v>
      </c>
      <c r="K22" s="136">
        <v>11.192</v>
      </c>
      <c r="L22" s="136">
        <v>30.396999999999998</v>
      </c>
      <c r="M22" s="136">
        <v>0</v>
      </c>
      <c r="N22" s="136">
        <v>49.415000000000006</v>
      </c>
      <c r="O22" s="136">
        <v>94.775999999999982</v>
      </c>
      <c r="P22" s="136">
        <v>115.57399999999997</v>
      </c>
      <c r="Q22" s="136">
        <v>0</v>
      </c>
      <c r="R22" s="136">
        <v>0</v>
      </c>
      <c r="S22" s="136">
        <v>0</v>
      </c>
      <c r="T22" s="136">
        <v>73.553000000000011</v>
      </c>
      <c r="U22" s="136">
        <v>0.14099999999999999</v>
      </c>
      <c r="V22" s="136">
        <v>0</v>
      </c>
      <c r="W22" s="136">
        <v>0</v>
      </c>
      <c r="X22" s="136">
        <v>0</v>
      </c>
      <c r="Y22" s="136">
        <v>5748.8349999999991</v>
      </c>
    </row>
    <row r="23" spans="1:25" x14ac:dyDescent="0.3">
      <c r="A23" s="26" t="s">
        <v>582</v>
      </c>
      <c r="B23" s="136">
        <v>96.296999999999983</v>
      </c>
      <c r="C23" s="136">
        <v>595.58800000000008</v>
      </c>
      <c r="D23" s="136">
        <v>0</v>
      </c>
      <c r="E23" s="136">
        <v>856.54399999999998</v>
      </c>
      <c r="F23" s="136">
        <v>0</v>
      </c>
      <c r="G23" s="136">
        <v>31.447000000000003</v>
      </c>
      <c r="H23" s="136">
        <v>3802.1259999999997</v>
      </c>
      <c r="I23" s="136">
        <v>0</v>
      </c>
      <c r="J23" s="136">
        <v>267.7589999999999</v>
      </c>
      <c r="K23" s="136">
        <v>0</v>
      </c>
      <c r="L23" s="136">
        <v>51.815000000000005</v>
      </c>
      <c r="M23" s="136">
        <v>0</v>
      </c>
      <c r="N23" s="136">
        <v>19.559000000000001</v>
      </c>
      <c r="O23" s="136">
        <v>82.603999999999999</v>
      </c>
      <c r="P23" s="136">
        <v>84.847999999999999</v>
      </c>
      <c r="Q23" s="136">
        <v>0</v>
      </c>
      <c r="R23" s="136">
        <v>21.391999999999999</v>
      </c>
      <c r="S23" s="136">
        <v>0</v>
      </c>
      <c r="T23" s="136">
        <v>79.192999999999984</v>
      </c>
      <c r="U23" s="136">
        <v>1.0310000000000001</v>
      </c>
      <c r="V23" s="136">
        <v>0</v>
      </c>
      <c r="W23" s="136">
        <v>0</v>
      </c>
      <c r="X23" s="136">
        <v>0</v>
      </c>
      <c r="Y23" s="136">
        <v>5990.2030000000004</v>
      </c>
    </row>
    <row r="24" spans="1:25" x14ac:dyDescent="0.3">
      <c r="A24" s="26" t="s">
        <v>583</v>
      </c>
      <c r="B24" s="136">
        <v>58.818000000000005</v>
      </c>
      <c r="C24" s="136">
        <v>529.79700000000003</v>
      </c>
      <c r="D24" s="136">
        <v>0</v>
      </c>
      <c r="E24" s="136">
        <v>704.76400000000001</v>
      </c>
      <c r="F24" s="136">
        <v>0</v>
      </c>
      <c r="G24" s="136">
        <v>52.886999999999986</v>
      </c>
      <c r="H24" s="136">
        <v>3706.0519999999992</v>
      </c>
      <c r="I24" s="136">
        <v>0</v>
      </c>
      <c r="J24" s="136">
        <v>405.31499999999988</v>
      </c>
      <c r="K24" s="136">
        <v>0</v>
      </c>
      <c r="L24" s="136">
        <v>53.319999999999993</v>
      </c>
      <c r="M24" s="136">
        <v>0</v>
      </c>
      <c r="N24" s="136">
        <v>31.046999999999997</v>
      </c>
      <c r="O24" s="136">
        <v>122.03599999999997</v>
      </c>
      <c r="P24" s="136">
        <v>98.855999999999995</v>
      </c>
      <c r="Q24" s="136">
        <v>0</v>
      </c>
      <c r="R24" s="136">
        <v>18.068999999999999</v>
      </c>
      <c r="S24" s="136">
        <v>0</v>
      </c>
      <c r="T24" s="136">
        <v>85.814999999999998</v>
      </c>
      <c r="U24" s="136">
        <v>0</v>
      </c>
      <c r="V24" s="136">
        <v>0</v>
      </c>
      <c r="W24" s="136">
        <v>0</v>
      </c>
      <c r="X24" s="136">
        <v>0</v>
      </c>
      <c r="Y24" s="136">
        <v>5866.775999999998</v>
      </c>
    </row>
    <row r="25" spans="1:25" x14ac:dyDescent="0.3">
      <c r="A25" s="26" t="s">
        <v>584</v>
      </c>
      <c r="B25" s="136">
        <v>69.331000000000017</v>
      </c>
      <c r="C25" s="136">
        <v>602.505</v>
      </c>
      <c r="D25" s="136">
        <v>0</v>
      </c>
      <c r="E25" s="136">
        <v>950.51800000000014</v>
      </c>
      <c r="F25" s="136">
        <v>0</v>
      </c>
      <c r="G25" s="136">
        <v>38.442999999999998</v>
      </c>
      <c r="H25" s="136">
        <v>3267.8690000000001</v>
      </c>
      <c r="I25" s="136">
        <v>0</v>
      </c>
      <c r="J25" s="136">
        <v>289.1040000000001</v>
      </c>
      <c r="K25" s="136">
        <v>0</v>
      </c>
      <c r="L25" s="136">
        <v>36.469000000000001</v>
      </c>
      <c r="M25" s="136">
        <v>0</v>
      </c>
      <c r="N25" s="136">
        <v>29.976000000000003</v>
      </c>
      <c r="O25" s="136">
        <v>92.447000000000003</v>
      </c>
      <c r="P25" s="136">
        <v>118.68000000000004</v>
      </c>
      <c r="Q25" s="136">
        <v>0</v>
      </c>
      <c r="R25" s="136">
        <v>41.508000000000003</v>
      </c>
      <c r="S25" s="136">
        <v>0</v>
      </c>
      <c r="T25" s="136">
        <v>80.920999999999978</v>
      </c>
      <c r="U25" s="136">
        <v>0</v>
      </c>
      <c r="V25" s="136">
        <v>0</v>
      </c>
      <c r="W25" s="136">
        <v>0</v>
      </c>
      <c r="X25" s="136">
        <v>0</v>
      </c>
      <c r="Y25" s="136">
        <v>5617.7710000000006</v>
      </c>
    </row>
    <row r="26" spans="1:25" x14ac:dyDescent="0.3">
      <c r="A26" s="26" t="s">
        <v>585</v>
      </c>
      <c r="B26" s="136">
        <v>156.35800000000009</v>
      </c>
      <c r="C26" s="136">
        <v>593.44399999999996</v>
      </c>
      <c r="D26" s="136">
        <v>0</v>
      </c>
      <c r="E26" s="136">
        <v>860.09899999999993</v>
      </c>
      <c r="F26" s="136">
        <v>0</v>
      </c>
      <c r="G26" s="136">
        <v>27.642000000000003</v>
      </c>
      <c r="H26" s="136">
        <v>3763.1809999999991</v>
      </c>
      <c r="I26" s="136">
        <v>0</v>
      </c>
      <c r="J26" s="136">
        <v>415.50899999999996</v>
      </c>
      <c r="K26" s="136">
        <v>6.7830000000000004</v>
      </c>
      <c r="L26" s="136">
        <v>45.802</v>
      </c>
      <c r="M26" s="136">
        <v>0</v>
      </c>
      <c r="N26" s="136">
        <v>49.268999999999998</v>
      </c>
      <c r="O26" s="136">
        <v>96.160999999999987</v>
      </c>
      <c r="P26" s="136">
        <v>125.27700000000002</v>
      </c>
      <c r="Q26" s="136">
        <v>0</v>
      </c>
      <c r="R26" s="136">
        <v>20.766999999999999</v>
      </c>
      <c r="S26" s="136">
        <v>0</v>
      </c>
      <c r="T26" s="136">
        <v>91.260999999999981</v>
      </c>
      <c r="U26" s="136">
        <v>0</v>
      </c>
      <c r="V26" s="136">
        <v>0</v>
      </c>
      <c r="W26" s="136">
        <v>0</v>
      </c>
      <c r="X26" s="136">
        <v>0</v>
      </c>
      <c r="Y26" s="136">
        <v>6251.5529999999999</v>
      </c>
    </row>
    <row r="27" spans="1:25" x14ac:dyDescent="0.3">
      <c r="A27" s="26" t="s">
        <v>586</v>
      </c>
      <c r="B27" s="136">
        <v>139.02099999999999</v>
      </c>
      <c r="C27" s="136">
        <v>594.01199999999994</v>
      </c>
      <c r="D27" s="136">
        <v>0</v>
      </c>
      <c r="E27" s="136">
        <v>894.08799999999997</v>
      </c>
      <c r="F27" s="136">
        <v>0</v>
      </c>
      <c r="G27" s="136">
        <v>44.740999999999993</v>
      </c>
      <c r="H27" s="136">
        <v>3402.5529999999994</v>
      </c>
      <c r="I27" s="136">
        <v>0</v>
      </c>
      <c r="J27" s="136">
        <v>408.65699999999987</v>
      </c>
      <c r="K27" s="136">
        <v>0</v>
      </c>
      <c r="L27" s="136">
        <v>41.86</v>
      </c>
      <c r="M27" s="136">
        <v>0</v>
      </c>
      <c r="N27" s="136">
        <v>27.978000000000002</v>
      </c>
      <c r="O27" s="136">
        <v>95.771000000000015</v>
      </c>
      <c r="P27" s="136">
        <v>102.72499999999998</v>
      </c>
      <c r="Q27" s="136">
        <v>0</v>
      </c>
      <c r="R27" s="136">
        <v>15.659000000000001</v>
      </c>
      <c r="S27" s="136">
        <v>0</v>
      </c>
      <c r="T27" s="136">
        <v>122.95999999999998</v>
      </c>
      <c r="U27" s="136">
        <v>0</v>
      </c>
      <c r="V27" s="136">
        <v>0</v>
      </c>
      <c r="W27" s="136">
        <v>0</v>
      </c>
      <c r="X27" s="136">
        <v>0</v>
      </c>
      <c r="Y27" s="136">
        <v>5890.0249999999987</v>
      </c>
    </row>
    <row r="28" spans="1:25" x14ac:dyDescent="0.3">
      <c r="A28" s="26" t="s">
        <v>587</v>
      </c>
      <c r="B28" s="136">
        <v>162.12600000000003</v>
      </c>
      <c r="C28" s="136">
        <v>565.4430000000001</v>
      </c>
      <c r="D28" s="136">
        <v>0</v>
      </c>
      <c r="E28" s="136">
        <v>775.4140000000001</v>
      </c>
      <c r="F28" s="136">
        <v>0</v>
      </c>
      <c r="G28" s="136">
        <v>41.943999999999996</v>
      </c>
      <c r="H28" s="136">
        <v>2992.2569999999996</v>
      </c>
      <c r="I28" s="136">
        <v>0</v>
      </c>
      <c r="J28" s="136">
        <v>520.17300000000012</v>
      </c>
      <c r="K28" s="136">
        <v>0</v>
      </c>
      <c r="L28" s="136">
        <v>22.491</v>
      </c>
      <c r="M28" s="136">
        <v>0</v>
      </c>
      <c r="N28" s="136">
        <v>35.073999999999998</v>
      </c>
      <c r="O28" s="136">
        <v>81.272000000000006</v>
      </c>
      <c r="P28" s="136">
        <v>122.36500000000001</v>
      </c>
      <c r="Q28" s="136">
        <v>0</v>
      </c>
      <c r="R28" s="136">
        <v>0</v>
      </c>
      <c r="S28" s="136">
        <v>0</v>
      </c>
      <c r="T28" s="136">
        <v>95.557999999999979</v>
      </c>
      <c r="U28" s="136">
        <v>0</v>
      </c>
      <c r="V28" s="136">
        <v>0</v>
      </c>
      <c r="W28" s="136">
        <v>0</v>
      </c>
      <c r="X28" s="136">
        <v>0</v>
      </c>
      <c r="Y28" s="136">
        <v>5414.1169999999984</v>
      </c>
    </row>
    <row r="29" spans="1:25" x14ac:dyDescent="0.3">
      <c r="A29" s="26" t="s">
        <v>588</v>
      </c>
      <c r="B29" s="136">
        <v>153.42399999999998</v>
      </c>
      <c r="C29" s="136">
        <v>627.44100000000003</v>
      </c>
      <c r="D29" s="136">
        <v>0</v>
      </c>
      <c r="E29" s="136">
        <v>899.15</v>
      </c>
      <c r="F29" s="136">
        <v>0</v>
      </c>
      <c r="G29" s="136">
        <v>42.108000000000004</v>
      </c>
      <c r="H29" s="136">
        <v>3321.9490000000001</v>
      </c>
      <c r="I29" s="136">
        <v>0</v>
      </c>
      <c r="J29" s="136">
        <v>257.173</v>
      </c>
      <c r="K29" s="136">
        <v>0</v>
      </c>
      <c r="L29" s="136">
        <v>0</v>
      </c>
      <c r="M29" s="136">
        <v>0</v>
      </c>
      <c r="N29" s="136">
        <v>25.295000000000002</v>
      </c>
      <c r="O29" s="136">
        <v>78.828999999999994</v>
      </c>
      <c r="P29" s="136">
        <v>93.745999999999981</v>
      </c>
      <c r="Q29" s="136">
        <v>0</v>
      </c>
      <c r="R29" s="136">
        <v>0</v>
      </c>
      <c r="S29" s="136">
        <v>0</v>
      </c>
      <c r="T29" s="136">
        <v>115.43499999999999</v>
      </c>
      <c r="U29" s="136">
        <v>0</v>
      </c>
      <c r="V29" s="136">
        <v>0</v>
      </c>
      <c r="W29" s="136">
        <v>0</v>
      </c>
      <c r="X29" s="136">
        <v>0</v>
      </c>
      <c r="Y29" s="136">
        <v>5614.55</v>
      </c>
    </row>
    <row r="30" spans="1:25" x14ac:dyDescent="0.3">
      <c r="A30" s="26" t="s">
        <v>592</v>
      </c>
      <c r="B30" s="136">
        <v>140.30100000000002</v>
      </c>
      <c r="C30" s="136">
        <v>560.12199999999996</v>
      </c>
      <c r="D30" s="136">
        <v>0</v>
      </c>
      <c r="E30" s="136">
        <v>910.41000000000008</v>
      </c>
      <c r="F30" s="136">
        <v>0</v>
      </c>
      <c r="G30" s="136">
        <v>34.039000000000001</v>
      </c>
      <c r="H30" s="136">
        <v>3780.1</v>
      </c>
      <c r="I30" s="136">
        <v>0</v>
      </c>
      <c r="J30" s="136">
        <v>284.18299999999999</v>
      </c>
      <c r="K30" s="136">
        <v>0</v>
      </c>
      <c r="L30" s="136">
        <v>1.5309999999999999</v>
      </c>
      <c r="M30" s="136">
        <v>0</v>
      </c>
      <c r="N30" s="136">
        <v>15.239000000000001</v>
      </c>
      <c r="O30" s="136">
        <v>95.37</v>
      </c>
      <c r="P30" s="136">
        <v>82.062000000000012</v>
      </c>
      <c r="Q30" s="136">
        <v>0</v>
      </c>
      <c r="R30" s="136">
        <v>19.977</v>
      </c>
      <c r="S30" s="136">
        <v>0</v>
      </c>
      <c r="T30" s="136">
        <v>93.900999999999982</v>
      </c>
      <c r="U30" s="136">
        <v>0</v>
      </c>
      <c r="V30" s="136">
        <v>0</v>
      </c>
      <c r="W30" s="136">
        <v>0</v>
      </c>
      <c r="X30" s="136">
        <v>0</v>
      </c>
      <c r="Y30" s="136">
        <v>6017.2349999999988</v>
      </c>
    </row>
    <row r="31" spans="1:25" x14ac:dyDescent="0.3">
      <c r="A31" s="26" t="s">
        <v>593</v>
      </c>
      <c r="B31" s="136">
        <v>159.51300000000001</v>
      </c>
      <c r="C31" s="136">
        <v>672.47900000000004</v>
      </c>
      <c r="D31" s="136">
        <v>0</v>
      </c>
      <c r="E31" s="136">
        <v>891.57800000000009</v>
      </c>
      <c r="F31" s="136">
        <v>0</v>
      </c>
      <c r="G31" s="136">
        <v>40.214999999999996</v>
      </c>
      <c r="H31" s="136">
        <v>3928.2079999999978</v>
      </c>
      <c r="I31" s="136">
        <v>0</v>
      </c>
      <c r="J31" s="136">
        <v>440.9260000000001</v>
      </c>
      <c r="K31" s="136">
        <v>0</v>
      </c>
      <c r="L31" s="136">
        <v>10.780999999999999</v>
      </c>
      <c r="M31" s="136">
        <v>0</v>
      </c>
      <c r="N31" s="136">
        <v>41.280999999999999</v>
      </c>
      <c r="O31" s="136">
        <v>95.743999999999986</v>
      </c>
      <c r="P31" s="136">
        <v>156.28100000000001</v>
      </c>
      <c r="Q31" s="136">
        <v>0</v>
      </c>
      <c r="R31" s="136">
        <v>18.694000000000003</v>
      </c>
      <c r="S31" s="136">
        <v>0</v>
      </c>
      <c r="T31" s="136">
        <v>89.27000000000001</v>
      </c>
      <c r="U31" s="136">
        <v>0</v>
      </c>
      <c r="V31" s="136">
        <v>0</v>
      </c>
      <c r="W31" s="136">
        <v>0</v>
      </c>
      <c r="X31" s="136">
        <v>0</v>
      </c>
      <c r="Y31" s="136">
        <v>6544.9699999999984</v>
      </c>
    </row>
    <row r="32" spans="1:25" x14ac:dyDescent="0.3">
      <c r="A32" s="26" t="s">
        <v>594</v>
      </c>
      <c r="B32" s="136">
        <v>143.03</v>
      </c>
      <c r="C32" s="136">
        <v>630.46</v>
      </c>
      <c r="D32" s="136">
        <v>0</v>
      </c>
      <c r="E32" s="136">
        <v>979.64700000000005</v>
      </c>
      <c r="F32" s="136">
        <v>0</v>
      </c>
      <c r="G32" s="136">
        <v>36.066999999999986</v>
      </c>
      <c r="H32" s="136">
        <v>4054.5240000000013</v>
      </c>
      <c r="I32" s="136">
        <v>0</v>
      </c>
      <c r="J32" s="136">
        <v>313.82400000000001</v>
      </c>
      <c r="K32" s="136">
        <v>0</v>
      </c>
      <c r="L32" s="136">
        <v>3.8779999999999997</v>
      </c>
      <c r="M32" s="136">
        <v>0</v>
      </c>
      <c r="N32" s="136">
        <v>31.934000000000001</v>
      </c>
      <c r="O32" s="136">
        <v>97.995000000000005</v>
      </c>
      <c r="P32" s="136">
        <v>107.005</v>
      </c>
      <c r="Q32" s="136">
        <v>0</v>
      </c>
      <c r="R32" s="136">
        <v>0</v>
      </c>
      <c r="S32" s="136">
        <v>0</v>
      </c>
      <c r="T32" s="136">
        <v>100.99299999999999</v>
      </c>
      <c r="U32" s="136">
        <v>0</v>
      </c>
      <c r="V32" s="136">
        <v>0</v>
      </c>
      <c r="W32" s="136">
        <v>0</v>
      </c>
      <c r="X32" s="136">
        <v>0</v>
      </c>
      <c r="Y32" s="136">
        <v>6499.3570000000009</v>
      </c>
    </row>
    <row r="33" spans="1:25" x14ac:dyDescent="0.3">
      <c r="A33" s="26" t="s">
        <v>595</v>
      </c>
      <c r="B33" s="136">
        <v>155.01000000000005</v>
      </c>
      <c r="C33" s="136">
        <v>604.43700000000001</v>
      </c>
      <c r="D33" s="136">
        <v>0</v>
      </c>
      <c r="E33" s="136">
        <v>970.47300000000007</v>
      </c>
      <c r="F33" s="136">
        <v>0</v>
      </c>
      <c r="G33" s="136">
        <v>42.634999999999998</v>
      </c>
      <c r="H33" s="136">
        <v>3919.3579999999997</v>
      </c>
      <c r="I33" s="136">
        <v>0</v>
      </c>
      <c r="J33" s="136">
        <v>464.5659999999998</v>
      </c>
      <c r="K33" s="136">
        <v>0</v>
      </c>
      <c r="L33" s="136">
        <v>19.803000000000004</v>
      </c>
      <c r="M33" s="136">
        <v>0</v>
      </c>
      <c r="N33" s="136">
        <v>30.127000000000002</v>
      </c>
      <c r="O33" s="136">
        <v>89.14700000000002</v>
      </c>
      <c r="P33" s="136">
        <v>87.65</v>
      </c>
      <c r="Q33" s="136">
        <v>0</v>
      </c>
      <c r="R33" s="136">
        <v>29.734999999999999</v>
      </c>
      <c r="S33" s="136">
        <v>0</v>
      </c>
      <c r="T33" s="136">
        <v>101.20000000000002</v>
      </c>
      <c r="U33" s="136">
        <v>0</v>
      </c>
      <c r="V33" s="136">
        <v>0</v>
      </c>
      <c r="W33" s="136">
        <v>0</v>
      </c>
      <c r="X33" s="136">
        <v>0</v>
      </c>
      <c r="Y33" s="136">
        <v>6514.1409999999987</v>
      </c>
    </row>
    <row r="34" spans="1:25" x14ac:dyDescent="0.3">
      <c r="A34" s="26" t="s">
        <v>596</v>
      </c>
      <c r="B34" s="136">
        <v>136.88600000000002</v>
      </c>
      <c r="C34" s="136">
        <v>658.02299999999991</v>
      </c>
      <c r="D34" s="136">
        <v>0</v>
      </c>
      <c r="E34" s="136">
        <v>980.86100000000033</v>
      </c>
      <c r="F34" s="136">
        <v>0</v>
      </c>
      <c r="G34" s="136">
        <v>25.673999999999996</v>
      </c>
      <c r="H34" s="136">
        <v>3720.7200000000003</v>
      </c>
      <c r="I34" s="136">
        <v>0</v>
      </c>
      <c r="J34" s="136">
        <v>428.99599999999992</v>
      </c>
      <c r="K34" s="136">
        <v>0</v>
      </c>
      <c r="L34" s="136">
        <v>11.154</v>
      </c>
      <c r="M34" s="136">
        <v>0</v>
      </c>
      <c r="N34" s="136">
        <v>22.869</v>
      </c>
      <c r="O34" s="136">
        <v>70.304999999999993</v>
      </c>
      <c r="P34" s="136">
        <v>93.146999999999991</v>
      </c>
      <c r="Q34" s="136">
        <v>0</v>
      </c>
      <c r="R34" s="136">
        <v>27.416000000000004</v>
      </c>
      <c r="S34" s="136">
        <v>0</v>
      </c>
      <c r="T34" s="136">
        <v>120.992</v>
      </c>
      <c r="U34" s="136">
        <v>0</v>
      </c>
      <c r="V34" s="136">
        <v>0</v>
      </c>
      <c r="W34" s="136">
        <v>0</v>
      </c>
      <c r="X34" s="136">
        <v>0</v>
      </c>
      <c r="Y34" s="136">
        <v>6297.0430000000015</v>
      </c>
    </row>
  </sheetData>
  <pageMargins left="0.7" right="0.7" top="0.75" bottom="0.75" header="0.3" footer="0.3"/>
  <pageSetup paperSize="9" orientation="portrait" r:id="rId2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AG149"/>
  <sheetViews>
    <sheetView topLeftCell="P133" workbookViewId="0">
      <selection activeCell="T146" sqref="T146"/>
    </sheetView>
  </sheetViews>
  <sheetFormatPr defaultRowHeight="14.4" x14ac:dyDescent="0.3"/>
  <cols>
    <col min="1" max="1" width="70.6640625" bestFit="1" customWidth="1"/>
    <col min="2" max="32" width="18.33203125" bestFit="1" customWidth="1"/>
    <col min="33" max="33" width="15.77734375" bestFit="1" customWidth="1"/>
  </cols>
  <sheetData>
    <row r="2" spans="1:33" x14ac:dyDescent="0.3">
      <c r="A2" s="29" t="s">
        <v>1</v>
      </c>
      <c r="B2" t="s">
        <v>82</v>
      </c>
    </row>
    <row r="3" spans="1:33" x14ac:dyDescent="0.3">
      <c r="A3" s="29" t="s">
        <v>158</v>
      </c>
      <c r="B3" t="s">
        <v>82</v>
      </c>
    </row>
    <row r="5" spans="1:33" x14ac:dyDescent="0.3">
      <c r="A5" s="29" t="s">
        <v>542</v>
      </c>
      <c r="B5" s="82" t="s">
        <v>704</v>
      </c>
      <c r="C5" s="82" t="s">
        <v>703</v>
      </c>
      <c r="D5" s="82" t="s">
        <v>705</v>
      </c>
      <c r="E5" s="82" t="s">
        <v>706</v>
      </c>
      <c r="F5" s="82" t="s">
        <v>707</v>
      </c>
      <c r="G5" s="82" t="s">
        <v>710</v>
      </c>
      <c r="H5" s="82" t="s">
        <v>711</v>
      </c>
      <c r="I5" s="82" t="s">
        <v>712</v>
      </c>
      <c r="J5" s="82" t="s">
        <v>715</v>
      </c>
      <c r="K5" s="82" t="s">
        <v>814</v>
      </c>
      <c r="L5" s="82" t="s">
        <v>819</v>
      </c>
      <c r="M5" s="82" t="s">
        <v>821</v>
      </c>
      <c r="N5" s="82" t="s">
        <v>825</v>
      </c>
      <c r="O5" s="82" t="s">
        <v>826</v>
      </c>
      <c r="P5" s="82" t="s">
        <v>827</v>
      </c>
      <c r="Q5" s="82" t="s">
        <v>828</v>
      </c>
      <c r="R5" s="82" t="s">
        <v>835</v>
      </c>
      <c r="S5" s="82" t="s">
        <v>836</v>
      </c>
      <c r="T5" s="82" t="s">
        <v>837</v>
      </c>
      <c r="U5" s="82" t="s">
        <v>838</v>
      </c>
      <c r="V5" s="82" t="s">
        <v>839</v>
      </c>
      <c r="W5" s="82" t="s">
        <v>840</v>
      </c>
      <c r="X5" s="82" t="s">
        <v>842</v>
      </c>
      <c r="Y5" s="82" t="s">
        <v>847</v>
      </c>
      <c r="Z5" s="82" t="s">
        <v>848</v>
      </c>
      <c r="AA5" s="82" t="s">
        <v>849</v>
      </c>
      <c r="AB5" s="82" t="s">
        <v>850</v>
      </c>
      <c r="AC5" s="82" t="s">
        <v>851</v>
      </c>
      <c r="AD5" s="82" t="s">
        <v>852</v>
      </c>
      <c r="AE5" s="82" t="s">
        <v>853</v>
      </c>
      <c r="AF5" s="82" t="s">
        <v>854</v>
      </c>
      <c r="AG5" s="82" t="s">
        <v>85</v>
      </c>
    </row>
    <row r="6" spans="1:33" x14ac:dyDescent="0.3">
      <c r="A6" s="39" t="s">
        <v>70</v>
      </c>
      <c r="B6" s="83">
        <v>0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83">
        <v>0</v>
      </c>
      <c r="I6" s="83">
        <v>0</v>
      </c>
      <c r="J6" s="83">
        <v>0</v>
      </c>
      <c r="K6" s="83">
        <v>0</v>
      </c>
      <c r="L6" s="83">
        <v>0</v>
      </c>
      <c r="M6" s="83">
        <v>0</v>
      </c>
      <c r="N6" s="83">
        <v>0</v>
      </c>
      <c r="O6" s="83">
        <v>0</v>
      </c>
      <c r="P6" s="83">
        <v>0</v>
      </c>
      <c r="Q6" s="83">
        <v>0</v>
      </c>
      <c r="R6" s="83">
        <v>0</v>
      </c>
      <c r="S6" s="83">
        <v>0</v>
      </c>
      <c r="T6" s="83">
        <v>0</v>
      </c>
      <c r="U6" s="83">
        <v>0</v>
      </c>
      <c r="V6" s="83">
        <v>0</v>
      </c>
      <c r="W6" s="83">
        <v>0</v>
      </c>
      <c r="X6" s="83">
        <v>0</v>
      </c>
      <c r="Y6" s="83">
        <v>0</v>
      </c>
      <c r="Z6" s="83">
        <v>0</v>
      </c>
      <c r="AA6" s="83">
        <v>0</v>
      </c>
      <c r="AB6" s="83">
        <v>0</v>
      </c>
      <c r="AC6" s="83">
        <v>0</v>
      </c>
      <c r="AD6" s="83">
        <v>0</v>
      </c>
      <c r="AE6" s="83">
        <v>0</v>
      </c>
      <c r="AF6" s="83">
        <v>0</v>
      </c>
      <c r="AG6" s="83">
        <v>0</v>
      </c>
    </row>
    <row r="7" spans="1:33" x14ac:dyDescent="0.3">
      <c r="A7" s="39" t="s">
        <v>93</v>
      </c>
      <c r="B7" s="83">
        <v>0</v>
      </c>
      <c r="C7" s="83">
        <v>0</v>
      </c>
      <c r="D7" s="83">
        <v>0</v>
      </c>
      <c r="E7" s="83">
        <v>0</v>
      </c>
      <c r="F7" s="83">
        <v>0</v>
      </c>
      <c r="G7" s="83">
        <v>0</v>
      </c>
      <c r="H7" s="83">
        <v>0</v>
      </c>
      <c r="I7" s="83">
        <v>0</v>
      </c>
      <c r="J7" s="83">
        <v>0</v>
      </c>
      <c r="K7" s="83">
        <v>0</v>
      </c>
      <c r="L7" s="83">
        <v>0</v>
      </c>
      <c r="M7" s="83">
        <v>0</v>
      </c>
      <c r="N7" s="83">
        <v>0</v>
      </c>
      <c r="O7" s="83">
        <v>0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83">
        <v>0</v>
      </c>
      <c r="V7" s="83">
        <v>0</v>
      </c>
      <c r="W7" s="83">
        <v>0</v>
      </c>
      <c r="X7" s="83">
        <v>0</v>
      </c>
      <c r="Y7" s="83">
        <v>0</v>
      </c>
      <c r="Z7" s="83">
        <v>0</v>
      </c>
      <c r="AA7" s="83">
        <v>0</v>
      </c>
      <c r="AB7" s="83">
        <v>0</v>
      </c>
      <c r="AC7" s="83">
        <v>0</v>
      </c>
      <c r="AD7" s="83">
        <v>0</v>
      </c>
      <c r="AE7" s="83">
        <v>0</v>
      </c>
      <c r="AF7" s="83">
        <v>0</v>
      </c>
      <c r="AG7" s="83">
        <v>0</v>
      </c>
    </row>
    <row r="8" spans="1:33" x14ac:dyDescent="0.3">
      <c r="A8" s="39" t="s">
        <v>66</v>
      </c>
      <c r="B8" s="83">
        <v>0</v>
      </c>
      <c r="C8" s="83"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N8" s="83">
        <v>0</v>
      </c>
      <c r="O8" s="83">
        <v>0</v>
      </c>
      <c r="P8" s="83">
        <v>0</v>
      </c>
      <c r="Q8" s="83">
        <v>0</v>
      </c>
      <c r="R8" s="83">
        <v>0</v>
      </c>
      <c r="S8" s="83">
        <v>0</v>
      </c>
      <c r="T8" s="83">
        <v>0</v>
      </c>
      <c r="U8" s="83">
        <v>0</v>
      </c>
      <c r="V8" s="83">
        <v>0</v>
      </c>
      <c r="W8" s="83">
        <v>0</v>
      </c>
      <c r="X8" s="83">
        <v>0</v>
      </c>
      <c r="Y8" s="83">
        <v>0</v>
      </c>
      <c r="Z8" s="83">
        <v>0</v>
      </c>
      <c r="AA8" s="83">
        <v>0</v>
      </c>
      <c r="AB8" s="83">
        <v>0</v>
      </c>
      <c r="AC8" s="83">
        <v>0</v>
      </c>
      <c r="AD8" s="83">
        <v>0</v>
      </c>
      <c r="AE8" s="83">
        <v>0</v>
      </c>
      <c r="AF8" s="83">
        <v>0</v>
      </c>
      <c r="AG8" s="83">
        <v>0</v>
      </c>
    </row>
    <row r="9" spans="1:33" x14ac:dyDescent="0.3">
      <c r="A9" s="39" t="s">
        <v>74</v>
      </c>
      <c r="B9" s="83">
        <v>0</v>
      </c>
      <c r="C9" s="83">
        <v>0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0</v>
      </c>
      <c r="U9" s="83">
        <v>0</v>
      </c>
      <c r="V9" s="83">
        <v>0</v>
      </c>
      <c r="W9" s="83">
        <v>0</v>
      </c>
      <c r="X9" s="83">
        <v>0</v>
      </c>
      <c r="Y9" s="83">
        <v>0</v>
      </c>
      <c r="Z9" s="83">
        <v>0</v>
      </c>
      <c r="AA9" s="83">
        <v>0</v>
      </c>
      <c r="AB9" s="83">
        <v>0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</row>
    <row r="10" spans="1:33" x14ac:dyDescent="0.3">
      <c r="A10" s="39" t="s">
        <v>27</v>
      </c>
      <c r="B10" s="83">
        <v>0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0</v>
      </c>
      <c r="V10" s="83">
        <v>0</v>
      </c>
      <c r="W10" s="83">
        <v>0</v>
      </c>
      <c r="X10" s="83">
        <v>0</v>
      </c>
      <c r="Y10" s="83">
        <v>0</v>
      </c>
      <c r="Z10" s="83">
        <v>0</v>
      </c>
      <c r="AA10" s="83">
        <v>0</v>
      </c>
      <c r="AB10" s="83">
        <v>0</v>
      </c>
      <c r="AC10" s="83">
        <v>0</v>
      </c>
      <c r="AD10" s="83">
        <v>0</v>
      </c>
      <c r="AE10" s="83">
        <v>0</v>
      </c>
      <c r="AF10" s="83">
        <v>0</v>
      </c>
      <c r="AG10" s="83">
        <v>0</v>
      </c>
    </row>
    <row r="11" spans="1:33" x14ac:dyDescent="0.3">
      <c r="A11" s="39" t="s">
        <v>520</v>
      </c>
      <c r="B11" s="83">
        <v>0</v>
      </c>
      <c r="C11" s="83">
        <v>0</v>
      </c>
      <c r="D11" s="83">
        <v>0</v>
      </c>
      <c r="E11" s="83">
        <v>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0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0</v>
      </c>
      <c r="AD11" s="83">
        <v>0</v>
      </c>
      <c r="AE11" s="83">
        <v>0</v>
      </c>
      <c r="AF11" s="83">
        <v>0</v>
      </c>
      <c r="AG11" s="83">
        <v>0</v>
      </c>
    </row>
    <row r="12" spans="1:33" x14ac:dyDescent="0.3">
      <c r="A12" s="39" t="s">
        <v>458</v>
      </c>
      <c r="B12" s="83">
        <v>0</v>
      </c>
      <c r="C12" s="83">
        <v>0</v>
      </c>
      <c r="D12" s="83">
        <v>0</v>
      </c>
      <c r="E12" s="83">
        <v>0</v>
      </c>
      <c r="F12" s="83">
        <v>2E-3</v>
      </c>
      <c r="G12" s="83">
        <v>0</v>
      </c>
      <c r="H12" s="83">
        <v>0</v>
      </c>
      <c r="I12" s="83">
        <v>0</v>
      </c>
      <c r="J12" s="83">
        <v>0</v>
      </c>
      <c r="K12" s="83">
        <v>0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1E-3</v>
      </c>
      <c r="U12" s="83">
        <v>0</v>
      </c>
      <c r="V12" s="83">
        <v>0</v>
      </c>
      <c r="W12" s="83">
        <v>0</v>
      </c>
      <c r="X12" s="83">
        <v>0</v>
      </c>
      <c r="Y12" s="83">
        <v>0</v>
      </c>
      <c r="Z12" s="83">
        <v>0</v>
      </c>
      <c r="AA12" s="83">
        <v>0</v>
      </c>
      <c r="AB12" s="83">
        <v>0</v>
      </c>
      <c r="AC12" s="83">
        <v>0</v>
      </c>
      <c r="AD12" s="83">
        <v>0</v>
      </c>
      <c r="AE12" s="83">
        <v>0</v>
      </c>
      <c r="AF12" s="83">
        <v>0</v>
      </c>
      <c r="AG12" s="83">
        <v>1E-4</v>
      </c>
    </row>
    <row r="13" spans="1:33" x14ac:dyDescent="0.3">
      <c r="A13" s="39" t="s">
        <v>94</v>
      </c>
      <c r="B13" s="83">
        <v>0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83">
        <v>0</v>
      </c>
      <c r="O13" s="83">
        <v>0</v>
      </c>
      <c r="P13" s="83">
        <v>0</v>
      </c>
      <c r="Q13" s="83">
        <v>0</v>
      </c>
      <c r="R13" s="83">
        <v>0</v>
      </c>
      <c r="S13" s="83">
        <v>0</v>
      </c>
      <c r="T13" s="83">
        <v>0</v>
      </c>
      <c r="U13" s="83">
        <v>0</v>
      </c>
      <c r="V13" s="83">
        <v>0</v>
      </c>
      <c r="W13" s="83">
        <v>0</v>
      </c>
      <c r="X13" s="83">
        <v>0</v>
      </c>
      <c r="Y13" s="83">
        <v>0</v>
      </c>
      <c r="Z13" s="83">
        <v>0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83">
        <v>0</v>
      </c>
      <c r="AG13" s="83">
        <v>0</v>
      </c>
    </row>
    <row r="14" spans="1:33" x14ac:dyDescent="0.3">
      <c r="A14" s="39" t="s">
        <v>117</v>
      </c>
      <c r="B14" s="83">
        <v>0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</row>
    <row r="15" spans="1:33" x14ac:dyDescent="0.3">
      <c r="A15" s="39" t="s">
        <v>115</v>
      </c>
      <c r="B15" s="83">
        <v>0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</row>
    <row r="16" spans="1:33" x14ac:dyDescent="0.3">
      <c r="A16" s="39" t="s">
        <v>122</v>
      </c>
      <c r="B16" s="83">
        <v>0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</row>
    <row r="17" spans="1:33" x14ac:dyDescent="0.3">
      <c r="A17" s="39" t="s">
        <v>477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83">
        <v>0</v>
      </c>
      <c r="AB17" s="83">
        <v>0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</row>
    <row r="18" spans="1:33" x14ac:dyDescent="0.3">
      <c r="A18" s="70" t="s">
        <v>714</v>
      </c>
      <c r="B18" s="83"/>
      <c r="C18" s="83"/>
      <c r="D18" s="83"/>
      <c r="E18" s="83"/>
      <c r="F18" s="83"/>
      <c r="G18" s="83"/>
      <c r="H18" s="83"/>
      <c r="I18" s="83"/>
      <c r="J18" s="83">
        <v>14.956</v>
      </c>
      <c r="K18" s="83">
        <v>47.926000000000002</v>
      </c>
      <c r="L18" s="83">
        <v>80.774000000000015</v>
      </c>
      <c r="M18" s="83">
        <v>72.173000000000002</v>
      </c>
      <c r="N18" s="83">
        <v>52.828000000000003</v>
      </c>
      <c r="O18" s="83">
        <v>51.696999999999996</v>
      </c>
      <c r="P18" s="83">
        <v>60.561999999999998</v>
      </c>
      <c r="Q18" s="83">
        <v>89.803000000000011</v>
      </c>
      <c r="R18" s="83">
        <v>47.724999999999994</v>
      </c>
      <c r="S18" s="83">
        <v>57.484999999999999</v>
      </c>
      <c r="T18" s="83">
        <v>85.077000000000012</v>
      </c>
      <c r="U18" s="83">
        <v>64.489000000000004</v>
      </c>
      <c r="V18" s="83">
        <v>43.788000000000004</v>
      </c>
      <c r="W18" s="83">
        <v>72.858999999999995</v>
      </c>
      <c r="X18" s="83">
        <v>44.933</v>
      </c>
      <c r="Y18" s="83">
        <v>98.555000000000021</v>
      </c>
      <c r="Z18" s="83">
        <v>67.704999999999998</v>
      </c>
      <c r="AA18" s="83">
        <v>59.734999999999992</v>
      </c>
      <c r="AB18" s="83">
        <v>63.059999999999988</v>
      </c>
      <c r="AC18" s="83">
        <v>72.611000000000018</v>
      </c>
      <c r="AD18" s="83">
        <v>77.688000000000002</v>
      </c>
      <c r="AE18" s="83">
        <v>54.122999999999998</v>
      </c>
      <c r="AF18" s="83">
        <v>79.245000000000019</v>
      </c>
      <c r="AG18" s="83">
        <v>62.752363636363654</v>
      </c>
    </row>
    <row r="19" spans="1:33" x14ac:dyDescent="0.3">
      <c r="A19" s="70" t="s">
        <v>739</v>
      </c>
      <c r="B19" s="83">
        <v>31.089999999999996</v>
      </c>
      <c r="C19" s="83">
        <v>79.974000000000004</v>
      </c>
      <c r="D19" s="83">
        <v>111.786</v>
      </c>
      <c r="E19" s="83">
        <v>56.537000000000006</v>
      </c>
      <c r="F19" s="83">
        <v>55.813999999999993</v>
      </c>
      <c r="G19" s="83">
        <v>63.415999999999997</v>
      </c>
      <c r="H19" s="83">
        <v>68.071999999999989</v>
      </c>
      <c r="I19" s="83">
        <v>49.680000000000007</v>
      </c>
      <c r="J19" s="83">
        <v>64.692000000000007</v>
      </c>
      <c r="K19" s="83">
        <v>65.524000000000001</v>
      </c>
      <c r="L19" s="83">
        <v>56.51</v>
      </c>
      <c r="M19" s="83">
        <v>39.277000000000001</v>
      </c>
      <c r="N19" s="83">
        <v>17.893999999999998</v>
      </c>
      <c r="O19" s="83">
        <v>35.824000000000005</v>
      </c>
      <c r="P19" s="83">
        <v>35.573</v>
      </c>
      <c r="Q19" s="83">
        <v>23.887</v>
      </c>
      <c r="R19" s="83">
        <v>37.356000000000002</v>
      </c>
      <c r="S19" s="83">
        <v>27.968000000000004</v>
      </c>
      <c r="T19" s="83">
        <v>54.596999999999987</v>
      </c>
      <c r="U19" s="83">
        <v>52.671999999999997</v>
      </c>
      <c r="V19" s="83">
        <v>45.692000000000007</v>
      </c>
      <c r="W19" s="83">
        <v>36.681000000000004</v>
      </c>
      <c r="X19" s="83">
        <v>30.486000000000004</v>
      </c>
      <c r="Y19" s="83">
        <v>24.287000000000003</v>
      </c>
      <c r="Z19" s="83">
        <v>27.372999999999998</v>
      </c>
      <c r="AA19" s="83">
        <v>19.559000000000001</v>
      </c>
      <c r="AB19" s="83">
        <v>0</v>
      </c>
      <c r="AC19" s="83">
        <v>0</v>
      </c>
      <c r="AD19" s="83">
        <v>0</v>
      </c>
      <c r="AE19" s="83">
        <v>0</v>
      </c>
      <c r="AF19" s="83">
        <v>0</v>
      </c>
      <c r="AG19" s="83">
        <v>40.407366666666668</v>
      </c>
    </row>
    <row r="20" spans="1:33" x14ac:dyDescent="0.3">
      <c r="A20" s="70" t="s">
        <v>740</v>
      </c>
      <c r="B20" s="83">
        <v>204.72499999999997</v>
      </c>
      <c r="C20" s="83">
        <v>204.06000000000006</v>
      </c>
      <c r="D20" s="83">
        <v>179.66900000000004</v>
      </c>
      <c r="E20" s="83">
        <v>215.89400000000003</v>
      </c>
      <c r="F20" s="83">
        <v>232.38400000000004</v>
      </c>
      <c r="G20" s="83">
        <v>204.85299999999998</v>
      </c>
      <c r="H20" s="83">
        <v>170.35099999999989</v>
      </c>
      <c r="I20" s="83">
        <v>191.7879999999999</v>
      </c>
      <c r="J20" s="83">
        <v>192.83700000000005</v>
      </c>
      <c r="K20" s="83">
        <v>168.68599999999998</v>
      </c>
      <c r="L20" s="83">
        <v>167.14400000000001</v>
      </c>
      <c r="M20" s="83">
        <v>176.32100000000003</v>
      </c>
      <c r="N20" s="83">
        <v>210.60600000000005</v>
      </c>
      <c r="O20" s="83">
        <v>182.47800000000001</v>
      </c>
      <c r="P20" s="83">
        <v>167.73400000000004</v>
      </c>
      <c r="Q20" s="83">
        <v>200.983</v>
      </c>
      <c r="R20" s="83">
        <v>163.58399999999992</v>
      </c>
      <c r="S20" s="83">
        <v>182.44399999999993</v>
      </c>
      <c r="T20" s="83">
        <v>193.666</v>
      </c>
      <c r="U20" s="83">
        <v>192.62599999999995</v>
      </c>
      <c r="V20" s="83">
        <v>194.72200000000001</v>
      </c>
      <c r="W20" s="83">
        <v>182.99900000000011</v>
      </c>
      <c r="X20" s="83">
        <v>163.78799999999993</v>
      </c>
      <c r="Y20" s="83">
        <v>205.28100000000003</v>
      </c>
      <c r="Z20" s="83">
        <v>171.96499999999995</v>
      </c>
      <c r="AA20" s="83">
        <v>154.16900000000001</v>
      </c>
      <c r="AB20" s="83">
        <v>184.74199999999996</v>
      </c>
      <c r="AC20" s="83">
        <v>191.22200000000004</v>
      </c>
      <c r="AD20" s="83">
        <v>186.50000000000006</v>
      </c>
      <c r="AE20" s="83">
        <v>159.51600000000002</v>
      </c>
      <c r="AF20" s="83">
        <v>173.95200000000006</v>
      </c>
      <c r="AG20" s="83">
        <v>186.59123333333329</v>
      </c>
    </row>
    <row r="21" spans="1:33" x14ac:dyDescent="0.3">
      <c r="A21" s="70" t="s">
        <v>741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0</v>
      </c>
      <c r="Z21" s="83">
        <v>0</v>
      </c>
      <c r="AA21" s="83">
        <v>0</v>
      </c>
      <c r="AB21" s="83">
        <v>0</v>
      </c>
      <c r="AC21" s="83">
        <v>0</v>
      </c>
      <c r="AD21" s="83">
        <v>0</v>
      </c>
      <c r="AE21" s="83">
        <v>0</v>
      </c>
      <c r="AF21" s="83">
        <v>0</v>
      </c>
      <c r="AG21" s="83">
        <v>0</v>
      </c>
    </row>
    <row r="22" spans="1:33" x14ac:dyDescent="0.3">
      <c r="A22" s="70" t="s">
        <v>729</v>
      </c>
      <c r="B22" s="83">
        <v>98.52000000000001</v>
      </c>
      <c r="C22" s="83">
        <v>88.146999999999991</v>
      </c>
      <c r="D22" s="83">
        <v>116.916</v>
      </c>
      <c r="E22" s="83">
        <v>78.667000000000002</v>
      </c>
      <c r="F22" s="83">
        <v>93.38300000000001</v>
      </c>
      <c r="G22" s="83">
        <v>124.64099999999999</v>
      </c>
      <c r="H22" s="83">
        <v>92.787999999999997</v>
      </c>
      <c r="I22" s="83">
        <v>77.564999999999998</v>
      </c>
      <c r="J22" s="83">
        <v>114.20700000000001</v>
      </c>
      <c r="K22" s="83">
        <v>101.453</v>
      </c>
      <c r="L22" s="83">
        <v>110.749</v>
      </c>
      <c r="M22" s="83">
        <v>81.254999999999995</v>
      </c>
      <c r="N22" s="83">
        <v>159.21100000000001</v>
      </c>
      <c r="O22" s="83">
        <v>99.803000000000011</v>
      </c>
      <c r="P22" s="83">
        <v>140.554</v>
      </c>
      <c r="Q22" s="83">
        <v>50.738</v>
      </c>
      <c r="R22" s="83">
        <v>95.733000000000018</v>
      </c>
      <c r="S22" s="83">
        <v>86.271000000000001</v>
      </c>
      <c r="T22" s="83">
        <v>132.601</v>
      </c>
      <c r="U22" s="83">
        <v>112.22499999999999</v>
      </c>
      <c r="V22" s="83">
        <v>93.681999999999988</v>
      </c>
      <c r="W22" s="83">
        <v>35.325000000000003</v>
      </c>
      <c r="X22" s="83">
        <v>60.803999999999995</v>
      </c>
      <c r="Y22" s="83">
        <v>102.89000000000001</v>
      </c>
      <c r="Z22" s="83">
        <v>122.611</v>
      </c>
      <c r="AA22" s="83">
        <v>87.5</v>
      </c>
      <c r="AB22" s="83">
        <v>104.301</v>
      </c>
      <c r="AC22" s="83">
        <v>68.295000000000002</v>
      </c>
      <c r="AD22" s="83">
        <v>106.54400000000001</v>
      </c>
      <c r="AE22" s="83">
        <v>83.293999999999983</v>
      </c>
      <c r="AF22" s="83">
        <v>104.33899999999998</v>
      </c>
      <c r="AG22" s="83">
        <v>97.355766666666625</v>
      </c>
    </row>
    <row r="23" spans="1:33" x14ac:dyDescent="0.3">
      <c r="A23" s="70" t="s">
        <v>761</v>
      </c>
      <c r="B23" s="83">
        <v>980.63899999999967</v>
      </c>
      <c r="C23" s="83">
        <v>886.50699999999961</v>
      </c>
      <c r="D23" s="83">
        <v>969.05700000000002</v>
      </c>
      <c r="E23" s="83">
        <v>827.50100000000009</v>
      </c>
      <c r="F23" s="83">
        <v>918.03399999999954</v>
      </c>
      <c r="G23" s="83">
        <v>952.50400000000025</v>
      </c>
      <c r="H23" s="83">
        <v>949.09900000000027</v>
      </c>
      <c r="I23" s="83">
        <v>668.25799999999981</v>
      </c>
      <c r="J23" s="83">
        <v>935.06500000000005</v>
      </c>
      <c r="K23" s="83">
        <v>743.77699999999993</v>
      </c>
      <c r="L23" s="83">
        <v>865.40199999999993</v>
      </c>
      <c r="M23" s="83">
        <v>1042.981</v>
      </c>
      <c r="N23" s="83">
        <v>847.78099999999972</v>
      </c>
      <c r="O23" s="83">
        <v>900.74599999999987</v>
      </c>
      <c r="P23" s="83">
        <v>801.4079999999999</v>
      </c>
      <c r="Q23" s="83">
        <v>834.97199999999987</v>
      </c>
      <c r="R23" s="83">
        <v>808.34100000000012</v>
      </c>
      <c r="S23" s="83">
        <v>782.88</v>
      </c>
      <c r="T23" s="83">
        <v>770.78500000000008</v>
      </c>
      <c r="U23" s="83">
        <v>883.03500000000042</v>
      </c>
      <c r="V23" s="83">
        <v>753.07200000000034</v>
      </c>
      <c r="W23" s="83">
        <v>997.99900000000025</v>
      </c>
      <c r="X23" s="83">
        <v>712.3520000000002</v>
      </c>
      <c r="Y23" s="83">
        <v>747.428</v>
      </c>
      <c r="Z23" s="83">
        <v>955.3119999999999</v>
      </c>
      <c r="AA23" s="83">
        <v>850.52099999999984</v>
      </c>
      <c r="AB23" s="83">
        <v>916.87699999999995</v>
      </c>
      <c r="AC23" s="83">
        <v>923.97099999999989</v>
      </c>
      <c r="AD23" s="83">
        <v>847.38399999999967</v>
      </c>
      <c r="AE23" s="83">
        <v>943.96199999999988</v>
      </c>
      <c r="AF23" s="83">
        <v>785.673</v>
      </c>
      <c r="AG23" s="83">
        <v>867.25499999999988</v>
      </c>
    </row>
    <row r="24" spans="1:33" x14ac:dyDescent="0.3">
      <c r="A24" s="70" t="s">
        <v>750</v>
      </c>
      <c r="B24" s="83">
        <v>39.620999999999995</v>
      </c>
      <c r="C24" s="83">
        <v>43.506999999999998</v>
      </c>
      <c r="D24" s="83">
        <v>44.674000000000007</v>
      </c>
      <c r="E24" s="83">
        <v>46.988</v>
      </c>
      <c r="F24" s="83">
        <v>31.82</v>
      </c>
      <c r="G24" s="83">
        <v>45.544999999999995</v>
      </c>
      <c r="H24" s="83">
        <v>45.673000000000002</v>
      </c>
      <c r="I24" s="83">
        <v>26.170999999999999</v>
      </c>
      <c r="J24" s="83">
        <v>48.956999999999994</v>
      </c>
      <c r="K24" s="83">
        <v>42.618000000000002</v>
      </c>
      <c r="L24" s="83">
        <v>31.499999999999996</v>
      </c>
      <c r="M24" s="83">
        <v>44.269000000000005</v>
      </c>
      <c r="N24" s="83">
        <v>41.073999999999998</v>
      </c>
      <c r="O24" s="83">
        <v>43.456000000000003</v>
      </c>
      <c r="P24" s="83">
        <v>41.043999999999997</v>
      </c>
      <c r="Q24" s="83">
        <v>54.298000000000002</v>
      </c>
      <c r="R24" s="83">
        <v>56.578000000000003</v>
      </c>
      <c r="S24" s="83">
        <v>35.007999999999996</v>
      </c>
      <c r="T24" s="83">
        <v>37.138999999999996</v>
      </c>
      <c r="U24" s="83">
        <v>45.241</v>
      </c>
      <c r="V24" s="83">
        <v>60.683</v>
      </c>
      <c r="W24" s="83">
        <v>37.149000000000001</v>
      </c>
      <c r="X24" s="83">
        <v>37.033000000000001</v>
      </c>
      <c r="Y24" s="83">
        <v>40.213000000000008</v>
      </c>
      <c r="Z24" s="83">
        <v>29.888000000000002</v>
      </c>
      <c r="AA24" s="83">
        <v>33.986999999999995</v>
      </c>
      <c r="AB24" s="83">
        <v>28.116000000000003</v>
      </c>
      <c r="AC24" s="83">
        <v>15.827000000000002</v>
      </c>
      <c r="AD24" s="83">
        <v>36.371000000000002</v>
      </c>
      <c r="AE24" s="83">
        <v>34.747</v>
      </c>
      <c r="AF24" s="83">
        <v>63.250999999999998</v>
      </c>
      <c r="AG24" s="83">
        <v>39.973166666666671</v>
      </c>
    </row>
    <row r="25" spans="1:33" x14ac:dyDescent="0.3">
      <c r="A25" s="70" t="s">
        <v>728</v>
      </c>
      <c r="B25" s="83">
        <v>95.483000000000004</v>
      </c>
      <c r="C25" s="83">
        <v>75.888999999999996</v>
      </c>
      <c r="D25" s="83">
        <v>95.846000000000018</v>
      </c>
      <c r="E25" s="83">
        <v>83.507000000000005</v>
      </c>
      <c r="F25" s="83">
        <v>80.998000000000019</v>
      </c>
      <c r="G25" s="83">
        <v>103.82600000000002</v>
      </c>
      <c r="H25" s="83">
        <v>85.407000000000011</v>
      </c>
      <c r="I25" s="83">
        <v>84.11</v>
      </c>
      <c r="J25" s="83">
        <v>76.613</v>
      </c>
      <c r="K25" s="83">
        <v>89.082000000000022</v>
      </c>
      <c r="L25" s="83">
        <v>118.711</v>
      </c>
      <c r="M25" s="83">
        <v>99.873000000000005</v>
      </c>
      <c r="N25" s="83">
        <v>120.45700000000001</v>
      </c>
      <c r="O25" s="83">
        <v>116.29399999999998</v>
      </c>
      <c r="P25" s="83">
        <v>98.242000000000004</v>
      </c>
      <c r="Q25" s="83">
        <v>109.151</v>
      </c>
      <c r="R25" s="83">
        <v>114.723</v>
      </c>
      <c r="S25" s="83">
        <v>118.56599999999999</v>
      </c>
      <c r="T25" s="83">
        <v>93.760999999999996</v>
      </c>
      <c r="U25" s="83">
        <v>71.828999999999994</v>
      </c>
      <c r="V25" s="83">
        <v>87.461999999999989</v>
      </c>
      <c r="W25" s="83">
        <v>96.89800000000001</v>
      </c>
      <c r="X25" s="83">
        <v>76.492999999999995</v>
      </c>
      <c r="Y25" s="83">
        <v>110.31200000000001</v>
      </c>
      <c r="Z25" s="83">
        <v>89.51</v>
      </c>
      <c r="AA25" s="83">
        <v>125.30699999999999</v>
      </c>
      <c r="AB25" s="83">
        <v>77.660999999999987</v>
      </c>
      <c r="AC25" s="83">
        <v>89.532000000000011</v>
      </c>
      <c r="AD25" s="83">
        <v>99.69</v>
      </c>
      <c r="AE25" s="83">
        <v>86.665999999999997</v>
      </c>
      <c r="AF25" s="83">
        <v>102.17099999999999</v>
      </c>
      <c r="AG25" s="83">
        <v>95.729966666666684</v>
      </c>
    </row>
    <row r="26" spans="1:33" x14ac:dyDescent="0.3">
      <c r="A26" s="70" t="s">
        <v>774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3.3730000000000002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2.0139999999999998</v>
      </c>
      <c r="W26" s="83">
        <v>0</v>
      </c>
      <c r="X26" s="83">
        <v>0</v>
      </c>
      <c r="Y26" s="83">
        <v>0</v>
      </c>
      <c r="Z26" s="83">
        <v>3.3940000000000001</v>
      </c>
      <c r="AA26" s="83">
        <v>0</v>
      </c>
      <c r="AB26" s="83">
        <v>0</v>
      </c>
      <c r="AC26" s="83">
        <v>0</v>
      </c>
      <c r="AD26" s="83">
        <v>0</v>
      </c>
      <c r="AE26" s="83">
        <v>0</v>
      </c>
      <c r="AF26" s="83">
        <v>0</v>
      </c>
      <c r="AG26" s="83">
        <v>0.29270000000000002</v>
      </c>
    </row>
    <row r="27" spans="1:33" x14ac:dyDescent="0.3">
      <c r="A27" s="70" t="s">
        <v>772</v>
      </c>
      <c r="B27" s="83">
        <v>14.577</v>
      </c>
      <c r="C27" s="83">
        <v>31.95</v>
      </c>
      <c r="D27" s="83">
        <v>23.91</v>
      </c>
      <c r="E27" s="83">
        <v>32.22</v>
      </c>
      <c r="F27" s="83">
        <v>24.93</v>
      </c>
      <c r="G27" s="83">
        <v>30.38</v>
      </c>
      <c r="H27" s="83">
        <v>21.28</v>
      </c>
      <c r="I27" s="83">
        <v>24.949999999999996</v>
      </c>
      <c r="J27" s="83">
        <v>56.745999999999995</v>
      </c>
      <c r="K27" s="83">
        <v>32.49</v>
      </c>
      <c r="L27" s="83">
        <v>36.626999999999995</v>
      </c>
      <c r="M27" s="83">
        <v>22.229999999999997</v>
      </c>
      <c r="N27" s="83">
        <v>11.21</v>
      </c>
      <c r="O27" s="83">
        <v>19.722000000000001</v>
      </c>
      <c r="P27" s="83">
        <v>68.034000000000006</v>
      </c>
      <c r="Q27" s="83">
        <v>9.6810000000000009</v>
      </c>
      <c r="R27" s="83">
        <v>41.351999999999997</v>
      </c>
      <c r="S27" s="83">
        <v>0</v>
      </c>
      <c r="T27" s="83">
        <v>4.6040000000000001</v>
      </c>
      <c r="U27" s="83">
        <v>0</v>
      </c>
      <c r="V27" s="83">
        <v>0</v>
      </c>
      <c r="W27" s="83">
        <v>4.26</v>
      </c>
      <c r="X27" s="83">
        <v>5.84</v>
      </c>
      <c r="Y27" s="83">
        <v>0</v>
      </c>
      <c r="Z27" s="83">
        <v>2.371</v>
      </c>
      <c r="AA27" s="83">
        <v>0</v>
      </c>
      <c r="AB27" s="83">
        <v>0</v>
      </c>
      <c r="AC27" s="83">
        <v>7.468</v>
      </c>
      <c r="AD27" s="83">
        <v>0</v>
      </c>
      <c r="AE27" s="83">
        <v>0</v>
      </c>
      <c r="AF27" s="83">
        <v>0</v>
      </c>
      <c r="AG27" s="83">
        <v>17.561066666666665</v>
      </c>
    </row>
    <row r="28" spans="1:33" x14ac:dyDescent="0.3">
      <c r="A28" s="70" t="s">
        <v>745</v>
      </c>
      <c r="B28" s="83">
        <v>38.466999999999992</v>
      </c>
      <c r="C28" s="83">
        <v>192.876</v>
      </c>
      <c r="D28" s="83">
        <v>75.477000000000004</v>
      </c>
      <c r="E28" s="83">
        <v>123.559</v>
      </c>
      <c r="F28" s="83">
        <v>149.90500000000003</v>
      </c>
      <c r="G28" s="83">
        <v>91.74199999999999</v>
      </c>
      <c r="H28" s="83">
        <v>52.097999999999999</v>
      </c>
      <c r="I28" s="83">
        <v>88.64</v>
      </c>
      <c r="J28" s="83">
        <v>133.976</v>
      </c>
      <c r="K28" s="83">
        <v>95.609000000000009</v>
      </c>
      <c r="L28" s="83">
        <v>185.04599999999999</v>
      </c>
      <c r="M28" s="83">
        <v>73.426999999999992</v>
      </c>
      <c r="N28" s="83">
        <v>116.523</v>
      </c>
      <c r="O28" s="83">
        <v>114.43499999999999</v>
      </c>
      <c r="P28" s="83">
        <v>100.51300000000001</v>
      </c>
      <c r="Q28" s="83">
        <v>74.829000000000008</v>
      </c>
      <c r="R28" s="83">
        <v>109.38000000000001</v>
      </c>
      <c r="S28" s="83">
        <v>89.656000000000006</v>
      </c>
      <c r="T28" s="83">
        <v>120.611</v>
      </c>
      <c r="U28" s="83">
        <v>97.632000000000005</v>
      </c>
      <c r="V28" s="83">
        <v>140.08600000000001</v>
      </c>
      <c r="W28" s="83">
        <v>108.292</v>
      </c>
      <c r="X28" s="83">
        <v>88.056999999999988</v>
      </c>
      <c r="Y28" s="83">
        <v>86.147000000000006</v>
      </c>
      <c r="Z28" s="83">
        <v>54.607999999999997</v>
      </c>
      <c r="AA28" s="83">
        <v>79.709000000000003</v>
      </c>
      <c r="AB28" s="83">
        <v>75.076999999999998</v>
      </c>
      <c r="AC28" s="83">
        <v>123.27</v>
      </c>
      <c r="AD28" s="83">
        <v>159.065</v>
      </c>
      <c r="AE28" s="83">
        <v>122.18899999999998</v>
      </c>
      <c r="AF28" s="83">
        <v>104.801</v>
      </c>
      <c r="AG28" s="83">
        <v>105.36336666666666</v>
      </c>
    </row>
    <row r="29" spans="1:33" x14ac:dyDescent="0.3">
      <c r="A29" s="70" t="s">
        <v>746</v>
      </c>
      <c r="B29" s="83">
        <v>20.442999999999998</v>
      </c>
      <c r="C29" s="83">
        <v>8.6590000000000007</v>
      </c>
      <c r="D29" s="83">
        <v>19.236000000000001</v>
      </c>
      <c r="E29" s="83">
        <v>19.78</v>
      </c>
      <c r="F29" s="83">
        <v>27.106999999999996</v>
      </c>
      <c r="G29" s="83">
        <v>29.581999999999994</v>
      </c>
      <c r="H29" s="83">
        <v>14.087</v>
      </c>
      <c r="I29" s="83">
        <v>21.588000000000001</v>
      </c>
      <c r="J29" s="83">
        <v>26.08</v>
      </c>
      <c r="K29" s="83">
        <v>7.1069999999999993</v>
      </c>
      <c r="L29" s="83">
        <v>29.303000000000001</v>
      </c>
      <c r="M29" s="83">
        <v>39.262999999999998</v>
      </c>
      <c r="N29" s="83">
        <v>19.067</v>
      </c>
      <c r="O29" s="83">
        <v>30.021999999999998</v>
      </c>
      <c r="P29" s="83">
        <v>10.198</v>
      </c>
      <c r="Q29" s="83">
        <v>26.945</v>
      </c>
      <c r="R29" s="83">
        <v>47.338999999999999</v>
      </c>
      <c r="S29" s="83">
        <v>45.048999999999999</v>
      </c>
      <c r="T29" s="83">
        <v>26.670999999999999</v>
      </c>
      <c r="U29" s="83">
        <v>27.744</v>
      </c>
      <c r="V29" s="83">
        <v>24.436</v>
      </c>
      <c r="W29" s="83">
        <v>23.459999999999997</v>
      </c>
      <c r="X29" s="83">
        <v>26.565000000000001</v>
      </c>
      <c r="Y29" s="83">
        <v>21.799000000000003</v>
      </c>
      <c r="Z29" s="83">
        <v>13.382999999999999</v>
      </c>
      <c r="AA29" s="83">
        <v>11.18</v>
      </c>
      <c r="AB29" s="83">
        <v>27.364000000000001</v>
      </c>
      <c r="AC29" s="83">
        <v>37.013999999999996</v>
      </c>
      <c r="AD29" s="83">
        <v>16.350999999999999</v>
      </c>
      <c r="AE29" s="83">
        <v>29.519999999999996</v>
      </c>
      <c r="AF29" s="83">
        <v>19.695</v>
      </c>
      <c r="AG29" s="83">
        <v>24.211400000000001</v>
      </c>
    </row>
    <row r="30" spans="1:33" x14ac:dyDescent="0.3">
      <c r="A30" s="70" t="s">
        <v>747</v>
      </c>
      <c r="B30" s="83">
        <v>142.76400000000001</v>
      </c>
      <c r="C30" s="83">
        <v>171.05700000000002</v>
      </c>
      <c r="D30" s="83">
        <v>235.49599999999998</v>
      </c>
      <c r="E30" s="83">
        <v>201.37799999999999</v>
      </c>
      <c r="F30" s="83">
        <v>171.048</v>
      </c>
      <c r="G30" s="83">
        <v>188.97100000000003</v>
      </c>
      <c r="H30" s="83">
        <v>211.30600000000001</v>
      </c>
      <c r="I30" s="83">
        <v>218.32300000000004</v>
      </c>
      <c r="J30" s="83">
        <v>227.77699999999999</v>
      </c>
      <c r="K30" s="83">
        <v>292.91900000000004</v>
      </c>
      <c r="L30" s="83">
        <v>254.40699999999995</v>
      </c>
      <c r="M30" s="83">
        <v>236.58199999999999</v>
      </c>
      <c r="N30" s="83">
        <v>250.19699999999995</v>
      </c>
      <c r="O30" s="83">
        <v>267.88000000000005</v>
      </c>
      <c r="P30" s="83">
        <v>231.51000000000002</v>
      </c>
      <c r="Q30" s="83">
        <v>214.27599999999995</v>
      </c>
      <c r="R30" s="83">
        <v>286.15999999999997</v>
      </c>
      <c r="S30" s="83">
        <v>234.27800000000002</v>
      </c>
      <c r="T30" s="83">
        <v>297.51199999999994</v>
      </c>
      <c r="U30" s="83">
        <v>263.06700000000001</v>
      </c>
      <c r="V30" s="83">
        <v>218.62999999999997</v>
      </c>
      <c r="W30" s="83">
        <v>280.81700000000001</v>
      </c>
      <c r="X30" s="83">
        <v>249.18400000000005</v>
      </c>
      <c r="Y30" s="83">
        <v>336.84600000000006</v>
      </c>
      <c r="Z30" s="83">
        <v>224.72900000000004</v>
      </c>
      <c r="AA30" s="83">
        <v>224.83700000000005</v>
      </c>
      <c r="AB30" s="83">
        <v>287.03599999999994</v>
      </c>
      <c r="AC30" s="83">
        <v>293.09599999999995</v>
      </c>
      <c r="AD30" s="83">
        <v>222.90799999999999</v>
      </c>
      <c r="AE30" s="83">
        <v>212.82499999999999</v>
      </c>
      <c r="AF30" s="83">
        <v>269.33299999999997</v>
      </c>
      <c r="AG30" s="83">
        <v>238.26053333333331</v>
      </c>
    </row>
    <row r="31" spans="1:33" x14ac:dyDescent="0.3">
      <c r="A31" s="70" t="s">
        <v>755</v>
      </c>
      <c r="B31" s="83">
        <v>271.95499999999993</v>
      </c>
      <c r="C31" s="83">
        <v>160.51899999999995</v>
      </c>
      <c r="D31" s="83">
        <v>189.72300000000001</v>
      </c>
      <c r="E31" s="83">
        <v>204.07900000000004</v>
      </c>
      <c r="F31" s="83">
        <v>165.46199999999999</v>
      </c>
      <c r="G31" s="83">
        <v>171.92599999999999</v>
      </c>
      <c r="H31" s="83">
        <v>218.43200000000002</v>
      </c>
      <c r="I31" s="83">
        <v>168.52399999999997</v>
      </c>
      <c r="J31" s="83">
        <v>193.94899999999998</v>
      </c>
      <c r="K31" s="83">
        <v>199.56599999999992</v>
      </c>
      <c r="L31" s="83">
        <v>189.75599999999997</v>
      </c>
      <c r="M31" s="83">
        <v>194.14199999999997</v>
      </c>
      <c r="N31" s="83">
        <v>165.92699999999996</v>
      </c>
      <c r="O31" s="83">
        <v>181.66800000000003</v>
      </c>
      <c r="P31" s="83">
        <v>158.85300000000004</v>
      </c>
      <c r="Q31" s="83">
        <v>190.48100000000005</v>
      </c>
      <c r="R31" s="83">
        <v>187.18300000000005</v>
      </c>
      <c r="S31" s="83">
        <v>211.357</v>
      </c>
      <c r="T31" s="83">
        <v>125.45600000000003</v>
      </c>
      <c r="U31" s="83">
        <v>166.62700000000007</v>
      </c>
      <c r="V31" s="83">
        <v>192.08400000000003</v>
      </c>
      <c r="W31" s="83">
        <v>169.75700000000003</v>
      </c>
      <c r="X31" s="83">
        <v>179.90400000000002</v>
      </c>
      <c r="Y31" s="83">
        <v>156.17900000000009</v>
      </c>
      <c r="Z31" s="83">
        <v>181.71199999999999</v>
      </c>
      <c r="AA31" s="83">
        <v>166.97899999999998</v>
      </c>
      <c r="AB31" s="83">
        <v>123.46699999999998</v>
      </c>
      <c r="AC31" s="83">
        <v>182.13</v>
      </c>
      <c r="AD31" s="83">
        <v>196.33900000000003</v>
      </c>
      <c r="AE31" s="83">
        <v>120.22500000000001</v>
      </c>
      <c r="AF31" s="83">
        <v>138.33099999999999</v>
      </c>
      <c r="AG31" s="83">
        <v>179.4787</v>
      </c>
    </row>
    <row r="32" spans="1:33" x14ac:dyDescent="0.3">
      <c r="A32" s="70" t="s">
        <v>771</v>
      </c>
      <c r="B32" s="83">
        <v>118.55500000000001</v>
      </c>
      <c r="C32" s="83">
        <v>478.79500000000002</v>
      </c>
      <c r="D32" s="83">
        <v>475.125</v>
      </c>
      <c r="E32" s="83">
        <v>509.90499999999997</v>
      </c>
      <c r="F32" s="83">
        <v>407.52499999999998</v>
      </c>
      <c r="G32" s="83">
        <v>480.40999999999997</v>
      </c>
      <c r="H32" s="83">
        <v>293.84000000000003</v>
      </c>
      <c r="I32" s="83">
        <v>181.52</v>
      </c>
      <c r="J32" s="83">
        <v>427.93</v>
      </c>
      <c r="K32" s="83">
        <v>525.64499999999987</v>
      </c>
      <c r="L32" s="83">
        <v>588.39</v>
      </c>
      <c r="M32" s="83">
        <v>633.07000000000005</v>
      </c>
      <c r="N32" s="83">
        <v>548.13599999999997</v>
      </c>
      <c r="O32" s="83">
        <v>176.71</v>
      </c>
      <c r="P32" s="83">
        <v>128.48499999999999</v>
      </c>
      <c r="Q32" s="83">
        <v>493.48500000000001</v>
      </c>
      <c r="R32" s="83">
        <v>649.14</v>
      </c>
      <c r="S32" s="83">
        <v>617.45000000000005</v>
      </c>
      <c r="T32" s="83">
        <v>620.5</v>
      </c>
      <c r="U32" s="83">
        <v>558.2650000000001</v>
      </c>
      <c r="V32" s="83">
        <v>217.10499999999999</v>
      </c>
      <c r="W32" s="83">
        <v>157.70499999999998</v>
      </c>
      <c r="X32" s="83">
        <v>524.54</v>
      </c>
      <c r="Y32" s="83">
        <v>360.44400000000002</v>
      </c>
      <c r="Z32" s="83">
        <v>277.57500000000005</v>
      </c>
      <c r="AA32" s="83">
        <v>312.51</v>
      </c>
      <c r="AB32" s="83">
        <v>430.19</v>
      </c>
      <c r="AC32" s="83">
        <v>214.94499999999999</v>
      </c>
      <c r="AD32" s="83">
        <v>274.78999999999996</v>
      </c>
      <c r="AE32" s="83">
        <v>406.30499999999995</v>
      </c>
      <c r="AF32" s="83">
        <v>370.84499999999997</v>
      </c>
      <c r="AG32" s="83">
        <v>402.96633333333341</v>
      </c>
    </row>
    <row r="33" spans="1:33" x14ac:dyDescent="0.3">
      <c r="A33" s="70" t="s">
        <v>760</v>
      </c>
      <c r="B33" s="83">
        <v>80.003999999999991</v>
      </c>
      <c r="C33" s="83">
        <v>77.478000000000009</v>
      </c>
      <c r="D33" s="83">
        <v>86.539000000000001</v>
      </c>
      <c r="E33" s="83">
        <v>80.911999999999978</v>
      </c>
      <c r="F33" s="83">
        <v>74.783999999999992</v>
      </c>
      <c r="G33" s="83">
        <v>58.152000000000001</v>
      </c>
      <c r="H33" s="83">
        <v>102.76900000000001</v>
      </c>
      <c r="I33" s="83">
        <v>98.556000000000012</v>
      </c>
      <c r="J33" s="83">
        <v>42.540000000000006</v>
      </c>
      <c r="K33" s="83">
        <v>90.18</v>
      </c>
      <c r="L33" s="83">
        <v>70.885999999999996</v>
      </c>
      <c r="M33" s="83">
        <v>119.101</v>
      </c>
      <c r="N33" s="83">
        <v>102.19900000000001</v>
      </c>
      <c r="O33" s="83">
        <v>105.23400000000001</v>
      </c>
      <c r="P33" s="83">
        <v>108.14400000000001</v>
      </c>
      <c r="Q33" s="83">
        <v>176.17100000000005</v>
      </c>
      <c r="R33" s="83">
        <v>184.82300000000004</v>
      </c>
      <c r="S33" s="83">
        <v>196.61199999999999</v>
      </c>
      <c r="T33" s="83">
        <v>127.38999999999999</v>
      </c>
      <c r="U33" s="83">
        <v>159.07200000000003</v>
      </c>
      <c r="V33" s="83">
        <v>129.33199999999999</v>
      </c>
      <c r="W33" s="83">
        <v>179.202</v>
      </c>
      <c r="X33" s="83">
        <v>137.05500000000001</v>
      </c>
      <c r="Y33" s="83">
        <v>69.492999999999995</v>
      </c>
      <c r="Z33" s="83">
        <v>110.68</v>
      </c>
      <c r="AA33" s="83">
        <v>55.561999999999998</v>
      </c>
      <c r="AB33" s="83">
        <v>115.321</v>
      </c>
      <c r="AC33" s="83">
        <v>82.928999999999988</v>
      </c>
      <c r="AD33" s="83">
        <v>156.95399999999998</v>
      </c>
      <c r="AE33" s="83">
        <v>117.21299999999998</v>
      </c>
      <c r="AF33" s="83">
        <v>90.86099999999999</v>
      </c>
      <c r="AG33" s="83">
        <v>109.8429</v>
      </c>
    </row>
    <row r="34" spans="1:33" x14ac:dyDescent="0.3">
      <c r="A34" s="70" t="s">
        <v>742</v>
      </c>
      <c r="B34" s="83">
        <v>142.29400000000001</v>
      </c>
      <c r="C34" s="83">
        <v>101.36</v>
      </c>
      <c r="D34" s="83">
        <v>154.06600000000003</v>
      </c>
      <c r="E34" s="83">
        <v>251.88</v>
      </c>
      <c r="F34" s="83">
        <v>117.52600000000001</v>
      </c>
      <c r="G34" s="83">
        <v>247.30700000000002</v>
      </c>
      <c r="H34" s="83">
        <v>111.97199999999999</v>
      </c>
      <c r="I34" s="83">
        <v>123.34299999999999</v>
      </c>
      <c r="J34" s="83">
        <v>199.40299999999999</v>
      </c>
      <c r="K34" s="83">
        <v>195.81399999999999</v>
      </c>
      <c r="L34" s="83">
        <v>113.699</v>
      </c>
      <c r="M34" s="83">
        <v>133.548</v>
      </c>
      <c r="N34" s="83">
        <v>197.01299999999998</v>
      </c>
      <c r="O34" s="83">
        <v>117.19799999999999</v>
      </c>
      <c r="P34" s="83">
        <v>78.986999999999995</v>
      </c>
      <c r="Q34" s="83">
        <v>98.272000000000006</v>
      </c>
      <c r="R34" s="83">
        <v>232.31</v>
      </c>
      <c r="S34" s="83">
        <v>82.02500000000002</v>
      </c>
      <c r="T34" s="83">
        <v>215.75899999999999</v>
      </c>
      <c r="U34" s="83">
        <v>121.736</v>
      </c>
      <c r="V34" s="83">
        <v>29.953999999999997</v>
      </c>
      <c r="W34" s="83">
        <v>109.59200000000001</v>
      </c>
      <c r="X34" s="83">
        <v>141.489</v>
      </c>
      <c r="Y34" s="83">
        <v>76.316000000000003</v>
      </c>
      <c r="Z34" s="83">
        <v>41.921999999999997</v>
      </c>
      <c r="AA34" s="83">
        <v>74.403999999999996</v>
      </c>
      <c r="AB34" s="83">
        <v>93.341999999999999</v>
      </c>
      <c r="AC34" s="83">
        <v>122.13800000000001</v>
      </c>
      <c r="AD34" s="83">
        <v>108.44</v>
      </c>
      <c r="AE34" s="83">
        <v>138.54599999999999</v>
      </c>
      <c r="AF34" s="83">
        <v>99.901999999999987</v>
      </c>
      <c r="AG34" s="83">
        <v>132.38849999999999</v>
      </c>
    </row>
    <row r="35" spans="1:33" x14ac:dyDescent="0.3">
      <c r="A35" s="70" t="s">
        <v>770</v>
      </c>
      <c r="B35" s="83">
        <v>220.71300000000002</v>
      </c>
      <c r="C35" s="83">
        <v>192.93600000000004</v>
      </c>
      <c r="D35" s="83">
        <v>238.58100000000002</v>
      </c>
      <c r="E35" s="83">
        <v>190.45500000000004</v>
      </c>
      <c r="F35" s="83">
        <v>199.72000000000003</v>
      </c>
      <c r="G35" s="83">
        <v>200.21699999999998</v>
      </c>
      <c r="H35" s="83">
        <v>197.328</v>
      </c>
      <c r="I35" s="83">
        <v>193.16299999999995</v>
      </c>
      <c r="J35" s="83">
        <v>183.19800000000001</v>
      </c>
      <c r="K35" s="83">
        <v>156.66599999999997</v>
      </c>
      <c r="L35" s="83">
        <v>200.70100000000005</v>
      </c>
      <c r="M35" s="83">
        <v>193.86200000000002</v>
      </c>
      <c r="N35" s="83">
        <v>188.202</v>
      </c>
      <c r="O35" s="83">
        <v>191.55700000000002</v>
      </c>
      <c r="P35" s="83">
        <v>157.27000000000004</v>
      </c>
      <c r="Q35" s="83">
        <v>177.113</v>
      </c>
      <c r="R35" s="83">
        <v>231.51600000000002</v>
      </c>
      <c r="S35" s="83">
        <v>169.71299999999999</v>
      </c>
      <c r="T35" s="83">
        <v>219.66999999999996</v>
      </c>
      <c r="U35" s="83">
        <v>153.06399999999996</v>
      </c>
      <c r="V35" s="83">
        <v>174.54599999999996</v>
      </c>
      <c r="W35" s="83">
        <v>167.04299999999998</v>
      </c>
      <c r="X35" s="83">
        <v>182.09699999999998</v>
      </c>
      <c r="Y35" s="83">
        <v>139.035</v>
      </c>
      <c r="Z35" s="83">
        <v>146.27799999999999</v>
      </c>
      <c r="AA35" s="83">
        <v>156.30499999999998</v>
      </c>
      <c r="AB35" s="83">
        <v>159.10300000000001</v>
      </c>
      <c r="AC35" s="83">
        <v>213.38499999999996</v>
      </c>
      <c r="AD35" s="83">
        <v>155.70399999999998</v>
      </c>
      <c r="AE35" s="83">
        <v>148.88999999999999</v>
      </c>
      <c r="AF35" s="83">
        <v>142.28399999999999</v>
      </c>
      <c r="AG35" s="83">
        <v>183.26769999999999</v>
      </c>
    </row>
    <row r="36" spans="1:33" x14ac:dyDescent="0.3">
      <c r="A36" s="70" t="s">
        <v>748</v>
      </c>
      <c r="B36" s="83">
        <v>119.51100000000001</v>
      </c>
      <c r="C36" s="83">
        <v>142.429</v>
      </c>
      <c r="D36" s="83">
        <v>146.411</v>
      </c>
      <c r="E36" s="83">
        <v>175.24700000000001</v>
      </c>
      <c r="F36" s="83">
        <v>124.746</v>
      </c>
      <c r="G36" s="83">
        <v>162.30500000000001</v>
      </c>
      <c r="H36" s="83">
        <v>164.20599999999996</v>
      </c>
      <c r="I36" s="83">
        <v>125.49899999999998</v>
      </c>
      <c r="J36" s="83">
        <v>96.285999999999973</v>
      </c>
      <c r="K36" s="83">
        <v>139.79299999999998</v>
      </c>
      <c r="L36" s="83">
        <v>150.34800000000001</v>
      </c>
      <c r="M36" s="83">
        <v>183.36699999999999</v>
      </c>
      <c r="N36" s="83">
        <v>156.94700000000003</v>
      </c>
      <c r="O36" s="83">
        <v>123.27500000000001</v>
      </c>
      <c r="P36" s="83">
        <v>90.929999999999993</v>
      </c>
      <c r="Q36" s="83">
        <v>63.327000000000005</v>
      </c>
      <c r="R36" s="83">
        <v>133.01300000000001</v>
      </c>
      <c r="S36" s="83">
        <v>152.11599999999999</v>
      </c>
      <c r="T36" s="83">
        <v>88.570000000000007</v>
      </c>
      <c r="U36" s="83">
        <v>120.343</v>
      </c>
      <c r="V36" s="83">
        <v>111.52800000000001</v>
      </c>
      <c r="W36" s="83">
        <v>75.176999999999992</v>
      </c>
      <c r="X36" s="83">
        <v>60.009999999999991</v>
      </c>
      <c r="Y36" s="83">
        <v>56.195</v>
      </c>
      <c r="Z36" s="83">
        <v>86.51700000000001</v>
      </c>
      <c r="AA36" s="83">
        <v>81.242999999999995</v>
      </c>
      <c r="AB36" s="83">
        <v>86.972000000000008</v>
      </c>
      <c r="AC36" s="83">
        <v>61.876000000000005</v>
      </c>
      <c r="AD36" s="83">
        <v>118.363</v>
      </c>
      <c r="AE36" s="83">
        <v>71.369</v>
      </c>
      <c r="AF36" s="83">
        <v>83.430999999999997</v>
      </c>
      <c r="AG36" s="83">
        <v>115.5973</v>
      </c>
    </row>
    <row r="37" spans="1:33" x14ac:dyDescent="0.3">
      <c r="A37" s="70" t="s">
        <v>722</v>
      </c>
      <c r="B37" s="83">
        <v>26.199000000000002</v>
      </c>
      <c r="C37" s="83">
        <v>15.148999999999999</v>
      </c>
      <c r="D37" s="83">
        <v>17.485000000000003</v>
      </c>
      <c r="E37" s="83">
        <v>29.137999999999998</v>
      </c>
      <c r="F37" s="83">
        <v>12.343999999999999</v>
      </c>
      <c r="G37" s="83">
        <v>14.391999999999999</v>
      </c>
      <c r="H37" s="83">
        <v>21.064</v>
      </c>
      <c r="I37" s="83">
        <v>5.1430000000000007</v>
      </c>
      <c r="J37" s="83">
        <v>23.747</v>
      </c>
      <c r="K37" s="83">
        <v>14.38</v>
      </c>
      <c r="L37" s="83">
        <v>4.7850000000000001</v>
      </c>
      <c r="M37" s="83">
        <v>8.85</v>
      </c>
      <c r="N37" s="83">
        <v>16.952000000000002</v>
      </c>
      <c r="O37" s="83">
        <v>22.113999999999997</v>
      </c>
      <c r="P37" s="83">
        <v>14.488</v>
      </c>
      <c r="Q37" s="83">
        <v>13.932</v>
      </c>
      <c r="R37" s="83">
        <v>8.7520000000000007</v>
      </c>
      <c r="S37" s="83">
        <v>12.744</v>
      </c>
      <c r="T37" s="83">
        <v>7.5589999999999993</v>
      </c>
      <c r="U37" s="83">
        <v>10.331</v>
      </c>
      <c r="V37" s="83">
        <v>17.558</v>
      </c>
      <c r="W37" s="83">
        <v>12.965</v>
      </c>
      <c r="X37" s="83">
        <v>8.5120000000000005</v>
      </c>
      <c r="Y37" s="83">
        <v>7.484</v>
      </c>
      <c r="Z37" s="83">
        <v>20.413</v>
      </c>
      <c r="AA37" s="83">
        <v>10.248000000000001</v>
      </c>
      <c r="AB37" s="83">
        <v>9.4390000000000001</v>
      </c>
      <c r="AC37" s="83">
        <v>6.0619999999999994</v>
      </c>
      <c r="AD37" s="83">
        <v>14.048</v>
      </c>
      <c r="AE37" s="83">
        <v>11.205000000000002</v>
      </c>
      <c r="AF37" s="83">
        <v>1.38</v>
      </c>
      <c r="AG37" s="83">
        <v>13.916066666666667</v>
      </c>
    </row>
    <row r="38" spans="1:33" x14ac:dyDescent="0.3">
      <c r="A38" s="70" t="s">
        <v>762</v>
      </c>
      <c r="B38" s="83">
        <v>149.09700000000001</v>
      </c>
      <c r="C38" s="83">
        <v>113.873</v>
      </c>
      <c r="D38" s="83">
        <v>203.85999999999999</v>
      </c>
      <c r="E38" s="83">
        <v>215.72199999999998</v>
      </c>
      <c r="F38" s="83">
        <v>209.399</v>
      </c>
      <c r="G38" s="83">
        <v>209.57499999999999</v>
      </c>
      <c r="H38" s="83">
        <v>217.21199999999996</v>
      </c>
      <c r="I38" s="83">
        <v>117.453</v>
      </c>
      <c r="J38" s="83">
        <v>109.187</v>
      </c>
      <c r="K38" s="83">
        <v>247.97499999999999</v>
      </c>
      <c r="L38" s="83">
        <v>183.84199999999998</v>
      </c>
      <c r="M38" s="83">
        <v>200.26300000000003</v>
      </c>
      <c r="N38" s="83">
        <v>162.16899999999995</v>
      </c>
      <c r="O38" s="83">
        <v>172.15100000000004</v>
      </c>
      <c r="P38" s="83">
        <v>155.221</v>
      </c>
      <c r="Q38" s="83">
        <v>87.823999999999998</v>
      </c>
      <c r="R38" s="83">
        <v>198.95300000000003</v>
      </c>
      <c r="S38" s="83">
        <v>135.09399999999999</v>
      </c>
      <c r="T38" s="83">
        <v>166.60000000000002</v>
      </c>
      <c r="U38" s="83">
        <v>155.35000000000002</v>
      </c>
      <c r="V38" s="83">
        <v>155.36799999999999</v>
      </c>
      <c r="W38" s="83">
        <v>146.09000000000003</v>
      </c>
      <c r="X38" s="83">
        <v>57.559999999999995</v>
      </c>
      <c r="Y38" s="83">
        <v>198.04399999999998</v>
      </c>
      <c r="Z38" s="83">
        <v>220.23600000000005</v>
      </c>
      <c r="AA38" s="83">
        <v>132.88999999999999</v>
      </c>
      <c r="AB38" s="83">
        <v>144.51399999999998</v>
      </c>
      <c r="AC38" s="83">
        <v>186.59000000000003</v>
      </c>
      <c r="AD38" s="83">
        <v>109.11899999999999</v>
      </c>
      <c r="AE38" s="83">
        <v>104.74799999999999</v>
      </c>
      <c r="AF38" s="83">
        <v>135.773</v>
      </c>
      <c r="AG38" s="83">
        <v>162.19929999999997</v>
      </c>
    </row>
    <row r="39" spans="1:33" x14ac:dyDescent="0.3">
      <c r="A39" s="70" t="s">
        <v>736</v>
      </c>
      <c r="B39" s="83">
        <v>0</v>
      </c>
      <c r="C39" s="83">
        <v>2.0750000000000002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0.13800000000000001</v>
      </c>
      <c r="L39" s="83">
        <v>2.173</v>
      </c>
      <c r="M39" s="83">
        <v>0</v>
      </c>
      <c r="N39" s="83">
        <v>0</v>
      </c>
      <c r="O39" s="83">
        <v>0</v>
      </c>
      <c r="P39" s="83">
        <v>1.677</v>
      </c>
      <c r="Q39" s="83">
        <v>0</v>
      </c>
      <c r="R39" s="83">
        <v>0</v>
      </c>
      <c r="S39" s="83">
        <v>0</v>
      </c>
      <c r="T39" s="83">
        <v>2.4279999999999999</v>
      </c>
      <c r="U39" s="83">
        <v>0</v>
      </c>
      <c r="V39" s="83">
        <v>2.109</v>
      </c>
      <c r="W39" s="83">
        <v>0</v>
      </c>
      <c r="X39" s="83">
        <v>0</v>
      </c>
      <c r="Y39" s="83">
        <v>0</v>
      </c>
      <c r="Z39" s="83">
        <v>0</v>
      </c>
      <c r="AA39" s="83">
        <v>2.2589999999999999</v>
      </c>
      <c r="AB39" s="83">
        <v>0</v>
      </c>
      <c r="AC39" s="83">
        <v>0</v>
      </c>
      <c r="AD39" s="83">
        <v>0</v>
      </c>
      <c r="AE39" s="83">
        <v>0</v>
      </c>
      <c r="AF39" s="83">
        <v>0</v>
      </c>
      <c r="AG39" s="83">
        <v>0.42863333333333331</v>
      </c>
    </row>
    <row r="40" spans="1:33" x14ac:dyDescent="0.3">
      <c r="A40" s="70" t="s">
        <v>768</v>
      </c>
      <c r="B40" s="83">
        <v>107.65299999999999</v>
      </c>
      <c r="C40" s="83">
        <v>53.792999999999999</v>
      </c>
      <c r="D40" s="83">
        <v>90.734999999999985</v>
      </c>
      <c r="E40" s="83">
        <v>107.73299999999999</v>
      </c>
      <c r="F40" s="83">
        <v>114.41200000000001</v>
      </c>
      <c r="G40" s="83">
        <v>93.738</v>
      </c>
      <c r="H40" s="83">
        <v>90.06</v>
      </c>
      <c r="I40" s="83">
        <v>94.364000000000004</v>
      </c>
      <c r="J40" s="83">
        <v>78.415999999999997</v>
      </c>
      <c r="K40" s="83">
        <v>91.204999999999998</v>
      </c>
      <c r="L40" s="83">
        <v>86.270999999999987</v>
      </c>
      <c r="M40" s="83">
        <v>77.385000000000005</v>
      </c>
      <c r="N40" s="83">
        <v>108.88999999999999</v>
      </c>
      <c r="O40" s="83">
        <v>65.955000000000013</v>
      </c>
      <c r="P40" s="83">
        <v>79.857999999999976</v>
      </c>
      <c r="Q40" s="83">
        <v>75.046999999999997</v>
      </c>
      <c r="R40" s="83">
        <v>109.03299999999999</v>
      </c>
      <c r="S40" s="83">
        <v>95.061999999999983</v>
      </c>
      <c r="T40" s="83">
        <v>104.126</v>
      </c>
      <c r="U40" s="83">
        <v>99.031999999999982</v>
      </c>
      <c r="V40" s="83">
        <v>96.393000000000001</v>
      </c>
      <c r="W40" s="83">
        <v>98.144999999999996</v>
      </c>
      <c r="X40" s="83">
        <v>72.438000000000002</v>
      </c>
      <c r="Y40" s="83">
        <v>81.757999999999981</v>
      </c>
      <c r="Z40" s="83">
        <v>99.132999999999996</v>
      </c>
      <c r="AA40" s="83">
        <v>101.03400000000002</v>
      </c>
      <c r="AB40" s="83">
        <v>88.968000000000004</v>
      </c>
      <c r="AC40" s="83">
        <v>74.531000000000006</v>
      </c>
      <c r="AD40" s="83">
        <v>83.916000000000025</v>
      </c>
      <c r="AE40" s="83">
        <v>52.205000000000005</v>
      </c>
      <c r="AF40" s="83">
        <v>71.606999999999999</v>
      </c>
      <c r="AG40" s="83">
        <v>89.042966666666644</v>
      </c>
    </row>
    <row r="41" spans="1:33" x14ac:dyDescent="0.3">
      <c r="A41" s="70" t="s">
        <v>766</v>
      </c>
      <c r="B41" s="83">
        <v>113.96599999999999</v>
      </c>
      <c r="C41" s="83">
        <v>103.16400000000002</v>
      </c>
      <c r="D41" s="83">
        <v>134.80399999999995</v>
      </c>
      <c r="E41" s="83">
        <v>59.479000000000006</v>
      </c>
      <c r="F41" s="83">
        <v>145.904</v>
      </c>
      <c r="G41" s="83">
        <v>129.43799999999996</v>
      </c>
      <c r="H41" s="83">
        <v>128.27799999999999</v>
      </c>
      <c r="I41" s="83">
        <v>91.814000000000007</v>
      </c>
      <c r="J41" s="83">
        <v>71.766000000000005</v>
      </c>
      <c r="K41" s="83">
        <v>70.235000000000014</v>
      </c>
      <c r="L41" s="83">
        <v>128.49</v>
      </c>
      <c r="M41" s="83">
        <v>94.629000000000005</v>
      </c>
      <c r="N41" s="83">
        <v>98.851000000000013</v>
      </c>
      <c r="O41" s="83">
        <v>66.76100000000001</v>
      </c>
      <c r="P41" s="83">
        <v>114.50899999999999</v>
      </c>
      <c r="Q41" s="83">
        <v>54.374000000000002</v>
      </c>
      <c r="R41" s="83">
        <v>59.327999999999996</v>
      </c>
      <c r="S41" s="83">
        <v>64.816999999999993</v>
      </c>
      <c r="T41" s="83">
        <v>65.153000000000006</v>
      </c>
      <c r="U41" s="83">
        <v>83.299999999999983</v>
      </c>
      <c r="V41" s="83">
        <v>85.183999999999983</v>
      </c>
      <c r="W41" s="83">
        <v>80.99799999999999</v>
      </c>
      <c r="X41" s="83">
        <v>57.53</v>
      </c>
      <c r="Y41" s="83">
        <v>86.84399999999998</v>
      </c>
      <c r="Z41" s="83">
        <v>79.924000000000007</v>
      </c>
      <c r="AA41" s="83">
        <v>49.384000000000007</v>
      </c>
      <c r="AB41" s="83">
        <v>64.745999999999995</v>
      </c>
      <c r="AC41" s="83">
        <v>58.201000000000001</v>
      </c>
      <c r="AD41" s="83">
        <v>74.052000000000007</v>
      </c>
      <c r="AE41" s="83">
        <v>65.918999999999997</v>
      </c>
      <c r="AF41" s="83">
        <v>49.906000000000006</v>
      </c>
      <c r="AG41" s="83">
        <v>86.061400000000006</v>
      </c>
    </row>
    <row r="42" spans="1:33" x14ac:dyDescent="0.3">
      <c r="A42" s="70" t="s">
        <v>775</v>
      </c>
      <c r="B42" s="83">
        <v>5.2869999999999999</v>
      </c>
      <c r="C42" s="83">
        <v>6.0750000000000002</v>
      </c>
      <c r="D42" s="83">
        <v>13.757000000000001</v>
      </c>
      <c r="E42" s="83">
        <v>12.728999999999999</v>
      </c>
      <c r="F42" s="83">
        <v>0</v>
      </c>
      <c r="G42" s="83">
        <v>0</v>
      </c>
      <c r="H42" s="83">
        <v>0</v>
      </c>
      <c r="I42" s="83">
        <v>0</v>
      </c>
      <c r="J42" s="83">
        <v>0</v>
      </c>
      <c r="K42" s="83">
        <v>0</v>
      </c>
      <c r="L42" s="83">
        <v>0</v>
      </c>
      <c r="M42" s="83">
        <v>0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3">
        <v>0</v>
      </c>
      <c r="V42" s="83">
        <v>0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0</v>
      </c>
      <c r="AC42" s="83">
        <v>0</v>
      </c>
      <c r="AD42" s="83">
        <v>0</v>
      </c>
      <c r="AE42" s="83">
        <v>0</v>
      </c>
      <c r="AF42" s="83">
        <v>0</v>
      </c>
      <c r="AG42" s="83">
        <v>1.2616000000000001</v>
      </c>
    </row>
    <row r="43" spans="1:33" x14ac:dyDescent="0.3">
      <c r="A43" s="70" t="s">
        <v>752</v>
      </c>
      <c r="B43" s="83">
        <v>17.663</v>
      </c>
      <c r="C43" s="83">
        <v>6.8469999999999995</v>
      </c>
      <c r="D43" s="83">
        <v>22.890999999999998</v>
      </c>
      <c r="E43" s="83">
        <v>25.768999999999998</v>
      </c>
      <c r="F43" s="83">
        <v>17.741</v>
      </c>
      <c r="G43" s="83">
        <v>27.978000000000005</v>
      </c>
      <c r="H43" s="83">
        <v>29.086000000000002</v>
      </c>
      <c r="I43" s="83">
        <v>33.319999999999993</v>
      </c>
      <c r="J43" s="83">
        <v>28.393000000000001</v>
      </c>
      <c r="K43" s="83">
        <v>33.759</v>
      </c>
      <c r="L43" s="83">
        <v>28.132999999999999</v>
      </c>
      <c r="M43" s="83">
        <v>15.762</v>
      </c>
      <c r="N43" s="83">
        <v>22.913000000000004</v>
      </c>
      <c r="O43" s="83">
        <v>21.545999999999999</v>
      </c>
      <c r="P43" s="83">
        <v>15.189</v>
      </c>
      <c r="Q43" s="83">
        <v>18.075000000000003</v>
      </c>
      <c r="R43" s="83">
        <v>61.995000000000005</v>
      </c>
      <c r="S43" s="83">
        <v>42.548999999999999</v>
      </c>
      <c r="T43" s="83">
        <v>19.735999999999997</v>
      </c>
      <c r="U43" s="83">
        <v>29.482999999999997</v>
      </c>
      <c r="V43" s="83">
        <v>16.495000000000001</v>
      </c>
      <c r="W43" s="83">
        <v>13.234</v>
      </c>
      <c r="X43" s="83">
        <v>16.562999999999999</v>
      </c>
      <c r="Y43" s="83">
        <v>11.705000000000002</v>
      </c>
      <c r="Z43" s="83">
        <v>23.443000000000001</v>
      </c>
      <c r="AA43" s="83">
        <v>9.0549999999999997</v>
      </c>
      <c r="AB43" s="83">
        <v>28.166</v>
      </c>
      <c r="AC43" s="83">
        <v>14.342000000000001</v>
      </c>
      <c r="AD43" s="83">
        <v>8.5079999999999991</v>
      </c>
      <c r="AE43" s="83">
        <v>19.197000000000003</v>
      </c>
      <c r="AF43" s="83">
        <v>38.393999999999998</v>
      </c>
      <c r="AG43" s="83">
        <v>22.651200000000003</v>
      </c>
    </row>
    <row r="44" spans="1:33" x14ac:dyDescent="0.3">
      <c r="A44" s="70" t="s">
        <v>776</v>
      </c>
      <c r="B44" s="83">
        <v>0</v>
      </c>
      <c r="C44" s="83">
        <v>0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</row>
    <row r="45" spans="1:33" x14ac:dyDescent="0.3">
      <c r="A45" s="70" t="s">
        <v>777</v>
      </c>
      <c r="B45" s="83">
        <v>0</v>
      </c>
      <c r="C45" s="83">
        <v>0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0</v>
      </c>
      <c r="M45" s="83">
        <v>0</v>
      </c>
      <c r="N45" s="83">
        <v>0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0</v>
      </c>
      <c r="AC45" s="83">
        <v>0</v>
      </c>
      <c r="AD45" s="83">
        <v>0</v>
      </c>
      <c r="AE45" s="83">
        <v>0</v>
      </c>
      <c r="AF45" s="83">
        <v>0</v>
      </c>
      <c r="AG45" s="83">
        <v>0</v>
      </c>
    </row>
    <row r="46" spans="1:33" x14ac:dyDescent="0.3">
      <c r="A46" s="70" t="s">
        <v>778</v>
      </c>
      <c r="B46" s="83">
        <v>0</v>
      </c>
      <c r="C46" s="83">
        <v>0.93300000000000005</v>
      </c>
      <c r="D46" s="83">
        <v>0</v>
      </c>
      <c r="E46" s="83">
        <v>2.9830000000000001</v>
      </c>
      <c r="F46" s="83">
        <v>0</v>
      </c>
      <c r="G46" s="83">
        <v>0</v>
      </c>
      <c r="H46" s="83">
        <v>3.9350000000000001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6.702</v>
      </c>
      <c r="Z46" s="83">
        <v>0</v>
      </c>
      <c r="AA46" s="83">
        <v>0</v>
      </c>
      <c r="AB46" s="83">
        <v>0</v>
      </c>
      <c r="AC46" s="83">
        <v>0</v>
      </c>
      <c r="AD46" s="83">
        <v>0</v>
      </c>
      <c r="AE46" s="83">
        <v>0</v>
      </c>
      <c r="AF46" s="83">
        <v>0</v>
      </c>
      <c r="AG46" s="83">
        <v>0.48510000000000003</v>
      </c>
    </row>
    <row r="47" spans="1:33" x14ac:dyDescent="0.3">
      <c r="A47" s="70" t="s">
        <v>779</v>
      </c>
      <c r="B47" s="83">
        <v>0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3">
        <v>0</v>
      </c>
      <c r="V47" s="83">
        <v>0</v>
      </c>
      <c r="W47" s="83">
        <v>0</v>
      </c>
      <c r="X47" s="83">
        <v>0</v>
      </c>
      <c r="Y47" s="83">
        <v>0</v>
      </c>
      <c r="Z47" s="83">
        <v>0</v>
      </c>
      <c r="AA47" s="83">
        <v>0</v>
      </c>
      <c r="AB47" s="83">
        <v>0</v>
      </c>
      <c r="AC47" s="83">
        <v>0</v>
      </c>
      <c r="AD47" s="83">
        <v>0</v>
      </c>
      <c r="AE47" s="83">
        <v>0</v>
      </c>
      <c r="AF47" s="83">
        <v>0</v>
      </c>
      <c r="AG47" s="83">
        <v>0</v>
      </c>
    </row>
    <row r="48" spans="1:33" x14ac:dyDescent="0.3">
      <c r="A48" s="70" t="s">
        <v>773</v>
      </c>
      <c r="B48" s="83">
        <v>99.331000000000003</v>
      </c>
      <c r="C48" s="83">
        <v>205.23400000000004</v>
      </c>
      <c r="D48" s="83">
        <v>227.50500000000002</v>
      </c>
      <c r="E48" s="83">
        <v>244.15599999999995</v>
      </c>
      <c r="F48" s="83">
        <v>365.8850000000001</v>
      </c>
      <c r="G48" s="83">
        <v>360.29599999999999</v>
      </c>
      <c r="H48" s="83">
        <v>168.108</v>
      </c>
      <c r="I48" s="83">
        <v>162.054</v>
      </c>
      <c r="J48" s="83">
        <v>91.616</v>
      </c>
      <c r="K48" s="83">
        <v>191.77499999999995</v>
      </c>
      <c r="L48" s="83">
        <v>159.54000000000002</v>
      </c>
      <c r="M48" s="83">
        <v>160.40099999999998</v>
      </c>
      <c r="N48" s="83">
        <v>341.89900000000006</v>
      </c>
      <c r="O48" s="83">
        <v>117.85000000000002</v>
      </c>
      <c r="P48" s="83">
        <v>61.408000000000001</v>
      </c>
      <c r="Q48" s="83">
        <v>143.791</v>
      </c>
      <c r="R48" s="83">
        <v>268.85700000000003</v>
      </c>
      <c r="S48" s="83">
        <v>278.697</v>
      </c>
      <c r="T48" s="83">
        <v>307.32599999999996</v>
      </c>
      <c r="U48" s="83">
        <v>246.66699999999997</v>
      </c>
      <c r="V48" s="83">
        <v>156.40700000000001</v>
      </c>
      <c r="W48" s="83">
        <v>61.500999999999998</v>
      </c>
      <c r="X48" s="83">
        <v>210.054</v>
      </c>
      <c r="Y48" s="83">
        <v>329.62399999999997</v>
      </c>
      <c r="Z48" s="83">
        <v>196.30700000000002</v>
      </c>
      <c r="AA48" s="83">
        <v>214.845</v>
      </c>
      <c r="AB48" s="83">
        <v>224.38399999999999</v>
      </c>
      <c r="AC48" s="83">
        <v>138.10100000000003</v>
      </c>
      <c r="AD48" s="83">
        <v>56.272999999999996</v>
      </c>
      <c r="AE48" s="83">
        <v>191.62700000000001</v>
      </c>
      <c r="AF48" s="83">
        <v>245.81899999999999</v>
      </c>
      <c r="AG48" s="83">
        <v>199.38396666666668</v>
      </c>
    </row>
    <row r="49" spans="1:33" x14ac:dyDescent="0.3">
      <c r="A49" s="70" t="s">
        <v>735</v>
      </c>
      <c r="B49" s="83">
        <v>21.632999999999999</v>
      </c>
      <c r="C49" s="83">
        <v>19.936999999999998</v>
      </c>
      <c r="D49" s="83">
        <v>45.541999999999994</v>
      </c>
      <c r="E49" s="83">
        <v>10.880999999999998</v>
      </c>
      <c r="F49" s="83">
        <v>31.073</v>
      </c>
      <c r="G49" s="83">
        <v>21.352</v>
      </c>
      <c r="H49" s="83">
        <v>12.692</v>
      </c>
      <c r="I49" s="83">
        <v>31.623000000000001</v>
      </c>
      <c r="J49" s="83">
        <v>16.407</v>
      </c>
      <c r="K49" s="83">
        <v>2.802</v>
      </c>
      <c r="L49" s="83">
        <v>22.759</v>
      </c>
      <c r="M49" s="83">
        <v>2.6269999999999998</v>
      </c>
      <c r="N49" s="83">
        <v>11.746</v>
      </c>
      <c r="O49" s="83">
        <v>19.617000000000001</v>
      </c>
      <c r="P49" s="83">
        <v>20.292000000000002</v>
      </c>
      <c r="Q49" s="83">
        <v>4.1230000000000002</v>
      </c>
      <c r="R49" s="83">
        <v>3.1829999999999998</v>
      </c>
      <c r="S49" s="83">
        <v>11.604000000000001</v>
      </c>
      <c r="T49" s="83">
        <v>22.079000000000001</v>
      </c>
      <c r="U49" s="83">
        <v>6.4459999999999997</v>
      </c>
      <c r="V49" s="83">
        <v>9.6340000000000003</v>
      </c>
      <c r="W49" s="83">
        <v>10.971</v>
      </c>
      <c r="X49" s="83">
        <v>2.4049999999999998</v>
      </c>
      <c r="Y49" s="83">
        <v>3.4260000000000002</v>
      </c>
      <c r="Z49" s="83">
        <v>11.238999999999999</v>
      </c>
      <c r="AA49" s="83">
        <v>6.056</v>
      </c>
      <c r="AB49" s="83">
        <v>9.9290000000000003</v>
      </c>
      <c r="AC49" s="83">
        <v>3.032</v>
      </c>
      <c r="AD49" s="83">
        <v>6.197000000000001</v>
      </c>
      <c r="AE49" s="83">
        <v>20.398</v>
      </c>
      <c r="AF49" s="83">
        <v>3.5960000000000001</v>
      </c>
      <c r="AG49" s="83">
        <v>14.056833333333334</v>
      </c>
    </row>
    <row r="50" spans="1:33" x14ac:dyDescent="0.3">
      <c r="A50" s="70" t="s">
        <v>780</v>
      </c>
      <c r="B50" s="83">
        <v>0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0</v>
      </c>
      <c r="L50" s="83">
        <v>0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0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0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</row>
    <row r="51" spans="1:33" x14ac:dyDescent="0.3">
      <c r="A51" s="70" t="s">
        <v>743</v>
      </c>
      <c r="B51" s="83">
        <v>0</v>
      </c>
      <c r="C51" s="83">
        <v>12.603999999999999</v>
      </c>
      <c r="D51" s="83">
        <v>0</v>
      </c>
      <c r="E51" s="83">
        <v>4.726</v>
      </c>
      <c r="F51" s="83">
        <v>0</v>
      </c>
      <c r="G51" s="83">
        <v>0</v>
      </c>
      <c r="H51" s="83">
        <v>6.0579999999999998</v>
      </c>
      <c r="I51" s="83">
        <v>2.399</v>
      </c>
      <c r="J51" s="83">
        <v>3.9130000000000003</v>
      </c>
      <c r="K51" s="83">
        <v>6.5820000000000007</v>
      </c>
      <c r="L51" s="83">
        <v>3.7590000000000003</v>
      </c>
      <c r="M51" s="83">
        <v>7.9139999999999997</v>
      </c>
      <c r="N51" s="83">
        <v>11.852</v>
      </c>
      <c r="O51" s="83">
        <v>11.736000000000001</v>
      </c>
      <c r="P51" s="83">
        <v>3.7070000000000003</v>
      </c>
      <c r="Q51" s="83">
        <v>8.24</v>
      </c>
      <c r="R51" s="83">
        <v>5.2289999999999992</v>
      </c>
      <c r="S51" s="83">
        <v>2.746</v>
      </c>
      <c r="T51" s="83">
        <v>2.7770000000000001</v>
      </c>
      <c r="U51" s="83">
        <v>2.4410000000000003</v>
      </c>
      <c r="V51" s="83">
        <v>3.6440000000000001</v>
      </c>
      <c r="W51" s="83">
        <v>2.9980000000000002</v>
      </c>
      <c r="X51" s="83">
        <v>3.238</v>
      </c>
      <c r="Y51" s="83">
        <v>3.8330000000000002</v>
      </c>
      <c r="Z51" s="83">
        <v>3.9849999999999999</v>
      </c>
      <c r="AA51" s="83">
        <v>4.734</v>
      </c>
      <c r="AB51" s="83">
        <v>5.7729999999999997</v>
      </c>
      <c r="AC51" s="83">
        <v>3.319</v>
      </c>
      <c r="AD51" s="83">
        <v>2.8140000000000001</v>
      </c>
      <c r="AE51" s="83">
        <v>16.247</v>
      </c>
      <c r="AF51" s="83">
        <v>21.206</v>
      </c>
      <c r="AG51" s="83">
        <v>4.9089333333333336</v>
      </c>
    </row>
    <row r="52" spans="1:33" x14ac:dyDescent="0.3">
      <c r="A52" s="70" t="s">
        <v>781</v>
      </c>
      <c r="B52" s="83">
        <v>109.09500000000001</v>
      </c>
      <c r="C52" s="83">
        <v>92.721999999999994</v>
      </c>
      <c r="D52" s="83">
        <v>139.18100000000001</v>
      </c>
      <c r="E52" s="83">
        <v>141.07</v>
      </c>
      <c r="F52" s="83">
        <v>46.343000000000004</v>
      </c>
      <c r="G52" s="83">
        <v>178.999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0</v>
      </c>
      <c r="N52" s="83">
        <v>0</v>
      </c>
      <c r="O52" s="83">
        <v>0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0</v>
      </c>
      <c r="W52" s="83">
        <v>0</v>
      </c>
      <c r="X52" s="83">
        <v>0</v>
      </c>
      <c r="Y52" s="83">
        <v>0</v>
      </c>
      <c r="Z52" s="83">
        <v>0</v>
      </c>
      <c r="AA52" s="83">
        <v>0</v>
      </c>
      <c r="AB52" s="83">
        <v>0</v>
      </c>
      <c r="AC52" s="83">
        <v>0</v>
      </c>
      <c r="AD52" s="83">
        <v>0</v>
      </c>
      <c r="AE52" s="83">
        <v>0</v>
      </c>
      <c r="AF52" s="83">
        <v>0</v>
      </c>
      <c r="AG52" s="83">
        <v>23.580333333333336</v>
      </c>
    </row>
    <row r="53" spans="1:33" x14ac:dyDescent="0.3">
      <c r="A53" s="70" t="s">
        <v>782</v>
      </c>
      <c r="B53" s="83">
        <v>0</v>
      </c>
      <c r="C53" s="83">
        <v>1.3120000000000001</v>
      </c>
      <c r="D53" s="83">
        <v>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0.19900000000000001</v>
      </c>
      <c r="N53" s="83">
        <v>1.2749999999999999</v>
      </c>
      <c r="O53" s="83">
        <v>0</v>
      </c>
      <c r="P53" s="83">
        <v>0</v>
      </c>
      <c r="Q53" s="83">
        <v>0</v>
      </c>
      <c r="R53" s="83">
        <v>0</v>
      </c>
      <c r="S53" s="83">
        <v>1.3260000000000001</v>
      </c>
      <c r="T53" s="83">
        <v>8.7999999999999995E-2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1.9530000000000001</v>
      </c>
      <c r="AD53" s="83">
        <v>0</v>
      </c>
      <c r="AE53" s="83">
        <v>0</v>
      </c>
      <c r="AF53" s="83">
        <v>0</v>
      </c>
      <c r="AG53" s="83">
        <v>0.2051</v>
      </c>
    </row>
    <row r="54" spans="1:33" x14ac:dyDescent="0.3">
      <c r="A54" s="70" t="s">
        <v>783</v>
      </c>
      <c r="B54" s="83">
        <v>0</v>
      </c>
      <c r="C54" s="83">
        <v>0</v>
      </c>
      <c r="D54" s="83">
        <v>0</v>
      </c>
      <c r="E54" s="83">
        <v>0</v>
      </c>
      <c r="F54" s="83">
        <v>0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Z54" s="83">
        <v>0</v>
      </c>
      <c r="AA54" s="83">
        <v>0</v>
      </c>
      <c r="AB54" s="83">
        <v>0</v>
      </c>
      <c r="AC54" s="83">
        <v>0</v>
      </c>
      <c r="AD54" s="83">
        <v>0</v>
      </c>
      <c r="AE54" s="83">
        <v>0</v>
      </c>
      <c r="AF54" s="83">
        <v>0</v>
      </c>
      <c r="AG54" s="83">
        <v>0</v>
      </c>
    </row>
    <row r="55" spans="1:33" x14ac:dyDescent="0.3">
      <c r="A55" s="70" t="s">
        <v>720</v>
      </c>
      <c r="B55" s="83">
        <v>0</v>
      </c>
      <c r="C55" s="83">
        <v>0</v>
      </c>
      <c r="D55" s="83">
        <v>1.1779999999999999</v>
      </c>
      <c r="E55" s="83">
        <v>0</v>
      </c>
      <c r="F55" s="83">
        <v>0</v>
      </c>
      <c r="G55" s="83">
        <v>2.698</v>
      </c>
      <c r="H55" s="83">
        <v>0</v>
      </c>
      <c r="I55" s="83">
        <v>0</v>
      </c>
      <c r="J55" s="83">
        <v>3.504</v>
      </c>
      <c r="K55" s="83">
        <v>1.2999999999999999E-2</v>
      </c>
      <c r="L55" s="83">
        <v>5.1449999999999996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3.4780000000000002</v>
      </c>
      <c r="S55" s="83">
        <v>0</v>
      </c>
      <c r="T55" s="83">
        <v>1.7549999999999999</v>
      </c>
      <c r="U55" s="83">
        <v>2.1819999999999999</v>
      </c>
      <c r="V55" s="83">
        <v>4.4130000000000003</v>
      </c>
      <c r="W55" s="83">
        <v>0</v>
      </c>
      <c r="X55" s="83">
        <v>5.0869999999999997</v>
      </c>
      <c r="Y55" s="83">
        <v>0.41</v>
      </c>
      <c r="Z55" s="83">
        <v>3</v>
      </c>
      <c r="AA55" s="83">
        <v>4.6180000000000003</v>
      </c>
      <c r="AB55" s="83">
        <v>1.155</v>
      </c>
      <c r="AC55" s="83">
        <v>2.7879999999999998</v>
      </c>
      <c r="AD55" s="83">
        <v>3.3159999999999998</v>
      </c>
      <c r="AE55" s="83">
        <v>5.5010000000000003</v>
      </c>
      <c r="AF55" s="83">
        <v>5.5469999999999997</v>
      </c>
      <c r="AG55" s="83">
        <v>1.6747000000000001</v>
      </c>
    </row>
    <row r="56" spans="1:33" x14ac:dyDescent="0.3">
      <c r="A56" s="70" t="s">
        <v>753</v>
      </c>
      <c r="B56" s="83">
        <v>26.597000000000001</v>
      </c>
      <c r="C56" s="83">
        <v>9.2360000000000007</v>
      </c>
      <c r="D56" s="83">
        <v>29.183</v>
      </c>
      <c r="E56" s="83">
        <v>12.541999999999998</v>
      </c>
      <c r="F56" s="83">
        <v>21.538999999999998</v>
      </c>
      <c r="G56" s="83">
        <v>16.701999999999998</v>
      </c>
      <c r="H56" s="83">
        <v>8.0219999999999985</v>
      </c>
      <c r="I56" s="83">
        <v>13.928999999999998</v>
      </c>
      <c r="J56" s="83">
        <v>18.625000000000004</v>
      </c>
      <c r="K56" s="83">
        <v>38.774000000000001</v>
      </c>
      <c r="L56" s="83">
        <v>14.242999999999999</v>
      </c>
      <c r="M56" s="83">
        <v>34.091000000000001</v>
      </c>
      <c r="N56" s="83">
        <v>9.4510000000000005</v>
      </c>
      <c r="O56" s="83">
        <v>12.933999999999999</v>
      </c>
      <c r="P56" s="83">
        <v>26.480999999999998</v>
      </c>
      <c r="Q56" s="83">
        <v>23.509999999999998</v>
      </c>
      <c r="R56" s="83">
        <v>30.871999999999996</v>
      </c>
      <c r="S56" s="83">
        <v>20.459999999999997</v>
      </c>
      <c r="T56" s="83">
        <v>35.58300000000002</v>
      </c>
      <c r="U56" s="83">
        <v>33.323</v>
      </c>
      <c r="V56" s="83">
        <v>13.346</v>
      </c>
      <c r="W56" s="83">
        <v>16.898000000000003</v>
      </c>
      <c r="X56" s="83">
        <v>20.370999999999995</v>
      </c>
      <c r="Y56" s="83">
        <v>14.667</v>
      </c>
      <c r="Z56" s="83">
        <v>19.239000000000001</v>
      </c>
      <c r="AA56" s="83">
        <v>16.241999999999997</v>
      </c>
      <c r="AB56" s="83">
        <v>27.939999999999998</v>
      </c>
      <c r="AC56" s="83">
        <v>36.196999999999996</v>
      </c>
      <c r="AD56" s="83">
        <v>51.504999999999995</v>
      </c>
      <c r="AE56" s="83">
        <v>34.441000000000003</v>
      </c>
      <c r="AF56" s="83">
        <v>26.744</v>
      </c>
      <c r="AG56" s="83">
        <v>22.898099999999999</v>
      </c>
    </row>
    <row r="57" spans="1:33" x14ac:dyDescent="0.3">
      <c r="A57" s="70" t="s">
        <v>721</v>
      </c>
      <c r="B57" s="83">
        <v>8.7640000000000011</v>
      </c>
      <c r="C57" s="83">
        <v>12.276999999999999</v>
      </c>
      <c r="D57" s="83">
        <v>10.700999999999999</v>
      </c>
      <c r="E57" s="83">
        <v>7.5990000000000002</v>
      </c>
      <c r="F57" s="83">
        <v>22.547000000000004</v>
      </c>
      <c r="G57" s="83">
        <v>15.549999999999997</v>
      </c>
      <c r="H57" s="83">
        <v>17.977999999999998</v>
      </c>
      <c r="I57" s="83">
        <v>7.7809999999999997</v>
      </c>
      <c r="J57" s="83">
        <v>12.67</v>
      </c>
      <c r="K57" s="83">
        <v>25.817999999999998</v>
      </c>
      <c r="L57" s="83">
        <v>24.97</v>
      </c>
      <c r="M57" s="83">
        <v>17.205000000000002</v>
      </c>
      <c r="N57" s="83">
        <v>23.008000000000003</v>
      </c>
      <c r="O57" s="83">
        <v>16.562999999999999</v>
      </c>
      <c r="P57" s="83">
        <v>9.4220000000000006</v>
      </c>
      <c r="Q57" s="83">
        <v>9.2899999999999991</v>
      </c>
      <c r="R57" s="83">
        <v>24.664999999999996</v>
      </c>
      <c r="S57" s="83">
        <v>11.335999999999999</v>
      </c>
      <c r="T57" s="83">
        <v>22.081</v>
      </c>
      <c r="U57" s="83">
        <v>14.689</v>
      </c>
      <c r="V57" s="83">
        <v>16.267000000000003</v>
      </c>
      <c r="W57" s="83">
        <v>15.747999999999998</v>
      </c>
      <c r="X57" s="83">
        <v>16.124000000000002</v>
      </c>
      <c r="Y57" s="83">
        <v>28.105999999999998</v>
      </c>
      <c r="Z57" s="83">
        <v>21.714000000000002</v>
      </c>
      <c r="AA57" s="83">
        <v>18.462</v>
      </c>
      <c r="AB57" s="83">
        <v>24.200999999999997</v>
      </c>
      <c r="AC57" s="83">
        <v>19.324999999999999</v>
      </c>
      <c r="AD57" s="83">
        <v>10.811</v>
      </c>
      <c r="AE57" s="83">
        <v>23.032</v>
      </c>
      <c r="AF57" s="83">
        <v>20.048000000000002</v>
      </c>
      <c r="AG57" s="83">
        <v>16.956800000000001</v>
      </c>
    </row>
    <row r="58" spans="1:33" x14ac:dyDescent="0.3">
      <c r="A58" s="70" t="s">
        <v>759</v>
      </c>
      <c r="B58" s="83">
        <v>30.018999999999998</v>
      </c>
      <c r="C58" s="83">
        <v>25.113</v>
      </c>
      <c r="D58" s="83">
        <v>36.823999999999991</v>
      </c>
      <c r="E58" s="83">
        <v>30.476999999999997</v>
      </c>
      <c r="F58" s="83">
        <v>35.219000000000001</v>
      </c>
      <c r="G58" s="83">
        <v>32.694000000000003</v>
      </c>
      <c r="H58" s="83">
        <v>23.697000000000003</v>
      </c>
      <c r="I58" s="83">
        <v>40.311999999999998</v>
      </c>
      <c r="J58" s="83">
        <v>23.087000000000003</v>
      </c>
      <c r="K58" s="83">
        <v>15.942</v>
      </c>
      <c r="L58" s="83">
        <v>33.216000000000001</v>
      </c>
      <c r="M58" s="83">
        <v>33.467999999999996</v>
      </c>
      <c r="N58" s="83">
        <v>55.284000000000006</v>
      </c>
      <c r="O58" s="83">
        <v>30.591999999999999</v>
      </c>
      <c r="P58" s="83">
        <v>34.488</v>
      </c>
      <c r="Q58" s="83">
        <v>31.708000000000006</v>
      </c>
      <c r="R58" s="83">
        <v>35.206999999999994</v>
      </c>
      <c r="S58" s="83">
        <v>51.965000000000003</v>
      </c>
      <c r="T58" s="83">
        <v>34.622</v>
      </c>
      <c r="U58" s="83">
        <v>39.991</v>
      </c>
      <c r="V58" s="83">
        <v>58.457999999999998</v>
      </c>
      <c r="W58" s="83">
        <v>37.980999999999995</v>
      </c>
      <c r="X58" s="83">
        <v>35.048999999999999</v>
      </c>
      <c r="Y58" s="83">
        <v>55.843999999999994</v>
      </c>
      <c r="Z58" s="83">
        <v>30.100999999999999</v>
      </c>
      <c r="AA58" s="83">
        <v>24.064000000000004</v>
      </c>
      <c r="AB58" s="83">
        <v>28.688000000000002</v>
      </c>
      <c r="AC58" s="83">
        <v>30.017000000000003</v>
      </c>
      <c r="AD58" s="83">
        <v>32.03</v>
      </c>
      <c r="AE58" s="83">
        <v>36.194000000000003</v>
      </c>
      <c r="AF58" s="83">
        <v>21.670000000000005</v>
      </c>
      <c r="AG58" s="83">
        <v>34.745033333333332</v>
      </c>
    </row>
    <row r="59" spans="1:33" x14ac:dyDescent="0.3">
      <c r="A59" s="70" t="s">
        <v>784</v>
      </c>
      <c r="B59" s="83">
        <v>0</v>
      </c>
      <c r="C59" s="83">
        <v>0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3">
        <v>0</v>
      </c>
      <c r="V59" s="83">
        <v>7.2959999999999994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83">
        <v>11.894</v>
      </c>
      <c r="AF59" s="83">
        <v>0</v>
      </c>
      <c r="AG59" s="83">
        <v>0.63966666666666661</v>
      </c>
    </row>
    <row r="60" spans="1:33" x14ac:dyDescent="0.3">
      <c r="A60" s="70" t="s">
        <v>717</v>
      </c>
      <c r="B60" s="83">
        <v>0</v>
      </c>
      <c r="C60" s="83">
        <v>15.753</v>
      </c>
      <c r="D60" s="83">
        <v>10.981999999999999</v>
      </c>
      <c r="E60" s="83">
        <v>0</v>
      </c>
      <c r="F60" s="83">
        <v>3.343</v>
      </c>
      <c r="G60" s="83">
        <v>5.6120000000000001</v>
      </c>
      <c r="H60" s="83">
        <v>6.8480000000000008</v>
      </c>
      <c r="I60" s="83">
        <v>1.3109999999999999</v>
      </c>
      <c r="J60" s="83">
        <v>7.9339999999999993</v>
      </c>
      <c r="K60" s="83">
        <v>2.7480000000000002</v>
      </c>
      <c r="L60" s="83">
        <v>13.907999999999999</v>
      </c>
      <c r="M60" s="83">
        <v>16.472000000000001</v>
      </c>
      <c r="N60" s="83">
        <v>9.5830000000000002</v>
      </c>
      <c r="O60" s="83">
        <v>8.5560000000000009</v>
      </c>
      <c r="P60" s="83">
        <v>15.021000000000001</v>
      </c>
      <c r="Q60" s="83">
        <v>2.226</v>
      </c>
      <c r="R60" s="83">
        <v>14.005999999999998</v>
      </c>
      <c r="S60" s="83">
        <v>16.304000000000002</v>
      </c>
      <c r="T60" s="83">
        <v>13.988</v>
      </c>
      <c r="U60" s="83">
        <v>11.384</v>
      </c>
      <c r="V60" s="83">
        <v>27.960999999999999</v>
      </c>
      <c r="W60" s="83">
        <v>23.513999999999999</v>
      </c>
      <c r="X60" s="83">
        <v>14.316000000000001</v>
      </c>
      <c r="Y60" s="83">
        <v>10.314</v>
      </c>
      <c r="Z60" s="83">
        <v>0</v>
      </c>
      <c r="AA60" s="83">
        <v>25.555</v>
      </c>
      <c r="AB60" s="83">
        <v>11.968999999999999</v>
      </c>
      <c r="AC60" s="83">
        <v>16.151999999999997</v>
      </c>
      <c r="AD60" s="83">
        <v>15.026</v>
      </c>
      <c r="AE60" s="83">
        <v>4.4009999999999998</v>
      </c>
      <c r="AF60" s="83">
        <v>23.309000000000001</v>
      </c>
      <c r="AG60" s="83">
        <v>10.839566666666666</v>
      </c>
    </row>
    <row r="61" spans="1:33" x14ac:dyDescent="0.3">
      <c r="A61" s="70" t="s">
        <v>725</v>
      </c>
      <c r="B61" s="83">
        <v>124.601</v>
      </c>
      <c r="C61" s="83">
        <v>98.375</v>
      </c>
      <c r="D61" s="83">
        <v>83.679000000000002</v>
      </c>
      <c r="E61" s="83">
        <v>77.213999999999999</v>
      </c>
      <c r="F61" s="83">
        <v>132.32300000000001</v>
      </c>
      <c r="G61" s="83">
        <v>86.074999999999989</v>
      </c>
      <c r="H61" s="83">
        <v>92.090999999999994</v>
      </c>
      <c r="I61" s="83">
        <v>61.953000000000003</v>
      </c>
      <c r="J61" s="83">
        <v>81.427000000000021</v>
      </c>
      <c r="K61" s="83">
        <v>84.097999999999985</v>
      </c>
      <c r="L61" s="83">
        <v>60.69100000000001</v>
      </c>
      <c r="M61" s="83">
        <v>86.795999999999978</v>
      </c>
      <c r="N61" s="83">
        <v>88.46299999999998</v>
      </c>
      <c r="O61" s="83">
        <v>70.578999999999994</v>
      </c>
      <c r="P61" s="83">
        <v>75.072000000000003</v>
      </c>
      <c r="Q61" s="83">
        <v>83.298999999999992</v>
      </c>
      <c r="R61" s="83">
        <v>72.942000000000007</v>
      </c>
      <c r="S61" s="83">
        <v>59.901000000000003</v>
      </c>
      <c r="T61" s="83">
        <v>96.129000000000005</v>
      </c>
      <c r="U61" s="83">
        <v>78.585000000000008</v>
      </c>
      <c r="V61" s="83">
        <v>77.337000000000018</v>
      </c>
      <c r="W61" s="83">
        <v>85.26600000000002</v>
      </c>
      <c r="X61" s="83">
        <v>70.294999999999987</v>
      </c>
      <c r="Y61" s="83">
        <v>85.775000000000006</v>
      </c>
      <c r="Z61" s="83">
        <v>55.163000000000004</v>
      </c>
      <c r="AA61" s="83">
        <v>69.596000000000004</v>
      </c>
      <c r="AB61" s="83">
        <v>76.926000000000002</v>
      </c>
      <c r="AC61" s="83">
        <v>71.125</v>
      </c>
      <c r="AD61" s="83">
        <v>69.142000000000024</v>
      </c>
      <c r="AE61" s="83">
        <v>86.906999999999996</v>
      </c>
      <c r="AF61" s="83">
        <v>62.262999999999998</v>
      </c>
      <c r="AG61" s="83">
        <v>81.394166666666663</v>
      </c>
    </row>
    <row r="62" spans="1:33" x14ac:dyDescent="0.3">
      <c r="A62" s="70" t="s">
        <v>785</v>
      </c>
      <c r="B62" s="83">
        <v>0</v>
      </c>
      <c r="C62" s="83">
        <v>0</v>
      </c>
      <c r="D62" s="83">
        <v>0</v>
      </c>
      <c r="E62" s="83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83">
        <v>0</v>
      </c>
      <c r="AF62" s="83">
        <v>0</v>
      </c>
      <c r="AG62" s="83">
        <v>0</v>
      </c>
    </row>
    <row r="63" spans="1:33" x14ac:dyDescent="0.3">
      <c r="A63" s="70" t="s">
        <v>749</v>
      </c>
      <c r="B63" s="83">
        <v>96.879000000000019</v>
      </c>
      <c r="C63" s="83">
        <v>123.13700000000001</v>
      </c>
      <c r="D63" s="83">
        <v>116.69899999999998</v>
      </c>
      <c r="E63" s="83">
        <v>85.934999999999988</v>
      </c>
      <c r="F63" s="83">
        <v>106.66700000000002</v>
      </c>
      <c r="G63" s="83">
        <v>111.33800000000004</v>
      </c>
      <c r="H63" s="83">
        <v>85.220999999999989</v>
      </c>
      <c r="I63" s="83">
        <v>85.527999999999992</v>
      </c>
      <c r="J63" s="83">
        <v>113.37400000000001</v>
      </c>
      <c r="K63" s="83">
        <v>93.839000000000013</v>
      </c>
      <c r="L63" s="83">
        <v>125.78199999999997</v>
      </c>
      <c r="M63" s="83">
        <v>94.11099999999999</v>
      </c>
      <c r="N63" s="83">
        <v>84.678000000000011</v>
      </c>
      <c r="O63" s="83">
        <v>117.83199999999999</v>
      </c>
      <c r="P63" s="83">
        <v>74.59</v>
      </c>
      <c r="Q63" s="83">
        <v>130.483</v>
      </c>
      <c r="R63" s="83">
        <v>77.064000000000007</v>
      </c>
      <c r="S63" s="83">
        <v>56.923000000000002</v>
      </c>
      <c r="T63" s="83">
        <v>132.08699999999999</v>
      </c>
      <c r="U63" s="83">
        <v>89.537999999999997</v>
      </c>
      <c r="V63" s="83">
        <v>84.509</v>
      </c>
      <c r="W63" s="83">
        <v>111.92800000000003</v>
      </c>
      <c r="X63" s="83">
        <v>143.506</v>
      </c>
      <c r="Y63" s="83">
        <v>47.345999999999997</v>
      </c>
      <c r="Z63" s="83">
        <v>118.49599999999998</v>
      </c>
      <c r="AA63" s="83">
        <v>74.165999999999997</v>
      </c>
      <c r="AB63" s="83">
        <v>122.30600000000003</v>
      </c>
      <c r="AC63" s="83">
        <v>70.675999999999988</v>
      </c>
      <c r="AD63" s="83">
        <v>67.260000000000005</v>
      </c>
      <c r="AE63" s="83">
        <v>97.657999999999987</v>
      </c>
      <c r="AF63" s="83">
        <v>65.838999999999999</v>
      </c>
      <c r="AG63" s="83">
        <v>97.98520000000002</v>
      </c>
    </row>
    <row r="64" spans="1:33" x14ac:dyDescent="0.3">
      <c r="A64" s="70" t="s">
        <v>754</v>
      </c>
      <c r="B64" s="83">
        <v>89.74199999999999</v>
      </c>
      <c r="C64" s="83">
        <v>58.93399999999999</v>
      </c>
      <c r="D64" s="83">
        <v>66.815999999999988</v>
      </c>
      <c r="E64" s="83">
        <v>41.271999999999998</v>
      </c>
      <c r="F64" s="83">
        <v>37.125999999999991</v>
      </c>
      <c r="G64" s="83">
        <v>61.529000000000003</v>
      </c>
      <c r="H64" s="83">
        <v>36.164000000000001</v>
      </c>
      <c r="I64" s="83">
        <v>57.431999999999995</v>
      </c>
      <c r="J64" s="83">
        <v>51.265999999999998</v>
      </c>
      <c r="K64" s="83">
        <v>44.024999999999999</v>
      </c>
      <c r="L64" s="83">
        <v>57.78</v>
      </c>
      <c r="M64" s="83">
        <v>48.730000000000004</v>
      </c>
      <c r="N64" s="83">
        <v>61.723999999999997</v>
      </c>
      <c r="O64" s="83">
        <v>48.384999999999998</v>
      </c>
      <c r="P64" s="83">
        <v>39.981999999999999</v>
      </c>
      <c r="Q64" s="83">
        <v>51.847999999999999</v>
      </c>
      <c r="R64" s="83">
        <v>50.277000000000008</v>
      </c>
      <c r="S64" s="83">
        <v>62.278999999999996</v>
      </c>
      <c r="T64" s="83">
        <v>30.355</v>
      </c>
      <c r="U64" s="83">
        <v>55.481000000000009</v>
      </c>
      <c r="V64" s="83">
        <v>43.070999999999998</v>
      </c>
      <c r="W64" s="83">
        <v>65.166000000000011</v>
      </c>
      <c r="X64" s="83">
        <v>52.646000000000001</v>
      </c>
      <c r="Y64" s="83">
        <v>41.350999999999992</v>
      </c>
      <c r="Z64" s="83">
        <v>37.235999999999997</v>
      </c>
      <c r="AA64" s="83">
        <v>47.660000000000004</v>
      </c>
      <c r="AB64" s="83">
        <v>42.195999999999998</v>
      </c>
      <c r="AC64" s="83">
        <v>43.598999999999997</v>
      </c>
      <c r="AD64" s="83">
        <v>53.748999999999995</v>
      </c>
      <c r="AE64" s="83">
        <v>51.565999999999995</v>
      </c>
      <c r="AF64" s="83">
        <v>41.960999999999999</v>
      </c>
      <c r="AG64" s="83">
        <v>50.979566666666656</v>
      </c>
    </row>
    <row r="65" spans="1:33" x14ac:dyDescent="0.3">
      <c r="A65" s="70" t="s">
        <v>765</v>
      </c>
      <c r="B65" s="83">
        <v>39.606999999999999</v>
      </c>
      <c r="C65" s="83">
        <v>37.397999999999996</v>
      </c>
      <c r="D65" s="83">
        <v>14.561</v>
      </c>
      <c r="E65" s="83">
        <v>41.654999999999994</v>
      </c>
      <c r="F65" s="83">
        <v>20.228999999999999</v>
      </c>
      <c r="G65" s="83">
        <v>30.312999999999995</v>
      </c>
      <c r="H65" s="83">
        <v>30.688999999999997</v>
      </c>
      <c r="I65" s="83">
        <v>19.672999999999998</v>
      </c>
      <c r="J65" s="83">
        <v>24.243000000000002</v>
      </c>
      <c r="K65" s="83">
        <v>24.282999999999998</v>
      </c>
      <c r="L65" s="83">
        <v>28.834000000000003</v>
      </c>
      <c r="M65" s="83">
        <v>35.748999999999995</v>
      </c>
      <c r="N65" s="83">
        <v>40.729999999999997</v>
      </c>
      <c r="O65" s="83">
        <v>26.807000000000002</v>
      </c>
      <c r="P65" s="83">
        <v>25.670999999999999</v>
      </c>
      <c r="Q65" s="83">
        <v>14.21</v>
      </c>
      <c r="R65" s="83">
        <v>41.731999999999999</v>
      </c>
      <c r="S65" s="83">
        <v>26.244</v>
      </c>
      <c r="T65" s="83">
        <v>31.2</v>
      </c>
      <c r="U65" s="83">
        <v>18.535</v>
      </c>
      <c r="V65" s="83">
        <v>41.413000000000004</v>
      </c>
      <c r="W65" s="83">
        <v>21.770999999999997</v>
      </c>
      <c r="X65" s="83">
        <v>36.164999999999999</v>
      </c>
      <c r="Y65" s="83">
        <v>35.896000000000001</v>
      </c>
      <c r="Z65" s="83">
        <v>20.7</v>
      </c>
      <c r="AA65" s="83">
        <v>36.245999999999995</v>
      </c>
      <c r="AB65" s="83">
        <v>26.654000000000003</v>
      </c>
      <c r="AC65" s="83">
        <v>12.902999999999997</v>
      </c>
      <c r="AD65" s="83">
        <v>45.205000000000005</v>
      </c>
      <c r="AE65" s="83">
        <v>23.590000000000003</v>
      </c>
      <c r="AF65" s="83">
        <v>31.744</v>
      </c>
      <c r="AG65" s="83">
        <v>29.096866666666667</v>
      </c>
    </row>
    <row r="66" spans="1:33" x14ac:dyDescent="0.3">
      <c r="A66" s="70" t="s">
        <v>724</v>
      </c>
      <c r="B66" s="83">
        <v>94.053999999999988</v>
      </c>
      <c r="C66" s="83">
        <v>81.000999999999976</v>
      </c>
      <c r="D66" s="83">
        <v>99.248000000000005</v>
      </c>
      <c r="E66" s="83">
        <v>104.253</v>
      </c>
      <c r="F66" s="83">
        <v>77.484999999999985</v>
      </c>
      <c r="G66" s="83">
        <v>89.575999999999979</v>
      </c>
      <c r="H66" s="83">
        <v>93.248999999999981</v>
      </c>
      <c r="I66" s="83">
        <v>84.781999999999982</v>
      </c>
      <c r="J66" s="83">
        <v>70.972999999999999</v>
      </c>
      <c r="K66" s="83">
        <v>100.839</v>
      </c>
      <c r="L66" s="83">
        <v>84.8</v>
      </c>
      <c r="M66" s="83">
        <v>96.056999999999988</v>
      </c>
      <c r="N66" s="83">
        <v>100.23600000000002</v>
      </c>
      <c r="O66" s="83">
        <v>75.796999999999997</v>
      </c>
      <c r="P66" s="83">
        <v>99.876000000000019</v>
      </c>
      <c r="Q66" s="83">
        <v>76.335999999999999</v>
      </c>
      <c r="R66" s="83">
        <v>100.836</v>
      </c>
      <c r="S66" s="83">
        <v>85.014999999999986</v>
      </c>
      <c r="T66" s="83">
        <v>88.461999999999989</v>
      </c>
      <c r="U66" s="83">
        <v>75.187999999999988</v>
      </c>
      <c r="V66" s="83">
        <v>75.974999999999994</v>
      </c>
      <c r="W66" s="83">
        <v>79.088999999999999</v>
      </c>
      <c r="X66" s="83">
        <v>84.202999999999989</v>
      </c>
      <c r="Y66" s="83">
        <v>90.117999999999981</v>
      </c>
      <c r="Z66" s="83">
        <v>79.061000000000021</v>
      </c>
      <c r="AA66" s="83">
        <v>66.427000000000007</v>
      </c>
      <c r="AB66" s="83">
        <v>76.791999999999987</v>
      </c>
      <c r="AC66" s="83">
        <v>78.8</v>
      </c>
      <c r="AD66" s="83">
        <v>77.092000000000013</v>
      </c>
      <c r="AE66" s="83">
        <v>82.336000000000013</v>
      </c>
      <c r="AF66" s="83">
        <v>69.462999999999994</v>
      </c>
      <c r="AG66" s="83">
        <v>85.598533333333336</v>
      </c>
    </row>
    <row r="67" spans="1:33" x14ac:dyDescent="0.3">
      <c r="A67" s="70" t="s">
        <v>727</v>
      </c>
      <c r="B67" s="83">
        <v>109.372</v>
      </c>
      <c r="C67" s="83">
        <v>180.50799999999995</v>
      </c>
      <c r="D67" s="83">
        <v>145.60300000000001</v>
      </c>
      <c r="E67" s="83">
        <v>130.36799999999997</v>
      </c>
      <c r="F67" s="83">
        <v>137.47500000000002</v>
      </c>
      <c r="G67" s="83">
        <v>109.27200000000001</v>
      </c>
      <c r="H67" s="83">
        <v>119.661</v>
      </c>
      <c r="I67" s="83">
        <v>137.411</v>
      </c>
      <c r="J67" s="83">
        <v>125.014</v>
      </c>
      <c r="K67" s="83">
        <v>107.89699999999998</v>
      </c>
      <c r="L67" s="83">
        <v>123.03999999999999</v>
      </c>
      <c r="M67" s="83">
        <v>130.77999999999997</v>
      </c>
      <c r="N67" s="83">
        <v>131.14799999999997</v>
      </c>
      <c r="O67" s="83">
        <v>100.35499999999999</v>
      </c>
      <c r="P67" s="83">
        <v>134.88200000000001</v>
      </c>
      <c r="Q67" s="83">
        <v>118.15199999999997</v>
      </c>
      <c r="R67" s="83">
        <v>120.05399999999999</v>
      </c>
      <c r="S67" s="83">
        <v>135.589</v>
      </c>
      <c r="T67" s="83">
        <v>152.22899999999998</v>
      </c>
      <c r="U67" s="83">
        <v>129.14799999999997</v>
      </c>
      <c r="V67" s="83">
        <v>133.92000000000002</v>
      </c>
      <c r="W67" s="83">
        <v>92.774000000000001</v>
      </c>
      <c r="X67" s="83">
        <v>115.389</v>
      </c>
      <c r="Y67" s="83">
        <v>120.17900000000002</v>
      </c>
      <c r="Z67" s="83">
        <v>105.09900000000002</v>
      </c>
      <c r="AA67" s="83">
        <v>126.61400000000003</v>
      </c>
      <c r="AB67" s="83">
        <v>104.26</v>
      </c>
      <c r="AC67" s="83">
        <v>130.01899999999998</v>
      </c>
      <c r="AD67" s="83">
        <v>101.768</v>
      </c>
      <c r="AE67" s="83">
        <v>153.60300000000001</v>
      </c>
      <c r="AF67" s="83">
        <v>105.18600000000001</v>
      </c>
      <c r="AG67" s="83">
        <v>125.3861</v>
      </c>
    </row>
    <row r="68" spans="1:33" x14ac:dyDescent="0.3">
      <c r="A68" s="70" t="s">
        <v>763</v>
      </c>
      <c r="B68" s="83">
        <v>50.147999999999996</v>
      </c>
      <c r="C68" s="83">
        <v>13.999000000000001</v>
      </c>
      <c r="D68" s="83">
        <v>55.58</v>
      </c>
      <c r="E68" s="83">
        <v>11.837</v>
      </c>
      <c r="F68" s="83">
        <v>15.350999999999999</v>
      </c>
      <c r="G68" s="83">
        <v>31.272000000000002</v>
      </c>
      <c r="H68" s="83">
        <v>32.192</v>
      </c>
      <c r="I68" s="83">
        <v>31.614999999999998</v>
      </c>
      <c r="J68" s="83">
        <v>1.7919999999999998</v>
      </c>
      <c r="K68" s="83">
        <v>22.234999999999999</v>
      </c>
      <c r="L68" s="83">
        <v>37.161000000000001</v>
      </c>
      <c r="M68" s="83">
        <v>10.037000000000001</v>
      </c>
      <c r="N68" s="83">
        <v>25.175000000000001</v>
      </c>
      <c r="O68" s="83">
        <v>25.797999999999998</v>
      </c>
      <c r="P68" s="83">
        <v>31.806999999999999</v>
      </c>
      <c r="Q68" s="83">
        <v>29.187999999999999</v>
      </c>
      <c r="R68" s="83">
        <v>20.656999999999996</v>
      </c>
      <c r="S68" s="83">
        <v>16.286999999999999</v>
      </c>
      <c r="T68" s="83">
        <v>15.299999999999999</v>
      </c>
      <c r="U68" s="83">
        <v>33.180999999999997</v>
      </c>
      <c r="V68" s="83">
        <v>23.417000000000002</v>
      </c>
      <c r="W68" s="83">
        <v>32.018999999999998</v>
      </c>
      <c r="X68" s="83">
        <v>24.411999999999999</v>
      </c>
      <c r="Y68" s="83">
        <v>13.051000000000002</v>
      </c>
      <c r="Z68" s="83">
        <v>26.338000000000001</v>
      </c>
      <c r="AA68" s="83">
        <v>16.943999999999999</v>
      </c>
      <c r="AB68" s="83">
        <v>6.8460000000000001</v>
      </c>
      <c r="AC68" s="83">
        <v>7.0040000000000004</v>
      </c>
      <c r="AD68" s="83">
        <v>14.436</v>
      </c>
      <c r="AE68" s="83">
        <v>17.821000000000002</v>
      </c>
      <c r="AF68" s="83">
        <v>18.350000000000001</v>
      </c>
      <c r="AG68" s="83">
        <v>23.096666666666671</v>
      </c>
    </row>
    <row r="69" spans="1:33" x14ac:dyDescent="0.3">
      <c r="A69" s="70" t="s">
        <v>767</v>
      </c>
      <c r="B69" s="83">
        <v>129.464</v>
      </c>
      <c r="C69" s="83">
        <v>158.12700000000004</v>
      </c>
      <c r="D69" s="83">
        <v>127.60799999999998</v>
      </c>
      <c r="E69" s="83">
        <v>141.67899999999997</v>
      </c>
      <c r="F69" s="83">
        <v>142.16200000000001</v>
      </c>
      <c r="G69" s="83">
        <v>129.10500000000002</v>
      </c>
      <c r="H69" s="83">
        <v>96.16</v>
      </c>
      <c r="I69" s="83">
        <v>143.12699999999998</v>
      </c>
      <c r="J69" s="83">
        <v>159.94299999999998</v>
      </c>
      <c r="K69" s="83">
        <v>140.98599999999999</v>
      </c>
      <c r="L69" s="83">
        <v>148.67099999999999</v>
      </c>
      <c r="M69" s="83">
        <v>131.94</v>
      </c>
      <c r="N69" s="83">
        <v>151.07300000000004</v>
      </c>
      <c r="O69" s="83">
        <v>166.66800000000001</v>
      </c>
      <c r="P69" s="83">
        <v>155.04500000000002</v>
      </c>
      <c r="Q69" s="83">
        <v>141.684</v>
      </c>
      <c r="R69" s="83">
        <v>154.05100000000002</v>
      </c>
      <c r="S69" s="83">
        <v>135.33999999999997</v>
      </c>
      <c r="T69" s="83">
        <v>150.00799999999998</v>
      </c>
      <c r="U69" s="83">
        <v>160.24800000000002</v>
      </c>
      <c r="V69" s="83">
        <v>91.572000000000017</v>
      </c>
      <c r="W69" s="83">
        <v>119.456</v>
      </c>
      <c r="X69" s="83">
        <v>122.56200000000001</v>
      </c>
      <c r="Y69" s="83">
        <v>98.23599999999999</v>
      </c>
      <c r="Z69" s="83">
        <v>112.66700000000003</v>
      </c>
      <c r="AA69" s="83">
        <v>130.029</v>
      </c>
      <c r="AB69" s="83">
        <v>163.15199999999996</v>
      </c>
      <c r="AC69" s="83">
        <v>183.76900000000001</v>
      </c>
      <c r="AD69" s="83">
        <v>161.22200000000004</v>
      </c>
      <c r="AE69" s="83">
        <v>129.90100000000004</v>
      </c>
      <c r="AF69" s="83">
        <v>132.26</v>
      </c>
      <c r="AG69" s="83">
        <v>139.18850000000003</v>
      </c>
    </row>
    <row r="70" spans="1:33" x14ac:dyDescent="0.3">
      <c r="A70" s="70" t="s">
        <v>758</v>
      </c>
      <c r="B70" s="83">
        <v>145.09199999999998</v>
      </c>
      <c r="C70" s="83">
        <v>81.552000000000007</v>
      </c>
      <c r="D70" s="83">
        <v>123.97600000000001</v>
      </c>
      <c r="E70" s="83">
        <v>201.02900000000002</v>
      </c>
      <c r="F70" s="83">
        <v>130.60999999999999</v>
      </c>
      <c r="G70" s="83">
        <v>128.78899999999999</v>
      </c>
      <c r="H70" s="83">
        <v>158.32000000000002</v>
      </c>
      <c r="I70" s="83">
        <v>136.251</v>
      </c>
      <c r="J70" s="83">
        <v>178.62599999999998</v>
      </c>
      <c r="K70" s="83">
        <v>137.369</v>
      </c>
      <c r="L70" s="83">
        <v>156.57900000000001</v>
      </c>
      <c r="M70" s="83">
        <v>104.28899999999999</v>
      </c>
      <c r="N70" s="83">
        <v>149.98699999999997</v>
      </c>
      <c r="O70" s="83">
        <v>150.15599999999998</v>
      </c>
      <c r="P70" s="83">
        <v>119.84000000000006</v>
      </c>
      <c r="Q70" s="83">
        <v>120.06200000000005</v>
      </c>
      <c r="R70" s="83">
        <v>176.488</v>
      </c>
      <c r="S70" s="83">
        <v>142.40599999999998</v>
      </c>
      <c r="T70" s="83">
        <v>150.98600000000002</v>
      </c>
      <c r="U70" s="83">
        <v>166.90899999999999</v>
      </c>
      <c r="V70" s="83">
        <v>131.34900000000002</v>
      </c>
      <c r="W70" s="83">
        <v>150.43500000000009</v>
      </c>
      <c r="X70" s="83">
        <v>105.82800000000002</v>
      </c>
      <c r="Y70" s="83">
        <v>164.71400000000003</v>
      </c>
      <c r="Z70" s="83">
        <v>104.477</v>
      </c>
      <c r="AA70" s="83">
        <v>154.89300000000003</v>
      </c>
      <c r="AB70" s="83">
        <v>136.86400000000003</v>
      </c>
      <c r="AC70" s="83">
        <v>118.48000000000002</v>
      </c>
      <c r="AD70" s="83">
        <v>160.04900000000004</v>
      </c>
      <c r="AE70" s="83">
        <v>127.82100000000003</v>
      </c>
      <c r="AF70" s="83">
        <v>146.60799999999998</v>
      </c>
      <c r="AG70" s="83">
        <v>140.4742</v>
      </c>
    </row>
    <row r="71" spans="1:33" x14ac:dyDescent="0.3">
      <c r="A71" s="70" t="s">
        <v>756</v>
      </c>
      <c r="B71" s="83">
        <v>41.033999999999999</v>
      </c>
      <c r="C71" s="83">
        <v>73.41</v>
      </c>
      <c r="D71" s="83">
        <v>39.861999999999995</v>
      </c>
      <c r="E71" s="83">
        <v>51.261000000000003</v>
      </c>
      <c r="F71" s="83">
        <v>57.247999999999998</v>
      </c>
      <c r="G71" s="83">
        <v>60.853999999999999</v>
      </c>
      <c r="H71" s="83">
        <v>66.3</v>
      </c>
      <c r="I71" s="83">
        <v>66.584000000000003</v>
      </c>
      <c r="J71" s="83">
        <v>56.047999999999995</v>
      </c>
      <c r="K71" s="83">
        <v>87.108999999999995</v>
      </c>
      <c r="L71" s="83">
        <v>66.448000000000008</v>
      </c>
      <c r="M71" s="83">
        <v>49.198</v>
      </c>
      <c r="N71" s="83">
        <v>40.013999999999996</v>
      </c>
      <c r="O71" s="83">
        <v>51.826999999999991</v>
      </c>
      <c r="P71" s="83">
        <v>28.575999999999997</v>
      </c>
      <c r="Q71" s="83">
        <v>25.725999999999999</v>
      </c>
      <c r="R71" s="83">
        <v>62.83</v>
      </c>
      <c r="S71" s="83">
        <v>47.487000000000002</v>
      </c>
      <c r="T71" s="83">
        <v>52.054000000000002</v>
      </c>
      <c r="U71" s="83">
        <v>33.465000000000003</v>
      </c>
      <c r="V71" s="83">
        <v>38.736999999999995</v>
      </c>
      <c r="W71" s="83">
        <v>52.977999999999994</v>
      </c>
      <c r="X71" s="83">
        <v>32.803000000000004</v>
      </c>
      <c r="Y71" s="83">
        <v>23.671999999999997</v>
      </c>
      <c r="Z71" s="83">
        <v>17.744</v>
      </c>
      <c r="AA71" s="83">
        <v>27.152000000000001</v>
      </c>
      <c r="AB71" s="83">
        <v>34.152999999999999</v>
      </c>
      <c r="AC71" s="83">
        <v>11.206</v>
      </c>
      <c r="AD71" s="83">
        <v>19.929000000000002</v>
      </c>
      <c r="AE71" s="83">
        <v>26.439</v>
      </c>
      <c r="AF71" s="83">
        <v>15.731999999999998</v>
      </c>
      <c r="AG71" s="83">
        <v>44.738266666666682</v>
      </c>
    </row>
    <row r="72" spans="1:33" x14ac:dyDescent="0.3">
      <c r="A72" s="70" t="s">
        <v>786</v>
      </c>
      <c r="B72" s="83">
        <v>0</v>
      </c>
      <c r="C72" s="83">
        <v>0</v>
      </c>
      <c r="D72" s="83">
        <v>0</v>
      </c>
      <c r="E72" s="83">
        <v>8.6519999999999992</v>
      </c>
      <c r="F72" s="83">
        <v>0</v>
      </c>
      <c r="G72" s="83">
        <v>0</v>
      </c>
      <c r="H72" s="83">
        <v>0</v>
      </c>
      <c r="I72" s="83">
        <v>0</v>
      </c>
      <c r="J72" s="83">
        <v>0</v>
      </c>
      <c r="K72" s="83">
        <v>0</v>
      </c>
      <c r="L72" s="83">
        <v>0</v>
      </c>
      <c r="M72" s="83">
        <v>0</v>
      </c>
      <c r="N72" s="83">
        <v>0</v>
      </c>
      <c r="O72" s="83">
        <v>0</v>
      </c>
      <c r="P72" s="83">
        <v>0</v>
      </c>
      <c r="Q72" s="83">
        <v>0</v>
      </c>
      <c r="R72" s="83">
        <v>0</v>
      </c>
      <c r="S72" s="83">
        <v>0</v>
      </c>
      <c r="T72" s="83">
        <v>0</v>
      </c>
      <c r="U72" s="83">
        <v>0</v>
      </c>
      <c r="V72" s="83">
        <v>0</v>
      </c>
      <c r="W72" s="83">
        <v>0</v>
      </c>
      <c r="X72" s="83">
        <v>0</v>
      </c>
      <c r="Y72" s="83">
        <v>0</v>
      </c>
      <c r="Z72" s="83">
        <v>0</v>
      </c>
      <c r="AA72" s="83">
        <v>0</v>
      </c>
      <c r="AB72" s="83">
        <v>0</v>
      </c>
      <c r="AC72" s="83">
        <v>0</v>
      </c>
      <c r="AD72" s="83">
        <v>0</v>
      </c>
      <c r="AE72" s="83">
        <v>0</v>
      </c>
      <c r="AF72" s="83">
        <v>0</v>
      </c>
      <c r="AG72" s="83">
        <v>0.28839999999999999</v>
      </c>
    </row>
    <row r="73" spans="1:33" x14ac:dyDescent="0.3">
      <c r="A73" s="70" t="s">
        <v>787</v>
      </c>
      <c r="B73" s="83">
        <v>0</v>
      </c>
      <c r="C73" s="83">
        <v>0</v>
      </c>
      <c r="D73" s="83">
        <v>0</v>
      </c>
      <c r="E73" s="83">
        <v>0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  <c r="M73" s="83">
        <v>0</v>
      </c>
      <c r="N73" s="83">
        <v>0</v>
      </c>
      <c r="O73" s="83">
        <v>0</v>
      </c>
      <c r="P73" s="83">
        <v>0</v>
      </c>
      <c r="Q73" s="83">
        <v>0</v>
      </c>
      <c r="R73" s="83">
        <v>0</v>
      </c>
      <c r="S73" s="83">
        <v>0</v>
      </c>
      <c r="T73" s="83">
        <v>0</v>
      </c>
      <c r="U73" s="83">
        <v>0</v>
      </c>
      <c r="V73" s="83">
        <v>0</v>
      </c>
      <c r="W73" s="83">
        <v>0</v>
      </c>
      <c r="X73" s="83">
        <v>0</v>
      </c>
      <c r="Y73" s="83">
        <v>0</v>
      </c>
      <c r="Z73" s="83">
        <v>0</v>
      </c>
      <c r="AA73" s="83">
        <v>0</v>
      </c>
      <c r="AB73" s="83">
        <v>0</v>
      </c>
      <c r="AC73" s="83">
        <v>0</v>
      </c>
      <c r="AD73" s="83">
        <v>0</v>
      </c>
      <c r="AE73" s="83">
        <v>0</v>
      </c>
      <c r="AF73" s="83">
        <v>0</v>
      </c>
      <c r="AG73" s="83">
        <v>0</v>
      </c>
    </row>
    <row r="74" spans="1:33" x14ac:dyDescent="0.3">
      <c r="A74" s="70" t="s">
        <v>716</v>
      </c>
      <c r="B74" s="83">
        <v>7.0049999999999999</v>
      </c>
      <c r="C74" s="83">
        <v>10.124000000000001</v>
      </c>
      <c r="D74" s="83">
        <v>14.956999999999999</v>
      </c>
      <c r="E74" s="83">
        <v>17.965999999999998</v>
      </c>
      <c r="F74" s="83">
        <v>41.144999999999996</v>
      </c>
      <c r="G74" s="83">
        <v>39.123000000000005</v>
      </c>
      <c r="H74" s="83">
        <v>25.072999999999997</v>
      </c>
      <c r="I74" s="83">
        <v>12.411000000000001</v>
      </c>
      <c r="J74" s="83">
        <v>21.887</v>
      </c>
      <c r="K74" s="83">
        <v>30.934999999999999</v>
      </c>
      <c r="L74" s="83">
        <v>27.696999999999999</v>
      </c>
      <c r="M74" s="83">
        <v>11.492000000000001</v>
      </c>
      <c r="N74" s="83">
        <v>22.341000000000001</v>
      </c>
      <c r="O74" s="83">
        <v>33.978999999999999</v>
      </c>
      <c r="P74" s="83">
        <v>23.587000000000003</v>
      </c>
      <c r="Q74" s="83">
        <v>32.107999999999997</v>
      </c>
      <c r="R74" s="83">
        <v>15.616000000000001</v>
      </c>
      <c r="S74" s="83">
        <v>21.774999999999999</v>
      </c>
      <c r="T74" s="83">
        <v>63.740000000000009</v>
      </c>
      <c r="U74" s="83">
        <v>84.165999999999997</v>
      </c>
      <c r="V74" s="83">
        <v>11.673</v>
      </c>
      <c r="W74" s="83">
        <v>53.683</v>
      </c>
      <c r="X74" s="83">
        <v>75.260999999999996</v>
      </c>
      <c r="Y74" s="83">
        <v>56.24</v>
      </c>
      <c r="Z74" s="83">
        <v>60.365999999999993</v>
      </c>
      <c r="AA74" s="83">
        <v>50.511999999999993</v>
      </c>
      <c r="AB74" s="83">
        <v>68.980999999999995</v>
      </c>
      <c r="AC74" s="83">
        <v>56.219999999999992</v>
      </c>
      <c r="AD74" s="83">
        <v>27.504999999999999</v>
      </c>
      <c r="AE74" s="83">
        <v>42.655999999999992</v>
      </c>
      <c r="AF74" s="83">
        <v>21.931999999999999</v>
      </c>
      <c r="AG74" s="83">
        <v>35.340799999999994</v>
      </c>
    </row>
    <row r="75" spans="1:33" x14ac:dyDescent="0.3">
      <c r="A75" s="70" t="s">
        <v>726</v>
      </c>
      <c r="B75" s="83">
        <v>0</v>
      </c>
      <c r="C75" s="83">
        <v>0</v>
      </c>
      <c r="D75" s="83">
        <v>0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1.05</v>
      </c>
      <c r="L75" s="83">
        <v>18.209000000000003</v>
      </c>
      <c r="M75" s="83">
        <v>8.5850000000000009</v>
      </c>
      <c r="N75" s="83">
        <v>13.183999999999999</v>
      </c>
      <c r="O75" s="83">
        <v>34.131</v>
      </c>
      <c r="P75" s="83">
        <v>27.015999999999998</v>
      </c>
      <c r="Q75" s="83">
        <v>14.315999999999999</v>
      </c>
      <c r="R75" s="83">
        <v>26.952000000000002</v>
      </c>
      <c r="S75" s="83">
        <v>20.857999999999997</v>
      </c>
      <c r="T75" s="83">
        <v>27.905000000000005</v>
      </c>
      <c r="U75" s="83">
        <v>28.218000000000004</v>
      </c>
      <c r="V75" s="83">
        <v>40.155999999999999</v>
      </c>
      <c r="W75" s="83">
        <v>42.583999999999996</v>
      </c>
      <c r="X75" s="83">
        <v>8.3650000000000002</v>
      </c>
      <c r="Y75" s="83">
        <v>29.407000000000004</v>
      </c>
      <c r="Z75" s="83">
        <v>30.052000000000003</v>
      </c>
      <c r="AA75" s="83">
        <v>23.395000000000003</v>
      </c>
      <c r="AB75" s="83">
        <v>21.850999999999999</v>
      </c>
      <c r="AC75" s="83">
        <v>14.382</v>
      </c>
      <c r="AD75" s="83">
        <v>14.815999999999999</v>
      </c>
      <c r="AE75" s="83">
        <v>20.896000000000001</v>
      </c>
      <c r="AF75" s="83">
        <v>39.796999999999997</v>
      </c>
      <c r="AG75" s="83">
        <v>15.544266666666667</v>
      </c>
    </row>
    <row r="76" spans="1:33" x14ac:dyDescent="0.3">
      <c r="A76" s="70" t="s">
        <v>788</v>
      </c>
      <c r="B76" s="83">
        <v>0</v>
      </c>
      <c r="C76" s="83">
        <v>0</v>
      </c>
      <c r="D76" s="83">
        <v>0</v>
      </c>
      <c r="E76" s="83">
        <v>0</v>
      </c>
      <c r="F76" s="83">
        <v>0</v>
      </c>
      <c r="G76" s="83">
        <v>10.61</v>
      </c>
      <c r="H76" s="83">
        <v>0</v>
      </c>
      <c r="I76" s="83">
        <v>0</v>
      </c>
      <c r="J76" s="83">
        <v>0</v>
      </c>
      <c r="K76" s="83">
        <v>0</v>
      </c>
      <c r="L76" s="83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Z76" s="83">
        <v>0</v>
      </c>
      <c r="AA76" s="83">
        <v>0</v>
      </c>
      <c r="AB76" s="83">
        <v>0</v>
      </c>
      <c r="AC76" s="83">
        <v>0</v>
      </c>
      <c r="AD76" s="83">
        <v>0</v>
      </c>
      <c r="AE76" s="83">
        <v>0</v>
      </c>
      <c r="AF76" s="83">
        <v>0</v>
      </c>
      <c r="AG76" s="83">
        <v>0.35366666666666663</v>
      </c>
    </row>
    <row r="77" spans="1:33" x14ac:dyDescent="0.3">
      <c r="A77" s="70" t="s">
        <v>789</v>
      </c>
      <c r="B77" s="83">
        <v>0</v>
      </c>
      <c r="C77" s="83">
        <v>0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83">
        <v>0</v>
      </c>
      <c r="AC77" s="83">
        <v>0</v>
      </c>
      <c r="AD77" s="83">
        <v>0</v>
      </c>
      <c r="AE77" s="83">
        <v>0</v>
      </c>
      <c r="AF77" s="83">
        <v>0</v>
      </c>
      <c r="AG77" s="83">
        <v>0</v>
      </c>
    </row>
    <row r="78" spans="1:33" x14ac:dyDescent="0.3">
      <c r="A78" s="70" t="s">
        <v>790</v>
      </c>
      <c r="B78" s="83">
        <v>0</v>
      </c>
      <c r="C78" s="83">
        <v>0</v>
      </c>
      <c r="D78" s="83">
        <v>0</v>
      </c>
      <c r="E78" s="83">
        <v>0</v>
      </c>
      <c r="F78" s="83">
        <v>38.079000000000001</v>
      </c>
      <c r="G78" s="83">
        <v>38.180000000000007</v>
      </c>
      <c r="H78" s="83">
        <v>0</v>
      </c>
      <c r="I78" s="83">
        <v>0</v>
      </c>
      <c r="J78" s="83">
        <v>19.626999999999999</v>
      </c>
      <c r="K78" s="83">
        <v>0</v>
      </c>
      <c r="L78" s="83">
        <v>19.817</v>
      </c>
      <c r="M78" s="83">
        <v>0</v>
      </c>
      <c r="N78" s="83">
        <v>18.71</v>
      </c>
      <c r="O78" s="83">
        <v>30.806000000000004</v>
      </c>
      <c r="P78" s="83">
        <v>0</v>
      </c>
      <c r="Q78" s="83">
        <v>0</v>
      </c>
      <c r="R78" s="83">
        <v>39.768999999999998</v>
      </c>
      <c r="S78" s="83">
        <v>0</v>
      </c>
      <c r="T78" s="83">
        <v>0</v>
      </c>
      <c r="U78" s="83">
        <v>37.589999999999996</v>
      </c>
      <c r="V78" s="83">
        <v>20.733000000000001</v>
      </c>
      <c r="W78" s="83">
        <v>0</v>
      </c>
      <c r="X78" s="83">
        <v>0</v>
      </c>
      <c r="Y78" s="83">
        <v>0</v>
      </c>
      <c r="Z78" s="83">
        <v>0</v>
      </c>
      <c r="AA78" s="83">
        <v>0</v>
      </c>
      <c r="AB78" s="83">
        <v>0</v>
      </c>
      <c r="AC78" s="83">
        <v>0</v>
      </c>
      <c r="AD78" s="83">
        <v>0</v>
      </c>
      <c r="AE78" s="83">
        <v>0</v>
      </c>
      <c r="AF78" s="83">
        <v>0</v>
      </c>
      <c r="AG78" s="83">
        <v>8.7770333333333337</v>
      </c>
    </row>
    <row r="79" spans="1:33" x14ac:dyDescent="0.3">
      <c r="A79" s="70" t="s">
        <v>791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  <c r="R79" s="83">
        <v>0</v>
      </c>
      <c r="S79" s="83">
        <v>0</v>
      </c>
      <c r="T79" s="83">
        <v>0</v>
      </c>
      <c r="U79" s="83">
        <v>0</v>
      </c>
      <c r="V79" s="83">
        <v>0</v>
      </c>
      <c r="W79" s="83">
        <v>0</v>
      </c>
      <c r="X79" s="83">
        <v>0</v>
      </c>
      <c r="Y79" s="83">
        <v>0</v>
      </c>
      <c r="Z79" s="83">
        <v>0</v>
      </c>
      <c r="AA79" s="83">
        <v>0</v>
      </c>
      <c r="AB79" s="83">
        <v>0</v>
      </c>
      <c r="AC79" s="83">
        <v>0</v>
      </c>
      <c r="AD79" s="83">
        <v>0</v>
      </c>
      <c r="AE79" s="83">
        <v>0</v>
      </c>
      <c r="AF79" s="83">
        <v>0</v>
      </c>
      <c r="AG79" s="83">
        <v>0</v>
      </c>
    </row>
    <row r="80" spans="1:33" x14ac:dyDescent="0.3">
      <c r="A80" s="70" t="s">
        <v>792</v>
      </c>
      <c r="B80" s="83"/>
      <c r="C80" s="83">
        <v>0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83">
        <v>0</v>
      </c>
      <c r="P80" s="83">
        <v>0</v>
      </c>
      <c r="Q80" s="83">
        <v>0</v>
      </c>
      <c r="R80" s="83">
        <v>0</v>
      </c>
      <c r="S80" s="83">
        <v>0</v>
      </c>
      <c r="T80" s="83">
        <v>0</v>
      </c>
      <c r="U80" s="83">
        <v>0</v>
      </c>
      <c r="V80" s="83">
        <v>0</v>
      </c>
      <c r="W80" s="83">
        <v>0</v>
      </c>
      <c r="X80" s="83">
        <v>0</v>
      </c>
      <c r="Y80" s="83">
        <v>0</v>
      </c>
      <c r="Z80" s="83">
        <v>0</v>
      </c>
      <c r="AA80" s="83">
        <v>0</v>
      </c>
      <c r="AB80" s="83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</row>
    <row r="81" spans="1:33" x14ac:dyDescent="0.3">
      <c r="A81" s="70" t="s">
        <v>793</v>
      </c>
      <c r="B81" s="83"/>
      <c r="C81" s="83">
        <v>0</v>
      </c>
      <c r="D81" s="83">
        <v>0</v>
      </c>
      <c r="E81" s="83">
        <v>0</v>
      </c>
      <c r="F81" s="83">
        <v>0</v>
      </c>
      <c r="G81" s="83">
        <v>0</v>
      </c>
      <c r="H81" s="83">
        <v>0</v>
      </c>
      <c r="I81" s="83">
        <v>0</v>
      </c>
      <c r="J81" s="83">
        <v>0</v>
      </c>
      <c r="K81" s="83">
        <v>0</v>
      </c>
      <c r="L81" s="83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Z81" s="83">
        <v>0</v>
      </c>
      <c r="AA81" s="83">
        <v>0</v>
      </c>
      <c r="AB81" s="83">
        <v>0</v>
      </c>
      <c r="AC81" s="83">
        <v>0</v>
      </c>
      <c r="AD81" s="83">
        <v>0</v>
      </c>
      <c r="AE81" s="83">
        <v>0</v>
      </c>
      <c r="AF81" s="83">
        <v>0</v>
      </c>
      <c r="AG81" s="83">
        <v>0</v>
      </c>
    </row>
    <row r="82" spans="1:33" x14ac:dyDescent="0.3">
      <c r="A82" s="70" t="s">
        <v>794</v>
      </c>
      <c r="B82" s="83"/>
      <c r="C82" s="83"/>
      <c r="D82" s="83"/>
      <c r="E82" s="83"/>
      <c r="F82" s="83"/>
      <c r="G82" s="83">
        <v>0.74299999999999999</v>
      </c>
      <c r="H82" s="83">
        <v>0</v>
      </c>
      <c r="I82" s="83">
        <v>0</v>
      </c>
      <c r="J82" s="83">
        <v>0</v>
      </c>
      <c r="K82" s="83">
        <v>0</v>
      </c>
      <c r="L82" s="83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Z82" s="83">
        <v>0</v>
      </c>
      <c r="AA82" s="83">
        <v>0</v>
      </c>
      <c r="AB82" s="83">
        <v>0</v>
      </c>
      <c r="AC82" s="83">
        <v>0</v>
      </c>
      <c r="AD82" s="83">
        <v>0</v>
      </c>
      <c r="AE82" s="83">
        <v>0</v>
      </c>
      <c r="AF82" s="83">
        <v>0</v>
      </c>
      <c r="AG82" s="83">
        <v>2.972E-2</v>
      </c>
    </row>
    <row r="83" spans="1:33" x14ac:dyDescent="0.3">
      <c r="A83" s="70" t="s">
        <v>731</v>
      </c>
      <c r="B83" s="83">
        <v>543.32099999999991</v>
      </c>
      <c r="C83" s="83">
        <v>250.92800000000003</v>
      </c>
      <c r="D83" s="83">
        <v>309.95299999999997</v>
      </c>
      <c r="E83" s="83">
        <v>318.26999999999987</v>
      </c>
      <c r="F83" s="83">
        <v>364.92200000000003</v>
      </c>
      <c r="G83" s="83">
        <v>286.08899999999988</v>
      </c>
      <c r="H83" s="83">
        <v>384.61099999999999</v>
      </c>
      <c r="I83" s="83">
        <v>543.81999999999994</v>
      </c>
      <c r="J83" s="83">
        <v>302.28500000000003</v>
      </c>
      <c r="K83" s="83">
        <v>225.23099999999999</v>
      </c>
      <c r="L83" s="83">
        <v>416.63399999999996</v>
      </c>
      <c r="M83" s="83">
        <v>371.86799999999999</v>
      </c>
      <c r="N83" s="83">
        <v>436.35500000000013</v>
      </c>
      <c r="O83" s="83">
        <v>387.50199999999995</v>
      </c>
      <c r="P83" s="83">
        <v>434.79600000000005</v>
      </c>
      <c r="Q83" s="83">
        <v>310.85499999999996</v>
      </c>
      <c r="R83" s="83">
        <v>222.00999999999996</v>
      </c>
      <c r="S83" s="83">
        <v>434.70100000000002</v>
      </c>
      <c r="T83" s="83">
        <v>561.28699999999992</v>
      </c>
      <c r="U83" s="83">
        <v>507.32400000000013</v>
      </c>
      <c r="V83" s="83">
        <v>607.99499999999989</v>
      </c>
      <c r="W83" s="83">
        <v>699.47200000000021</v>
      </c>
      <c r="X83" s="83">
        <v>462.54100000000017</v>
      </c>
      <c r="Y83" s="83">
        <v>204.20199999999997</v>
      </c>
      <c r="Z83" s="83">
        <v>683.346</v>
      </c>
      <c r="AA83" s="83">
        <v>666.36199999999974</v>
      </c>
      <c r="AB83" s="83">
        <v>682.16499999999996</v>
      </c>
      <c r="AC83" s="83">
        <v>662.11099999999988</v>
      </c>
      <c r="AD83" s="83">
        <v>704.9649999999998</v>
      </c>
      <c r="AE83" s="83">
        <v>478.55600000000004</v>
      </c>
      <c r="AF83" s="83">
        <v>184.749</v>
      </c>
      <c r="AG83" s="83">
        <v>448.81589999999994</v>
      </c>
    </row>
    <row r="84" spans="1:33" x14ac:dyDescent="0.3">
      <c r="A84" s="70" t="s">
        <v>795</v>
      </c>
      <c r="B84" s="83">
        <v>0</v>
      </c>
      <c r="C84" s="83">
        <v>0</v>
      </c>
      <c r="D84" s="83">
        <v>0</v>
      </c>
      <c r="E84" s="83">
        <v>0</v>
      </c>
      <c r="F84" s="83">
        <v>0</v>
      </c>
      <c r="G84" s="83">
        <v>0</v>
      </c>
      <c r="H84" s="83">
        <v>0</v>
      </c>
      <c r="I84" s="83">
        <v>0</v>
      </c>
      <c r="J84" s="83">
        <v>0</v>
      </c>
      <c r="K84" s="83">
        <v>0</v>
      </c>
      <c r="L84" s="83">
        <v>0</v>
      </c>
      <c r="M84" s="83">
        <v>0</v>
      </c>
      <c r="N84" s="83">
        <v>0</v>
      </c>
      <c r="O84" s="83">
        <v>0</v>
      </c>
      <c r="P84" s="83">
        <v>0</v>
      </c>
      <c r="Q84" s="83">
        <v>0</v>
      </c>
      <c r="R84" s="83">
        <v>0</v>
      </c>
      <c r="S84" s="83">
        <v>0</v>
      </c>
      <c r="T84" s="83">
        <v>0</v>
      </c>
      <c r="U84" s="83">
        <v>0</v>
      </c>
      <c r="V84" s="83">
        <v>0</v>
      </c>
      <c r="W84" s="83">
        <v>0</v>
      </c>
      <c r="X84" s="83">
        <v>0</v>
      </c>
      <c r="Y84" s="83">
        <v>0</v>
      </c>
      <c r="Z84" s="83">
        <v>0</v>
      </c>
      <c r="AA84" s="83">
        <v>0</v>
      </c>
      <c r="AB84" s="83">
        <v>0</v>
      </c>
      <c r="AC84" s="83">
        <v>0</v>
      </c>
      <c r="AD84" s="83">
        <v>0</v>
      </c>
      <c r="AE84" s="83">
        <v>0</v>
      </c>
      <c r="AF84" s="83">
        <v>0</v>
      </c>
      <c r="AG84" s="83">
        <v>0</v>
      </c>
    </row>
    <row r="85" spans="1:33" x14ac:dyDescent="0.3">
      <c r="A85" s="70" t="s">
        <v>796</v>
      </c>
      <c r="B85" s="83">
        <v>0</v>
      </c>
      <c r="C85" s="83">
        <v>0</v>
      </c>
      <c r="D85" s="83">
        <v>0</v>
      </c>
      <c r="E85" s="83">
        <v>2.8250000000000002</v>
      </c>
      <c r="F85" s="83">
        <v>3.016</v>
      </c>
      <c r="G85" s="83">
        <v>31.556000000000001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4.6239999999999997</v>
      </c>
      <c r="N85" s="83">
        <v>10.367000000000001</v>
      </c>
      <c r="O85" s="83">
        <v>0</v>
      </c>
      <c r="P85" s="83">
        <v>17.471</v>
      </c>
      <c r="Q85" s="83">
        <v>0</v>
      </c>
      <c r="R85" s="83">
        <v>0</v>
      </c>
      <c r="S85" s="83">
        <v>0</v>
      </c>
      <c r="T85" s="83">
        <v>0</v>
      </c>
      <c r="U85" s="83">
        <v>0</v>
      </c>
      <c r="V85" s="83">
        <v>0</v>
      </c>
      <c r="W85" s="83">
        <v>25.808999999999997</v>
      </c>
      <c r="X85" s="83">
        <v>0.626</v>
      </c>
      <c r="Y85" s="83">
        <v>0</v>
      </c>
      <c r="Z85" s="83">
        <v>0</v>
      </c>
      <c r="AA85" s="83">
        <v>37.773000000000003</v>
      </c>
      <c r="AB85" s="83">
        <v>0</v>
      </c>
      <c r="AC85" s="83">
        <v>8.8580000000000005</v>
      </c>
      <c r="AD85" s="83">
        <v>34.56</v>
      </c>
      <c r="AE85" s="83">
        <v>0</v>
      </c>
      <c r="AF85" s="83">
        <v>0</v>
      </c>
      <c r="AG85" s="83">
        <v>5.9161666666666672</v>
      </c>
    </row>
    <row r="86" spans="1:33" x14ac:dyDescent="0.3">
      <c r="A86" s="70" t="s">
        <v>718</v>
      </c>
      <c r="B86" s="83">
        <v>166.636</v>
      </c>
      <c r="C86" s="83">
        <v>177.21100000000001</v>
      </c>
      <c r="D86" s="83">
        <v>112.633</v>
      </c>
      <c r="E86" s="83">
        <v>164.75200000000001</v>
      </c>
      <c r="F86" s="83">
        <v>69.275000000000006</v>
      </c>
      <c r="G86" s="83">
        <v>70.779999999999973</v>
      </c>
      <c r="H86" s="83">
        <v>97.786000000000016</v>
      </c>
      <c r="I86" s="83">
        <v>147.73600000000008</v>
      </c>
      <c r="J86" s="83">
        <v>177.38200000000012</v>
      </c>
      <c r="K86" s="83">
        <v>144.37200000000001</v>
      </c>
      <c r="L86" s="83">
        <v>139.91700000000006</v>
      </c>
      <c r="M86" s="83">
        <v>140.08499999999998</v>
      </c>
      <c r="N86" s="83">
        <v>151.84500000000003</v>
      </c>
      <c r="O86" s="83">
        <v>159.22999999999996</v>
      </c>
      <c r="P86" s="83">
        <v>69.600000000000009</v>
      </c>
      <c r="Q86" s="83">
        <v>36.155000000000008</v>
      </c>
      <c r="R86" s="83">
        <v>14.564999999999998</v>
      </c>
      <c r="S86" s="83">
        <v>4.7850000000000001</v>
      </c>
      <c r="T86" s="83">
        <v>119.84599999999999</v>
      </c>
      <c r="U86" s="83">
        <v>39.563000000000009</v>
      </c>
      <c r="V86" s="83">
        <v>0</v>
      </c>
      <c r="W86" s="83">
        <v>7.6590000000000007</v>
      </c>
      <c r="X86" s="83">
        <v>5.0939999999999994</v>
      </c>
      <c r="Y86" s="83">
        <v>208.28799999999993</v>
      </c>
      <c r="Z86" s="83">
        <v>142.149</v>
      </c>
      <c r="AA86" s="83">
        <v>161.654</v>
      </c>
      <c r="AB86" s="83">
        <v>154.36899999999997</v>
      </c>
      <c r="AC86" s="83">
        <v>175.38199999999998</v>
      </c>
      <c r="AD86" s="83">
        <v>173.27299999999997</v>
      </c>
      <c r="AE86" s="83">
        <v>181.13099999999997</v>
      </c>
      <c r="AF86" s="83">
        <v>179.19000000000003</v>
      </c>
      <c r="AG86" s="83">
        <v>113.77176666666669</v>
      </c>
    </row>
    <row r="87" spans="1:33" x14ac:dyDescent="0.3">
      <c r="A87" s="70" t="s">
        <v>799</v>
      </c>
      <c r="B87" s="83">
        <v>0</v>
      </c>
      <c r="C87" s="83">
        <v>0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J87" s="83">
        <v>0</v>
      </c>
      <c r="K87" s="83">
        <v>0</v>
      </c>
      <c r="L87" s="83">
        <v>0</v>
      </c>
      <c r="M87" s="83">
        <v>0</v>
      </c>
      <c r="N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3">
        <v>0</v>
      </c>
      <c r="V87" s="83">
        <v>0</v>
      </c>
      <c r="W87" s="83">
        <v>0</v>
      </c>
      <c r="X87" s="83">
        <v>0</v>
      </c>
      <c r="Y87" s="83">
        <v>0</v>
      </c>
      <c r="Z87" s="83">
        <v>0</v>
      </c>
      <c r="AA87" s="83">
        <v>0</v>
      </c>
      <c r="AB87" s="83">
        <v>0</v>
      </c>
      <c r="AC87" s="83">
        <v>0</v>
      </c>
      <c r="AD87" s="83">
        <v>0</v>
      </c>
      <c r="AE87" s="83">
        <v>0</v>
      </c>
      <c r="AF87" s="83">
        <v>0</v>
      </c>
      <c r="AG87" s="83">
        <v>0</v>
      </c>
    </row>
    <row r="88" spans="1:33" x14ac:dyDescent="0.3">
      <c r="A88" s="70" t="s">
        <v>798</v>
      </c>
      <c r="B88" s="83">
        <v>0</v>
      </c>
      <c r="C88" s="83">
        <v>0</v>
      </c>
      <c r="D88" s="83">
        <v>0</v>
      </c>
      <c r="E88" s="83">
        <v>0</v>
      </c>
      <c r="F88" s="83">
        <v>0</v>
      </c>
      <c r="G88" s="83">
        <v>0</v>
      </c>
      <c r="H88" s="83">
        <v>0</v>
      </c>
      <c r="I88" s="83">
        <v>0</v>
      </c>
      <c r="J88" s="83">
        <v>0</v>
      </c>
      <c r="K88" s="83">
        <v>0</v>
      </c>
      <c r="L88" s="83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Z88" s="83">
        <v>0</v>
      </c>
      <c r="AA88" s="83">
        <v>0</v>
      </c>
      <c r="AB88" s="83">
        <v>0</v>
      </c>
      <c r="AC88" s="83">
        <v>0</v>
      </c>
      <c r="AD88" s="83">
        <v>0</v>
      </c>
      <c r="AE88" s="83">
        <v>0</v>
      </c>
      <c r="AF88" s="83">
        <v>0</v>
      </c>
      <c r="AG88" s="83">
        <v>0</v>
      </c>
    </row>
    <row r="89" spans="1:33" x14ac:dyDescent="0.3">
      <c r="A89" s="70" t="s">
        <v>797</v>
      </c>
      <c r="B89" s="83">
        <v>0</v>
      </c>
      <c r="C89" s="83">
        <v>0</v>
      </c>
      <c r="D89" s="83">
        <v>0</v>
      </c>
      <c r="E89" s="83">
        <v>0</v>
      </c>
      <c r="F89" s="83">
        <v>0.01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0</v>
      </c>
      <c r="W89" s="83">
        <v>0</v>
      </c>
      <c r="X89" s="83">
        <v>0</v>
      </c>
      <c r="Y89" s="83">
        <v>0</v>
      </c>
      <c r="Z89" s="83">
        <v>0</v>
      </c>
      <c r="AA89" s="83">
        <v>0</v>
      </c>
      <c r="AB89" s="83">
        <v>0</v>
      </c>
      <c r="AC89" s="83">
        <v>0</v>
      </c>
      <c r="AD89" s="83">
        <v>0</v>
      </c>
      <c r="AE89" s="83">
        <v>0</v>
      </c>
      <c r="AF89" s="83">
        <v>0</v>
      </c>
      <c r="AG89" s="83">
        <v>3.3333333333333332E-4</v>
      </c>
    </row>
    <row r="90" spans="1:33" x14ac:dyDescent="0.3">
      <c r="A90" s="70" t="s">
        <v>764</v>
      </c>
      <c r="B90" s="83">
        <v>126.26599999999999</v>
      </c>
      <c r="C90" s="83">
        <v>149.55300000000003</v>
      </c>
      <c r="D90" s="83">
        <v>134.09899999999999</v>
      </c>
      <c r="E90" s="83">
        <v>124.518</v>
      </c>
      <c r="F90" s="83">
        <v>88.546999999999997</v>
      </c>
      <c r="G90" s="83">
        <v>57.332999999999977</v>
      </c>
      <c r="H90" s="83">
        <v>134.88600000000011</v>
      </c>
      <c r="I90" s="83">
        <v>95.61099999999999</v>
      </c>
      <c r="J90" s="83">
        <v>127.381</v>
      </c>
      <c r="K90" s="83">
        <v>115.274</v>
      </c>
      <c r="L90" s="83">
        <v>111.66299999999998</v>
      </c>
      <c r="M90" s="83">
        <v>129.61400000000006</v>
      </c>
      <c r="N90" s="83">
        <v>106.709</v>
      </c>
      <c r="O90" s="83">
        <v>114.59300000000002</v>
      </c>
      <c r="P90" s="83">
        <v>108.29899999999999</v>
      </c>
      <c r="Q90" s="83">
        <v>112.89900000000007</v>
      </c>
      <c r="R90" s="83">
        <v>105.28100000000001</v>
      </c>
      <c r="S90" s="83">
        <v>96.975999999999999</v>
      </c>
      <c r="T90" s="83">
        <v>111.77700000000007</v>
      </c>
      <c r="U90" s="83">
        <v>112.19100000000006</v>
      </c>
      <c r="V90" s="83">
        <v>107.29200000000003</v>
      </c>
      <c r="W90" s="83">
        <v>148.358</v>
      </c>
      <c r="X90" s="83">
        <v>147.678</v>
      </c>
      <c r="Y90" s="83">
        <v>255.16799999999998</v>
      </c>
      <c r="Z90" s="83">
        <v>234.21500000000009</v>
      </c>
      <c r="AA90" s="83">
        <v>305.04599999999994</v>
      </c>
      <c r="AB90" s="83">
        <v>354.96499999999992</v>
      </c>
      <c r="AC90" s="83">
        <v>374.92399999999998</v>
      </c>
      <c r="AD90" s="83">
        <v>315.44999999999987</v>
      </c>
      <c r="AE90" s="83">
        <v>377.69499999999999</v>
      </c>
      <c r="AF90" s="83">
        <v>347.34600000000012</v>
      </c>
      <c r="AG90" s="83">
        <v>162.80870000000002</v>
      </c>
    </row>
    <row r="91" spans="1:33" x14ac:dyDescent="0.3">
      <c r="A91" s="70" t="s">
        <v>732</v>
      </c>
      <c r="B91" s="83">
        <v>35.78</v>
      </c>
      <c r="C91" s="83">
        <v>27.265999999999998</v>
      </c>
      <c r="D91" s="83">
        <v>39.913999999999994</v>
      </c>
      <c r="E91" s="83">
        <v>38.176999999999992</v>
      </c>
      <c r="F91" s="83">
        <v>41.076999999999998</v>
      </c>
      <c r="G91" s="83">
        <v>49.779999999999994</v>
      </c>
      <c r="H91" s="83">
        <v>43.022999999999996</v>
      </c>
      <c r="I91" s="83">
        <v>48.925999999999988</v>
      </c>
      <c r="J91" s="83">
        <v>32.088000000000001</v>
      </c>
      <c r="K91" s="83">
        <v>49.203000000000003</v>
      </c>
      <c r="L91" s="83">
        <v>28.206000000000003</v>
      </c>
      <c r="M91" s="83">
        <v>41.923000000000002</v>
      </c>
      <c r="N91" s="83">
        <v>39.006</v>
      </c>
      <c r="O91" s="83">
        <v>31.195</v>
      </c>
      <c r="P91" s="83">
        <v>37.176000000000009</v>
      </c>
      <c r="Q91" s="83">
        <v>54.048999999999999</v>
      </c>
      <c r="R91" s="83">
        <v>48.01100000000001</v>
      </c>
      <c r="S91" s="83">
        <v>41.233000000000004</v>
      </c>
      <c r="T91" s="83">
        <v>43.583999999999996</v>
      </c>
      <c r="U91" s="83">
        <v>38.730999999999995</v>
      </c>
      <c r="V91" s="83">
        <v>47.419999999999995</v>
      </c>
      <c r="W91" s="83">
        <v>35.285000000000004</v>
      </c>
      <c r="X91" s="83">
        <v>48.134999999999991</v>
      </c>
      <c r="Y91" s="83">
        <v>20.404000000000003</v>
      </c>
      <c r="Z91" s="83">
        <v>29.976000000000003</v>
      </c>
      <c r="AA91" s="83">
        <v>36.402000000000001</v>
      </c>
      <c r="AB91" s="83">
        <v>37.805999999999997</v>
      </c>
      <c r="AC91" s="83">
        <v>42.573999999999991</v>
      </c>
      <c r="AD91" s="83">
        <v>45.198999999999998</v>
      </c>
      <c r="AE91" s="83">
        <v>39.452999999999989</v>
      </c>
      <c r="AF91" s="83">
        <v>30.759999999999998</v>
      </c>
      <c r="AG91" s="83">
        <v>39.700066666666672</v>
      </c>
    </row>
    <row r="92" spans="1:33" x14ac:dyDescent="0.3">
      <c r="A92" s="70" t="s">
        <v>723</v>
      </c>
      <c r="B92" s="83">
        <v>59.491000000000007</v>
      </c>
      <c r="C92" s="83">
        <v>46.403000000000006</v>
      </c>
      <c r="D92" s="83">
        <v>35.134</v>
      </c>
      <c r="E92" s="83">
        <v>50.375999999999998</v>
      </c>
      <c r="F92" s="83">
        <v>27.546999999999997</v>
      </c>
      <c r="G92" s="83">
        <v>52.292000000000002</v>
      </c>
      <c r="H92" s="83">
        <v>41.4</v>
      </c>
      <c r="I92" s="83">
        <v>73.007000000000005</v>
      </c>
      <c r="J92" s="83">
        <v>23.775000000000002</v>
      </c>
      <c r="K92" s="83">
        <v>69.068999999999988</v>
      </c>
      <c r="L92" s="83">
        <v>41.099999999999994</v>
      </c>
      <c r="M92" s="83">
        <v>59.012</v>
      </c>
      <c r="N92" s="83">
        <v>80.875000000000014</v>
      </c>
      <c r="O92" s="83">
        <v>62.634000000000007</v>
      </c>
      <c r="P92" s="83">
        <v>28.225000000000001</v>
      </c>
      <c r="Q92" s="83">
        <v>37.457999999999998</v>
      </c>
      <c r="R92" s="83">
        <v>40.545999999999992</v>
      </c>
      <c r="S92" s="83">
        <v>40.503999999999998</v>
      </c>
      <c r="T92" s="83">
        <v>53.567999999999998</v>
      </c>
      <c r="U92" s="83">
        <v>29.145999999999997</v>
      </c>
      <c r="V92" s="83">
        <v>63.936999999999998</v>
      </c>
      <c r="W92" s="83">
        <v>74.547999999999988</v>
      </c>
      <c r="X92" s="83">
        <v>72.438999999999993</v>
      </c>
      <c r="Y92" s="83">
        <v>72.873999999999995</v>
      </c>
      <c r="Z92" s="83">
        <v>76.486999999999995</v>
      </c>
      <c r="AA92" s="83">
        <v>85.293999999999997</v>
      </c>
      <c r="AB92" s="83">
        <v>48.738</v>
      </c>
      <c r="AC92" s="83">
        <v>29.22</v>
      </c>
      <c r="AD92" s="83">
        <v>43.838999999999999</v>
      </c>
      <c r="AE92" s="83">
        <v>32.905000000000001</v>
      </c>
      <c r="AF92" s="83">
        <v>65.251999999999995</v>
      </c>
      <c r="AG92" s="83">
        <v>51.728100000000012</v>
      </c>
    </row>
    <row r="93" spans="1:33" x14ac:dyDescent="0.3">
      <c r="A93" s="70" t="s">
        <v>719</v>
      </c>
      <c r="B93" s="83">
        <v>23.920999999999999</v>
      </c>
      <c r="C93" s="83">
        <v>47.36</v>
      </c>
      <c r="D93" s="83">
        <v>28.133999999999997</v>
      </c>
      <c r="E93" s="83">
        <v>21.337</v>
      </c>
      <c r="F93" s="83">
        <v>27.443999999999999</v>
      </c>
      <c r="G93" s="83">
        <v>24.215000000000003</v>
      </c>
      <c r="H93" s="83">
        <v>32.874000000000002</v>
      </c>
      <c r="I93" s="83">
        <v>28.123000000000001</v>
      </c>
      <c r="J93" s="83">
        <v>23.379000000000001</v>
      </c>
      <c r="K93" s="83">
        <v>28.369</v>
      </c>
      <c r="L93" s="83">
        <v>37.766999999999996</v>
      </c>
      <c r="M93" s="83">
        <v>24.813000000000002</v>
      </c>
      <c r="N93" s="83">
        <v>38.123000000000005</v>
      </c>
      <c r="O93" s="83">
        <v>38.744999999999997</v>
      </c>
      <c r="P93" s="83">
        <v>14.367000000000001</v>
      </c>
      <c r="Q93" s="83">
        <v>24.199000000000002</v>
      </c>
      <c r="R93" s="83">
        <v>13.135</v>
      </c>
      <c r="S93" s="83">
        <v>15.667</v>
      </c>
      <c r="T93" s="83">
        <v>73.527000000000001</v>
      </c>
      <c r="U93" s="83">
        <v>50.27</v>
      </c>
      <c r="V93" s="83">
        <v>62.856000000000002</v>
      </c>
      <c r="W93" s="83">
        <v>40.177999999999997</v>
      </c>
      <c r="X93" s="83">
        <v>78.83499999999998</v>
      </c>
      <c r="Y93" s="83">
        <v>56.839999999999996</v>
      </c>
      <c r="Z93" s="83">
        <v>77.566000000000003</v>
      </c>
      <c r="AA93" s="83">
        <v>63.859000000000002</v>
      </c>
      <c r="AB93" s="83">
        <v>24.272000000000002</v>
      </c>
      <c r="AC93" s="83">
        <v>28.993000000000002</v>
      </c>
      <c r="AD93" s="83">
        <v>36.344999999999999</v>
      </c>
      <c r="AE93" s="83">
        <v>54.164999999999999</v>
      </c>
      <c r="AF93" s="83">
        <v>55.47</v>
      </c>
      <c r="AG93" s="83">
        <v>37.989266666666673</v>
      </c>
    </row>
    <row r="94" spans="1:33" x14ac:dyDescent="0.3">
      <c r="A94" s="70" t="s">
        <v>730</v>
      </c>
      <c r="B94" s="83">
        <v>333.45800000000003</v>
      </c>
      <c r="C94" s="83">
        <v>322.15700000000004</v>
      </c>
      <c r="D94" s="83">
        <v>354.23699999999991</v>
      </c>
      <c r="E94" s="83">
        <v>348.22600000000006</v>
      </c>
      <c r="F94" s="83">
        <v>379.95400000000006</v>
      </c>
      <c r="G94" s="83">
        <v>342.13500000000005</v>
      </c>
      <c r="H94" s="83">
        <v>399.95100000000008</v>
      </c>
      <c r="I94" s="83">
        <v>394.04799999999983</v>
      </c>
      <c r="J94" s="83">
        <v>274.26900000000006</v>
      </c>
      <c r="K94" s="83">
        <v>319.31599999999992</v>
      </c>
      <c r="L94" s="83">
        <v>366.87700000000001</v>
      </c>
      <c r="M94" s="83">
        <v>368.83700000000022</v>
      </c>
      <c r="N94" s="83">
        <v>350.96800000000007</v>
      </c>
      <c r="O94" s="83">
        <v>363.017</v>
      </c>
      <c r="P94" s="83">
        <v>384.46400000000017</v>
      </c>
      <c r="Q94" s="83">
        <v>328.28199999999998</v>
      </c>
      <c r="R94" s="83">
        <v>352.10100000000028</v>
      </c>
      <c r="S94" s="83">
        <v>372.26599999999996</v>
      </c>
      <c r="T94" s="83">
        <v>295.17200000000014</v>
      </c>
      <c r="U94" s="83">
        <v>348.24600000000004</v>
      </c>
      <c r="V94" s="83">
        <v>404.82199999999989</v>
      </c>
      <c r="W94" s="83">
        <v>411.46199999999993</v>
      </c>
      <c r="X94" s="83">
        <v>307.87700000000018</v>
      </c>
      <c r="Y94" s="83">
        <v>328.62800000000004</v>
      </c>
      <c r="Z94" s="83">
        <v>338.60499999999996</v>
      </c>
      <c r="AA94" s="83">
        <v>445.77699999999999</v>
      </c>
      <c r="AB94" s="83">
        <v>318.09100000000001</v>
      </c>
      <c r="AC94" s="83">
        <v>261.97000000000003</v>
      </c>
      <c r="AD94" s="83">
        <v>380.49399999999991</v>
      </c>
      <c r="AE94" s="83">
        <v>476.37700000000001</v>
      </c>
      <c r="AF94" s="83">
        <v>404.15599999999989</v>
      </c>
      <c r="AG94" s="83">
        <v>355.73613333333338</v>
      </c>
    </row>
    <row r="95" spans="1:33" x14ac:dyDescent="0.3">
      <c r="A95" s="70" t="s">
        <v>800</v>
      </c>
      <c r="B95" s="83">
        <v>0</v>
      </c>
      <c r="C95" s="83">
        <v>0</v>
      </c>
      <c r="D95" s="83">
        <v>0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3">
        <v>0</v>
      </c>
      <c r="L95" s="83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3">
        <v>0</v>
      </c>
      <c r="V95" s="83">
        <v>0</v>
      </c>
      <c r="W95" s="83">
        <v>0</v>
      </c>
      <c r="X95" s="83">
        <v>0</v>
      </c>
      <c r="Y95" s="83">
        <v>0</v>
      </c>
      <c r="Z95" s="83">
        <v>0</v>
      </c>
      <c r="AA95" s="83">
        <v>0</v>
      </c>
      <c r="AB95" s="83">
        <v>0</v>
      </c>
      <c r="AC95" s="83">
        <v>0</v>
      </c>
      <c r="AD95" s="83">
        <v>0</v>
      </c>
      <c r="AE95" s="83">
        <v>0</v>
      </c>
      <c r="AF95" s="83">
        <v>0</v>
      </c>
      <c r="AG95" s="83">
        <v>0</v>
      </c>
    </row>
    <row r="96" spans="1:33" x14ac:dyDescent="0.3">
      <c r="A96" s="70" t="s">
        <v>801</v>
      </c>
      <c r="B96" s="83">
        <v>0</v>
      </c>
      <c r="C96" s="83">
        <v>0</v>
      </c>
      <c r="D96" s="83">
        <v>0</v>
      </c>
      <c r="E96" s="83">
        <v>0</v>
      </c>
      <c r="F96" s="83">
        <v>0</v>
      </c>
      <c r="G96" s="83">
        <v>0</v>
      </c>
      <c r="H96" s="83">
        <v>0</v>
      </c>
      <c r="I96" s="83">
        <v>0</v>
      </c>
      <c r="J96" s="83">
        <v>0</v>
      </c>
      <c r="K96" s="83">
        <v>0</v>
      </c>
      <c r="L96" s="83">
        <v>0</v>
      </c>
      <c r="M96" s="83">
        <v>0</v>
      </c>
      <c r="N96" s="83">
        <v>0</v>
      </c>
      <c r="O96" s="83">
        <v>0</v>
      </c>
      <c r="P96" s="83">
        <v>0</v>
      </c>
      <c r="Q96" s="83">
        <v>0</v>
      </c>
      <c r="R96" s="83">
        <v>0</v>
      </c>
      <c r="S96" s="83">
        <v>0</v>
      </c>
      <c r="T96" s="83">
        <v>0</v>
      </c>
      <c r="U96" s="83">
        <v>0</v>
      </c>
      <c r="V96" s="83">
        <v>0</v>
      </c>
      <c r="W96" s="83">
        <v>0</v>
      </c>
      <c r="X96" s="83">
        <v>0</v>
      </c>
      <c r="Y96" s="83">
        <v>0</v>
      </c>
      <c r="Z96" s="83">
        <v>0</v>
      </c>
      <c r="AA96" s="83">
        <v>0</v>
      </c>
      <c r="AB96" s="83">
        <v>0</v>
      </c>
      <c r="AC96" s="83">
        <v>0</v>
      </c>
      <c r="AD96" s="83">
        <v>0</v>
      </c>
      <c r="AE96" s="83">
        <v>0</v>
      </c>
      <c r="AF96" s="83">
        <v>0</v>
      </c>
      <c r="AG96" s="83">
        <v>0</v>
      </c>
    </row>
    <row r="97" spans="1:33" x14ac:dyDescent="0.3">
      <c r="A97" s="70" t="s">
        <v>802</v>
      </c>
      <c r="B97" s="83">
        <v>36.006999999999998</v>
      </c>
      <c r="C97" s="83">
        <v>19.919</v>
      </c>
      <c r="D97" s="83">
        <v>0</v>
      </c>
      <c r="E97" s="83">
        <v>0</v>
      </c>
      <c r="F97" s="83">
        <v>8.5630000000000006</v>
      </c>
      <c r="G97" s="83">
        <v>0</v>
      </c>
      <c r="H97" s="83">
        <v>13.623000000000001</v>
      </c>
      <c r="I97" s="83">
        <v>27.559000000000001</v>
      </c>
      <c r="J97" s="83">
        <v>0</v>
      </c>
      <c r="K97" s="83">
        <v>0</v>
      </c>
      <c r="L97" s="83">
        <v>0</v>
      </c>
      <c r="M97" s="83">
        <v>7.7539999999999996</v>
      </c>
      <c r="N97" s="83">
        <v>0</v>
      </c>
      <c r="O97" s="83">
        <v>38.686</v>
      </c>
      <c r="P97" s="83">
        <v>0</v>
      </c>
      <c r="Q97" s="83">
        <v>0</v>
      </c>
      <c r="R97" s="83">
        <v>31.047000000000001</v>
      </c>
      <c r="S97" s="83">
        <v>0</v>
      </c>
      <c r="T97" s="83">
        <v>0</v>
      </c>
      <c r="U97" s="83">
        <v>35.811999999999998</v>
      </c>
      <c r="V97" s="83">
        <v>36.56</v>
      </c>
      <c r="W97" s="83">
        <v>0</v>
      </c>
      <c r="X97" s="83">
        <v>0</v>
      </c>
      <c r="Y97" s="83">
        <v>37.023000000000003</v>
      </c>
      <c r="Z97" s="83">
        <v>0</v>
      </c>
      <c r="AA97" s="83">
        <v>0</v>
      </c>
      <c r="AB97" s="83">
        <v>0</v>
      </c>
      <c r="AC97" s="83">
        <v>0</v>
      </c>
      <c r="AD97" s="83">
        <v>0</v>
      </c>
      <c r="AE97" s="83">
        <v>35.874000000000002</v>
      </c>
      <c r="AF97" s="83">
        <v>0</v>
      </c>
      <c r="AG97" s="83">
        <v>10.947566666666669</v>
      </c>
    </row>
    <row r="98" spans="1:33" x14ac:dyDescent="0.3">
      <c r="A98" s="70" t="s">
        <v>803</v>
      </c>
      <c r="B98" s="83">
        <v>0</v>
      </c>
      <c r="C98" s="83">
        <v>0</v>
      </c>
      <c r="D98" s="83">
        <v>0</v>
      </c>
      <c r="E98" s="83">
        <v>0</v>
      </c>
      <c r="F98" s="83">
        <v>0</v>
      </c>
      <c r="G98" s="83">
        <v>0</v>
      </c>
      <c r="H98" s="83">
        <v>0</v>
      </c>
      <c r="I98" s="83">
        <v>0</v>
      </c>
      <c r="J98" s="83">
        <v>0</v>
      </c>
      <c r="K98" s="83">
        <v>0</v>
      </c>
      <c r="L98" s="83">
        <v>0</v>
      </c>
      <c r="M98" s="83">
        <v>0</v>
      </c>
      <c r="N98" s="83">
        <v>0</v>
      </c>
      <c r="O98" s="83">
        <v>0</v>
      </c>
      <c r="P98" s="83">
        <v>0</v>
      </c>
      <c r="Q98" s="83">
        <v>0</v>
      </c>
      <c r="R98" s="83">
        <v>0</v>
      </c>
      <c r="S98" s="83">
        <v>0</v>
      </c>
      <c r="T98" s="83">
        <v>0</v>
      </c>
      <c r="U98" s="83">
        <v>0</v>
      </c>
      <c r="V98" s="83">
        <v>0</v>
      </c>
      <c r="W98" s="83">
        <v>0</v>
      </c>
      <c r="X98" s="83">
        <v>0</v>
      </c>
      <c r="Y98" s="83">
        <v>0</v>
      </c>
      <c r="Z98" s="83">
        <v>0</v>
      </c>
      <c r="AA98" s="83">
        <v>0</v>
      </c>
      <c r="AB98" s="83">
        <v>0</v>
      </c>
      <c r="AC98" s="83">
        <v>0</v>
      </c>
      <c r="AD98" s="83">
        <v>0</v>
      </c>
      <c r="AE98" s="83">
        <v>0</v>
      </c>
      <c r="AF98" s="83">
        <v>0</v>
      </c>
      <c r="AG98" s="83">
        <v>0</v>
      </c>
    </row>
    <row r="99" spans="1:33" x14ac:dyDescent="0.3">
      <c r="A99" s="70" t="s">
        <v>737</v>
      </c>
      <c r="B99" s="83">
        <v>30.277999999999999</v>
      </c>
      <c r="C99" s="83">
        <v>44.634</v>
      </c>
      <c r="D99" s="83">
        <v>60.613999999999997</v>
      </c>
      <c r="E99" s="83">
        <v>72.936000000000007</v>
      </c>
      <c r="F99" s="83">
        <v>65.456000000000003</v>
      </c>
      <c r="G99" s="83">
        <v>52.442999999999991</v>
      </c>
      <c r="H99" s="83">
        <v>11.116999999999999</v>
      </c>
      <c r="I99" s="83">
        <v>14.377000000000001</v>
      </c>
      <c r="J99" s="83">
        <v>104.40699999999998</v>
      </c>
      <c r="K99" s="83">
        <v>47.919000000000004</v>
      </c>
      <c r="L99" s="83">
        <v>83.328000000000003</v>
      </c>
      <c r="M99" s="83">
        <v>63.438999999999986</v>
      </c>
      <c r="N99" s="83">
        <v>66.156999999999996</v>
      </c>
      <c r="O99" s="83">
        <v>0</v>
      </c>
      <c r="P99" s="83">
        <v>0</v>
      </c>
      <c r="Q99" s="83">
        <v>48.453000000000003</v>
      </c>
      <c r="R99" s="83">
        <v>85.644999999999996</v>
      </c>
      <c r="S99" s="83">
        <v>61.143000000000008</v>
      </c>
      <c r="T99" s="83">
        <v>54.222999999999999</v>
      </c>
      <c r="U99" s="83">
        <v>73.117999999999995</v>
      </c>
      <c r="V99" s="83">
        <v>4.9180000000000001</v>
      </c>
      <c r="W99" s="83">
        <v>0</v>
      </c>
      <c r="X99" s="83">
        <v>56.689</v>
      </c>
      <c r="Y99" s="83">
        <v>52.197999999999993</v>
      </c>
      <c r="Z99" s="83">
        <v>0</v>
      </c>
      <c r="AA99" s="83">
        <v>21.104999999999997</v>
      </c>
      <c r="AB99" s="83">
        <v>46.962000000000003</v>
      </c>
      <c r="AC99" s="83">
        <v>31.267000000000003</v>
      </c>
      <c r="AD99" s="83">
        <v>10.433999999999999</v>
      </c>
      <c r="AE99" s="83">
        <v>30.959000000000003</v>
      </c>
      <c r="AF99" s="83">
        <v>32.569000000000003</v>
      </c>
      <c r="AG99" s="83">
        <v>43.140633333333334</v>
      </c>
    </row>
    <row r="100" spans="1:33" x14ac:dyDescent="0.3">
      <c r="A100" s="70" t="s">
        <v>751</v>
      </c>
      <c r="B100" s="83">
        <v>88.989000000000004</v>
      </c>
      <c r="C100" s="83">
        <v>87.801000000000002</v>
      </c>
      <c r="D100" s="83">
        <v>143.52500000000001</v>
      </c>
      <c r="E100" s="83">
        <v>142.04099999999997</v>
      </c>
      <c r="F100" s="83">
        <v>133.44000000000003</v>
      </c>
      <c r="G100" s="83">
        <v>150.48400000000001</v>
      </c>
      <c r="H100" s="83">
        <v>131.18499999999997</v>
      </c>
      <c r="I100" s="83">
        <v>103.32500000000002</v>
      </c>
      <c r="J100" s="83">
        <v>103.58600000000003</v>
      </c>
      <c r="K100" s="83">
        <v>164.04800000000003</v>
      </c>
      <c r="L100" s="83">
        <v>139.06100000000004</v>
      </c>
      <c r="M100" s="83">
        <v>153.935</v>
      </c>
      <c r="N100" s="83">
        <v>157.83599999999998</v>
      </c>
      <c r="O100" s="83">
        <v>110.08600000000001</v>
      </c>
      <c r="P100" s="83">
        <v>159.268</v>
      </c>
      <c r="Q100" s="83">
        <v>199.25799999999998</v>
      </c>
      <c r="R100" s="83">
        <v>153.51200000000003</v>
      </c>
      <c r="S100" s="83">
        <v>212.25400000000002</v>
      </c>
      <c r="T100" s="83">
        <v>158.98699999999999</v>
      </c>
      <c r="U100" s="83">
        <v>186.7950000000001</v>
      </c>
      <c r="V100" s="83">
        <v>156.14499999999995</v>
      </c>
      <c r="W100" s="83">
        <v>170.37299999999999</v>
      </c>
      <c r="X100" s="83">
        <v>176.04900000000006</v>
      </c>
      <c r="Y100" s="83">
        <v>210.68700000000001</v>
      </c>
      <c r="Z100" s="83">
        <v>216.21899999999999</v>
      </c>
      <c r="AA100" s="83">
        <v>207.40299999999996</v>
      </c>
      <c r="AB100" s="83">
        <v>188.59700000000007</v>
      </c>
      <c r="AC100" s="83">
        <v>114.65799999999997</v>
      </c>
      <c r="AD100" s="83">
        <v>168.19200000000004</v>
      </c>
      <c r="AE100" s="83">
        <v>179.05499999999998</v>
      </c>
      <c r="AF100" s="83">
        <v>173.166</v>
      </c>
      <c r="AG100" s="83">
        <v>155.66550000000004</v>
      </c>
    </row>
    <row r="101" spans="1:33" x14ac:dyDescent="0.3">
      <c r="A101" s="70" t="s">
        <v>757</v>
      </c>
      <c r="B101" s="83">
        <v>207.94899999999996</v>
      </c>
      <c r="C101" s="83">
        <v>203.43799999999999</v>
      </c>
      <c r="D101" s="83">
        <v>226.55000000000007</v>
      </c>
      <c r="E101" s="83">
        <v>244.75000000000006</v>
      </c>
      <c r="F101" s="83">
        <v>292.31999999999994</v>
      </c>
      <c r="G101" s="83">
        <v>290.79600000000005</v>
      </c>
      <c r="H101" s="83">
        <v>258.78100000000001</v>
      </c>
      <c r="I101" s="83">
        <v>297.61599999999999</v>
      </c>
      <c r="J101" s="83">
        <v>271.99</v>
      </c>
      <c r="K101" s="83">
        <v>257.26600000000002</v>
      </c>
      <c r="L101" s="83">
        <v>256.93900000000008</v>
      </c>
      <c r="M101" s="83">
        <v>319.59900000000005</v>
      </c>
      <c r="N101" s="83">
        <v>243.07300000000004</v>
      </c>
      <c r="O101" s="83">
        <v>259.56900000000007</v>
      </c>
      <c r="P101" s="83">
        <v>255.69000000000003</v>
      </c>
      <c r="Q101" s="83">
        <v>252.11099999999999</v>
      </c>
      <c r="R101" s="83">
        <v>235.89699999999996</v>
      </c>
      <c r="S101" s="83">
        <v>237.89599999999999</v>
      </c>
      <c r="T101" s="83">
        <v>259.64000000000004</v>
      </c>
      <c r="U101" s="83">
        <v>242.41000000000003</v>
      </c>
      <c r="V101" s="83">
        <v>266.68599999999992</v>
      </c>
      <c r="W101" s="83">
        <v>276.23400000000004</v>
      </c>
      <c r="X101" s="83">
        <v>251.41999999999996</v>
      </c>
      <c r="Y101" s="83">
        <v>261.18400000000003</v>
      </c>
      <c r="Z101" s="83">
        <v>209.98000000000002</v>
      </c>
      <c r="AA101" s="83">
        <v>261.24400000000003</v>
      </c>
      <c r="AB101" s="83">
        <v>214.81900000000005</v>
      </c>
      <c r="AC101" s="83">
        <v>211.95700000000002</v>
      </c>
      <c r="AD101" s="83">
        <v>217.018</v>
      </c>
      <c r="AE101" s="83">
        <v>235.50299999999996</v>
      </c>
      <c r="AF101" s="83">
        <v>213.70999999999998</v>
      </c>
      <c r="AG101" s="83">
        <v>250.67750000000007</v>
      </c>
    </row>
    <row r="102" spans="1:33" x14ac:dyDescent="0.3">
      <c r="A102" s="70" t="s">
        <v>744</v>
      </c>
      <c r="B102" s="83">
        <v>0</v>
      </c>
      <c r="C102" s="83">
        <v>0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1.847</v>
      </c>
      <c r="J102" s="83">
        <v>0</v>
      </c>
      <c r="K102" s="83">
        <v>0.91</v>
      </c>
      <c r="L102" s="83">
        <v>2.2789999999999999</v>
      </c>
      <c r="M102" s="83">
        <v>0</v>
      </c>
      <c r="N102" s="83">
        <v>0</v>
      </c>
      <c r="O102" s="83">
        <v>0.92800000000000005</v>
      </c>
      <c r="P102" s="83">
        <v>0.92600000000000005</v>
      </c>
      <c r="Q102" s="83">
        <v>0</v>
      </c>
      <c r="R102" s="83">
        <v>0</v>
      </c>
      <c r="S102" s="83">
        <v>0</v>
      </c>
      <c r="T102" s="83">
        <v>0.33800000000000002</v>
      </c>
      <c r="U102" s="83">
        <v>1.502</v>
      </c>
      <c r="V102" s="83">
        <v>0</v>
      </c>
      <c r="W102" s="83">
        <v>0</v>
      </c>
      <c r="X102" s="83">
        <v>0</v>
      </c>
      <c r="Y102" s="83">
        <v>0</v>
      </c>
      <c r="Z102" s="83">
        <v>0</v>
      </c>
      <c r="AA102" s="83">
        <v>0</v>
      </c>
      <c r="AB102" s="83">
        <v>0</v>
      </c>
      <c r="AC102" s="83">
        <v>0</v>
      </c>
      <c r="AD102" s="83">
        <v>0</v>
      </c>
      <c r="AE102" s="83">
        <v>0</v>
      </c>
      <c r="AF102" s="83">
        <v>0</v>
      </c>
      <c r="AG102" s="83">
        <v>0.29100000000000004</v>
      </c>
    </row>
    <row r="103" spans="1:33" x14ac:dyDescent="0.3">
      <c r="A103" s="70" t="s">
        <v>734</v>
      </c>
      <c r="B103" s="83">
        <v>0.92200000000000004</v>
      </c>
      <c r="C103" s="83">
        <v>12.303999999999998</v>
      </c>
      <c r="D103" s="83">
        <v>0</v>
      </c>
      <c r="E103" s="83">
        <v>8.7100000000000009</v>
      </c>
      <c r="F103" s="83">
        <v>10.615</v>
      </c>
      <c r="G103" s="83">
        <v>2.5440000000000005</v>
      </c>
      <c r="H103" s="83">
        <v>1.5620000000000001</v>
      </c>
      <c r="I103" s="83">
        <v>0</v>
      </c>
      <c r="J103" s="83">
        <v>0</v>
      </c>
      <c r="K103" s="83">
        <v>25.388999999999999</v>
      </c>
      <c r="L103" s="83">
        <v>29.798999999999999</v>
      </c>
      <c r="M103" s="83">
        <v>26.216000000000001</v>
      </c>
      <c r="N103" s="83">
        <v>26.108999999999998</v>
      </c>
      <c r="O103" s="83">
        <v>24.393000000000011</v>
      </c>
      <c r="P103" s="83">
        <v>8.94</v>
      </c>
      <c r="Q103" s="83">
        <v>8.052999999999999</v>
      </c>
      <c r="R103" s="83">
        <v>26.410999999999998</v>
      </c>
      <c r="S103" s="83">
        <v>17.213999999999999</v>
      </c>
      <c r="T103" s="83">
        <v>18.722000000000001</v>
      </c>
      <c r="U103" s="83">
        <v>25.240000000000002</v>
      </c>
      <c r="V103" s="83">
        <v>18.062999999999999</v>
      </c>
      <c r="W103" s="83">
        <v>33.132000000000005</v>
      </c>
      <c r="X103" s="83">
        <v>9.1169999999999991</v>
      </c>
      <c r="Y103" s="83">
        <v>21.384</v>
      </c>
      <c r="Z103" s="83">
        <v>28.304000000000002</v>
      </c>
      <c r="AA103" s="83">
        <v>25.638999999999999</v>
      </c>
      <c r="AB103" s="83">
        <v>18.579000000000001</v>
      </c>
      <c r="AC103" s="83">
        <v>16.527999999999999</v>
      </c>
      <c r="AD103" s="83">
        <v>29.238</v>
      </c>
      <c r="AE103" s="83">
        <v>0.99399999999999999</v>
      </c>
      <c r="AF103" s="83">
        <v>18.007000000000001</v>
      </c>
      <c r="AG103" s="83">
        <v>15.804033333333336</v>
      </c>
    </row>
    <row r="104" spans="1:33" x14ac:dyDescent="0.3">
      <c r="A104" s="70" t="s">
        <v>804</v>
      </c>
      <c r="B104" s="83">
        <v>0</v>
      </c>
      <c r="C104" s="83">
        <v>0</v>
      </c>
      <c r="D104" s="83">
        <v>0</v>
      </c>
      <c r="E104" s="83">
        <v>0</v>
      </c>
      <c r="F104" s="83">
        <v>0</v>
      </c>
      <c r="G104" s="83">
        <v>0</v>
      </c>
      <c r="H104" s="83">
        <v>0</v>
      </c>
      <c r="I104" s="83">
        <v>0</v>
      </c>
      <c r="J104" s="83">
        <v>0</v>
      </c>
      <c r="K104" s="83">
        <v>0</v>
      </c>
      <c r="L104" s="83">
        <v>0</v>
      </c>
      <c r="M104" s="83">
        <v>0</v>
      </c>
      <c r="N104" s="83">
        <v>0</v>
      </c>
      <c r="O104" s="83">
        <v>0</v>
      </c>
      <c r="P104" s="83">
        <v>0</v>
      </c>
      <c r="Q104" s="83">
        <v>0</v>
      </c>
      <c r="R104" s="83">
        <v>0</v>
      </c>
      <c r="S104" s="83">
        <v>0</v>
      </c>
      <c r="T104" s="83">
        <v>0</v>
      </c>
      <c r="U104" s="83">
        <v>0</v>
      </c>
      <c r="V104" s="83">
        <v>0</v>
      </c>
      <c r="W104" s="83">
        <v>0</v>
      </c>
      <c r="X104" s="83">
        <v>0</v>
      </c>
      <c r="Y104" s="83">
        <v>0</v>
      </c>
      <c r="Z104" s="83">
        <v>0</v>
      </c>
      <c r="AA104" s="83">
        <v>0</v>
      </c>
      <c r="AB104" s="83">
        <v>0</v>
      </c>
      <c r="AC104" s="83">
        <v>0</v>
      </c>
      <c r="AD104" s="83">
        <v>0</v>
      </c>
      <c r="AE104" s="83">
        <v>0</v>
      </c>
      <c r="AF104" s="83">
        <v>0</v>
      </c>
      <c r="AG104" s="83">
        <v>0</v>
      </c>
    </row>
    <row r="105" spans="1:33" x14ac:dyDescent="0.3">
      <c r="A105" s="70" t="s">
        <v>805</v>
      </c>
      <c r="B105" s="83">
        <v>0</v>
      </c>
      <c r="C105" s="83">
        <v>0</v>
      </c>
      <c r="D105" s="83">
        <v>0</v>
      </c>
      <c r="E105" s="83">
        <v>0</v>
      </c>
      <c r="F105" s="83">
        <v>0</v>
      </c>
      <c r="G105" s="83">
        <v>0</v>
      </c>
      <c r="H105" s="83">
        <v>0</v>
      </c>
      <c r="I105" s="83">
        <v>0</v>
      </c>
      <c r="J105" s="83">
        <v>0</v>
      </c>
      <c r="K105" s="83">
        <v>0</v>
      </c>
      <c r="L105" s="83">
        <v>0</v>
      </c>
      <c r="M105" s="83">
        <v>0</v>
      </c>
      <c r="N105" s="83">
        <v>0</v>
      </c>
      <c r="O105" s="83">
        <v>0</v>
      </c>
      <c r="P105" s="83">
        <v>0</v>
      </c>
      <c r="Q105" s="83">
        <v>0</v>
      </c>
      <c r="R105" s="83">
        <v>0</v>
      </c>
      <c r="S105" s="83">
        <v>0</v>
      </c>
      <c r="T105" s="83">
        <v>0</v>
      </c>
      <c r="U105" s="83">
        <v>0</v>
      </c>
      <c r="V105" s="83">
        <v>0</v>
      </c>
      <c r="W105" s="83">
        <v>0</v>
      </c>
      <c r="X105" s="83">
        <v>0</v>
      </c>
      <c r="Y105" s="83">
        <v>0</v>
      </c>
      <c r="Z105" s="83">
        <v>0</v>
      </c>
      <c r="AA105" s="83">
        <v>0</v>
      </c>
      <c r="AB105" s="83">
        <v>0</v>
      </c>
      <c r="AC105" s="83">
        <v>0</v>
      </c>
      <c r="AD105" s="83">
        <v>0</v>
      </c>
      <c r="AE105" s="83">
        <v>0</v>
      </c>
      <c r="AF105" s="83">
        <v>0</v>
      </c>
      <c r="AG105" s="83">
        <v>0</v>
      </c>
    </row>
    <row r="106" spans="1:33" x14ac:dyDescent="0.3">
      <c r="A106" s="70" t="s">
        <v>806</v>
      </c>
      <c r="B106" s="83">
        <v>0</v>
      </c>
      <c r="C106" s="83">
        <v>0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</row>
    <row r="107" spans="1:33" x14ac:dyDescent="0.3">
      <c r="A107" s="70" t="s">
        <v>738</v>
      </c>
      <c r="B107" s="83">
        <v>28.151</v>
      </c>
      <c r="C107" s="83">
        <v>5.19</v>
      </c>
      <c r="D107" s="83">
        <v>17.999000000000002</v>
      </c>
      <c r="E107" s="83">
        <v>15.465</v>
      </c>
      <c r="F107" s="83">
        <v>13.942</v>
      </c>
      <c r="G107" s="83">
        <v>8.8309999999999995</v>
      </c>
      <c r="H107" s="83">
        <v>17.061</v>
      </c>
      <c r="I107" s="83">
        <v>23.356999999999999</v>
      </c>
      <c r="J107" s="83">
        <v>1.5069999999999999</v>
      </c>
      <c r="K107" s="83">
        <v>13.055</v>
      </c>
      <c r="L107" s="83">
        <v>20.6</v>
      </c>
      <c r="M107" s="83">
        <v>20.581</v>
      </c>
      <c r="N107" s="83">
        <v>12.302999999999999</v>
      </c>
      <c r="O107" s="83">
        <v>8.7929999999999993</v>
      </c>
      <c r="P107" s="83">
        <v>5.7859999999999996</v>
      </c>
      <c r="Q107" s="83">
        <v>3.266</v>
      </c>
      <c r="R107" s="83">
        <v>9.359</v>
      </c>
      <c r="S107" s="83">
        <v>8.5590000000000011</v>
      </c>
      <c r="T107" s="83">
        <v>9.4269999999999996</v>
      </c>
      <c r="U107" s="83">
        <v>16.937999999999999</v>
      </c>
      <c r="V107" s="83">
        <v>16.401</v>
      </c>
      <c r="W107" s="83">
        <v>11.144</v>
      </c>
      <c r="X107" s="83">
        <v>12.038</v>
      </c>
      <c r="Y107" s="83">
        <v>16.282</v>
      </c>
      <c r="Z107" s="83">
        <v>16.366</v>
      </c>
      <c r="AA107" s="83">
        <v>8.9740000000000002</v>
      </c>
      <c r="AB107" s="83">
        <v>22.666999999999998</v>
      </c>
      <c r="AC107" s="83">
        <v>6.2720000000000002</v>
      </c>
      <c r="AD107" s="83">
        <v>24.754999999999999</v>
      </c>
      <c r="AE107" s="83">
        <v>8.4719999999999995</v>
      </c>
      <c r="AF107" s="83">
        <v>21.920999999999999</v>
      </c>
      <c r="AG107" s="83">
        <v>13.451366666666665</v>
      </c>
    </row>
    <row r="108" spans="1:33" x14ac:dyDescent="0.3">
      <c r="A108" s="70" t="s">
        <v>807</v>
      </c>
      <c r="B108" s="83">
        <v>0</v>
      </c>
      <c r="C108" s="83">
        <v>0</v>
      </c>
      <c r="D108" s="83">
        <v>0</v>
      </c>
      <c r="E108" s="83">
        <v>0</v>
      </c>
      <c r="F108" s="83">
        <v>0</v>
      </c>
      <c r="G108" s="83">
        <v>0</v>
      </c>
      <c r="H108" s="83">
        <v>0</v>
      </c>
      <c r="I108" s="83">
        <v>0</v>
      </c>
      <c r="J108" s="83">
        <v>0</v>
      </c>
      <c r="K108" s="83">
        <v>0</v>
      </c>
      <c r="L108" s="83">
        <v>0</v>
      </c>
      <c r="M108" s="83">
        <v>0</v>
      </c>
      <c r="N108" s="83">
        <v>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  <c r="X108" s="83">
        <v>0</v>
      </c>
      <c r="Y108" s="83">
        <v>0</v>
      </c>
      <c r="Z108" s="83">
        <v>0</v>
      </c>
      <c r="AA108" s="83">
        <v>0</v>
      </c>
      <c r="AB108" s="83">
        <v>0</v>
      </c>
      <c r="AC108" s="83">
        <v>0</v>
      </c>
      <c r="AD108" s="83">
        <v>0</v>
      </c>
      <c r="AE108" s="83">
        <v>0</v>
      </c>
      <c r="AF108" s="83">
        <v>0</v>
      </c>
      <c r="AG108" s="83">
        <v>0</v>
      </c>
    </row>
    <row r="109" spans="1:33" x14ac:dyDescent="0.3">
      <c r="A109" s="70" t="s">
        <v>808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83">
        <v>0</v>
      </c>
      <c r="V109" s="83">
        <v>0</v>
      </c>
      <c r="W109" s="83">
        <v>0</v>
      </c>
      <c r="X109" s="83">
        <v>0</v>
      </c>
      <c r="Y109" s="83">
        <v>0</v>
      </c>
      <c r="Z109" s="83">
        <v>0</v>
      </c>
      <c r="AA109" s="83">
        <v>0</v>
      </c>
      <c r="AB109" s="83">
        <v>0</v>
      </c>
      <c r="AC109" s="83">
        <v>0</v>
      </c>
      <c r="AD109" s="83">
        <v>0</v>
      </c>
      <c r="AE109" s="83">
        <v>0</v>
      </c>
      <c r="AF109" s="83">
        <v>0</v>
      </c>
      <c r="AG109" s="83">
        <v>0</v>
      </c>
    </row>
    <row r="110" spans="1:33" x14ac:dyDescent="0.3">
      <c r="A110" s="70" t="s">
        <v>811</v>
      </c>
      <c r="B110" s="83">
        <v>0</v>
      </c>
      <c r="C110" s="83">
        <v>0</v>
      </c>
      <c r="D110" s="83">
        <v>0</v>
      </c>
      <c r="E110" s="83">
        <v>0</v>
      </c>
      <c r="F110" s="83">
        <v>0</v>
      </c>
      <c r="G110" s="83">
        <v>0</v>
      </c>
      <c r="H110" s="83">
        <v>0</v>
      </c>
      <c r="I110" s="83">
        <v>0</v>
      </c>
      <c r="J110" s="83">
        <v>0</v>
      </c>
      <c r="K110" s="83">
        <v>0</v>
      </c>
      <c r="L110" s="83">
        <v>0</v>
      </c>
      <c r="M110" s="83">
        <v>0</v>
      </c>
      <c r="N110" s="83">
        <v>0</v>
      </c>
      <c r="O110" s="83">
        <v>6.056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Z110" s="83">
        <v>0</v>
      </c>
      <c r="AA110" s="83">
        <v>0</v>
      </c>
      <c r="AB110" s="83">
        <v>0</v>
      </c>
      <c r="AC110" s="83">
        <v>0</v>
      </c>
      <c r="AD110" s="83">
        <v>0</v>
      </c>
      <c r="AE110" s="83">
        <v>0.60899999999999999</v>
      </c>
      <c r="AF110" s="83">
        <v>0</v>
      </c>
      <c r="AG110" s="83">
        <v>0.22216666666666668</v>
      </c>
    </row>
    <row r="111" spans="1:33" x14ac:dyDescent="0.3">
      <c r="A111" s="70" t="s">
        <v>769</v>
      </c>
      <c r="B111" s="83">
        <v>64.912999999999997</v>
      </c>
      <c r="C111" s="83">
        <v>58.683</v>
      </c>
      <c r="D111" s="83">
        <v>70.965999999999994</v>
      </c>
      <c r="E111" s="83">
        <v>60.777999999999992</v>
      </c>
      <c r="F111" s="83">
        <v>58.036999999999999</v>
      </c>
      <c r="G111" s="83">
        <v>64.641000000000005</v>
      </c>
      <c r="H111" s="83">
        <v>71.611000000000004</v>
      </c>
      <c r="I111" s="83">
        <v>84.45999999999998</v>
      </c>
      <c r="J111" s="83">
        <v>52.169000000000011</v>
      </c>
      <c r="K111" s="83">
        <v>50.265000000000001</v>
      </c>
      <c r="L111" s="83">
        <v>59.619000000000007</v>
      </c>
      <c r="M111" s="83">
        <v>99.105999999999995</v>
      </c>
      <c r="N111" s="83">
        <v>87.137999999999991</v>
      </c>
      <c r="O111" s="83">
        <v>90.846000000000004</v>
      </c>
      <c r="P111" s="83">
        <v>116.14700000000002</v>
      </c>
      <c r="Q111" s="83">
        <v>103.85599999999999</v>
      </c>
      <c r="R111" s="83">
        <v>90.488</v>
      </c>
      <c r="S111" s="83">
        <v>86.607999999999976</v>
      </c>
      <c r="T111" s="83">
        <v>84.308000000000007</v>
      </c>
      <c r="U111" s="83">
        <v>96.714000000000013</v>
      </c>
      <c r="V111" s="83">
        <v>67.597999999999999</v>
      </c>
      <c r="W111" s="83">
        <v>63.55</v>
      </c>
      <c r="X111" s="83">
        <v>70.381</v>
      </c>
      <c r="Y111" s="83">
        <v>78.661000000000001</v>
      </c>
      <c r="Z111" s="83">
        <v>68.547000000000011</v>
      </c>
      <c r="AA111" s="83">
        <v>89.426000000000002</v>
      </c>
      <c r="AB111" s="83">
        <v>76.081999999999994</v>
      </c>
      <c r="AC111" s="83">
        <v>36.183000000000007</v>
      </c>
      <c r="AD111" s="83">
        <v>77.876999999999995</v>
      </c>
      <c r="AE111" s="83">
        <v>62.208999999999996</v>
      </c>
      <c r="AF111" s="83">
        <v>57.122999999999998</v>
      </c>
      <c r="AG111" s="83">
        <v>75.603746153846146</v>
      </c>
    </row>
    <row r="112" spans="1:33" x14ac:dyDescent="0.3">
      <c r="A112" s="70" t="s">
        <v>733</v>
      </c>
      <c r="B112" s="83">
        <v>0</v>
      </c>
      <c r="C112" s="83">
        <v>12.163</v>
      </c>
      <c r="D112" s="83">
        <v>0</v>
      </c>
      <c r="E112" s="83">
        <v>8.9239999999999995</v>
      </c>
      <c r="F112" s="83">
        <v>22.969000000000001</v>
      </c>
      <c r="G112" s="83">
        <v>0</v>
      </c>
      <c r="H112" s="83">
        <v>0</v>
      </c>
      <c r="I112" s="83">
        <v>0</v>
      </c>
      <c r="J112" s="83">
        <v>9.0969999999999995</v>
      </c>
      <c r="K112" s="83">
        <v>11.604000000000001</v>
      </c>
      <c r="L112" s="83">
        <v>0</v>
      </c>
      <c r="M112" s="83">
        <v>0</v>
      </c>
      <c r="N112" s="83">
        <v>0</v>
      </c>
      <c r="O112" s="83">
        <v>7.274</v>
      </c>
      <c r="P112" s="83">
        <v>0</v>
      </c>
      <c r="Q112" s="83">
        <v>8.8810000000000002</v>
      </c>
      <c r="R112" s="83">
        <v>8.6150000000000002</v>
      </c>
      <c r="S112" s="83">
        <v>8.0350000000000001</v>
      </c>
      <c r="T112" s="83">
        <v>0</v>
      </c>
      <c r="U112" s="83">
        <v>0</v>
      </c>
      <c r="V112" s="83">
        <v>0</v>
      </c>
      <c r="W112" s="83">
        <v>2.68</v>
      </c>
      <c r="X112" s="83">
        <v>7.08</v>
      </c>
      <c r="Y112" s="83">
        <v>0</v>
      </c>
      <c r="Z112" s="83">
        <v>0</v>
      </c>
      <c r="AA112" s="83">
        <v>14.146999999999998</v>
      </c>
      <c r="AB112" s="83">
        <v>0</v>
      </c>
      <c r="AC112" s="83">
        <v>0</v>
      </c>
      <c r="AD112" s="83">
        <v>0</v>
      </c>
      <c r="AE112" s="83">
        <v>6.18</v>
      </c>
      <c r="AF112" s="83">
        <v>0</v>
      </c>
      <c r="AG112" s="83">
        <v>4.2549666666666663</v>
      </c>
    </row>
    <row r="113" spans="1:33" x14ac:dyDescent="0.3">
      <c r="A113" s="70" t="s">
        <v>812</v>
      </c>
      <c r="B113" s="83">
        <v>0</v>
      </c>
      <c r="C113" s="83">
        <v>13.030999999999999</v>
      </c>
      <c r="D113" s="83">
        <v>0</v>
      </c>
      <c r="E113" s="83">
        <v>6.61</v>
      </c>
      <c r="F113" s="83">
        <v>0</v>
      </c>
      <c r="G113" s="83">
        <v>0</v>
      </c>
      <c r="H113" s="83">
        <v>0</v>
      </c>
      <c r="I113" s="83">
        <v>0</v>
      </c>
      <c r="J113" s="83">
        <v>15.228999999999999</v>
      </c>
      <c r="K113" s="83">
        <v>0</v>
      </c>
      <c r="L113" s="83">
        <v>15.055</v>
      </c>
      <c r="M113" s="83">
        <v>0</v>
      </c>
      <c r="N113" s="83">
        <v>8.5670000000000002</v>
      </c>
      <c r="O113" s="83">
        <v>0</v>
      </c>
      <c r="P113" s="83">
        <v>0</v>
      </c>
      <c r="Q113" s="83">
        <v>3.0000000000000001E-3</v>
      </c>
      <c r="R113" s="83">
        <v>21.764000000000003</v>
      </c>
      <c r="S113" s="83">
        <v>7.032</v>
      </c>
      <c r="T113" s="83">
        <v>6.9260000000000002</v>
      </c>
      <c r="U113" s="83">
        <v>7.5839999999999996</v>
      </c>
      <c r="V113" s="83">
        <v>0</v>
      </c>
      <c r="W113" s="83">
        <v>0</v>
      </c>
      <c r="X113" s="83">
        <v>3.4319999999999999</v>
      </c>
      <c r="Y113" s="83">
        <v>0</v>
      </c>
      <c r="Z113" s="83">
        <v>0</v>
      </c>
      <c r="AA113" s="83">
        <v>7.4630000000000001</v>
      </c>
      <c r="AB113" s="83">
        <v>0</v>
      </c>
      <c r="AC113" s="83">
        <v>0</v>
      </c>
      <c r="AD113" s="83">
        <v>0</v>
      </c>
      <c r="AE113" s="83">
        <v>10.8</v>
      </c>
      <c r="AF113" s="83">
        <v>0</v>
      </c>
      <c r="AG113" s="83">
        <v>4.1165333333333329</v>
      </c>
    </row>
    <row r="114" spans="1:33" x14ac:dyDescent="0.3">
      <c r="A114" s="70" t="s">
        <v>813</v>
      </c>
      <c r="B114" s="83">
        <v>0</v>
      </c>
      <c r="C114" s="83">
        <v>0</v>
      </c>
      <c r="D114" s="83">
        <v>0</v>
      </c>
      <c r="E114" s="83">
        <v>0</v>
      </c>
      <c r="F114" s="83">
        <v>8.0000000000000002E-3</v>
      </c>
      <c r="G114" s="83">
        <v>0</v>
      </c>
      <c r="H114" s="83">
        <v>0</v>
      </c>
      <c r="I114" s="83">
        <v>0</v>
      </c>
      <c r="J114" s="83">
        <v>0</v>
      </c>
      <c r="K114" s="83">
        <v>0</v>
      </c>
      <c r="L114" s="83">
        <v>0</v>
      </c>
      <c r="M114" s="83">
        <v>0</v>
      </c>
      <c r="N114" s="83">
        <v>0</v>
      </c>
      <c r="O114" s="83">
        <v>0</v>
      </c>
      <c r="P114" s="83">
        <v>0</v>
      </c>
      <c r="Q114" s="83">
        <v>21.359000000000005</v>
      </c>
      <c r="R114" s="83">
        <v>22.246000000000002</v>
      </c>
      <c r="S114" s="83">
        <v>37.325000000000003</v>
      </c>
      <c r="T114" s="83">
        <v>40.298999999999999</v>
      </c>
      <c r="U114" s="83">
        <v>19.432000000000002</v>
      </c>
      <c r="V114" s="83">
        <v>47.515999999999998</v>
      </c>
      <c r="W114" s="83">
        <v>35.994</v>
      </c>
      <c r="X114" s="83">
        <v>23.595000000000002</v>
      </c>
      <c r="Y114" s="83">
        <v>42.11</v>
      </c>
      <c r="Z114" s="83">
        <v>40.847999999999999</v>
      </c>
      <c r="AA114" s="83">
        <v>62.433000000000007</v>
      </c>
      <c r="AB114" s="83">
        <v>18.387</v>
      </c>
      <c r="AC114" s="83">
        <v>52.305999999999997</v>
      </c>
      <c r="AD114" s="83">
        <v>49.165999999999997</v>
      </c>
      <c r="AE114" s="83">
        <v>42.314999999999998</v>
      </c>
      <c r="AF114" s="83">
        <v>32.181999999999995</v>
      </c>
      <c r="AG114" s="83">
        <v>18.511299999999999</v>
      </c>
    </row>
    <row r="115" spans="1:33" x14ac:dyDescent="0.3">
      <c r="A115" s="70" t="s">
        <v>809</v>
      </c>
      <c r="B115" s="83">
        <v>0</v>
      </c>
      <c r="C115" s="83">
        <v>0</v>
      </c>
      <c r="D115" s="83">
        <v>0</v>
      </c>
      <c r="E115" s="83">
        <v>0</v>
      </c>
      <c r="F115" s="83">
        <v>0</v>
      </c>
      <c r="G115" s="83">
        <v>0</v>
      </c>
      <c r="H115" s="83">
        <v>0</v>
      </c>
      <c r="I115" s="83">
        <v>0</v>
      </c>
      <c r="J115" s="83">
        <v>0</v>
      </c>
      <c r="K115" s="83">
        <v>0</v>
      </c>
      <c r="L115" s="83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Z115" s="83">
        <v>0</v>
      </c>
      <c r="AA115" s="83">
        <v>0</v>
      </c>
      <c r="AB115" s="83">
        <v>0</v>
      </c>
      <c r="AC115" s="83">
        <v>0</v>
      </c>
      <c r="AD115" s="83">
        <v>0</v>
      </c>
      <c r="AE115" s="83">
        <v>0</v>
      </c>
      <c r="AF115" s="83">
        <v>0</v>
      </c>
      <c r="AG115" s="83">
        <v>0</v>
      </c>
    </row>
    <row r="116" spans="1:33" x14ac:dyDescent="0.3">
      <c r="A116" s="70" t="s">
        <v>810</v>
      </c>
      <c r="B116" s="83">
        <v>0</v>
      </c>
      <c r="C116" s="83">
        <v>0</v>
      </c>
      <c r="D116" s="83">
        <v>0</v>
      </c>
      <c r="E116" s="83">
        <v>0</v>
      </c>
      <c r="F116" s="83">
        <v>0</v>
      </c>
      <c r="G116" s="83">
        <v>0</v>
      </c>
      <c r="H116" s="83">
        <v>0</v>
      </c>
      <c r="I116" s="83">
        <v>0</v>
      </c>
      <c r="J116" s="83">
        <v>0</v>
      </c>
      <c r="K116" s="83">
        <v>0</v>
      </c>
      <c r="L116" s="83">
        <v>0</v>
      </c>
      <c r="M116" s="83">
        <v>0</v>
      </c>
      <c r="N116" s="83">
        <v>0</v>
      </c>
      <c r="O116" s="83">
        <v>0</v>
      </c>
      <c r="P116" s="83">
        <v>0</v>
      </c>
      <c r="Q116" s="83">
        <v>0</v>
      </c>
      <c r="R116" s="83">
        <v>0</v>
      </c>
      <c r="S116" s="83">
        <v>0</v>
      </c>
      <c r="T116" s="83">
        <v>0</v>
      </c>
      <c r="U116" s="83">
        <v>0</v>
      </c>
      <c r="V116" s="83">
        <v>0</v>
      </c>
      <c r="W116" s="83">
        <v>0</v>
      </c>
      <c r="X116" s="83">
        <v>0</v>
      </c>
      <c r="Y116" s="83">
        <v>0</v>
      </c>
      <c r="Z116" s="83">
        <v>0</v>
      </c>
      <c r="AA116" s="83">
        <v>0</v>
      </c>
      <c r="AB116" s="83">
        <v>0</v>
      </c>
      <c r="AC116" s="83">
        <v>0</v>
      </c>
      <c r="AD116" s="83">
        <v>0</v>
      </c>
      <c r="AE116" s="83">
        <v>0</v>
      </c>
      <c r="AF116" s="83">
        <v>0</v>
      </c>
      <c r="AG116" s="83">
        <v>0</v>
      </c>
    </row>
    <row r="117" spans="1:33" x14ac:dyDescent="0.3">
      <c r="A117" s="70" t="s">
        <v>816</v>
      </c>
      <c r="B117" s="83">
        <v>0</v>
      </c>
      <c r="C117" s="83">
        <v>0</v>
      </c>
      <c r="D117" s="83">
        <v>0</v>
      </c>
      <c r="E117" s="83">
        <v>0</v>
      </c>
      <c r="F117" s="83">
        <v>0</v>
      </c>
      <c r="G117" s="83">
        <v>0</v>
      </c>
      <c r="H117" s="83">
        <v>0</v>
      </c>
      <c r="I117" s="83">
        <v>0</v>
      </c>
      <c r="J117" s="83">
        <v>0</v>
      </c>
      <c r="K117" s="83">
        <v>0</v>
      </c>
      <c r="L117" s="83">
        <v>0</v>
      </c>
      <c r="M117" s="83">
        <v>0</v>
      </c>
      <c r="N117" s="83">
        <v>0</v>
      </c>
      <c r="O117" s="83">
        <v>0</v>
      </c>
      <c r="P117" s="83">
        <v>0</v>
      </c>
      <c r="Q117" s="83">
        <v>0</v>
      </c>
      <c r="R117" s="83">
        <v>0</v>
      </c>
      <c r="S117" s="83">
        <v>0</v>
      </c>
      <c r="T117" s="83">
        <v>0</v>
      </c>
      <c r="U117" s="83">
        <v>0</v>
      </c>
      <c r="V117" s="83">
        <v>0</v>
      </c>
      <c r="W117" s="83">
        <v>0</v>
      </c>
      <c r="X117" s="83">
        <v>0</v>
      </c>
      <c r="Y117" s="83">
        <v>0</v>
      </c>
      <c r="Z117" s="83">
        <v>0</v>
      </c>
      <c r="AA117" s="83">
        <v>0</v>
      </c>
      <c r="AB117" s="83">
        <v>0</v>
      </c>
      <c r="AC117" s="83">
        <v>0</v>
      </c>
      <c r="AD117" s="83">
        <v>0</v>
      </c>
      <c r="AE117" s="83">
        <v>0</v>
      </c>
      <c r="AF117" s="83">
        <v>0</v>
      </c>
      <c r="AG117" s="83">
        <v>0</v>
      </c>
    </row>
    <row r="118" spans="1:33" x14ac:dyDescent="0.3">
      <c r="A118" s="70" t="s">
        <v>815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  <c r="R118" s="83">
        <v>0</v>
      </c>
      <c r="S118" s="83">
        <v>0</v>
      </c>
      <c r="T118" s="83">
        <v>0</v>
      </c>
      <c r="U118" s="83">
        <v>0</v>
      </c>
      <c r="V118" s="83">
        <v>0</v>
      </c>
      <c r="W118" s="83">
        <v>0</v>
      </c>
      <c r="X118" s="83">
        <v>0</v>
      </c>
      <c r="Y118" s="83">
        <v>0</v>
      </c>
      <c r="Z118" s="83">
        <v>0</v>
      </c>
      <c r="AA118" s="83">
        <v>0</v>
      </c>
      <c r="AB118" s="83">
        <v>0</v>
      </c>
      <c r="AC118" s="83">
        <v>0</v>
      </c>
      <c r="AD118" s="83">
        <v>0</v>
      </c>
      <c r="AE118" s="83">
        <v>0</v>
      </c>
      <c r="AF118" s="83">
        <v>0</v>
      </c>
      <c r="AG118" s="83">
        <v>0</v>
      </c>
    </row>
    <row r="119" spans="1:33" x14ac:dyDescent="0.3">
      <c r="A119" s="70" t="s">
        <v>818</v>
      </c>
      <c r="B119" s="83">
        <v>0</v>
      </c>
      <c r="C119" s="83">
        <v>0</v>
      </c>
      <c r="D119" s="83">
        <v>0</v>
      </c>
      <c r="E119" s="83">
        <v>0</v>
      </c>
      <c r="F119" s="83">
        <v>0</v>
      </c>
      <c r="G119" s="83">
        <v>0</v>
      </c>
      <c r="H119" s="83">
        <v>0</v>
      </c>
      <c r="I119" s="83">
        <v>0</v>
      </c>
      <c r="J119" s="83">
        <v>0</v>
      </c>
      <c r="K119" s="83">
        <v>0</v>
      </c>
      <c r="L119" s="83">
        <v>0</v>
      </c>
      <c r="M119" s="83">
        <v>0</v>
      </c>
      <c r="N119" s="83">
        <v>0</v>
      </c>
      <c r="O119" s="83">
        <v>0</v>
      </c>
      <c r="P119" s="83">
        <v>0</v>
      </c>
      <c r="Q119" s="83">
        <v>0</v>
      </c>
      <c r="R119" s="83">
        <v>0</v>
      </c>
      <c r="S119" s="83">
        <v>0</v>
      </c>
      <c r="T119" s="83">
        <v>0</v>
      </c>
      <c r="U119" s="83">
        <v>0</v>
      </c>
      <c r="V119" s="83">
        <v>0</v>
      </c>
      <c r="W119" s="83">
        <v>0</v>
      </c>
      <c r="X119" s="83">
        <v>0</v>
      </c>
      <c r="Y119" s="83">
        <v>0</v>
      </c>
      <c r="Z119" s="83">
        <v>0</v>
      </c>
      <c r="AA119" s="83">
        <v>0</v>
      </c>
      <c r="AB119" s="83">
        <v>0</v>
      </c>
      <c r="AC119" s="83">
        <v>0</v>
      </c>
      <c r="AD119" s="83">
        <v>0</v>
      </c>
      <c r="AE119" s="83">
        <v>0</v>
      </c>
      <c r="AF119" s="83">
        <v>0</v>
      </c>
      <c r="AG119" s="83">
        <v>0</v>
      </c>
    </row>
    <row r="120" spans="1:33" x14ac:dyDescent="0.3">
      <c r="A120" s="70" t="s">
        <v>817</v>
      </c>
      <c r="B120" s="83">
        <v>0</v>
      </c>
      <c r="C120" s="83">
        <v>0</v>
      </c>
      <c r="D120" s="83">
        <v>0</v>
      </c>
      <c r="E120" s="83">
        <v>3.9E-2</v>
      </c>
      <c r="F120" s="83">
        <v>0</v>
      </c>
      <c r="G120" s="83">
        <v>2.9000000000000005E-2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2.2666666666666668E-3</v>
      </c>
    </row>
    <row r="121" spans="1:33" x14ac:dyDescent="0.3">
      <c r="A121" s="70" t="s">
        <v>820</v>
      </c>
      <c r="B121" s="83">
        <v>0</v>
      </c>
      <c r="C121" s="83">
        <v>0</v>
      </c>
      <c r="D121" s="83">
        <v>0</v>
      </c>
      <c r="E121" s="83">
        <v>0</v>
      </c>
      <c r="F121" s="83">
        <v>0</v>
      </c>
      <c r="G121" s="83">
        <v>0</v>
      </c>
      <c r="H121" s="83">
        <v>0</v>
      </c>
      <c r="I121" s="83">
        <v>0</v>
      </c>
      <c r="J121" s="83">
        <v>0</v>
      </c>
      <c r="K121" s="83">
        <v>0</v>
      </c>
      <c r="L121" s="83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Z121" s="83">
        <v>0</v>
      </c>
      <c r="AA121" s="83">
        <v>0</v>
      </c>
      <c r="AB121" s="83">
        <v>0</v>
      </c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</row>
    <row r="122" spans="1:33" x14ac:dyDescent="0.3">
      <c r="A122" s="70" t="s">
        <v>824</v>
      </c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9.41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0.52277777777777779</v>
      </c>
    </row>
    <row r="123" spans="1:33" x14ac:dyDescent="0.3">
      <c r="A123" s="26" t="s">
        <v>830</v>
      </c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>
        <v>0</v>
      </c>
      <c r="S123" s="83">
        <v>0</v>
      </c>
      <c r="T123" s="83">
        <v>0</v>
      </c>
      <c r="U123" s="83">
        <v>0</v>
      </c>
      <c r="V123" s="83">
        <v>0</v>
      </c>
      <c r="W123" s="83">
        <v>0</v>
      </c>
      <c r="X123" s="83">
        <v>0</v>
      </c>
      <c r="Y123" s="83">
        <v>0</v>
      </c>
      <c r="Z123" s="83">
        <v>0</v>
      </c>
      <c r="AA123" s="83">
        <v>0</v>
      </c>
      <c r="AB123" s="83">
        <v>0</v>
      </c>
      <c r="AC123" s="83">
        <v>0</v>
      </c>
      <c r="AD123" s="83">
        <v>0</v>
      </c>
      <c r="AE123" s="83">
        <v>0</v>
      </c>
      <c r="AF123" s="83">
        <v>4.9020000000000001</v>
      </c>
      <c r="AG123" s="83">
        <v>0</v>
      </c>
    </row>
    <row r="124" spans="1:33" x14ac:dyDescent="0.3">
      <c r="A124" s="26" t="s">
        <v>834</v>
      </c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>
        <v>0</v>
      </c>
      <c r="S124" s="83">
        <v>2.78</v>
      </c>
      <c r="T124" s="83">
        <v>0</v>
      </c>
      <c r="U124" s="83">
        <v>0</v>
      </c>
      <c r="V124" s="83">
        <v>0</v>
      </c>
      <c r="W124" s="83">
        <v>0</v>
      </c>
      <c r="X124" s="83">
        <v>0</v>
      </c>
      <c r="Y124" s="83">
        <v>0</v>
      </c>
      <c r="Z124" s="83">
        <v>0</v>
      </c>
      <c r="AA124" s="83">
        <v>0</v>
      </c>
      <c r="AB124" s="83">
        <v>0</v>
      </c>
      <c r="AC124" s="83">
        <v>0</v>
      </c>
      <c r="AD124" s="83">
        <v>0</v>
      </c>
      <c r="AE124" s="83">
        <v>0</v>
      </c>
      <c r="AF124" s="83">
        <v>0</v>
      </c>
      <c r="AG124" s="83">
        <v>0.19857142857142857</v>
      </c>
    </row>
    <row r="125" spans="1:33" x14ac:dyDescent="0.3">
      <c r="A125" s="26" t="s">
        <v>841</v>
      </c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>
        <v>0</v>
      </c>
      <c r="X125" s="83">
        <v>3.0630000000000002</v>
      </c>
      <c r="Y125" s="83">
        <v>0.57599999999999996</v>
      </c>
      <c r="Z125" s="83">
        <v>0</v>
      </c>
      <c r="AA125" s="83">
        <v>0</v>
      </c>
      <c r="AB125" s="83">
        <v>4.01</v>
      </c>
      <c r="AC125" s="83">
        <v>0</v>
      </c>
      <c r="AD125" s="83">
        <v>0</v>
      </c>
      <c r="AE125" s="83">
        <v>6.5830000000000002</v>
      </c>
      <c r="AF125" s="83">
        <v>1.1479999999999999</v>
      </c>
      <c r="AG125" s="83">
        <v>1.5813333333333333</v>
      </c>
    </row>
    <row r="126" spans="1:33" x14ac:dyDescent="0.3">
      <c r="A126" s="26" t="s">
        <v>843</v>
      </c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>
        <v>0</v>
      </c>
      <c r="W126" s="83">
        <v>0</v>
      </c>
      <c r="X126" s="83">
        <v>0</v>
      </c>
      <c r="Y126" s="83">
        <v>0</v>
      </c>
      <c r="Z126" s="83">
        <v>0</v>
      </c>
      <c r="AA126" s="83">
        <v>0</v>
      </c>
      <c r="AB126" s="83">
        <v>0</v>
      </c>
      <c r="AC126" s="83">
        <v>0</v>
      </c>
      <c r="AD126" s="83">
        <v>0</v>
      </c>
      <c r="AE126" s="83">
        <v>0</v>
      </c>
      <c r="AF126" s="83">
        <v>0</v>
      </c>
      <c r="AG126" s="83">
        <v>0</v>
      </c>
    </row>
    <row r="127" spans="1:33" x14ac:dyDescent="0.3">
      <c r="A127" s="39" t="s">
        <v>83</v>
      </c>
      <c r="B127" s="83">
        <v>6007.7449999999963</v>
      </c>
      <c r="C127" s="83">
        <v>6026.8459999999986</v>
      </c>
      <c r="D127" s="83">
        <v>6569.4869999999983</v>
      </c>
      <c r="E127" s="83">
        <v>6545.3680000000004</v>
      </c>
      <c r="F127" s="83">
        <v>6443.9789999999985</v>
      </c>
      <c r="G127" s="83">
        <v>6675.5280000000012</v>
      </c>
      <c r="H127" s="83">
        <v>6006.3369999999995</v>
      </c>
      <c r="I127" s="83">
        <v>5663.7599999999984</v>
      </c>
      <c r="J127" s="83">
        <v>5947.241</v>
      </c>
      <c r="K127" s="83">
        <v>6132.956000000001</v>
      </c>
      <c r="L127" s="83">
        <v>6665.5400000000009</v>
      </c>
      <c r="M127" s="83">
        <v>6696.5500000000011</v>
      </c>
      <c r="N127" s="83">
        <v>6822.0390000000025</v>
      </c>
      <c r="O127" s="83">
        <v>5961.0409999999983</v>
      </c>
      <c r="P127" s="83">
        <v>5506.9010000000007</v>
      </c>
      <c r="Q127" s="83">
        <v>5747.1009999999987</v>
      </c>
      <c r="R127" s="83">
        <v>6689.7150000000047</v>
      </c>
      <c r="S127" s="83">
        <v>6328.6640000000007</v>
      </c>
      <c r="T127" s="83">
        <v>6902.3570000000009</v>
      </c>
      <c r="U127" s="83">
        <v>6645.5539999999992</v>
      </c>
      <c r="V127" s="83">
        <v>5920.8299999999981</v>
      </c>
      <c r="W127" s="83">
        <v>6199.2850000000017</v>
      </c>
      <c r="X127" s="83">
        <v>5847.4010000000017</v>
      </c>
      <c r="Y127" s="83">
        <v>6142.6749999999993</v>
      </c>
      <c r="Z127" s="83">
        <v>6266.2740000000003</v>
      </c>
      <c r="AA127" s="83">
        <v>6436.5880000000006</v>
      </c>
      <c r="AB127" s="83">
        <v>6533.9910000000018</v>
      </c>
      <c r="AC127" s="83">
        <v>6141.7049999999999</v>
      </c>
      <c r="AD127" s="83">
        <v>6353.6840000000011</v>
      </c>
      <c r="AE127" s="83">
        <v>6447.427999999999</v>
      </c>
      <c r="AF127" s="83">
        <v>5865.8990000000013</v>
      </c>
      <c r="AG127" s="83">
        <v>6294.9604123298914</v>
      </c>
    </row>
    <row r="144" spans="1:32" x14ac:dyDescent="0.3">
      <c r="A144" s="30" t="s">
        <v>542</v>
      </c>
      <c r="B144" s="12" t="s">
        <v>704</v>
      </c>
      <c r="C144" s="12" t="s">
        <v>703</v>
      </c>
      <c r="D144" s="12" t="s">
        <v>705</v>
      </c>
      <c r="E144" s="12" t="s">
        <v>706</v>
      </c>
      <c r="F144" s="12" t="s">
        <v>707</v>
      </c>
      <c r="G144" s="12" t="s">
        <v>710</v>
      </c>
      <c r="H144" s="12" t="s">
        <v>711</v>
      </c>
      <c r="I144" s="12" t="s">
        <v>712</v>
      </c>
      <c r="J144" s="12" t="s">
        <v>715</v>
      </c>
      <c r="K144" s="12" t="s">
        <v>814</v>
      </c>
      <c r="L144" s="12" t="s">
        <v>819</v>
      </c>
      <c r="M144" s="12" t="s">
        <v>821</v>
      </c>
      <c r="N144" s="12" t="s">
        <v>825</v>
      </c>
      <c r="O144" s="12" t="s">
        <v>826</v>
      </c>
      <c r="P144" s="12" t="s">
        <v>827</v>
      </c>
      <c r="Q144" s="12" t="s">
        <v>828</v>
      </c>
      <c r="R144" s="12" t="s">
        <v>835</v>
      </c>
      <c r="S144" s="12" t="s">
        <v>836</v>
      </c>
      <c r="T144" s="12" t="s">
        <v>837</v>
      </c>
      <c r="U144" s="12" t="s">
        <v>838</v>
      </c>
      <c r="V144" s="12" t="s">
        <v>839</v>
      </c>
      <c r="W144" s="12" t="s">
        <v>840</v>
      </c>
      <c r="X144" s="12" t="s">
        <v>842</v>
      </c>
      <c r="Y144" s="12" t="s">
        <v>847</v>
      </c>
      <c r="Z144" s="12" t="s">
        <v>848</v>
      </c>
      <c r="AA144" s="12" t="s">
        <v>849</v>
      </c>
      <c r="AB144" s="12" t="s">
        <v>850</v>
      </c>
      <c r="AC144" s="12" t="s">
        <v>851</v>
      </c>
      <c r="AD144" s="12" t="s">
        <v>852</v>
      </c>
      <c r="AE144" s="12" t="s">
        <v>853</v>
      </c>
      <c r="AF144" s="12" t="s">
        <v>854</v>
      </c>
    </row>
    <row r="145" spans="1:32" x14ac:dyDescent="0.3">
      <c r="A145" s="39" t="s">
        <v>589</v>
      </c>
      <c r="B145" s="137">
        <v>1726.605</v>
      </c>
      <c r="C145" s="137">
        <v>1449.4809999999998</v>
      </c>
      <c r="D145" s="137">
        <v>1476.6</v>
      </c>
      <c r="E145" s="137">
        <v>1472.8719999999998</v>
      </c>
      <c r="F145" s="137">
        <v>1511.2620000000002</v>
      </c>
      <c r="G145" s="137">
        <v>1416.0849999999998</v>
      </c>
      <c r="H145" s="137">
        <v>1557.829</v>
      </c>
      <c r="I145" s="137">
        <v>1714.0469999999998</v>
      </c>
      <c r="J145" s="137">
        <v>1378.8240000000001</v>
      </c>
      <c r="K145" s="137">
        <v>1393.8729999999996</v>
      </c>
      <c r="L145" s="137">
        <v>1623.2060000000001</v>
      </c>
      <c r="M145" s="137">
        <v>1563.9030000000002</v>
      </c>
      <c r="N145" s="137">
        <v>1781.7550000000003</v>
      </c>
      <c r="O145" s="137">
        <v>1620.4939999999999</v>
      </c>
      <c r="P145" s="137">
        <v>1606.788</v>
      </c>
      <c r="Q145" s="137">
        <v>1300.5459999999998</v>
      </c>
      <c r="R145" s="137">
        <v>1288.1250000000005</v>
      </c>
      <c r="S145" s="137">
        <v>1477.5149999999994</v>
      </c>
      <c r="T145" s="137">
        <v>1847.194</v>
      </c>
      <c r="U145" s="137">
        <v>1631.2250000000001</v>
      </c>
      <c r="V145" s="137">
        <v>1773.4339999999997</v>
      </c>
      <c r="W145" s="137">
        <v>1806.4500000000003</v>
      </c>
      <c r="X145" s="137">
        <v>1509.7700000000004</v>
      </c>
      <c r="Y145" s="137">
        <v>1539.1730000000002</v>
      </c>
      <c r="Z145" s="137">
        <v>1935.1180000000002</v>
      </c>
      <c r="AA145" s="137">
        <v>2067.5819999999994</v>
      </c>
      <c r="AB145" s="137">
        <v>1842.9769999999999</v>
      </c>
      <c r="AC145" s="137">
        <v>1752.9499999999998</v>
      </c>
      <c r="AD145" s="137">
        <v>1923.8729999999998</v>
      </c>
      <c r="AE145" s="137">
        <v>1863.0839999999996</v>
      </c>
      <c r="AF145" s="137">
        <v>1475.0119999999999</v>
      </c>
    </row>
    <row r="146" spans="1:32" x14ac:dyDescent="0.3">
      <c r="A146" s="39" t="s">
        <v>273</v>
      </c>
      <c r="B146" s="137">
        <v>3418.752</v>
      </c>
      <c r="C146" s="137">
        <v>3225.3670000000002</v>
      </c>
      <c r="D146" s="137">
        <v>3624.4970000000003</v>
      </c>
      <c r="E146" s="137">
        <v>3457.2479999999996</v>
      </c>
      <c r="F146" s="137">
        <v>3461.4779999999996</v>
      </c>
      <c r="G146" s="137">
        <v>3497.9409999999993</v>
      </c>
      <c r="H146" s="137">
        <v>3538.6849999999995</v>
      </c>
      <c r="I146" s="137">
        <v>3093.6279999999992</v>
      </c>
      <c r="J146" s="137">
        <v>3338.9260000000004</v>
      </c>
      <c r="K146" s="137">
        <v>3443.6430000000005</v>
      </c>
      <c r="L146" s="137">
        <v>3691.5520000000001</v>
      </c>
      <c r="M146" s="137">
        <v>3791.8099999999995</v>
      </c>
      <c r="N146" s="137">
        <v>3527.3729999999996</v>
      </c>
      <c r="O146" s="137">
        <v>3512.4539999999997</v>
      </c>
      <c r="P146" s="137">
        <v>3290.895</v>
      </c>
      <c r="Q146" s="137">
        <v>3368.4919999999997</v>
      </c>
      <c r="R146" s="137">
        <v>3730.6299999999997</v>
      </c>
      <c r="S146" s="137">
        <v>3489.1970000000006</v>
      </c>
      <c r="T146" s="137">
        <v>3515.0309999999999</v>
      </c>
      <c r="U146" s="137">
        <v>3595.7580000000012</v>
      </c>
      <c r="V146" s="137">
        <v>3348.2980000000011</v>
      </c>
      <c r="W146" s="137">
        <v>3729.6130000000007</v>
      </c>
      <c r="X146" s="137">
        <v>3137.1809999999996</v>
      </c>
      <c r="Y146" s="137">
        <v>3451.029</v>
      </c>
      <c r="Z146" s="137">
        <v>3536.9720000000007</v>
      </c>
      <c r="AA146" s="137">
        <v>3454.1889999999999</v>
      </c>
      <c r="AB146" s="137">
        <v>3623.0719999999997</v>
      </c>
      <c r="AC146" s="137">
        <v>3606.6379999999999</v>
      </c>
      <c r="AD146" s="137">
        <v>3679.4590000000003</v>
      </c>
      <c r="AE146" s="137">
        <v>3509.8199999999988</v>
      </c>
      <c r="AF146" s="137">
        <v>3364.0439999999999</v>
      </c>
    </row>
    <row r="147" spans="1:32" x14ac:dyDescent="0.3">
      <c r="A147" s="39" t="s">
        <v>160</v>
      </c>
      <c r="B147" s="137">
        <v>696.09499999999991</v>
      </c>
      <c r="C147" s="137">
        <v>1160.0490000000004</v>
      </c>
      <c r="D147" s="137">
        <v>1209.2960000000003</v>
      </c>
      <c r="E147" s="137">
        <v>1362.0980000000002</v>
      </c>
      <c r="F147" s="137">
        <v>1305.3960000000002</v>
      </c>
      <c r="G147" s="137">
        <v>1508.7080000000001</v>
      </c>
      <c r="H147" s="137">
        <v>886.0139999999999</v>
      </c>
      <c r="I147" s="137">
        <v>810.08499999999981</v>
      </c>
      <c r="J147" s="137">
        <v>1084.3510000000001</v>
      </c>
      <c r="K147" s="137">
        <v>1232.9769999999999</v>
      </c>
      <c r="L147" s="137">
        <v>1227.4669999999999</v>
      </c>
      <c r="M147" s="137">
        <v>1271.1989999999998</v>
      </c>
      <c r="N147" s="137">
        <v>1425.1660000000002</v>
      </c>
      <c r="O147" s="137">
        <v>795.1460000000003</v>
      </c>
      <c r="P147" s="137">
        <v>587.24900000000002</v>
      </c>
      <c r="Q147" s="137">
        <v>1016.6029999999998</v>
      </c>
      <c r="R147" s="137">
        <v>1551.7529999999999</v>
      </c>
      <c r="S147" s="137">
        <v>1272.8119999999999</v>
      </c>
      <c r="T147" s="137">
        <v>1454.3869999999999</v>
      </c>
      <c r="U147" s="137">
        <v>1331.4229999999998</v>
      </c>
      <c r="V147" s="137">
        <v>780.423</v>
      </c>
      <c r="W147" s="137">
        <v>649.57100000000014</v>
      </c>
      <c r="X147" s="137">
        <v>1127.7809999999999</v>
      </c>
      <c r="Y147" s="137">
        <v>1096.2730000000001</v>
      </c>
      <c r="Z147" s="137">
        <v>779.55099999999993</v>
      </c>
      <c r="AA147" s="137">
        <v>863.78700000000015</v>
      </c>
      <c r="AB147" s="137">
        <v>1007.0410000000001</v>
      </c>
      <c r="AC147" s="137">
        <v>745.86500000000001</v>
      </c>
      <c r="AD147" s="137">
        <v>733.72100000000012</v>
      </c>
      <c r="AE147" s="137">
        <v>998.995</v>
      </c>
      <c r="AF147" s="137">
        <v>989.53000000000009</v>
      </c>
    </row>
    <row r="148" spans="1:32" x14ac:dyDescent="0.3">
      <c r="A148" s="39" t="s">
        <v>590</v>
      </c>
      <c r="B148" s="137">
        <v>166.29300000000001</v>
      </c>
      <c r="C148" s="137">
        <v>191.94900000000001</v>
      </c>
      <c r="D148" s="137">
        <v>259.09399999999999</v>
      </c>
      <c r="E148" s="137">
        <v>253.15000000000003</v>
      </c>
      <c r="F148" s="137">
        <v>165.84300000000002</v>
      </c>
      <c r="G148" s="137">
        <v>252.79399999999998</v>
      </c>
      <c r="H148" s="137">
        <v>23.808999999999997</v>
      </c>
      <c r="I148" s="137">
        <v>46</v>
      </c>
      <c r="J148" s="137">
        <v>145.13999999999999</v>
      </c>
      <c r="K148" s="137">
        <v>62.463000000000001</v>
      </c>
      <c r="L148" s="137">
        <v>123.315</v>
      </c>
      <c r="M148" s="137">
        <v>69.637999999999991</v>
      </c>
      <c r="N148" s="137">
        <v>87.745000000000005</v>
      </c>
      <c r="O148" s="137">
        <v>32.947000000000003</v>
      </c>
      <c r="P148" s="137">
        <v>21.969000000000001</v>
      </c>
      <c r="Q148" s="137">
        <v>61.46</v>
      </c>
      <c r="R148" s="137">
        <v>119.20699999999999</v>
      </c>
      <c r="S148" s="137">
        <v>89.14</v>
      </c>
      <c r="T148" s="137">
        <v>85.745000000000005</v>
      </c>
      <c r="U148" s="137">
        <v>87.147999999999996</v>
      </c>
      <c r="V148" s="137">
        <v>18.675000000000001</v>
      </c>
      <c r="W148" s="137">
        <v>13.651</v>
      </c>
      <c r="X148" s="137">
        <v>72.669000000000011</v>
      </c>
      <c r="Y148" s="137">
        <v>56.199999999999996</v>
      </c>
      <c r="Z148" s="137">
        <v>14.632999999999999</v>
      </c>
      <c r="AA148" s="137">
        <v>51.029999999999994</v>
      </c>
      <c r="AB148" s="137">
        <v>60.901000000000003</v>
      </c>
      <c r="AC148" s="137">
        <v>36.252000000000002</v>
      </c>
      <c r="AD148" s="137">
        <v>16.631</v>
      </c>
      <c r="AE148" s="137">
        <v>75.528999999999996</v>
      </c>
      <c r="AF148" s="137">
        <v>37.313000000000009</v>
      </c>
    </row>
    <row r="149" spans="1:32" x14ac:dyDescent="0.3">
      <c r="A149" s="39" t="s">
        <v>83</v>
      </c>
      <c r="B149" s="137">
        <v>6007.7449999999999</v>
      </c>
      <c r="C149" s="137">
        <v>6026.8460000000005</v>
      </c>
      <c r="D149" s="137">
        <v>6569.4870000000001</v>
      </c>
      <c r="E149" s="137">
        <v>6545.3679999999986</v>
      </c>
      <c r="F149" s="137">
        <v>6443.9790000000003</v>
      </c>
      <c r="G149" s="137">
        <v>6675.5279999999984</v>
      </c>
      <c r="H149" s="137">
        <v>6006.3369999999995</v>
      </c>
      <c r="I149" s="137">
        <v>5663.7599999999993</v>
      </c>
      <c r="J149" s="137">
        <v>5947.2410000000009</v>
      </c>
      <c r="K149" s="137">
        <v>6132.9559999999992</v>
      </c>
      <c r="L149" s="137">
        <v>6665.5399999999991</v>
      </c>
      <c r="M149" s="137">
        <v>6696.5499999999993</v>
      </c>
      <c r="N149" s="137">
        <v>6822.0389999999998</v>
      </c>
      <c r="O149" s="137">
        <v>5961.0410000000002</v>
      </c>
      <c r="P149" s="137">
        <v>5506.9009999999998</v>
      </c>
      <c r="Q149" s="137">
        <v>5747.1009999999997</v>
      </c>
      <c r="R149" s="137">
        <v>6689.7150000000001</v>
      </c>
      <c r="S149" s="137">
        <v>6328.6639999999998</v>
      </c>
      <c r="T149" s="137">
        <v>6902.357</v>
      </c>
      <c r="U149" s="137">
        <v>6645.554000000001</v>
      </c>
      <c r="V149" s="137">
        <v>5920.8300000000008</v>
      </c>
      <c r="W149" s="137">
        <v>6199.2850000000008</v>
      </c>
      <c r="X149" s="137">
        <v>5847.4009999999998</v>
      </c>
      <c r="Y149" s="137">
        <v>6142.6750000000002</v>
      </c>
      <c r="Z149" s="137">
        <v>6266.2740000000013</v>
      </c>
      <c r="AA149" s="137">
        <v>6436.5879999999988</v>
      </c>
      <c r="AB149" s="137">
        <v>6533.9909999999991</v>
      </c>
      <c r="AC149" s="137">
        <v>6141.7049999999999</v>
      </c>
      <c r="AD149" s="137">
        <v>6353.6840000000011</v>
      </c>
      <c r="AE149" s="137">
        <v>6447.4279999999981</v>
      </c>
      <c r="AF149" s="137">
        <v>5865.8989999999994</v>
      </c>
    </row>
  </sheetData>
  <pageMargins left="0.7" right="0.7" top="0.75" bottom="0.75" header="0.3" footer="0.3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Q158"/>
  <sheetViews>
    <sheetView topLeftCell="A25" zoomScale="86" zoomScaleNormal="86" workbookViewId="0">
      <pane xSplit="9" topLeftCell="AM1" activePane="topRight" state="frozen"/>
      <selection activeCell="F29" sqref="F29"/>
      <selection pane="topRight" activeCell="AO2" sqref="AO2:AO151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customWidth="1"/>
    <col min="4" max="4" width="56.33203125" customWidth="1"/>
    <col min="5" max="5" width="15.5546875" customWidth="1"/>
    <col min="6" max="6" width="12.6640625" bestFit="1" customWidth="1"/>
    <col min="7" max="7" width="9.33203125" customWidth="1"/>
    <col min="8" max="8" width="10.6640625" bestFit="1" customWidth="1"/>
    <col min="9" max="9" width="8.88671875" bestFit="1" customWidth="1"/>
    <col min="10" max="10" width="21" bestFit="1" customWidth="1"/>
    <col min="11" max="11" width="15" style="28" bestFit="1" customWidth="1"/>
    <col min="12" max="12" width="15" style="27" bestFit="1" customWidth="1"/>
    <col min="13" max="13" width="15" style="28" bestFit="1" customWidth="1"/>
    <col min="14" max="14" width="15" bestFit="1" customWidth="1"/>
    <col min="15" max="15" width="10.5546875" customWidth="1"/>
    <col min="16" max="16" width="10.88671875" customWidth="1"/>
    <col min="17" max="17" width="15" bestFit="1" customWidth="1"/>
    <col min="18" max="19" width="11" customWidth="1"/>
    <col min="20" max="21" width="15" bestFit="1" customWidth="1"/>
    <col min="22" max="22" width="10.88671875" customWidth="1"/>
    <col min="23" max="23" width="11.33203125" customWidth="1"/>
    <col min="24" max="24" width="11.109375" customWidth="1"/>
    <col min="25" max="25" width="11.5546875" customWidth="1"/>
    <col min="26" max="26" width="11" customWidth="1"/>
    <col min="27" max="27" width="10.6640625" customWidth="1"/>
    <col min="28" max="28" width="10.88671875" customWidth="1"/>
    <col min="29" max="29" width="10" customWidth="1"/>
    <col min="30" max="31" width="10.6640625" customWidth="1"/>
    <col min="32" max="32" width="10.88671875" customWidth="1"/>
    <col min="33" max="33" width="11.6640625" customWidth="1"/>
    <col min="34" max="34" width="12.5546875" customWidth="1"/>
    <col min="35" max="35" width="15" bestFit="1" customWidth="1"/>
    <col min="36" max="36" width="13.33203125" customWidth="1"/>
    <col min="37" max="37" width="11.88671875" customWidth="1"/>
    <col min="38" max="38" width="13.33203125" customWidth="1"/>
    <col min="39" max="39" width="13" customWidth="1"/>
    <col min="40" max="41" width="14.33203125" customWidth="1"/>
    <col min="42" max="42" width="9.33203125" bestFit="1" customWidth="1"/>
    <col min="43" max="43" width="13.88671875" customWidth="1"/>
  </cols>
  <sheetData>
    <row r="1" spans="1:43" ht="30.75" customHeight="1" x14ac:dyDescent="0.3">
      <c r="A1" s="13" t="s">
        <v>0</v>
      </c>
      <c r="B1" s="14" t="s">
        <v>1</v>
      </c>
      <c r="C1" s="14" t="s">
        <v>599</v>
      </c>
      <c r="D1" s="14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3" t="s">
        <v>7</v>
      </c>
      <c r="J1" s="13" t="s">
        <v>158</v>
      </c>
      <c r="K1" s="99">
        <v>45627</v>
      </c>
      <c r="L1" s="99">
        <v>45628</v>
      </c>
      <c r="M1" s="99">
        <v>45629</v>
      </c>
      <c r="N1" s="99">
        <v>45630</v>
      </c>
      <c r="O1" s="99">
        <v>45631</v>
      </c>
      <c r="P1" s="99">
        <v>45632</v>
      </c>
      <c r="Q1" s="99">
        <v>45633</v>
      </c>
      <c r="R1" s="99">
        <v>45634</v>
      </c>
      <c r="S1" s="99">
        <v>45635</v>
      </c>
      <c r="T1" s="99">
        <v>45636</v>
      </c>
      <c r="U1" s="99">
        <v>45637</v>
      </c>
      <c r="V1" s="99">
        <v>45638</v>
      </c>
      <c r="W1" s="99">
        <v>45639</v>
      </c>
      <c r="X1" s="99">
        <v>45640</v>
      </c>
      <c r="Y1" s="99">
        <v>45641</v>
      </c>
      <c r="Z1" s="99">
        <v>45642</v>
      </c>
      <c r="AA1" s="99">
        <v>45643</v>
      </c>
      <c r="AB1" s="99">
        <v>45644</v>
      </c>
      <c r="AC1" s="99">
        <v>45645</v>
      </c>
      <c r="AD1" s="99">
        <v>45646</v>
      </c>
      <c r="AE1" s="99">
        <v>45647</v>
      </c>
      <c r="AF1" s="99">
        <v>45648</v>
      </c>
      <c r="AG1" s="99">
        <v>45649</v>
      </c>
      <c r="AH1" s="99">
        <v>45650</v>
      </c>
      <c r="AI1" s="99">
        <v>45651</v>
      </c>
      <c r="AJ1" s="99">
        <v>45652</v>
      </c>
      <c r="AK1" s="99">
        <v>45653</v>
      </c>
      <c r="AL1" s="99">
        <v>45654</v>
      </c>
      <c r="AM1" s="99">
        <v>45655</v>
      </c>
      <c r="AN1" s="99">
        <v>45656</v>
      </c>
      <c r="AO1" s="99">
        <v>45657</v>
      </c>
      <c r="AP1" s="13" t="s">
        <v>8</v>
      </c>
      <c r="AQ1" s="12" t="s">
        <v>154</v>
      </c>
    </row>
    <row r="2" spans="1:43" x14ac:dyDescent="0.3">
      <c r="A2" s="5">
        <v>1</v>
      </c>
      <c r="B2" s="6" t="s">
        <v>9</v>
      </c>
      <c r="C2" s="10" t="s">
        <v>600</v>
      </c>
      <c r="D2" s="39" t="s">
        <v>739</v>
      </c>
      <c r="E2" s="6" t="s">
        <v>11</v>
      </c>
      <c r="F2" s="6" t="s">
        <v>12</v>
      </c>
      <c r="G2" s="6" t="s">
        <v>13</v>
      </c>
      <c r="H2" s="6" t="s">
        <v>35</v>
      </c>
      <c r="I2" s="5">
        <v>6</v>
      </c>
      <c r="J2" s="67" t="s">
        <v>160</v>
      </c>
      <c r="K2" s="10">
        <v>31.089999999999996</v>
      </c>
      <c r="L2" s="10">
        <v>79.974000000000004</v>
      </c>
      <c r="M2" s="10">
        <v>111.786</v>
      </c>
      <c r="N2" s="10">
        <v>56.537000000000006</v>
      </c>
      <c r="O2" s="10">
        <v>55.813999999999993</v>
      </c>
      <c r="P2" s="10">
        <v>63.415999999999997</v>
      </c>
      <c r="Q2" s="10">
        <v>68.071999999999989</v>
      </c>
      <c r="R2" s="10">
        <v>49.680000000000007</v>
      </c>
      <c r="S2" s="10">
        <v>64.692000000000007</v>
      </c>
      <c r="T2" s="10">
        <v>65.524000000000001</v>
      </c>
      <c r="U2" s="10">
        <v>56.51</v>
      </c>
      <c r="V2" s="10">
        <v>39.277000000000001</v>
      </c>
      <c r="W2" s="10">
        <v>17.893999999999998</v>
      </c>
      <c r="X2" s="10">
        <v>35.824000000000005</v>
      </c>
      <c r="Y2" s="10">
        <v>35.573</v>
      </c>
      <c r="Z2" s="10">
        <v>23.887</v>
      </c>
      <c r="AA2" s="10">
        <v>37.356000000000002</v>
      </c>
      <c r="AB2" s="10">
        <v>27.968000000000004</v>
      </c>
      <c r="AC2" s="10">
        <v>54.596999999999987</v>
      </c>
      <c r="AD2" s="10">
        <v>52.671999999999997</v>
      </c>
      <c r="AE2" s="10">
        <v>45.692000000000007</v>
      </c>
      <c r="AF2" s="10">
        <v>36.681000000000004</v>
      </c>
      <c r="AG2" s="10">
        <v>30.486000000000004</v>
      </c>
      <c r="AH2" s="10">
        <v>24.287000000000003</v>
      </c>
      <c r="AI2" s="10">
        <v>27.372999999999998</v>
      </c>
      <c r="AJ2" s="10">
        <v>19.559000000000001</v>
      </c>
      <c r="AK2" s="46">
        <v>0</v>
      </c>
      <c r="AL2" s="46">
        <v>0</v>
      </c>
      <c r="AM2" s="46">
        <v>0</v>
      </c>
      <c r="AN2" s="46">
        <v>0</v>
      </c>
      <c r="AO2" s="46">
        <v>0</v>
      </c>
      <c r="AP2" s="46">
        <f t="shared" ref="AP2:AP33" si="0">AVERAGE(K2:AN2)</f>
        <v>40.407366666666668</v>
      </c>
      <c r="AQ2" s="7">
        <f t="shared" ref="AQ2:AQ33" si="1">AP2/I2</f>
        <v>6.7345611111111117</v>
      </c>
    </row>
    <row r="3" spans="1:43" x14ac:dyDescent="0.3">
      <c r="A3" s="5">
        <v>2</v>
      </c>
      <c r="B3" s="6" t="s">
        <v>9</v>
      </c>
      <c r="C3" s="10" t="s">
        <v>601</v>
      </c>
      <c r="D3" s="39" t="s">
        <v>740</v>
      </c>
      <c r="E3" s="6" t="s">
        <v>11</v>
      </c>
      <c r="F3" s="6" t="s">
        <v>12</v>
      </c>
      <c r="G3" s="6" t="s">
        <v>13</v>
      </c>
      <c r="H3" s="6" t="s">
        <v>35</v>
      </c>
      <c r="I3" s="5">
        <v>9</v>
      </c>
      <c r="J3" s="67" t="s">
        <v>160</v>
      </c>
      <c r="K3" s="10">
        <v>204.72499999999997</v>
      </c>
      <c r="L3" s="10">
        <v>204.06000000000006</v>
      </c>
      <c r="M3" s="10">
        <v>179.66900000000004</v>
      </c>
      <c r="N3" s="10">
        <v>215.89400000000003</v>
      </c>
      <c r="O3" s="10">
        <v>232.38400000000004</v>
      </c>
      <c r="P3" s="10">
        <v>204.85299999999998</v>
      </c>
      <c r="Q3" s="10">
        <v>170.35099999999989</v>
      </c>
      <c r="R3" s="10">
        <v>191.7879999999999</v>
      </c>
      <c r="S3" s="10">
        <v>192.83700000000005</v>
      </c>
      <c r="T3" s="10">
        <v>168.68599999999998</v>
      </c>
      <c r="U3" s="10">
        <v>167.14400000000001</v>
      </c>
      <c r="V3" s="10">
        <v>176.32100000000003</v>
      </c>
      <c r="W3" s="10">
        <v>210.60600000000005</v>
      </c>
      <c r="X3" s="10">
        <v>182.47800000000001</v>
      </c>
      <c r="Y3" s="10">
        <v>167.73400000000004</v>
      </c>
      <c r="Z3" s="10">
        <v>200.983</v>
      </c>
      <c r="AA3" s="10">
        <v>163.58399999999992</v>
      </c>
      <c r="AB3" s="10">
        <v>182.44399999999993</v>
      </c>
      <c r="AC3" s="10">
        <v>193.666</v>
      </c>
      <c r="AD3" s="10">
        <v>192.62599999999995</v>
      </c>
      <c r="AE3" s="10">
        <v>194.72200000000001</v>
      </c>
      <c r="AF3" s="10">
        <v>182.99900000000011</v>
      </c>
      <c r="AG3" s="10">
        <v>163.78799999999993</v>
      </c>
      <c r="AH3" s="10">
        <v>205.28100000000003</v>
      </c>
      <c r="AI3" s="10">
        <v>171.96499999999995</v>
      </c>
      <c r="AJ3" s="10">
        <v>154.16900000000001</v>
      </c>
      <c r="AK3" s="10">
        <v>184.74199999999996</v>
      </c>
      <c r="AL3" s="10">
        <v>191.22200000000004</v>
      </c>
      <c r="AM3" s="10">
        <v>186.50000000000006</v>
      </c>
      <c r="AN3" s="10">
        <v>159.51600000000002</v>
      </c>
      <c r="AO3" s="10">
        <v>173.95200000000006</v>
      </c>
      <c r="AP3" s="46">
        <f t="shared" si="0"/>
        <v>186.59123333333329</v>
      </c>
      <c r="AQ3" s="7">
        <f t="shared" si="1"/>
        <v>20.732359259259255</v>
      </c>
    </row>
    <row r="4" spans="1:43" x14ac:dyDescent="0.3">
      <c r="A4" s="5">
        <v>3</v>
      </c>
      <c r="B4" s="6" t="s">
        <v>9</v>
      </c>
      <c r="C4" s="10" t="s">
        <v>602</v>
      </c>
      <c r="D4" s="39" t="s">
        <v>741</v>
      </c>
      <c r="E4" s="6" t="s">
        <v>11</v>
      </c>
      <c r="F4" s="6" t="s">
        <v>12</v>
      </c>
      <c r="G4" s="6" t="s">
        <v>13</v>
      </c>
      <c r="H4" s="6" t="s">
        <v>35</v>
      </c>
      <c r="I4" s="5">
        <v>3</v>
      </c>
      <c r="J4" s="67" t="s">
        <v>160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f t="shared" si="0"/>
        <v>0</v>
      </c>
      <c r="AQ4" s="7">
        <f t="shared" si="1"/>
        <v>0</v>
      </c>
    </row>
    <row r="5" spans="1:43" ht="15" customHeight="1" x14ac:dyDescent="0.3">
      <c r="A5" s="5">
        <v>4</v>
      </c>
      <c r="B5" s="6" t="s">
        <v>9</v>
      </c>
      <c r="C5" s="5" t="s">
        <v>603</v>
      </c>
      <c r="D5" s="39" t="s">
        <v>729</v>
      </c>
      <c r="E5" s="6" t="s">
        <v>30</v>
      </c>
      <c r="F5" s="6" t="s">
        <v>12</v>
      </c>
      <c r="G5" s="6" t="s">
        <v>13</v>
      </c>
      <c r="H5" s="6" t="s">
        <v>35</v>
      </c>
      <c r="I5" s="5">
        <v>8</v>
      </c>
      <c r="J5" s="94" t="s">
        <v>589</v>
      </c>
      <c r="K5" s="10">
        <v>98.52000000000001</v>
      </c>
      <c r="L5" s="10">
        <v>88.146999999999991</v>
      </c>
      <c r="M5" s="10">
        <v>116.916</v>
      </c>
      <c r="N5" s="10">
        <v>78.667000000000002</v>
      </c>
      <c r="O5" s="10">
        <v>93.38300000000001</v>
      </c>
      <c r="P5" s="10">
        <v>124.64099999999999</v>
      </c>
      <c r="Q5" s="10">
        <v>92.787999999999997</v>
      </c>
      <c r="R5" s="10">
        <v>77.564999999999998</v>
      </c>
      <c r="S5" s="10">
        <v>114.20700000000001</v>
      </c>
      <c r="T5" s="10">
        <v>101.453</v>
      </c>
      <c r="U5" s="10">
        <v>110.749</v>
      </c>
      <c r="V5" s="10">
        <v>81.254999999999995</v>
      </c>
      <c r="W5" s="10">
        <v>159.21100000000001</v>
      </c>
      <c r="X5" s="10">
        <v>99.803000000000011</v>
      </c>
      <c r="Y5" s="10">
        <v>140.554</v>
      </c>
      <c r="Z5" s="10">
        <v>50.738</v>
      </c>
      <c r="AA5" s="10">
        <v>95.733000000000018</v>
      </c>
      <c r="AB5" s="10">
        <v>86.271000000000001</v>
      </c>
      <c r="AC5" s="10">
        <v>132.601</v>
      </c>
      <c r="AD5" s="10">
        <v>112.22499999999999</v>
      </c>
      <c r="AE5" s="10">
        <v>93.681999999999988</v>
      </c>
      <c r="AF5" s="10">
        <v>35.325000000000003</v>
      </c>
      <c r="AG5" s="10">
        <v>60.803999999999995</v>
      </c>
      <c r="AH5" s="10">
        <v>102.89000000000001</v>
      </c>
      <c r="AI5" s="10">
        <v>122.611</v>
      </c>
      <c r="AJ5" s="10">
        <v>87.5</v>
      </c>
      <c r="AK5" s="10">
        <v>104.301</v>
      </c>
      <c r="AL5" s="10">
        <v>68.295000000000002</v>
      </c>
      <c r="AM5" s="10">
        <v>106.54400000000001</v>
      </c>
      <c r="AN5" s="10">
        <v>83.293999999999983</v>
      </c>
      <c r="AO5" s="10">
        <v>104.33899999999998</v>
      </c>
      <c r="AP5" s="46">
        <f t="shared" si="0"/>
        <v>97.355766666666625</v>
      </c>
      <c r="AQ5" s="7">
        <f t="shared" si="1"/>
        <v>12.169470833333328</v>
      </c>
    </row>
    <row r="6" spans="1:43" ht="15" customHeight="1" x14ac:dyDescent="0.3">
      <c r="A6" s="5">
        <v>5</v>
      </c>
      <c r="B6" s="6" t="s">
        <v>9</v>
      </c>
      <c r="C6" s="10" t="s">
        <v>604</v>
      </c>
      <c r="D6" s="39" t="s">
        <v>761</v>
      </c>
      <c r="E6" s="6" t="s">
        <v>128</v>
      </c>
      <c r="F6" s="6" t="s">
        <v>12</v>
      </c>
      <c r="G6" s="6" t="s">
        <v>13</v>
      </c>
      <c r="H6" s="6" t="s">
        <v>35</v>
      </c>
      <c r="I6" s="5">
        <v>29</v>
      </c>
      <c r="J6" s="94" t="s">
        <v>273</v>
      </c>
      <c r="K6" s="10">
        <v>980.63899999999967</v>
      </c>
      <c r="L6" s="10">
        <v>886.50699999999961</v>
      </c>
      <c r="M6" s="10">
        <v>969.05700000000002</v>
      </c>
      <c r="N6" s="10">
        <v>827.50100000000009</v>
      </c>
      <c r="O6" s="10">
        <v>918.03399999999954</v>
      </c>
      <c r="P6" s="10">
        <v>952.50400000000025</v>
      </c>
      <c r="Q6" s="10">
        <v>949.09900000000027</v>
      </c>
      <c r="R6" s="10">
        <v>668.25799999999981</v>
      </c>
      <c r="S6" s="10">
        <v>935.06500000000005</v>
      </c>
      <c r="T6" s="10">
        <v>743.77699999999993</v>
      </c>
      <c r="U6" s="10">
        <v>865.40199999999993</v>
      </c>
      <c r="V6" s="10">
        <v>1042.981</v>
      </c>
      <c r="W6" s="10">
        <v>847.78099999999972</v>
      </c>
      <c r="X6" s="10">
        <v>900.74599999999987</v>
      </c>
      <c r="Y6" s="10">
        <v>801.4079999999999</v>
      </c>
      <c r="Z6" s="10">
        <v>834.97199999999987</v>
      </c>
      <c r="AA6" s="10">
        <v>808.34100000000012</v>
      </c>
      <c r="AB6" s="10">
        <v>782.88</v>
      </c>
      <c r="AC6" s="10">
        <v>770.78500000000008</v>
      </c>
      <c r="AD6" s="10">
        <v>882.63500000000045</v>
      </c>
      <c r="AE6" s="10">
        <v>753.07200000000034</v>
      </c>
      <c r="AF6" s="10">
        <v>997.99900000000025</v>
      </c>
      <c r="AG6" s="10">
        <v>712.3520000000002</v>
      </c>
      <c r="AH6" s="10">
        <v>747.428</v>
      </c>
      <c r="AI6" s="10">
        <v>955.3119999999999</v>
      </c>
      <c r="AJ6" s="10">
        <v>850.52099999999984</v>
      </c>
      <c r="AK6" s="10">
        <v>916.87699999999995</v>
      </c>
      <c r="AL6" s="10">
        <v>923.97099999999989</v>
      </c>
      <c r="AM6" s="10">
        <v>847.38399999999967</v>
      </c>
      <c r="AN6" s="10">
        <v>943.96199999999988</v>
      </c>
      <c r="AO6" s="10">
        <v>785.673</v>
      </c>
      <c r="AP6" s="46">
        <f t="shared" si="0"/>
        <v>867.24166666666656</v>
      </c>
      <c r="AQ6" s="7">
        <f t="shared" si="1"/>
        <v>29.904885057471262</v>
      </c>
    </row>
    <row r="7" spans="1:43" x14ac:dyDescent="0.3">
      <c r="A7" s="5">
        <v>6</v>
      </c>
      <c r="B7" s="6" t="s">
        <v>9</v>
      </c>
      <c r="C7" s="10" t="s">
        <v>604</v>
      </c>
      <c r="D7" s="39" t="s">
        <v>761</v>
      </c>
      <c r="E7" s="6" t="s">
        <v>128</v>
      </c>
      <c r="F7" s="6" t="s">
        <v>12</v>
      </c>
      <c r="G7" s="6" t="s">
        <v>274</v>
      </c>
      <c r="H7" s="6" t="s">
        <v>80</v>
      </c>
      <c r="I7" s="5">
        <v>1</v>
      </c>
      <c r="J7" s="94" t="s">
        <v>273</v>
      </c>
      <c r="K7" s="46">
        <v>0</v>
      </c>
      <c r="L7" s="46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10">
        <v>0.4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v>0</v>
      </c>
      <c r="AP7" s="46">
        <f t="shared" si="0"/>
        <v>1.3333333333333334E-2</v>
      </c>
      <c r="AQ7" s="7">
        <f t="shared" si="1"/>
        <v>1.3333333333333334E-2</v>
      </c>
    </row>
    <row r="8" spans="1:43" x14ac:dyDescent="0.3">
      <c r="A8" s="5">
        <v>7</v>
      </c>
      <c r="B8" s="6" t="s">
        <v>9</v>
      </c>
      <c r="C8" s="10" t="s">
        <v>604</v>
      </c>
      <c r="D8" s="39" t="s">
        <v>761</v>
      </c>
      <c r="E8" s="6" t="s">
        <v>128</v>
      </c>
      <c r="F8" s="6" t="s">
        <v>12</v>
      </c>
      <c r="G8" s="6" t="s">
        <v>124</v>
      </c>
      <c r="H8" s="6" t="s">
        <v>80</v>
      </c>
      <c r="I8" s="5">
        <v>2</v>
      </c>
      <c r="J8" s="94" t="s">
        <v>273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v>0</v>
      </c>
      <c r="AP8" s="46">
        <f t="shared" si="0"/>
        <v>0</v>
      </c>
      <c r="AQ8" s="7">
        <f t="shared" si="1"/>
        <v>0</v>
      </c>
    </row>
    <row r="9" spans="1:43" x14ac:dyDescent="0.3">
      <c r="A9" s="5">
        <v>8</v>
      </c>
      <c r="B9" s="6" t="s">
        <v>9</v>
      </c>
      <c r="C9" s="10" t="s">
        <v>605</v>
      </c>
      <c r="D9" s="39" t="s">
        <v>750</v>
      </c>
      <c r="E9" s="6" t="s">
        <v>128</v>
      </c>
      <c r="F9" s="6" t="s">
        <v>12</v>
      </c>
      <c r="G9" s="6" t="s">
        <v>13</v>
      </c>
      <c r="H9" s="6" t="s">
        <v>35</v>
      </c>
      <c r="I9" s="5">
        <v>6</v>
      </c>
      <c r="J9" s="94" t="s">
        <v>273</v>
      </c>
      <c r="K9" s="10">
        <v>39.620999999999995</v>
      </c>
      <c r="L9" s="10">
        <v>43.506999999999998</v>
      </c>
      <c r="M9" s="10">
        <v>44.674000000000007</v>
      </c>
      <c r="N9" s="10">
        <v>46.988</v>
      </c>
      <c r="O9" s="10">
        <v>31.82</v>
      </c>
      <c r="P9" s="10">
        <v>45.544999999999995</v>
      </c>
      <c r="Q9" s="10">
        <v>45.673000000000002</v>
      </c>
      <c r="R9" s="10">
        <v>26.170999999999999</v>
      </c>
      <c r="S9" s="10">
        <v>48.956999999999994</v>
      </c>
      <c r="T9" s="10">
        <v>42.618000000000002</v>
      </c>
      <c r="U9" s="10">
        <v>31.499999999999996</v>
      </c>
      <c r="V9" s="10">
        <v>44.269000000000005</v>
      </c>
      <c r="W9" s="10">
        <v>41.073999999999998</v>
      </c>
      <c r="X9" s="10">
        <v>43.456000000000003</v>
      </c>
      <c r="Y9" s="10">
        <v>41.043999999999997</v>
      </c>
      <c r="Z9" s="10">
        <v>54.298000000000002</v>
      </c>
      <c r="AA9" s="10">
        <v>56.578000000000003</v>
      </c>
      <c r="AB9" s="10">
        <v>35.007999999999996</v>
      </c>
      <c r="AC9" s="10">
        <v>37.138999999999996</v>
      </c>
      <c r="AD9" s="10">
        <v>45.241</v>
      </c>
      <c r="AE9" s="10">
        <v>60.683</v>
      </c>
      <c r="AF9" s="10">
        <v>37.149000000000001</v>
      </c>
      <c r="AG9" s="10">
        <v>37.033000000000001</v>
      </c>
      <c r="AH9" s="10">
        <v>40.213000000000008</v>
      </c>
      <c r="AI9" s="10">
        <v>29.888000000000002</v>
      </c>
      <c r="AJ9" s="10">
        <v>33.986999999999995</v>
      </c>
      <c r="AK9" s="10">
        <v>28.116000000000003</v>
      </c>
      <c r="AL9" s="10">
        <v>15.827000000000002</v>
      </c>
      <c r="AM9" s="10">
        <v>36.371000000000002</v>
      </c>
      <c r="AN9" s="10">
        <v>34.747</v>
      </c>
      <c r="AO9" s="10">
        <v>63.250999999999998</v>
      </c>
      <c r="AP9" s="46">
        <f t="shared" si="0"/>
        <v>39.973166666666671</v>
      </c>
      <c r="AQ9" s="7">
        <f t="shared" si="1"/>
        <v>6.6621944444444452</v>
      </c>
    </row>
    <row r="10" spans="1:43" x14ac:dyDescent="0.3">
      <c r="A10" s="5">
        <v>9</v>
      </c>
      <c r="B10" s="6" t="s">
        <v>9</v>
      </c>
      <c r="C10" s="10" t="s">
        <v>606</v>
      </c>
      <c r="D10" s="39" t="s">
        <v>728</v>
      </c>
      <c r="E10" s="6" t="s">
        <v>30</v>
      </c>
      <c r="F10" s="6" t="s">
        <v>12</v>
      </c>
      <c r="G10" s="6" t="s">
        <v>13</v>
      </c>
      <c r="H10" s="6" t="s">
        <v>35</v>
      </c>
      <c r="I10" s="5">
        <v>3</v>
      </c>
      <c r="J10" s="94" t="s">
        <v>589</v>
      </c>
      <c r="K10" s="10">
        <v>95.483000000000004</v>
      </c>
      <c r="L10" s="10">
        <v>75.888999999999996</v>
      </c>
      <c r="M10" s="10">
        <v>95.846000000000018</v>
      </c>
      <c r="N10" s="10">
        <v>83.507000000000005</v>
      </c>
      <c r="O10" s="10">
        <v>80.998000000000019</v>
      </c>
      <c r="P10" s="10">
        <v>103.82600000000002</v>
      </c>
      <c r="Q10" s="10">
        <v>85.407000000000011</v>
      </c>
      <c r="R10" s="10">
        <v>84.11</v>
      </c>
      <c r="S10" s="10">
        <v>76.613</v>
      </c>
      <c r="T10" s="10">
        <v>89.082000000000022</v>
      </c>
      <c r="U10" s="10">
        <v>118.711</v>
      </c>
      <c r="V10" s="10">
        <v>99.873000000000005</v>
      </c>
      <c r="W10" s="10">
        <v>120.45700000000001</v>
      </c>
      <c r="X10" s="10">
        <v>116.29399999999998</v>
      </c>
      <c r="Y10" s="10">
        <v>98.242000000000004</v>
      </c>
      <c r="Z10" s="10">
        <v>109.151</v>
      </c>
      <c r="AA10" s="10">
        <v>114.723</v>
      </c>
      <c r="AB10" s="10">
        <v>118.56599999999999</v>
      </c>
      <c r="AC10" s="10">
        <v>93.760999999999996</v>
      </c>
      <c r="AD10" s="10">
        <v>71.828999999999994</v>
      </c>
      <c r="AE10" s="10">
        <v>87.461999999999989</v>
      </c>
      <c r="AF10" s="10">
        <v>96.89800000000001</v>
      </c>
      <c r="AG10" s="10">
        <v>76.492999999999995</v>
      </c>
      <c r="AH10" s="10">
        <v>110.31200000000001</v>
      </c>
      <c r="AI10" s="10">
        <v>89.51</v>
      </c>
      <c r="AJ10" s="10">
        <v>125.30699999999999</v>
      </c>
      <c r="AK10" s="10">
        <v>77.660999999999987</v>
      </c>
      <c r="AL10" s="10">
        <v>89.532000000000011</v>
      </c>
      <c r="AM10" s="10">
        <v>99.69</v>
      </c>
      <c r="AN10" s="10">
        <v>86.665999999999997</v>
      </c>
      <c r="AO10" s="10">
        <v>102.17099999999999</v>
      </c>
      <c r="AP10" s="46">
        <f t="shared" si="0"/>
        <v>95.729966666666684</v>
      </c>
      <c r="AQ10" s="7">
        <f t="shared" si="1"/>
        <v>31.909988888888893</v>
      </c>
    </row>
    <row r="11" spans="1:43" x14ac:dyDescent="0.3">
      <c r="A11" s="5">
        <v>10</v>
      </c>
      <c r="B11" s="6" t="s">
        <v>9</v>
      </c>
      <c r="C11" s="10" t="s">
        <v>607</v>
      </c>
      <c r="D11" s="39" t="s">
        <v>774</v>
      </c>
      <c r="E11" s="6" t="s">
        <v>128</v>
      </c>
      <c r="F11" s="6" t="s">
        <v>19</v>
      </c>
      <c r="G11" s="6" t="s">
        <v>13</v>
      </c>
      <c r="H11" s="6" t="s">
        <v>35</v>
      </c>
      <c r="I11" s="5">
        <v>1</v>
      </c>
      <c r="J11" s="12" t="s">
        <v>590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10">
        <v>3.3730000000000002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10">
        <v>2.0139999999999998</v>
      </c>
      <c r="AF11" s="46">
        <v>0</v>
      </c>
      <c r="AG11" s="46">
        <v>0</v>
      </c>
      <c r="AH11" s="46">
        <v>0</v>
      </c>
      <c r="AI11" s="10">
        <v>3.3940000000000001</v>
      </c>
      <c r="AJ11" s="46">
        <v>0</v>
      </c>
      <c r="AK11" s="46">
        <v>0</v>
      </c>
      <c r="AL11" s="46">
        <v>0</v>
      </c>
      <c r="AM11" s="46">
        <v>0</v>
      </c>
      <c r="AN11" s="46">
        <v>0</v>
      </c>
      <c r="AO11" s="46">
        <v>0</v>
      </c>
      <c r="AP11" s="46">
        <f t="shared" si="0"/>
        <v>0.29270000000000002</v>
      </c>
      <c r="AQ11" s="7">
        <f t="shared" si="1"/>
        <v>0.29270000000000002</v>
      </c>
    </row>
    <row r="12" spans="1:43" x14ac:dyDescent="0.3">
      <c r="A12" s="5">
        <v>11</v>
      </c>
      <c r="B12" s="6" t="s">
        <v>9</v>
      </c>
      <c r="C12" s="10" t="s">
        <v>608</v>
      </c>
      <c r="D12" s="39" t="s">
        <v>772</v>
      </c>
      <c r="E12" s="6" t="s">
        <v>128</v>
      </c>
      <c r="F12" s="6" t="s">
        <v>12</v>
      </c>
      <c r="G12" s="6" t="s">
        <v>40</v>
      </c>
      <c r="H12" s="6" t="s">
        <v>35</v>
      </c>
      <c r="I12" s="5">
        <v>2</v>
      </c>
      <c r="J12" s="67" t="s">
        <v>160</v>
      </c>
      <c r="K12" s="10">
        <v>14.577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10">
        <v>10.666</v>
      </c>
      <c r="T12" s="46">
        <v>0</v>
      </c>
      <c r="U12" s="10">
        <v>16.427</v>
      </c>
      <c r="V12" s="46">
        <v>0</v>
      </c>
      <c r="W12" s="46">
        <v>0</v>
      </c>
      <c r="X12" s="10">
        <v>13.532</v>
      </c>
      <c r="Y12" s="10">
        <v>33.634</v>
      </c>
      <c r="Z12" s="10">
        <v>5.0999999999999997E-2</v>
      </c>
      <c r="AA12" s="10">
        <v>15.132</v>
      </c>
      <c r="AB12" s="46">
        <v>0</v>
      </c>
      <c r="AC12" s="10">
        <v>4.6040000000000001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10">
        <v>2.371</v>
      </c>
      <c r="AJ12" s="46">
        <v>0</v>
      </c>
      <c r="AK12" s="46">
        <v>0</v>
      </c>
      <c r="AL12" s="10">
        <v>7.468</v>
      </c>
      <c r="AM12" s="46">
        <v>0</v>
      </c>
      <c r="AN12" s="46">
        <v>0</v>
      </c>
      <c r="AO12" s="46">
        <v>0</v>
      </c>
      <c r="AP12" s="46">
        <f t="shared" si="0"/>
        <v>3.9487333333333337</v>
      </c>
      <c r="AQ12" s="7">
        <f t="shared" si="1"/>
        <v>1.9743666666666668</v>
      </c>
    </row>
    <row r="13" spans="1:43" x14ac:dyDescent="0.3">
      <c r="A13" s="5">
        <v>12</v>
      </c>
      <c r="B13" s="6" t="s">
        <v>9</v>
      </c>
      <c r="C13" s="10" t="s">
        <v>608</v>
      </c>
      <c r="D13" s="39" t="s">
        <v>772</v>
      </c>
      <c r="E13" s="6" t="s">
        <v>128</v>
      </c>
      <c r="F13" s="6" t="s">
        <v>12</v>
      </c>
      <c r="G13" s="6" t="s">
        <v>255</v>
      </c>
      <c r="H13" s="6" t="s">
        <v>80</v>
      </c>
      <c r="I13" s="5">
        <v>2</v>
      </c>
      <c r="J13" s="67" t="s">
        <v>160</v>
      </c>
      <c r="K13" s="46">
        <v>0</v>
      </c>
      <c r="L13" s="10">
        <v>31.95</v>
      </c>
      <c r="M13" s="10">
        <v>23.91</v>
      </c>
      <c r="N13" s="10">
        <v>32.22</v>
      </c>
      <c r="O13" s="10">
        <v>24.93</v>
      </c>
      <c r="P13" s="10">
        <v>30.38</v>
      </c>
      <c r="Q13" s="10">
        <v>21.28</v>
      </c>
      <c r="R13" s="10">
        <v>24.949999999999996</v>
      </c>
      <c r="S13" s="10">
        <v>46.08</v>
      </c>
      <c r="T13" s="10">
        <v>32.49</v>
      </c>
      <c r="U13" s="10">
        <v>20.2</v>
      </c>
      <c r="V13" s="10">
        <v>22.229999999999997</v>
      </c>
      <c r="W13" s="10">
        <v>11.21</v>
      </c>
      <c r="X13" s="10">
        <v>6.19</v>
      </c>
      <c r="Y13" s="10">
        <v>34.400000000000006</v>
      </c>
      <c r="Z13" s="10">
        <v>9.6300000000000008</v>
      </c>
      <c r="AA13" s="10">
        <v>26.22</v>
      </c>
      <c r="AB13" s="46">
        <v>0</v>
      </c>
      <c r="AC13" s="46">
        <v>0</v>
      </c>
      <c r="AD13" s="46">
        <v>0</v>
      </c>
      <c r="AE13" s="46">
        <v>0</v>
      </c>
      <c r="AF13" s="10">
        <v>4.26</v>
      </c>
      <c r="AG13" s="10">
        <v>5.84</v>
      </c>
      <c r="AH13" s="46">
        <v>0</v>
      </c>
      <c r="AI13" s="46">
        <v>0</v>
      </c>
      <c r="AJ13" s="46">
        <v>0</v>
      </c>
      <c r="AK13" s="46">
        <v>0</v>
      </c>
      <c r="AL13" s="46">
        <v>0</v>
      </c>
      <c r="AM13" s="46">
        <v>0</v>
      </c>
      <c r="AN13" s="46">
        <v>0</v>
      </c>
      <c r="AO13" s="46">
        <v>0</v>
      </c>
      <c r="AP13" s="46">
        <f t="shared" si="0"/>
        <v>13.612333333333332</v>
      </c>
      <c r="AQ13" s="7">
        <f t="shared" si="1"/>
        <v>6.806166666666666</v>
      </c>
    </row>
    <row r="14" spans="1:43" x14ac:dyDescent="0.3">
      <c r="A14" s="5">
        <v>13</v>
      </c>
      <c r="B14" s="6" t="s">
        <v>9</v>
      </c>
      <c r="C14" s="10" t="s">
        <v>609</v>
      </c>
      <c r="D14" s="39" t="s">
        <v>745</v>
      </c>
      <c r="E14" s="6" t="s">
        <v>128</v>
      </c>
      <c r="F14" s="6" t="s">
        <v>12</v>
      </c>
      <c r="G14" s="6" t="s">
        <v>13</v>
      </c>
      <c r="H14" s="6" t="s">
        <v>35</v>
      </c>
      <c r="I14" s="5">
        <v>7</v>
      </c>
      <c r="J14" s="94" t="s">
        <v>273</v>
      </c>
      <c r="K14" s="10">
        <v>38.466999999999992</v>
      </c>
      <c r="L14" s="10">
        <v>192.876</v>
      </c>
      <c r="M14" s="10">
        <v>63.797000000000004</v>
      </c>
      <c r="N14" s="10">
        <v>116.87899999999999</v>
      </c>
      <c r="O14" s="10">
        <v>144.60500000000002</v>
      </c>
      <c r="P14" s="10">
        <v>91.74199999999999</v>
      </c>
      <c r="Q14" s="10">
        <v>52.097999999999999</v>
      </c>
      <c r="R14" s="10">
        <v>88.64</v>
      </c>
      <c r="S14" s="10">
        <v>120.74600000000001</v>
      </c>
      <c r="T14" s="10">
        <v>95.609000000000009</v>
      </c>
      <c r="U14" s="10">
        <v>185.04599999999999</v>
      </c>
      <c r="V14" s="10">
        <v>56.646999999999998</v>
      </c>
      <c r="W14" s="10">
        <v>116.523</v>
      </c>
      <c r="X14" s="10">
        <v>114.43499999999999</v>
      </c>
      <c r="Y14" s="10">
        <v>100.51300000000001</v>
      </c>
      <c r="Z14" s="10">
        <v>69.789000000000001</v>
      </c>
      <c r="AA14" s="10">
        <v>109.38000000000001</v>
      </c>
      <c r="AB14" s="10">
        <v>89.656000000000006</v>
      </c>
      <c r="AC14" s="10">
        <v>120.611</v>
      </c>
      <c r="AD14" s="10">
        <v>97.632000000000005</v>
      </c>
      <c r="AE14" s="10">
        <v>131.95600000000002</v>
      </c>
      <c r="AF14" s="10">
        <v>100.232</v>
      </c>
      <c r="AG14" s="10">
        <v>88.056999999999988</v>
      </c>
      <c r="AH14" s="10">
        <v>82.027000000000001</v>
      </c>
      <c r="AI14" s="10">
        <v>54.607999999999997</v>
      </c>
      <c r="AJ14" s="10">
        <v>79.709000000000003</v>
      </c>
      <c r="AK14" s="10">
        <v>75.076999999999998</v>
      </c>
      <c r="AL14" s="10">
        <v>122.14</v>
      </c>
      <c r="AM14" s="10">
        <v>159.065</v>
      </c>
      <c r="AN14" s="10">
        <v>122.18899999999998</v>
      </c>
      <c r="AO14" s="10">
        <v>104.801</v>
      </c>
      <c r="AP14" s="46">
        <f t="shared" si="0"/>
        <v>102.6917</v>
      </c>
      <c r="AQ14" s="7">
        <f t="shared" si="1"/>
        <v>14.670242857142856</v>
      </c>
    </row>
    <row r="15" spans="1:43" x14ac:dyDescent="0.3">
      <c r="A15" s="5">
        <v>14</v>
      </c>
      <c r="B15" s="6" t="s">
        <v>9</v>
      </c>
      <c r="C15" s="10" t="s">
        <v>609</v>
      </c>
      <c r="D15" s="39" t="s">
        <v>745</v>
      </c>
      <c r="E15" s="6" t="s">
        <v>128</v>
      </c>
      <c r="F15" s="6" t="s">
        <v>12</v>
      </c>
      <c r="G15" s="6" t="s">
        <v>124</v>
      </c>
      <c r="H15" s="6" t="s">
        <v>80</v>
      </c>
      <c r="I15" s="5">
        <v>1</v>
      </c>
      <c r="J15" s="94" t="s">
        <v>273</v>
      </c>
      <c r="K15" s="46">
        <v>0</v>
      </c>
      <c r="L15" s="46">
        <v>0</v>
      </c>
      <c r="M15" s="10">
        <v>11.68</v>
      </c>
      <c r="N15" s="10">
        <v>6.68</v>
      </c>
      <c r="O15" s="10">
        <v>5.3</v>
      </c>
      <c r="P15" s="46">
        <v>0</v>
      </c>
      <c r="Q15" s="46">
        <v>0</v>
      </c>
      <c r="R15" s="46">
        <v>0</v>
      </c>
      <c r="S15" s="10">
        <v>13.229999999999999</v>
      </c>
      <c r="T15" s="46">
        <v>0</v>
      </c>
      <c r="U15" s="46">
        <v>0</v>
      </c>
      <c r="V15" s="10">
        <v>16.78</v>
      </c>
      <c r="W15" s="46">
        <v>0</v>
      </c>
      <c r="X15" s="46">
        <v>0</v>
      </c>
      <c r="Y15" s="46">
        <v>0</v>
      </c>
      <c r="Z15" s="10">
        <v>5.04</v>
      </c>
      <c r="AA15" s="46">
        <v>0</v>
      </c>
      <c r="AB15" s="46">
        <v>0</v>
      </c>
      <c r="AC15" s="46">
        <v>0</v>
      </c>
      <c r="AD15" s="46">
        <v>0</v>
      </c>
      <c r="AE15" s="10">
        <v>8.1300000000000008</v>
      </c>
      <c r="AF15" s="10">
        <v>8.06</v>
      </c>
      <c r="AG15" s="46">
        <v>0</v>
      </c>
      <c r="AH15" s="10">
        <v>4.12</v>
      </c>
      <c r="AI15" s="46">
        <v>0</v>
      </c>
      <c r="AJ15" s="46">
        <v>0</v>
      </c>
      <c r="AK15" s="46">
        <v>0</v>
      </c>
      <c r="AL15" s="10">
        <v>1.1299999999999999</v>
      </c>
      <c r="AM15" s="46">
        <v>0</v>
      </c>
      <c r="AN15" s="46">
        <v>0</v>
      </c>
      <c r="AO15" s="46">
        <v>0</v>
      </c>
      <c r="AP15" s="46">
        <f t="shared" si="0"/>
        <v>2.6716666666666669</v>
      </c>
      <c r="AQ15" s="7">
        <f t="shared" si="1"/>
        <v>2.6716666666666669</v>
      </c>
    </row>
    <row r="16" spans="1:43" x14ac:dyDescent="0.3">
      <c r="A16" s="5">
        <v>15</v>
      </c>
      <c r="B16" s="6" t="s">
        <v>9</v>
      </c>
      <c r="C16" s="10" t="s">
        <v>610</v>
      </c>
      <c r="D16" s="39" t="s">
        <v>746</v>
      </c>
      <c r="E16" s="6" t="s">
        <v>128</v>
      </c>
      <c r="F16" s="6" t="s">
        <v>12</v>
      </c>
      <c r="G16" s="6" t="s">
        <v>13</v>
      </c>
      <c r="H16" s="6" t="s">
        <v>35</v>
      </c>
      <c r="I16" s="5">
        <v>4</v>
      </c>
      <c r="J16" s="67" t="s">
        <v>160</v>
      </c>
      <c r="K16" s="10">
        <v>20.442999999999998</v>
      </c>
      <c r="L16" s="10">
        <v>8.6590000000000007</v>
      </c>
      <c r="M16" s="10">
        <v>19.236000000000001</v>
      </c>
      <c r="N16" s="10">
        <v>19.78</v>
      </c>
      <c r="O16" s="10">
        <v>27.106999999999996</v>
      </c>
      <c r="P16" s="10">
        <v>29.581999999999994</v>
      </c>
      <c r="Q16" s="10">
        <v>14.087</v>
      </c>
      <c r="R16" s="10">
        <v>21.588000000000001</v>
      </c>
      <c r="S16" s="10">
        <v>26.08</v>
      </c>
      <c r="T16" s="10">
        <v>7.1069999999999993</v>
      </c>
      <c r="U16" s="10">
        <v>29.303000000000001</v>
      </c>
      <c r="V16" s="10">
        <v>39.262999999999998</v>
      </c>
      <c r="W16" s="10">
        <v>19.067</v>
      </c>
      <c r="X16" s="10">
        <v>30.021999999999998</v>
      </c>
      <c r="Y16" s="10">
        <v>10.198</v>
      </c>
      <c r="Z16" s="10">
        <v>26.945</v>
      </c>
      <c r="AA16" s="10">
        <v>47.338999999999999</v>
      </c>
      <c r="AB16" s="10">
        <v>45.048999999999999</v>
      </c>
      <c r="AC16" s="10">
        <v>26.670999999999999</v>
      </c>
      <c r="AD16" s="10">
        <v>27.744</v>
      </c>
      <c r="AE16" s="10">
        <v>24.436</v>
      </c>
      <c r="AF16" s="10">
        <v>23.459999999999997</v>
      </c>
      <c r="AG16" s="10">
        <v>26.565000000000001</v>
      </c>
      <c r="AH16" s="10">
        <v>21.799000000000003</v>
      </c>
      <c r="AI16" s="10">
        <v>13.382999999999999</v>
      </c>
      <c r="AJ16" s="10">
        <v>11.18</v>
      </c>
      <c r="AK16" s="10">
        <v>27.364000000000001</v>
      </c>
      <c r="AL16" s="10">
        <v>37.013999999999996</v>
      </c>
      <c r="AM16" s="10">
        <v>16.350999999999999</v>
      </c>
      <c r="AN16" s="10">
        <v>29.519999999999996</v>
      </c>
      <c r="AO16" s="10">
        <v>19.695</v>
      </c>
      <c r="AP16" s="46">
        <f t="shared" si="0"/>
        <v>24.211400000000001</v>
      </c>
      <c r="AQ16" s="7">
        <f t="shared" si="1"/>
        <v>6.0528500000000003</v>
      </c>
    </row>
    <row r="17" spans="1:43" x14ac:dyDescent="0.3">
      <c r="A17" s="5">
        <v>16</v>
      </c>
      <c r="B17" s="6" t="s">
        <v>9</v>
      </c>
      <c r="C17" s="10" t="s">
        <v>610</v>
      </c>
      <c r="D17" s="39" t="s">
        <v>746</v>
      </c>
      <c r="E17" s="6" t="s">
        <v>128</v>
      </c>
      <c r="F17" s="6" t="s">
        <v>12</v>
      </c>
      <c r="G17" s="6" t="s">
        <v>40</v>
      </c>
      <c r="H17" s="6" t="s">
        <v>35</v>
      </c>
      <c r="I17" s="5">
        <v>1</v>
      </c>
      <c r="J17" s="67" t="s">
        <v>160</v>
      </c>
      <c r="K17" s="45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5">
        <v>0</v>
      </c>
      <c r="V17" s="45">
        <v>0</v>
      </c>
      <c r="W17" s="45">
        <v>0</v>
      </c>
      <c r="X17" s="45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>
        <v>0</v>
      </c>
      <c r="AP17" s="46">
        <f t="shared" si="0"/>
        <v>0</v>
      </c>
      <c r="AQ17" s="7">
        <f t="shared" si="1"/>
        <v>0</v>
      </c>
    </row>
    <row r="18" spans="1:43" x14ac:dyDescent="0.3">
      <c r="A18" s="5">
        <v>17</v>
      </c>
      <c r="B18" s="6" t="s">
        <v>9</v>
      </c>
      <c r="C18" s="10" t="s">
        <v>611</v>
      </c>
      <c r="D18" s="39" t="s">
        <v>747</v>
      </c>
      <c r="E18" s="6" t="s">
        <v>128</v>
      </c>
      <c r="F18" s="6" t="s">
        <v>12</v>
      </c>
      <c r="G18" s="6" t="s">
        <v>13</v>
      </c>
      <c r="H18" s="6" t="s">
        <v>35</v>
      </c>
      <c r="I18" s="5">
        <v>19</v>
      </c>
      <c r="J18" s="94" t="s">
        <v>273</v>
      </c>
      <c r="K18" s="10">
        <v>137.024</v>
      </c>
      <c r="L18" s="10">
        <v>118.10800000000003</v>
      </c>
      <c r="M18" s="10">
        <v>187.15599999999998</v>
      </c>
      <c r="N18" s="10">
        <v>150.208</v>
      </c>
      <c r="O18" s="10">
        <v>134.34799999999998</v>
      </c>
      <c r="P18" s="10">
        <v>124.22100000000003</v>
      </c>
      <c r="Q18" s="10">
        <v>157.21600000000001</v>
      </c>
      <c r="R18" s="10">
        <v>174.55300000000003</v>
      </c>
      <c r="S18" s="10">
        <v>190.93699999999998</v>
      </c>
      <c r="T18" s="10">
        <v>217.72900000000004</v>
      </c>
      <c r="U18" s="10">
        <v>193.33699999999996</v>
      </c>
      <c r="V18" s="10">
        <v>195.64099999999999</v>
      </c>
      <c r="W18" s="10">
        <v>211.42799999999994</v>
      </c>
      <c r="X18" s="10">
        <v>226.01900000000003</v>
      </c>
      <c r="Y18" s="10">
        <v>164.48100000000002</v>
      </c>
      <c r="Z18" s="10">
        <v>214.27599999999995</v>
      </c>
      <c r="AA18" s="10">
        <v>211.65899999999996</v>
      </c>
      <c r="AB18" s="10">
        <v>184.97900000000001</v>
      </c>
      <c r="AC18" s="10">
        <v>221.46199999999996</v>
      </c>
      <c r="AD18" s="10">
        <v>186.346</v>
      </c>
      <c r="AE18" s="10">
        <v>173.95999999999998</v>
      </c>
      <c r="AF18" s="10">
        <v>236.48699999999999</v>
      </c>
      <c r="AG18" s="10">
        <v>214.13400000000004</v>
      </c>
      <c r="AH18" s="10">
        <v>262.31600000000009</v>
      </c>
      <c r="AI18" s="10">
        <v>159.11900000000003</v>
      </c>
      <c r="AJ18" s="10">
        <v>176.97700000000006</v>
      </c>
      <c r="AK18" s="10">
        <v>208.79599999999994</v>
      </c>
      <c r="AL18" s="10">
        <v>219.47599999999994</v>
      </c>
      <c r="AM18" s="10">
        <v>170.34799999999998</v>
      </c>
      <c r="AN18" s="10">
        <v>189.77499999999998</v>
      </c>
      <c r="AO18" s="10">
        <v>204.60299999999998</v>
      </c>
      <c r="AP18" s="46">
        <f t="shared" si="0"/>
        <v>187.08386666666667</v>
      </c>
      <c r="AQ18" s="7">
        <f t="shared" si="1"/>
        <v>9.8465192982456138</v>
      </c>
    </row>
    <row r="19" spans="1:43" x14ac:dyDescent="0.3">
      <c r="A19" s="5">
        <v>18</v>
      </c>
      <c r="B19" s="6" t="s">
        <v>9</v>
      </c>
      <c r="C19" s="10" t="s">
        <v>611</v>
      </c>
      <c r="D19" s="39" t="s">
        <v>747</v>
      </c>
      <c r="E19" s="6" t="s">
        <v>128</v>
      </c>
      <c r="F19" s="6" t="s">
        <v>12</v>
      </c>
      <c r="G19" s="6" t="s">
        <v>516</v>
      </c>
      <c r="H19" s="6" t="s">
        <v>80</v>
      </c>
      <c r="I19" s="5">
        <v>1</v>
      </c>
      <c r="J19" s="94" t="s">
        <v>273</v>
      </c>
      <c r="K19" s="10">
        <v>5.74</v>
      </c>
      <c r="L19" s="10">
        <v>52.948999999999998</v>
      </c>
      <c r="M19" s="10">
        <v>48.34</v>
      </c>
      <c r="N19" s="10">
        <v>51.169999999999987</v>
      </c>
      <c r="O19" s="10">
        <v>36.700000000000003</v>
      </c>
      <c r="P19" s="10">
        <v>64.75</v>
      </c>
      <c r="Q19" s="10">
        <v>54.09</v>
      </c>
      <c r="R19" s="10">
        <v>43.769999999999996</v>
      </c>
      <c r="S19" s="10">
        <v>36.840000000000003</v>
      </c>
      <c r="T19" s="10">
        <v>75.190000000000012</v>
      </c>
      <c r="U19" s="10">
        <v>61.069999999999993</v>
      </c>
      <c r="V19" s="10">
        <v>40.941000000000003</v>
      </c>
      <c r="W19" s="10">
        <v>38.769000000000005</v>
      </c>
      <c r="X19" s="10">
        <v>41.861000000000004</v>
      </c>
      <c r="Y19" s="10">
        <v>67.028999999999996</v>
      </c>
      <c r="Z19" s="46">
        <v>0</v>
      </c>
      <c r="AA19" s="10">
        <v>74.501000000000005</v>
      </c>
      <c r="AB19" s="10">
        <v>49.299000000000007</v>
      </c>
      <c r="AC19" s="10">
        <v>76.049999999999983</v>
      </c>
      <c r="AD19" s="10">
        <v>76.720999999999989</v>
      </c>
      <c r="AE19" s="10">
        <v>44.669999999999995</v>
      </c>
      <c r="AF19" s="10">
        <v>44.33</v>
      </c>
      <c r="AG19" s="10">
        <v>35.050000000000004</v>
      </c>
      <c r="AH19" s="10">
        <v>74.529999999999987</v>
      </c>
      <c r="AI19" s="10">
        <v>65.61</v>
      </c>
      <c r="AJ19" s="10">
        <v>47.86</v>
      </c>
      <c r="AK19" s="10">
        <v>78.240000000000009</v>
      </c>
      <c r="AL19" s="10">
        <v>73.61999999999999</v>
      </c>
      <c r="AM19" s="10">
        <v>52.559999999999995</v>
      </c>
      <c r="AN19" s="10">
        <v>23.05</v>
      </c>
      <c r="AO19" s="10">
        <v>64.72999999999999</v>
      </c>
      <c r="AP19" s="46">
        <f t="shared" si="0"/>
        <v>51.176666666666648</v>
      </c>
      <c r="AQ19" s="7">
        <f t="shared" si="1"/>
        <v>51.176666666666648</v>
      </c>
    </row>
    <row r="20" spans="1:43" x14ac:dyDescent="0.3">
      <c r="A20" s="5">
        <v>19</v>
      </c>
      <c r="B20" s="6" t="s">
        <v>9</v>
      </c>
      <c r="C20" s="10" t="s">
        <v>612</v>
      </c>
      <c r="D20" s="39" t="s">
        <v>755</v>
      </c>
      <c r="E20" s="6" t="s">
        <v>128</v>
      </c>
      <c r="F20" s="6" t="s">
        <v>12</v>
      </c>
      <c r="G20" s="6" t="s">
        <v>13</v>
      </c>
      <c r="H20" s="6" t="s">
        <v>35</v>
      </c>
      <c r="I20" s="5">
        <v>8</v>
      </c>
      <c r="J20" s="94" t="s">
        <v>273</v>
      </c>
      <c r="K20" s="10">
        <v>271.95499999999993</v>
      </c>
      <c r="L20" s="10">
        <v>160.51899999999995</v>
      </c>
      <c r="M20" s="10">
        <v>189.72300000000001</v>
      </c>
      <c r="N20" s="10">
        <v>204.07900000000004</v>
      </c>
      <c r="O20" s="10">
        <v>165.46199999999999</v>
      </c>
      <c r="P20" s="10">
        <v>171.92599999999999</v>
      </c>
      <c r="Q20" s="10">
        <v>218.43200000000002</v>
      </c>
      <c r="R20" s="10">
        <v>168.52399999999997</v>
      </c>
      <c r="S20" s="10">
        <v>193.94899999999998</v>
      </c>
      <c r="T20" s="10">
        <v>199.56599999999992</v>
      </c>
      <c r="U20" s="10">
        <v>189.75599999999997</v>
      </c>
      <c r="V20" s="10">
        <v>194.14199999999997</v>
      </c>
      <c r="W20" s="10">
        <v>165.92699999999996</v>
      </c>
      <c r="X20" s="10">
        <v>181.66800000000003</v>
      </c>
      <c r="Y20" s="10">
        <v>158.85300000000004</v>
      </c>
      <c r="Z20" s="10">
        <v>190.48100000000005</v>
      </c>
      <c r="AA20" s="10">
        <v>187.18300000000005</v>
      </c>
      <c r="AB20" s="10">
        <v>211.357</v>
      </c>
      <c r="AC20" s="10">
        <v>125.45600000000003</v>
      </c>
      <c r="AD20" s="10">
        <v>166.62700000000007</v>
      </c>
      <c r="AE20" s="10">
        <v>192.08400000000003</v>
      </c>
      <c r="AF20" s="10">
        <v>169.75700000000003</v>
      </c>
      <c r="AG20" s="10">
        <v>179.90400000000002</v>
      </c>
      <c r="AH20" s="10">
        <v>156.17900000000009</v>
      </c>
      <c r="AI20" s="10">
        <v>181.71199999999999</v>
      </c>
      <c r="AJ20" s="10">
        <v>166.97899999999998</v>
      </c>
      <c r="AK20" s="10">
        <v>123.46699999999998</v>
      </c>
      <c r="AL20" s="10">
        <v>182.13</v>
      </c>
      <c r="AM20" s="10">
        <v>196.33900000000003</v>
      </c>
      <c r="AN20" s="10">
        <v>120.22500000000001</v>
      </c>
      <c r="AO20" s="10">
        <v>138.33099999999999</v>
      </c>
      <c r="AP20" s="46">
        <f t="shared" si="0"/>
        <v>179.4787</v>
      </c>
      <c r="AQ20" s="7">
        <f t="shared" si="1"/>
        <v>22.4348375</v>
      </c>
    </row>
    <row r="21" spans="1:43" x14ac:dyDescent="0.3">
      <c r="A21" s="5">
        <v>20</v>
      </c>
      <c r="B21" s="6" t="s">
        <v>9</v>
      </c>
      <c r="C21" s="10" t="s">
        <v>612</v>
      </c>
      <c r="D21" s="39" t="s">
        <v>771</v>
      </c>
      <c r="E21" s="6" t="s">
        <v>128</v>
      </c>
      <c r="F21" s="6" t="s">
        <v>12</v>
      </c>
      <c r="G21" s="6" t="s">
        <v>40</v>
      </c>
      <c r="H21" s="6" t="s">
        <v>35</v>
      </c>
      <c r="I21" s="5">
        <v>1</v>
      </c>
      <c r="J21" s="67" t="s">
        <v>160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f t="shared" si="0"/>
        <v>0</v>
      </c>
      <c r="AQ21" s="7">
        <f t="shared" si="1"/>
        <v>0</v>
      </c>
    </row>
    <row r="22" spans="1:43" x14ac:dyDescent="0.3">
      <c r="A22" s="5">
        <v>21</v>
      </c>
      <c r="B22" s="6" t="s">
        <v>9</v>
      </c>
      <c r="C22" s="10" t="s">
        <v>612</v>
      </c>
      <c r="D22" s="39" t="s">
        <v>771</v>
      </c>
      <c r="E22" s="6" t="s">
        <v>128</v>
      </c>
      <c r="F22" s="6" t="s">
        <v>12</v>
      </c>
      <c r="G22" s="6" t="s">
        <v>95</v>
      </c>
      <c r="H22" s="6" t="s">
        <v>80</v>
      </c>
      <c r="I22" s="5">
        <v>1</v>
      </c>
      <c r="J22" s="67" t="s">
        <v>160</v>
      </c>
      <c r="K22" s="10">
        <v>0.03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10">
        <v>17.399999999999999</v>
      </c>
      <c r="AD22" s="10">
        <v>16.78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v>0</v>
      </c>
      <c r="AO22" s="46">
        <v>0</v>
      </c>
      <c r="AP22" s="46">
        <f t="shared" si="0"/>
        <v>1.1403333333333334</v>
      </c>
      <c r="AQ22" s="7">
        <f t="shared" si="1"/>
        <v>1.1403333333333334</v>
      </c>
    </row>
    <row r="23" spans="1:43" x14ac:dyDescent="0.3">
      <c r="A23" s="5">
        <v>22</v>
      </c>
      <c r="B23" s="6" t="s">
        <v>9</v>
      </c>
      <c r="C23" s="10" t="s">
        <v>612</v>
      </c>
      <c r="D23" s="39" t="s">
        <v>771</v>
      </c>
      <c r="E23" s="6" t="s">
        <v>128</v>
      </c>
      <c r="F23" s="6" t="s">
        <v>12</v>
      </c>
      <c r="G23" s="6" t="s">
        <v>309</v>
      </c>
      <c r="H23" s="6" t="s">
        <v>80</v>
      </c>
      <c r="I23" s="5">
        <v>1</v>
      </c>
      <c r="J23" s="67" t="s">
        <v>160</v>
      </c>
      <c r="K23" s="45">
        <v>0</v>
      </c>
      <c r="L23" s="10">
        <v>38.24</v>
      </c>
      <c r="M23" s="10">
        <v>37.380000000000003</v>
      </c>
      <c r="N23" s="10">
        <v>26.04</v>
      </c>
      <c r="O23" s="10">
        <v>41.370000000000005</v>
      </c>
      <c r="P23" s="10">
        <v>46.7</v>
      </c>
      <c r="Q23" s="46">
        <v>0</v>
      </c>
      <c r="R23" s="46">
        <v>0</v>
      </c>
      <c r="S23" s="10">
        <v>42.349999999999994</v>
      </c>
      <c r="T23" s="10">
        <v>55.46</v>
      </c>
      <c r="U23" s="10">
        <v>52.170000000000009</v>
      </c>
      <c r="V23" s="10">
        <v>42.08</v>
      </c>
      <c r="W23" s="10">
        <v>47.670999999999999</v>
      </c>
      <c r="X23" s="10">
        <v>7.3199999999999994</v>
      </c>
      <c r="Y23" s="46">
        <v>0</v>
      </c>
      <c r="Z23" s="10">
        <v>40.870000000000005</v>
      </c>
      <c r="AA23" s="10">
        <v>27.88</v>
      </c>
      <c r="AB23" s="10">
        <v>52.669999999999995</v>
      </c>
      <c r="AC23" s="10">
        <v>34.57</v>
      </c>
      <c r="AD23" s="10">
        <v>36.319999999999993</v>
      </c>
      <c r="AE23" s="10">
        <v>3.19</v>
      </c>
      <c r="AF23" s="46">
        <v>0</v>
      </c>
      <c r="AG23" s="10">
        <v>32.08</v>
      </c>
      <c r="AH23" s="10">
        <v>21.788999999999998</v>
      </c>
      <c r="AI23" s="10">
        <v>19.11</v>
      </c>
      <c r="AJ23" s="10">
        <v>20.51</v>
      </c>
      <c r="AK23" s="10">
        <v>3.29</v>
      </c>
      <c r="AL23" s="10">
        <v>3.32</v>
      </c>
      <c r="AM23" s="10">
        <v>3.13</v>
      </c>
      <c r="AN23" s="10">
        <v>22.529999999999998</v>
      </c>
      <c r="AO23" s="10">
        <v>13.8</v>
      </c>
      <c r="AP23" s="46">
        <f t="shared" si="0"/>
        <v>25.268000000000008</v>
      </c>
      <c r="AQ23" s="7">
        <f t="shared" si="1"/>
        <v>25.268000000000008</v>
      </c>
    </row>
    <row r="24" spans="1:43" x14ac:dyDescent="0.3">
      <c r="A24" s="5">
        <v>23</v>
      </c>
      <c r="B24" s="6" t="s">
        <v>9</v>
      </c>
      <c r="C24" s="10" t="s">
        <v>612</v>
      </c>
      <c r="D24" s="39" t="s">
        <v>771</v>
      </c>
      <c r="E24" s="6" t="s">
        <v>128</v>
      </c>
      <c r="F24" s="6" t="s">
        <v>12</v>
      </c>
      <c r="G24" s="6" t="s">
        <v>290</v>
      </c>
      <c r="H24" s="6" t="s">
        <v>80</v>
      </c>
      <c r="I24" s="5">
        <v>1</v>
      </c>
      <c r="J24" s="67" t="s">
        <v>160</v>
      </c>
      <c r="K24" s="10">
        <v>84.275000000000006</v>
      </c>
      <c r="L24" s="10">
        <v>230.47500000000002</v>
      </c>
      <c r="M24" s="10">
        <v>168.02500000000001</v>
      </c>
      <c r="N24" s="10">
        <v>220.47499999999997</v>
      </c>
      <c r="O24" s="10">
        <v>154.875</v>
      </c>
      <c r="P24" s="10">
        <v>142.69999999999999</v>
      </c>
      <c r="Q24" s="10">
        <v>142.5</v>
      </c>
      <c r="R24" s="10">
        <v>84.550000000000011</v>
      </c>
      <c r="S24" s="10">
        <v>186.6</v>
      </c>
      <c r="T24" s="10">
        <v>193.02499999999998</v>
      </c>
      <c r="U24" s="10">
        <v>305.39999999999998</v>
      </c>
      <c r="V24" s="10">
        <v>265.39999999999998</v>
      </c>
      <c r="W24" s="10">
        <v>231.17500000000004</v>
      </c>
      <c r="X24" s="10">
        <v>91.250000000000014</v>
      </c>
      <c r="Y24" s="10">
        <v>76.974999999999994</v>
      </c>
      <c r="Z24" s="10">
        <v>220.875</v>
      </c>
      <c r="AA24" s="10">
        <v>319.05000000000007</v>
      </c>
      <c r="AB24" s="10">
        <v>237.5</v>
      </c>
      <c r="AC24" s="10">
        <v>304.79999999999995</v>
      </c>
      <c r="AD24" s="10">
        <v>174.62499999999997</v>
      </c>
      <c r="AE24" s="10">
        <v>158.72499999999999</v>
      </c>
      <c r="AF24" s="10">
        <v>111.22499999999999</v>
      </c>
      <c r="AG24" s="10">
        <v>226.54999999999995</v>
      </c>
      <c r="AH24" s="10">
        <v>156.22500000000002</v>
      </c>
      <c r="AI24" s="10">
        <v>77.375</v>
      </c>
      <c r="AJ24" s="10">
        <v>124.25</v>
      </c>
      <c r="AK24" s="10">
        <v>201.79999999999998</v>
      </c>
      <c r="AL24" s="10">
        <v>95.174999999999997</v>
      </c>
      <c r="AM24" s="10">
        <v>157.4</v>
      </c>
      <c r="AN24" s="10">
        <v>192.87499999999997</v>
      </c>
      <c r="AO24" s="10">
        <v>213.82499999999996</v>
      </c>
      <c r="AP24" s="46">
        <f t="shared" si="0"/>
        <v>177.8716666666667</v>
      </c>
      <c r="AQ24" s="7">
        <f t="shared" si="1"/>
        <v>177.8716666666667</v>
      </c>
    </row>
    <row r="25" spans="1:43" x14ac:dyDescent="0.3">
      <c r="A25" s="5">
        <v>24</v>
      </c>
      <c r="B25" s="6" t="s">
        <v>9</v>
      </c>
      <c r="C25" s="10" t="s">
        <v>612</v>
      </c>
      <c r="D25" s="39" t="s">
        <v>771</v>
      </c>
      <c r="E25" s="6" t="s">
        <v>128</v>
      </c>
      <c r="F25" s="6" t="s">
        <v>12</v>
      </c>
      <c r="G25" s="6" t="s">
        <v>409</v>
      </c>
      <c r="H25" s="6" t="s">
        <v>80</v>
      </c>
      <c r="I25" s="5">
        <v>1</v>
      </c>
      <c r="J25" s="67" t="s">
        <v>160</v>
      </c>
      <c r="K25" s="10">
        <v>34.25</v>
      </c>
      <c r="L25" s="10">
        <v>210.07999999999998</v>
      </c>
      <c r="M25" s="10">
        <v>269.71999999999997</v>
      </c>
      <c r="N25" s="10">
        <v>263.39000000000004</v>
      </c>
      <c r="O25" s="10">
        <v>211.28</v>
      </c>
      <c r="P25" s="10">
        <v>291.01</v>
      </c>
      <c r="Q25" s="10">
        <v>151.34</v>
      </c>
      <c r="R25" s="10">
        <v>96.97</v>
      </c>
      <c r="S25" s="10">
        <v>198.98000000000002</v>
      </c>
      <c r="T25" s="10">
        <v>277.15999999999991</v>
      </c>
      <c r="U25" s="10">
        <v>230.82000000000002</v>
      </c>
      <c r="V25" s="10">
        <v>325.59000000000009</v>
      </c>
      <c r="W25" s="10">
        <v>269.28999999999996</v>
      </c>
      <c r="X25" s="10">
        <v>78.14</v>
      </c>
      <c r="Y25" s="10">
        <v>51.51</v>
      </c>
      <c r="Z25" s="10">
        <v>231.73999999999998</v>
      </c>
      <c r="AA25" s="10">
        <v>302.20999999999992</v>
      </c>
      <c r="AB25" s="10">
        <v>327.27999999999997</v>
      </c>
      <c r="AC25" s="10">
        <v>263.72999999999996</v>
      </c>
      <c r="AD25" s="10">
        <v>330.54000000000008</v>
      </c>
      <c r="AE25" s="10">
        <v>55.189999999999991</v>
      </c>
      <c r="AF25" s="10">
        <v>46.480000000000004</v>
      </c>
      <c r="AG25" s="10">
        <v>265.91000000000003</v>
      </c>
      <c r="AH25" s="10">
        <v>182.43</v>
      </c>
      <c r="AI25" s="10">
        <v>181.09000000000003</v>
      </c>
      <c r="AJ25" s="10">
        <v>167.75</v>
      </c>
      <c r="AK25" s="10">
        <v>225.10000000000002</v>
      </c>
      <c r="AL25" s="10">
        <v>116.45</v>
      </c>
      <c r="AM25" s="10">
        <v>114.25999999999999</v>
      </c>
      <c r="AN25" s="10">
        <v>190.89999999999998</v>
      </c>
      <c r="AO25" s="10">
        <v>143.22</v>
      </c>
      <c r="AP25" s="46">
        <f t="shared" si="0"/>
        <v>198.68633333333335</v>
      </c>
      <c r="AQ25" s="7">
        <f t="shared" si="1"/>
        <v>198.68633333333335</v>
      </c>
    </row>
    <row r="26" spans="1:43" x14ac:dyDescent="0.3">
      <c r="A26" s="5">
        <v>25</v>
      </c>
      <c r="B26" s="6" t="s">
        <v>9</v>
      </c>
      <c r="C26" s="10" t="s">
        <v>614</v>
      </c>
      <c r="D26" s="39" t="s">
        <v>760</v>
      </c>
      <c r="E26" s="6" t="s">
        <v>128</v>
      </c>
      <c r="F26" s="6" t="s">
        <v>12</v>
      </c>
      <c r="G26" s="6" t="s">
        <v>13</v>
      </c>
      <c r="H26" s="6" t="s">
        <v>35</v>
      </c>
      <c r="I26" s="5">
        <v>7</v>
      </c>
      <c r="J26" s="94" t="s">
        <v>273</v>
      </c>
      <c r="K26" s="10">
        <v>80.003999999999991</v>
      </c>
      <c r="L26" s="10">
        <v>77.478000000000009</v>
      </c>
      <c r="M26" s="10">
        <v>86.539000000000001</v>
      </c>
      <c r="N26" s="10">
        <v>80.911999999999978</v>
      </c>
      <c r="O26" s="10">
        <v>74.783999999999992</v>
      </c>
      <c r="P26" s="10">
        <v>58.152000000000001</v>
      </c>
      <c r="Q26" s="10">
        <v>102.76900000000001</v>
      </c>
      <c r="R26" s="10">
        <v>98.556000000000012</v>
      </c>
      <c r="S26" s="10">
        <v>42.540000000000006</v>
      </c>
      <c r="T26" s="10">
        <v>90.18</v>
      </c>
      <c r="U26" s="10">
        <v>70.885999999999996</v>
      </c>
      <c r="V26" s="10">
        <v>119.101</v>
      </c>
      <c r="W26" s="10">
        <v>102.19900000000001</v>
      </c>
      <c r="X26" s="10">
        <v>105.23400000000001</v>
      </c>
      <c r="Y26" s="10">
        <v>108.14400000000001</v>
      </c>
      <c r="Z26" s="10">
        <v>176.17100000000005</v>
      </c>
      <c r="AA26" s="10">
        <v>184.82300000000004</v>
      </c>
      <c r="AB26" s="10">
        <v>196.61199999999999</v>
      </c>
      <c r="AC26" s="10">
        <v>127.38999999999999</v>
      </c>
      <c r="AD26" s="10">
        <v>159.07200000000003</v>
      </c>
      <c r="AE26" s="10">
        <v>129.33199999999999</v>
      </c>
      <c r="AF26" s="10">
        <v>179.202</v>
      </c>
      <c r="AG26" s="10">
        <v>137.05500000000001</v>
      </c>
      <c r="AH26" s="10">
        <v>69.492999999999995</v>
      </c>
      <c r="AI26" s="10">
        <v>110.68</v>
      </c>
      <c r="AJ26" s="10">
        <v>55.561999999999998</v>
      </c>
      <c r="AK26" s="10">
        <v>115.321</v>
      </c>
      <c r="AL26" s="10">
        <v>82.928999999999988</v>
      </c>
      <c r="AM26" s="10">
        <v>156.95399999999998</v>
      </c>
      <c r="AN26" s="10">
        <v>117.21299999999998</v>
      </c>
      <c r="AO26" s="10">
        <v>90.86099999999999</v>
      </c>
      <c r="AP26" s="46">
        <f t="shared" si="0"/>
        <v>109.8429</v>
      </c>
      <c r="AQ26" s="7">
        <f t="shared" si="1"/>
        <v>15.691842857142857</v>
      </c>
    </row>
    <row r="27" spans="1:43" x14ac:dyDescent="0.3">
      <c r="A27" s="5">
        <v>26</v>
      </c>
      <c r="B27" s="6" t="s">
        <v>9</v>
      </c>
      <c r="C27" s="10" t="s">
        <v>613</v>
      </c>
      <c r="D27" s="39" t="s">
        <v>742</v>
      </c>
      <c r="E27" s="6" t="s">
        <v>128</v>
      </c>
      <c r="F27" s="6" t="s">
        <v>12</v>
      </c>
      <c r="G27" s="6" t="s">
        <v>13</v>
      </c>
      <c r="H27" s="6" t="s">
        <v>35</v>
      </c>
      <c r="I27" s="5">
        <v>1</v>
      </c>
      <c r="J27" s="67" t="s">
        <v>160</v>
      </c>
      <c r="K27" s="10">
        <v>2.9979999999999998</v>
      </c>
      <c r="L27" s="10">
        <v>1.246</v>
      </c>
      <c r="M27" s="46">
        <v>0</v>
      </c>
      <c r="N27" s="46">
        <v>0</v>
      </c>
      <c r="O27" s="10">
        <v>0.19800000000000001</v>
      </c>
      <c r="P27" s="10">
        <v>0.23799999999999999</v>
      </c>
      <c r="Q27" s="10">
        <v>2.4049999999999998</v>
      </c>
      <c r="R27" s="10">
        <v>3.2640000000000002</v>
      </c>
      <c r="S27" s="10">
        <v>5.48</v>
      </c>
      <c r="T27" s="10">
        <v>5.3599999999999985</v>
      </c>
      <c r="U27" s="10">
        <v>3.9869999999999997</v>
      </c>
      <c r="V27" s="10">
        <v>0.52300000000000002</v>
      </c>
      <c r="W27" s="10">
        <v>2.7469999999999999</v>
      </c>
      <c r="X27" s="10">
        <v>6.0230000000000006</v>
      </c>
      <c r="Y27" s="10">
        <v>5.282</v>
      </c>
      <c r="Z27" s="10">
        <v>7.1020000000000003</v>
      </c>
      <c r="AA27" s="10">
        <v>6.0019999999999998</v>
      </c>
      <c r="AB27" s="10">
        <v>0.39100000000000001</v>
      </c>
      <c r="AC27" s="10">
        <v>6.4009999999999998</v>
      </c>
      <c r="AD27" s="46">
        <v>0</v>
      </c>
      <c r="AE27" s="10">
        <v>4.2880000000000003</v>
      </c>
      <c r="AF27" s="10">
        <v>1.661</v>
      </c>
      <c r="AG27" s="10">
        <v>9.4870000000000001</v>
      </c>
      <c r="AH27" s="10">
        <v>7.8369999999999997</v>
      </c>
      <c r="AI27" s="10">
        <v>12.349</v>
      </c>
      <c r="AJ27" s="10">
        <v>3.6889999999999996</v>
      </c>
      <c r="AK27" s="10">
        <v>0.315</v>
      </c>
      <c r="AL27" s="10">
        <v>19.312999999999999</v>
      </c>
      <c r="AM27" s="10">
        <v>1.1589999999999998</v>
      </c>
      <c r="AN27" s="10">
        <v>10.376000000000001</v>
      </c>
      <c r="AO27" s="10">
        <v>10.277999999999999</v>
      </c>
      <c r="AP27" s="46">
        <f t="shared" si="0"/>
        <v>4.337366666666667</v>
      </c>
      <c r="AQ27" s="7">
        <f t="shared" si="1"/>
        <v>4.337366666666667</v>
      </c>
    </row>
    <row r="28" spans="1:43" x14ac:dyDescent="0.3">
      <c r="A28" s="5">
        <v>27</v>
      </c>
      <c r="B28" s="6" t="s">
        <v>9</v>
      </c>
      <c r="C28" s="10" t="s">
        <v>613</v>
      </c>
      <c r="D28" s="39" t="s">
        <v>742</v>
      </c>
      <c r="E28" s="6" t="s">
        <v>128</v>
      </c>
      <c r="F28" s="6" t="s">
        <v>12</v>
      </c>
      <c r="G28" s="6" t="s">
        <v>40</v>
      </c>
      <c r="H28" s="6" t="s">
        <v>35</v>
      </c>
      <c r="I28" s="5">
        <v>1</v>
      </c>
      <c r="J28" s="67" t="s">
        <v>160</v>
      </c>
      <c r="K28" s="46">
        <v>0</v>
      </c>
      <c r="L28" s="46">
        <v>0</v>
      </c>
      <c r="M28" s="10">
        <v>23.42</v>
      </c>
      <c r="N28" s="10">
        <v>14.214</v>
      </c>
      <c r="O28" s="10">
        <v>15.356999999999999</v>
      </c>
      <c r="P28" s="10">
        <v>7.7640000000000002</v>
      </c>
      <c r="Q28" s="10">
        <v>16.492999999999999</v>
      </c>
      <c r="R28" s="10">
        <v>17.378</v>
      </c>
      <c r="S28" s="10">
        <v>0.113</v>
      </c>
      <c r="T28" s="10">
        <v>12.567</v>
      </c>
      <c r="U28" s="10">
        <v>12.868</v>
      </c>
      <c r="V28" s="10">
        <v>19.591000000000001</v>
      </c>
      <c r="W28" s="10">
        <v>0.64300000000000002</v>
      </c>
      <c r="X28" s="10">
        <v>10.349</v>
      </c>
      <c r="Y28" s="46">
        <v>0</v>
      </c>
      <c r="Z28" s="10">
        <v>2.6930000000000001</v>
      </c>
      <c r="AA28" s="10">
        <v>11.263</v>
      </c>
      <c r="AB28" s="10">
        <v>12.103999999999999</v>
      </c>
      <c r="AC28" s="10">
        <v>18.463999999999999</v>
      </c>
      <c r="AD28" s="10">
        <v>14.106</v>
      </c>
      <c r="AE28" s="46">
        <v>0</v>
      </c>
      <c r="AF28" s="46">
        <v>0</v>
      </c>
      <c r="AG28" s="10">
        <v>9.3979999999999997</v>
      </c>
      <c r="AH28" s="46">
        <v>0</v>
      </c>
      <c r="AI28" s="46">
        <v>0</v>
      </c>
      <c r="AJ28" s="46">
        <v>0</v>
      </c>
      <c r="AK28" s="10">
        <v>6.8550000000000004</v>
      </c>
      <c r="AL28" s="46">
        <v>0</v>
      </c>
      <c r="AM28" s="10">
        <v>8.1769999999999996</v>
      </c>
      <c r="AN28" s="10">
        <v>16.169</v>
      </c>
      <c r="AO28" s="10">
        <v>9.7360000000000007</v>
      </c>
      <c r="AP28" s="46">
        <f t="shared" si="0"/>
        <v>8.332866666666666</v>
      </c>
      <c r="AQ28" s="7">
        <f t="shared" si="1"/>
        <v>8.332866666666666</v>
      </c>
    </row>
    <row r="29" spans="1:43" x14ac:dyDescent="0.3">
      <c r="A29" s="5">
        <v>28</v>
      </c>
      <c r="B29" s="6" t="s">
        <v>9</v>
      </c>
      <c r="C29" s="10" t="s">
        <v>613</v>
      </c>
      <c r="D29" s="39" t="s">
        <v>742</v>
      </c>
      <c r="E29" s="6" t="s">
        <v>128</v>
      </c>
      <c r="F29" s="6" t="s">
        <v>12</v>
      </c>
      <c r="G29" s="6" t="s">
        <v>124</v>
      </c>
      <c r="H29" s="6" t="s">
        <v>80</v>
      </c>
      <c r="I29" s="5">
        <v>1</v>
      </c>
      <c r="J29" s="67" t="s">
        <v>160</v>
      </c>
      <c r="K29" s="10">
        <v>29.61</v>
      </c>
      <c r="L29" s="10">
        <v>24.180000000000003</v>
      </c>
      <c r="M29" s="46">
        <v>0</v>
      </c>
      <c r="N29" s="46">
        <v>0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10">
        <v>23.25</v>
      </c>
      <c r="W29" s="10">
        <v>24.59</v>
      </c>
      <c r="X29" s="10">
        <v>3.83</v>
      </c>
      <c r="Y29" s="46">
        <v>0</v>
      </c>
      <c r="Z29" s="46">
        <v>0</v>
      </c>
      <c r="AA29" s="46">
        <v>0</v>
      </c>
      <c r="AB29" s="46">
        <v>0</v>
      </c>
      <c r="AC29" s="10">
        <v>78.241</v>
      </c>
      <c r="AD29" s="10">
        <v>38.119999999999997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0</v>
      </c>
      <c r="AL29" s="46">
        <v>0</v>
      </c>
      <c r="AM29" s="46">
        <v>0</v>
      </c>
      <c r="AN29" s="10">
        <v>15.219999999999999</v>
      </c>
      <c r="AO29" s="10">
        <v>27.12</v>
      </c>
      <c r="AP29" s="46">
        <f t="shared" si="0"/>
        <v>7.9013666666666671</v>
      </c>
      <c r="AQ29" s="7">
        <f t="shared" si="1"/>
        <v>7.9013666666666671</v>
      </c>
    </row>
    <row r="30" spans="1:43" x14ac:dyDescent="0.3">
      <c r="A30" s="5">
        <v>29</v>
      </c>
      <c r="B30" s="6" t="s">
        <v>9</v>
      </c>
      <c r="C30" s="10" t="s">
        <v>613</v>
      </c>
      <c r="D30" s="39" t="s">
        <v>742</v>
      </c>
      <c r="E30" s="6" t="s">
        <v>128</v>
      </c>
      <c r="F30" s="6" t="s">
        <v>12</v>
      </c>
      <c r="G30" s="6" t="s">
        <v>251</v>
      </c>
      <c r="H30" s="6" t="s">
        <v>80</v>
      </c>
      <c r="I30" s="5">
        <v>2</v>
      </c>
      <c r="J30" s="67" t="s">
        <v>160</v>
      </c>
      <c r="K30" s="10">
        <v>109.68600000000001</v>
      </c>
      <c r="L30" s="10">
        <v>75.933999999999997</v>
      </c>
      <c r="M30" s="10">
        <v>130.64600000000002</v>
      </c>
      <c r="N30" s="10">
        <v>237.666</v>
      </c>
      <c r="O30" s="10">
        <v>101.971</v>
      </c>
      <c r="P30" s="10">
        <v>239.30500000000001</v>
      </c>
      <c r="Q30" s="10">
        <v>93.073999999999998</v>
      </c>
      <c r="R30" s="10">
        <v>102.70099999999999</v>
      </c>
      <c r="S30" s="10">
        <v>193.81</v>
      </c>
      <c r="T30" s="10">
        <v>177.887</v>
      </c>
      <c r="U30" s="10">
        <v>96.843999999999994</v>
      </c>
      <c r="V30" s="10">
        <v>90.183999999999997</v>
      </c>
      <c r="W30" s="10">
        <v>169.03299999999999</v>
      </c>
      <c r="X30" s="10">
        <v>96.995999999999995</v>
      </c>
      <c r="Y30" s="10">
        <v>73.704999999999998</v>
      </c>
      <c r="Z30" s="10">
        <v>88.477000000000004</v>
      </c>
      <c r="AA30" s="10">
        <v>215.04500000000002</v>
      </c>
      <c r="AB30" s="10">
        <v>69.530000000000015</v>
      </c>
      <c r="AC30" s="10">
        <v>112.65299999999999</v>
      </c>
      <c r="AD30" s="10">
        <v>69.510000000000005</v>
      </c>
      <c r="AE30" s="10">
        <v>25.665999999999997</v>
      </c>
      <c r="AF30" s="10">
        <v>107.93100000000001</v>
      </c>
      <c r="AG30" s="10">
        <v>122.60400000000001</v>
      </c>
      <c r="AH30" s="10">
        <v>68.478999999999999</v>
      </c>
      <c r="AI30" s="10">
        <v>29.573</v>
      </c>
      <c r="AJ30" s="10">
        <v>70.715000000000003</v>
      </c>
      <c r="AK30" s="10">
        <v>86.171999999999997</v>
      </c>
      <c r="AL30" s="10">
        <v>102.825</v>
      </c>
      <c r="AM30" s="10">
        <v>99.103999999999999</v>
      </c>
      <c r="AN30" s="10">
        <v>96.780999999999992</v>
      </c>
      <c r="AO30" s="10">
        <v>52.767999999999994</v>
      </c>
      <c r="AP30" s="46">
        <f t="shared" si="0"/>
        <v>111.81689999999999</v>
      </c>
      <c r="AQ30" s="7">
        <f t="shared" si="1"/>
        <v>55.908449999999995</v>
      </c>
    </row>
    <row r="31" spans="1:43" x14ac:dyDescent="0.3">
      <c r="A31" s="5">
        <v>30</v>
      </c>
      <c r="B31" s="6" t="s">
        <v>9</v>
      </c>
      <c r="C31" s="10" t="s">
        <v>615</v>
      </c>
      <c r="D31" s="39" t="s">
        <v>770</v>
      </c>
      <c r="E31" s="6" t="s">
        <v>128</v>
      </c>
      <c r="F31" s="6" t="s">
        <v>12</v>
      </c>
      <c r="G31" s="6" t="s">
        <v>13</v>
      </c>
      <c r="H31" s="6" t="s">
        <v>35</v>
      </c>
      <c r="I31" s="5">
        <v>9</v>
      </c>
      <c r="J31" s="94" t="s">
        <v>273</v>
      </c>
      <c r="K31" s="10">
        <v>183.83300000000003</v>
      </c>
      <c r="L31" s="10">
        <v>156.81600000000003</v>
      </c>
      <c r="M31" s="10">
        <v>198.78100000000003</v>
      </c>
      <c r="N31" s="10">
        <v>160.64500000000004</v>
      </c>
      <c r="O31" s="10">
        <v>171.88000000000002</v>
      </c>
      <c r="P31" s="10">
        <v>158.40699999999998</v>
      </c>
      <c r="Q31" s="10">
        <v>162.048</v>
      </c>
      <c r="R31" s="10">
        <v>168.53299999999996</v>
      </c>
      <c r="S31" s="10">
        <v>161.488</v>
      </c>
      <c r="T31" s="10">
        <v>143.09599999999998</v>
      </c>
      <c r="U31" s="10">
        <v>172.57100000000005</v>
      </c>
      <c r="V31" s="10">
        <v>175.53200000000001</v>
      </c>
      <c r="W31" s="10">
        <v>168.11199999999999</v>
      </c>
      <c r="X31" s="10">
        <v>172.137</v>
      </c>
      <c r="Y31" s="10">
        <v>143.62000000000003</v>
      </c>
      <c r="Z31" s="10">
        <v>166.15299999999999</v>
      </c>
      <c r="AA31" s="10">
        <v>213.75600000000003</v>
      </c>
      <c r="AB31" s="10">
        <v>159.673</v>
      </c>
      <c r="AC31" s="10">
        <v>202.74999999999997</v>
      </c>
      <c r="AD31" s="10">
        <v>139.04399999999995</v>
      </c>
      <c r="AE31" s="10">
        <v>160.04599999999996</v>
      </c>
      <c r="AF31" s="10">
        <v>157.71299999999997</v>
      </c>
      <c r="AG31" s="10">
        <v>172.97699999999998</v>
      </c>
      <c r="AH31" s="10">
        <v>122.345</v>
      </c>
      <c r="AI31" s="10">
        <v>136.108</v>
      </c>
      <c r="AJ31" s="10">
        <v>136.06499999999997</v>
      </c>
      <c r="AK31" s="10">
        <v>138.703</v>
      </c>
      <c r="AL31" s="10">
        <v>191.14499999999995</v>
      </c>
      <c r="AM31" s="10">
        <v>131.19399999999999</v>
      </c>
      <c r="AN31" s="10">
        <v>127.21</v>
      </c>
      <c r="AO31" s="10">
        <v>123.274</v>
      </c>
      <c r="AP31" s="46">
        <f t="shared" si="0"/>
        <v>161.74603333333332</v>
      </c>
      <c r="AQ31" s="7">
        <f t="shared" si="1"/>
        <v>17.971781481481479</v>
      </c>
    </row>
    <row r="32" spans="1:43" x14ac:dyDescent="0.3">
      <c r="A32" s="5">
        <v>31</v>
      </c>
      <c r="B32" s="6" t="s">
        <v>9</v>
      </c>
      <c r="C32" s="10" t="s">
        <v>615</v>
      </c>
      <c r="D32" s="39" t="s">
        <v>770</v>
      </c>
      <c r="E32" s="6" t="s">
        <v>128</v>
      </c>
      <c r="F32" s="6" t="s">
        <v>12</v>
      </c>
      <c r="G32" s="6" t="s">
        <v>309</v>
      </c>
      <c r="H32" s="6" t="s">
        <v>80</v>
      </c>
      <c r="I32" s="5">
        <v>1</v>
      </c>
      <c r="J32" s="94" t="s">
        <v>273</v>
      </c>
      <c r="K32" s="10">
        <v>36.879999999999995</v>
      </c>
      <c r="L32" s="10">
        <v>36.120000000000005</v>
      </c>
      <c r="M32" s="10">
        <v>39.799999999999997</v>
      </c>
      <c r="N32" s="10">
        <v>29.81</v>
      </c>
      <c r="O32" s="10">
        <v>27.840000000000003</v>
      </c>
      <c r="P32" s="10">
        <v>41.81</v>
      </c>
      <c r="Q32" s="10">
        <v>35.28</v>
      </c>
      <c r="R32" s="10">
        <v>24.63</v>
      </c>
      <c r="S32" s="10">
        <v>21.71</v>
      </c>
      <c r="T32" s="10">
        <v>13.57</v>
      </c>
      <c r="U32" s="10">
        <v>28.13</v>
      </c>
      <c r="V32" s="10">
        <v>18.330000000000002</v>
      </c>
      <c r="W32" s="10">
        <v>20.090000000000003</v>
      </c>
      <c r="X32" s="10">
        <v>19.420000000000002</v>
      </c>
      <c r="Y32" s="10">
        <v>13.65</v>
      </c>
      <c r="Z32" s="10">
        <v>10.96</v>
      </c>
      <c r="AA32" s="10">
        <v>17.759999999999998</v>
      </c>
      <c r="AB32" s="10">
        <v>10.039999999999999</v>
      </c>
      <c r="AC32" s="10">
        <v>16.920000000000002</v>
      </c>
      <c r="AD32" s="10">
        <v>14.02</v>
      </c>
      <c r="AE32" s="10">
        <v>14.5</v>
      </c>
      <c r="AF32" s="10">
        <v>9.33</v>
      </c>
      <c r="AG32" s="10">
        <v>9.120000000000001</v>
      </c>
      <c r="AH32" s="10">
        <v>16.690000000000001</v>
      </c>
      <c r="AI32" s="10">
        <v>10.169999999999998</v>
      </c>
      <c r="AJ32" s="10">
        <v>20.239999999999998</v>
      </c>
      <c r="AK32" s="10">
        <v>20.399999999999999</v>
      </c>
      <c r="AL32" s="10">
        <v>22.24</v>
      </c>
      <c r="AM32" s="10">
        <v>24.509999999999998</v>
      </c>
      <c r="AN32" s="10">
        <v>21.68</v>
      </c>
      <c r="AO32" s="10">
        <v>19.009999999999998</v>
      </c>
      <c r="AP32" s="46">
        <f t="shared" si="0"/>
        <v>21.521666666666661</v>
      </c>
      <c r="AQ32" s="7">
        <f t="shared" si="1"/>
        <v>21.521666666666661</v>
      </c>
    </row>
    <row r="33" spans="1:43" x14ac:dyDescent="0.3">
      <c r="A33" s="5">
        <v>32</v>
      </c>
      <c r="B33" s="6" t="s">
        <v>9</v>
      </c>
      <c r="C33" s="10" t="s">
        <v>616</v>
      </c>
      <c r="D33" s="39" t="s">
        <v>748</v>
      </c>
      <c r="E33" s="6" t="s">
        <v>128</v>
      </c>
      <c r="F33" s="6" t="s">
        <v>12</v>
      </c>
      <c r="G33" s="6" t="s">
        <v>13</v>
      </c>
      <c r="H33" s="6" t="s">
        <v>35</v>
      </c>
      <c r="I33" s="5">
        <v>8</v>
      </c>
      <c r="J33" s="94" t="s">
        <v>273</v>
      </c>
      <c r="K33" s="10">
        <v>113.82300000000001</v>
      </c>
      <c r="L33" s="10">
        <v>110.536</v>
      </c>
      <c r="M33" s="10">
        <v>123.71299999999999</v>
      </c>
      <c r="N33" s="10">
        <v>134.63900000000001</v>
      </c>
      <c r="O33" s="10">
        <v>95.957999999999998</v>
      </c>
      <c r="P33" s="10">
        <v>107.30200000000001</v>
      </c>
      <c r="Q33" s="10">
        <v>120.67099999999998</v>
      </c>
      <c r="R33" s="10">
        <v>105.78799999999998</v>
      </c>
      <c r="S33" s="10">
        <v>96.285999999999973</v>
      </c>
      <c r="T33" s="10">
        <v>81.861999999999981</v>
      </c>
      <c r="U33" s="10">
        <v>99.665000000000006</v>
      </c>
      <c r="V33" s="10">
        <v>111.92699999999999</v>
      </c>
      <c r="W33" s="10">
        <v>119.94200000000002</v>
      </c>
      <c r="X33" s="10">
        <v>123.27500000000001</v>
      </c>
      <c r="Y33" s="10">
        <v>90.929999999999993</v>
      </c>
      <c r="Z33" s="10">
        <v>62.366000000000007</v>
      </c>
      <c r="AA33" s="10">
        <v>104.947</v>
      </c>
      <c r="AB33" s="10">
        <v>124.75</v>
      </c>
      <c r="AC33" s="10">
        <v>88.570000000000007</v>
      </c>
      <c r="AD33" s="10">
        <v>120.343</v>
      </c>
      <c r="AE33" s="10">
        <v>111.52800000000001</v>
      </c>
      <c r="AF33" s="10">
        <v>75.176999999999992</v>
      </c>
      <c r="AG33" s="10">
        <v>60.009999999999991</v>
      </c>
      <c r="AH33" s="10">
        <v>56.195</v>
      </c>
      <c r="AI33" s="10">
        <v>86.51700000000001</v>
      </c>
      <c r="AJ33" s="10">
        <v>81.242999999999995</v>
      </c>
      <c r="AK33" s="10">
        <v>86.972000000000008</v>
      </c>
      <c r="AL33" s="10">
        <v>61.876000000000005</v>
      </c>
      <c r="AM33" s="10">
        <v>118.363</v>
      </c>
      <c r="AN33" s="10">
        <v>71.369</v>
      </c>
      <c r="AO33" s="10">
        <v>83.430999999999997</v>
      </c>
      <c r="AP33" s="46">
        <f t="shared" si="0"/>
        <v>98.218100000000007</v>
      </c>
      <c r="AQ33" s="7">
        <f t="shared" si="1"/>
        <v>12.277262500000001</v>
      </c>
    </row>
    <row r="34" spans="1:43" x14ac:dyDescent="0.3">
      <c r="A34" s="5">
        <v>33</v>
      </c>
      <c r="B34" s="6" t="s">
        <v>9</v>
      </c>
      <c r="C34" s="10" t="s">
        <v>616</v>
      </c>
      <c r="D34" s="39" t="s">
        <v>748</v>
      </c>
      <c r="E34" s="6" t="s">
        <v>128</v>
      </c>
      <c r="F34" s="6" t="s">
        <v>12</v>
      </c>
      <c r="G34" s="6" t="s">
        <v>40</v>
      </c>
      <c r="H34" s="6" t="s">
        <v>35</v>
      </c>
      <c r="I34" s="5">
        <v>2</v>
      </c>
      <c r="J34" s="94" t="s">
        <v>273</v>
      </c>
      <c r="K34" s="10">
        <v>5.6880000000000006</v>
      </c>
      <c r="L34" s="10">
        <v>31.893000000000001</v>
      </c>
      <c r="M34" s="10">
        <v>22.698</v>
      </c>
      <c r="N34" s="10">
        <v>40.607999999999997</v>
      </c>
      <c r="O34" s="10">
        <v>28.788</v>
      </c>
      <c r="P34" s="10">
        <v>55.003</v>
      </c>
      <c r="Q34" s="10">
        <v>43.534999999999997</v>
      </c>
      <c r="R34" s="10">
        <v>19.710999999999999</v>
      </c>
      <c r="S34" s="46">
        <v>0</v>
      </c>
      <c r="T34" s="10">
        <v>57.930999999999997</v>
      </c>
      <c r="U34" s="10">
        <v>50.683</v>
      </c>
      <c r="V34" s="10">
        <v>71.44</v>
      </c>
      <c r="W34" s="10">
        <v>37.005000000000003</v>
      </c>
      <c r="X34" s="46">
        <v>0</v>
      </c>
      <c r="Y34" s="46">
        <v>0</v>
      </c>
      <c r="Z34" s="10">
        <v>0.96099999999999997</v>
      </c>
      <c r="AA34" s="10">
        <v>28.066000000000003</v>
      </c>
      <c r="AB34" s="10">
        <v>27.366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>
        <v>0</v>
      </c>
      <c r="AO34" s="46">
        <v>0</v>
      </c>
      <c r="AP34" s="46">
        <f t="shared" ref="AP34:AP65" si="2">AVERAGE(K34:AN34)</f>
        <v>17.379200000000001</v>
      </c>
      <c r="AQ34" s="7">
        <f t="shared" ref="AQ34:AQ65" si="3">AP34/I34</f>
        <v>8.6896000000000004</v>
      </c>
    </row>
    <row r="35" spans="1:43" x14ac:dyDescent="0.3">
      <c r="A35" s="5">
        <v>34</v>
      </c>
      <c r="B35" s="6" t="s">
        <v>9</v>
      </c>
      <c r="C35" s="10" t="s">
        <v>617</v>
      </c>
      <c r="D35" s="39" t="s">
        <v>722</v>
      </c>
      <c r="E35" s="6" t="s">
        <v>128</v>
      </c>
      <c r="F35" s="6" t="s">
        <v>12</v>
      </c>
      <c r="G35" s="6" t="s">
        <v>13</v>
      </c>
      <c r="H35" s="6" t="s">
        <v>35</v>
      </c>
      <c r="I35" s="5">
        <v>2</v>
      </c>
      <c r="J35" s="12" t="s">
        <v>589</v>
      </c>
      <c r="K35" s="10">
        <v>26.199000000000002</v>
      </c>
      <c r="L35" s="10">
        <v>15.148999999999999</v>
      </c>
      <c r="M35" s="10">
        <v>17.485000000000003</v>
      </c>
      <c r="N35" s="10">
        <v>29.137999999999998</v>
      </c>
      <c r="O35" s="10">
        <v>12.343999999999999</v>
      </c>
      <c r="P35" s="10">
        <v>14.391999999999999</v>
      </c>
      <c r="Q35" s="10">
        <v>21.064</v>
      </c>
      <c r="R35" s="10">
        <v>5.1430000000000007</v>
      </c>
      <c r="S35" s="10">
        <v>23.747</v>
      </c>
      <c r="T35" s="10">
        <v>14.38</v>
      </c>
      <c r="U35" s="10">
        <v>4.7850000000000001</v>
      </c>
      <c r="V35" s="10">
        <v>8.85</v>
      </c>
      <c r="W35" s="10">
        <v>16.952000000000002</v>
      </c>
      <c r="X35" s="10">
        <v>22.113999999999997</v>
      </c>
      <c r="Y35" s="10">
        <v>14.488</v>
      </c>
      <c r="Z35" s="10">
        <v>13.932</v>
      </c>
      <c r="AA35" s="10">
        <v>8.7520000000000007</v>
      </c>
      <c r="AB35" s="10">
        <v>12.744</v>
      </c>
      <c r="AC35" s="10">
        <v>7.5589999999999993</v>
      </c>
      <c r="AD35" s="10">
        <v>10.331</v>
      </c>
      <c r="AE35" s="10">
        <v>17.558</v>
      </c>
      <c r="AF35" s="10">
        <v>12.965</v>
      </c>
      <c r="AG35" s="10">
        <v>8.5120000000000005</v>
      </c>
      <c r="AH35" s="10">
        <v>7.484</v>
      </c>
      <c r="AI35" s="10">
        <v>20.413</v>
      </c>
      <c r="AJ35" s="10">
        <v>10.248000000000001</v>
      </c>
      <c r="AK35" s="10">
        <v>9.4390000000000001</v>
      </c>
      <c r="AL35" s="10">
        <v>6.0619999999999994</v>
      </c>
      <c r="AM35" s="10">
        <v>14.048</v>
      </c>
      <c r="AN35" s="10">
        <v>11.205000000000002</v>
      </c>
      <c r="AO35" s="10">
        <v>1.38</v>
      </c>
      <c r="AP35" s="46">
        <f t="shared" si="2"/>
        <v>13.916066666666667</v>
      </c>
      <c r="AQ35" s="7">
        <f t="shared" si="3"/>
        <v>6.9580333333333337</v>
      </c>
    </row>
    <row r="36" spans="1:43" x14ac:dyDescent="0.3">
      <c r="A36" s="5">
        <v>35</v>
      </c>
      <c r="B36" s="6" t="s">
        <v>9</v>
      </c>
      <c r="C36" s="10" t="s">
        <v>618</v>
      </c>
      <c r="D36" s="39" t="s">
        <v>762</v>
      </c>
      <c r="E36" s="6" t="s">
        <v>128</v>
      </c>
      <c r="F36" s="6" t="s">
        <v>12</v>
      </c>
      <c r="G36" s="6" t="s">
        <v>13</v>
      </c>
      <c r="H36" s="6" t="s">
        <v>35</v>
      </c>
      <c r="I36" s="5">
        <v>11</v>
      </c>
      <c r="J36" s="94" t="s">
        <v>273</v>
      </c>
      <c r="K36" s="10">
        <v>149.09700000000001</v>
      </c>
      <c r="L36" s="10">
        <v>113.873</v>
      </c>
      <c r="M36" s="10">
        <v>203.85999999999999</v>
      </c>
      <c r="N36" s="10">
        <v>215.72199999999998</v>
      </c>
      <c r="O36" s="10">
        <v>209.399</v>
      </c>
      <c r="P36" s="10">
        <v>209.57499999999999</v>
      </c>
      <c r="Q36" s="10">
        <v>217.21199999999996</v>
      </c>
      <c r="R36" s="10">
        <v>111.233</v>
      </c>
      <c r="S36" s="10">
        <v>109.187</v>
      </c>
      <c r="T36" s="10">
        <v>247.97499999999999</v>
      </c>
      <c r="U36" s="10">
        <v>183.84199999999998</v>
      </c>
      <c r="V36" s="10">
        <v>200.26300000000003</v>
      </c>
      <c r="W36" s="10">
        <v>162.16899999999995</v>
      </c>
      <c r="X36" s="10">
        <v>172.15100000000004</v>
      </c>
      <c r="Y36" s="10">
        <v>155.221</v>
      </c>
      <c r="Z36" s="10">
        <v>87.823999999999998</v>
      </c>
      <c r="AA36" s="10">
        <v>198.95300000000003</v>
      </c>
      <c r="AB36" s="10">
        <v>135.09399999999999</v>
      </c>
      <c r="AC36" s="10">
        <v>166.60000000000002</v>
      </c>
      <c r="AD36" s="10">
        <v>155.35000000000002</v>
      </c>
      <c r="AE36" s="10">
        <v>155.36799999999999</v>
      </c>
      <c r="AF36" s="10">
        <v>146.09000000000003</v>
      </c>
      <c r="AG36" s="10">
        <v>57.559999999999995</v>
      </c>
      <c r="AH36" s="10">
        <v>198.04399999999998</v>
      </c>
      <c r="AI36" s="10">
        <v>220.23600000000005</v>
      </c>
      <c r="AJ36" s="10">
        <v>132.88999999999999</v>
      </c>
      <c r="AK36" s="10">
        <v>144.51399999999998</v>
      </c>
      <c r="AL36" s="10">
        <v>186.59000000000003</v>
      </c>
      <c r="AM36" s="10">
        <v>109.11899999999999</v>
      </c>
      <c r="AN36" s="10">
        <v>104.74799999999999</v>
      </c>
      <c r="AO36" s="10">
        <v>135.773</v>
      </c>
      <c r="AP36" s="46">
        <f t="shared" si="2"/>
        <v>161.99196666666663</v>
      </c>
      <c r="AQ36" s="7">
        <f t="shared" si="3"/>
        <v>14.726542424242421</v>
      </c>
    </row>
    <row r="37" spans="1:43" x14ac:dyDescent="0.3">
      <c r="A37" s="5">
        <v>36</v>
      </c>
      <c r="B37" s="6" t="s">
        <v>9</v>
      </c>
      <c r="C37" s="10" t="s">
        <v>618</v>
      </c>
      <c r="D37" s="39" t="s">
        <v>762</v>
      </c>
      <c r="E37" s="6" t="s">
        <v>128</v>
      </c>
      <c r="F37" s="6" t="s">
        <v>12</v>
      </c>
      <c r="G37" s="6" t="s">
        <v>124</v>
      </c>
      <c r="H37" s="6" t="s">
        <v>80</v>
      </c>
      <c r="I37" s="5">
        <v>1</v>
      </c>
      <c r="J37" s="94" t="s">
        <v>273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10">
        <v>6.22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f t="shared" si="2"/>
        <v>0.20733333333333331</v>
      </c>
      <c r="AQ37" s="7">
        <f t="shared" si="3"/>
        <v>0.20733333333333331</v>
      </c>
    </row>
    <row r="38" spans="1:43" x14ac:dyDescent="0.3">
      <c r="A38" s="5">
        <v>37</v>
      </c>
      <c r="B38" s="6" t="s">
        <v>9</v>
      </c>
      <c r="C38" s="10" t="s">
        <v>619</v>
      </c>
      <c r="D38" s="39" t="s">
        <v>736</v>
      </c>
      <c r="E38" s="6" t="s">
        <v>128</v>
      </c>
      <c r="F38" s="6" t="s">
        <v>12</v>
      </c>
      <c r="G38" s="6" t="s">
        <v>13</v>
      </c>
      <c r="H38" s="6" t="s">
        <v>35</v>
      </c>
      <c r="I38" s="5">
        <v>1</v>
      </c>
      <c r="J38" s="12" t="s">
        <v>590</v>
      </c>
      <c r="K38" s="46">
        <v>0</v>
      </c>
      <c r="L38" s="10">
        <v>2.0750000000000002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10">
        <v>0.13800000000000001</v>
      </c>
      <c r="U38" s="10">
        <v>2.173</v>
      </c>
      <c r="V38" s="46">
        <v>0</v>
      </c>
      <c r="W38" s="46">
        <v>0</v>
      </c>
      <c r="X38" s="46">
        <v>0</v>
      </c>
      <c r="Y38" s="10">
        <v>1.677</v>
      </c>
      <c r="Z38" s="46">
        <v>0</v>
      </c>
      <c r="AA38" s="46">
        <v>0</v>
      </c>
      <c r="AB38" s="46">
        <v>0</v>
      </c>
      <c r="AC38" s="10">
        <v>2.4279999999999999</v>
      </c>
      <c r="AD38" s="46">
        <v>0</v>
      </c>
      <c r="AE38" s="10">
        <v>2.109</v>
      </c>
      <c r="AF38" s="46">
        <v>0</v>
      </c>
      <c r="AG38" s="46">
        <v>0</v>
      </c>
      <c r="AH38" s="46">
        <v>0</v>
      </c>
      <c r="AI38" s="46">
        <v>0</v>
      </c>
      <c r="AJ38" s="10">
        <v>2.2589999999999999</v>
      </c>
      <c r="AK38" s="46">
        <v>0</v>
      </c>
      <c r="AL38" s="46">
        <v>0</v>
      </c>
      <c r="AM38" s="46">
        <v>0</v>
      </c>
      <c r="AN38" s="46">
        <v>0</v>
      </c>
      <c r="AO38" s="46">
        <v>0</v>
      </c>
      <c r="AP38" s="46">
        <f t="shared" si="2"/>
        <v>0.42863333333333331</v>
      </c>
      <c r="AQ38" s="7">
        <f t="shared" si="3"/>
        <v>0.42863333333333331</v>
      </c>
    </row>
    <row r="39" spans="1:43" x14ac:dyDescent="0.3">
      <c r="A39" s="5">
        <v>38</v>
      </c>
      <c r="B39" s="6" t="s">
        <v>9</v>
      </c>
      <c r="C39" s="10" t="s">
        <v>620</v>
      </c>
      <c r="D39" s="39" t="s">
        <v>768</v>
      </c>
      <c r="E39" s="6" t="s">
        <v>128</v>
      </c>
      <c r="F39" s="6" t="s">
        <v>12</v>
      </c>
      <c r="G39" s="6" t="s">
        <v>13</v>
      </c>
      <c r="H39" s="6" t="s">
        <v>35</v>
      </c>
      <c r="I39" s="5">
        <v>6</v>
      </c>
      <c r="J39" s="94" t="s">
        <v>273</v>
      </c>
      <c r="K39" s="10">
        <v>107.65299999999999</v>
      </c>
      <c r="L39" s="10">
        <v>53.792999999999999</v>
      </c>
      <c r="M39" s="10">
        <v>90.734999999999985</v>
      </c>
      <c r="N39" s="10">
        <v>107.73299999999999</v>
      </c>
      <c r="O39" s="10">
        <v>114.41200000000001</v>
      </c>
      <c r="P39" s="10">
        <v>93.738</v>
      </c>
      <c r="Q39" s="10">
        <v>90.06</v>
      </c>
      <c r="R39" s="10">
        <v>94.364000000000004</v>
      </c>
      <c r="S39" s="10">
        <v>78.415999999999997</v>
      </c>
      <c r="T39" s="10">
        <v>91.204999999999998</v>
      </c>
      <c r="U39" s="10">
        <v>86.270999999999987</v>
      </c>
      <c r="V39" s="10">
        <v>77.385000000000005</v>
      </c>
      <c r="W39" s="10">
        <v>108.88999999999999</v>
      </c>
      <c r="X39" s="10">
        <v>65.955000000000013</v>
      </c>
      <c r="Y39" s="10">
        <v>79.857999999999976</v>
      </c>
      <c r="Z39" s="10">
        <v>75.046999999999997</v>
      </c>
      <c r="AA39" s="10">
        <v>109.03299999999999</v>
      </c>
      <c r="AB39" s="10">
        <v>95.061999999999983</v>
      </c>
      <c r="AC39" s="10">
        <v>104.126</v>
      </c>
      <c r="AD39" s="10">
        <v>99.031999999999982</v>
      </c>
      <c r="AE39" s="10">
        <v>96.393000000000001</v>
      </c>
      <c r="AF39" s="10">
        <v>98.144999999999996</v>
      </c>
      <c r="AG39" s="10">
        <v>72.438000000000002</v>
      </c>
      <c r="AH39" s="10">
        <v>81.757999999999981</v>
      </c>
      <c r="AI39" s="10">
        <v>99.132999999999996</v>
      </c>
      <c r="AJ39" s="10">
        <v>101.03400000000002</v>
      </c>
      <c r="AK39" s="10">
        <v>88.968000000000004</v>
      </c>
      <c r="AL39" s="10">
        <v>74.531000000000006</v>
      </c>
      <c r="AM39" s="10">
        <v>83.916000000000025</v>
      </c>
      <c r="AN39" s="10">
        <v>52.205000000000005</v>
      </c>
      <c r="AO39" s="10">
        <v>71.606999999999999</v>
      </c>
      <c r="AP39" s="46">
        <f t="shared" si="2"/>
        <v>89.042966666666644</v>
      </c>
      <c r="AQ39" s="7">
        <f t="shared" si="3"/>
        <v>14.84049444444444</v>
      </c>
    </row>
    <row r="40" spans="1:43" x14ac:dyDescent="0.3">
      <c r="A40" s="5">
        <v>39</v>
      </c>
      <c r="B40" s="6" t="s">
        <v>9</v>
      </c>
      <c r="C40" s="10" t="s">
        <v>621</v>
      </c>
      <c r="D40" s="39" t="s">
        <v>766</v>
      </c>
      <c r="E40" s="6" t="s">
        <v>128</v>
      </c>
      <c r="F40" s="6" t="s">
        <v>12</v>
      </c>
      <c r="G40" s="6" t="s">
        <v>13</v>
      </c>
      <c r="H40" s="6" t="s">
        <v>35</v>
      </c>
      <c r="I40" s="5">
        <v>13</v>
      </c>
      <c r="J40" s="94" t="s">
        <v>273</v>
      </c>
      <c r="K40" s="10">
        <v>113.96599999999999</v>
      </c>
      <c r="L40" s="10">
        <v>103.16400000000002</v>
      </c>
      <c r="M40" s="10">
        <v>134.80399999999995</v>
      </c>
      <c r="N40" s="10">
        <v>59.479000000000006</v>
      </c>
      <c r="O40" s="10">
        <v>145.904</v>
      </c>
      <c r="P40" s="10">
        <v>129.43799999999996</v>
      </c>
      <c r="Q40" s="10">
        <v>128.27799999999999</v>
      </c>
      <c r="R40" s="10">
        <v>91.814000000000007</v>
      </c>
      <c r="S40" s="10">
        <v>71.766000000000005</v>
      </c>
      <c r="T40" s="10">
        <v>70.235000000000014</v>
      </c>
      <c r="U40" s="10">
        <v>128.49</v>
      </c>
      <c r="V40" s="10">
        <v>94.629000000000005</v>
      </c>
      <c r="W40" s="10">
        <v>98.851000000000013</v>
      </c>
      <c r="X40" s="10">
        <v>66.76100000000001</v>
      </c>
      <c r="Y40" s="10">
        <v>114.50899999999999</v>
      </c>
      <c r="Z40" s="10">
        <v>54.374000000000002</v>
      </c>
      <c r="AA40" s="10">
        <v>59.327999999999996</v>
      </c>
      <c r="AB40" s="10">
        <v>64.816999999999993</v>
      </c>
      <c r="AC40" s="10">
        <v>65.153000000000006</v>
      </c>
      <c r="AD40" s="10">
        <v>83.299999999999983</v>
      </c>
      <c r="AE40" s="10">
        <v>85.183999999999983</v>
      </c>
      <c r="AF40" s="10">
        <v>80.99799999999999</v>
      </c>
      <c r="AG40" s="10">
        <v>57.53</v>
      </c>
      <c r="AH40" s="10">
        <v>86.84399999999998</v>
      </c>
      <c r="AI40" s="10">
        <v>79.924000000000007</v>
      </c>
      <c r="AJ40" s="10">
        <v>49.384000000000007</v>
      </c>
      <c r="AK40" s="10">
        <v>64.745999999999995</v>
      </c>
      <c r="AL40" s="10">
        <v>58.201000000000001</v>
      </c>
      <c r="AM40" s="10">
        <v>74.052000000000007</v>
      </c>
      <c r="AN40" s="10">
        <v>65.918999999999997</v>
      </c>
      <c r="AO40" s="10">
        <v>49.906000000000006</v>
      </c>
      <c r="AP40" s="46">
        <f t="shared" si="2"/>
        <v>86.061400000000006</v>
      </c>
      <c r="AQ40" s="7">
        <f t="shared" si="3"/>
        <v>6.6201076923076929</v>
      </c>
    </row>
    <row r="41" spans="1:43" x14ac:dyDescent="0.3">
      <c r="A41" s="5">
        <v>40</v>
      </c>
      <c r="B41" s="6" t="s">
        <v>9</v>
      </c>
      <c r="C41" s="10" t="s">
        <v>622</v>
      </c>
      <c r="D41" s="39" t="s">
        <v>775</v>
      </c>
      <c r="E41" s="6" t="s">
        <v>128</v>
      </c>
      <c r="F41" s="6" t="s">
        <v>12</v>
      </c>
      <c r="G41" s="6" t="s">
        <v>353</v>
      </c>
      <c r="H41" s="6" t="s">
        <v>35</v>
      </c>
      <c r="I41" s="5">
        <v>1</v>
      </c>
      <c r="J41" s="12" t="s">
        <v>590</v>
      </c>
      <c r="K41" s="10">
        <v>5.2869999999999999</v>
      </c>
      <c r="L41" s="10">
        <v>6.0750000000000002</v>
      </c>
      <c r="M41" s="10">
        <v>13.757000000000001</v>
      </c>
      <c r="N41" s="10">
        <v>12.728999999999999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0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0</v>
      </c>
      <c r="AL41" s="46">
        <v>0</v>
      </c>
      <c r="AM41" s="46">
        <v>0</v>
      </c>
      <c r="AN41" s="46">
        <v>0</v>
      </c>
      <c r="AO41" s="46">
        <v>0</v>
      </c>
      <c r="AP41" s="46">
        <f t="shared" si="2"/>
        <v>1.2616000000000001</v>
      </c>
      <c r="AQ41" s="7">
        <f t="shared" si="3"/>
        <v>1.2616000000000001</v>
      </c>
    </row>
    <row r="42" spans="1:43" x14ac:dyDescent="0.3">
      <c r="A42" s="5">
        <v>41</v>
      </c>
      <c r="B42" s="6" t="s">
        <v>9</v>
      </c>
      <c r="C42" s="10" t="s">
        <v>623</v>
      </c>
      <c r="D42" s="39" t="s">
        <v>752</v>
      </c>
      <c r="E42" s="6" t="s">
        <v>128</v>
      </c>
      <c r="F42" s="6" t="s">
        <v>12</v>
      </c>
      <c r="G42" s="6" t="s">
        <v>13</v>
      </c>
      <c r="H42" s="6" t="s">
        <v>35</v>
      </c>
      <c r="I42" s="5">
        <v>5</v>
      </c>
      <c r="J42" s="94" t="s">
        <v>273</v>
      </c>
      <c r="K42" s="10">
        <v>17.663</v>
      </c>
      <c r="L42" s="10">
        <v>6.8469999999999995</v>
      </c>
      <c r="M42" s="10">
        <v>22.890999999999998</v>
      </c>
      <c r="N42" s="10">
        <v>25.768999999999998</v>
      </c>
      <c r="O42" s="10">
        <v>17.741</v>
      </c>
      <c r="P42" s="10">
        <v>27.978000000000005</v>
      </c>
      <c r="Q42" s="10">
        <v>29.086000000000002</v>
      </c>
      <c r="R42" s="10">
        <v>33.319999999999993</v>
      </c>
      <c r="S42" s="10">
        <v>28.393000000000001</v>
      </c>
      <c r="T42" s="10">
        <v>33.759</v>
      </c>
      <c r="U42" s="10">
        <v>28.132999999999999</v>
      </c>
      <c r="V42" s="10">
        <v>15.762</v>
      </c>
      <c r="W42" s="10">
        <v>22.913000000000004</v>
      </c>
      <c r="X42" s="10">
        <v>21.545999999999999</v>
      </c>
      <c r="Y42" s="10">
        <v>15.189</v>
      </c>
      <c r="Z42" s="10">
        <v>18.075000000000003</v>
      </c>
      <c r="AA42" s="10">
        <v>61.995000000000005</v>
      </c>
      <c r="AB42" s="10">
        <v>42.548999999999999</v>
      </c>
      <c r="AC42" s="10">
        <v>19.735999999999997</v>
      </c>
      <c r="AD42" s="10">
        <v>29.482999999999997</v>
      </c>
      <c r="AE42" s="10">
        <v>16.495000000000001</v>
      </c>
      <c r="AF42" s="10">
        <v>13.234</v>
      </c>
      <c r="AG42" s="10">
        <v>16.562999999999999</v>
      </c>
      <c r="AH42" s="10">
        <v>11.705000000000002</v>
      </c>
      <c r="AI42" s="10">
        <v>23.443000000000001</v>
      </c>
      <c r="AJ42" s="10">
        <v>9.0549999999999997</v>
      </c>
      <c r="AK42" s="10">
        <v>28.166</v>
      </c>
      <c r="AL42" s="10">
        <v>14.342000000000001</v>
      </c>
      <c r="AM42" s="10">
        <v>8.5079999999999991</v>
      </c>
      <c r="AN42" s="10">
        <v>19.197000000000003</v>
      </c>
      <c r="AO42" s="10">
        <v>38.393999999999998</v>
      </c>
      <c r="AP42" s="46">
        <f t="shared" si="2"/>
        <v>22.651200000000003</v>
      </c>
      <c r="AQ42" s="7">
        <f t="shared" si="3"/>
        <v>4.5302400000000009</v>
      </c>
    </row>
    <row r="43" spans="1:43" x14ac:dyDescent="0.3">
      <c r="A43" s="5">
        <v>42</v>
      </c>
      <c r="B43" s="6" t="s">
        <v>9</v>
      </c>
      <c r="C43" s="10" t="s">
        <v>624</v>
      </c>
      <c r="D43" s="39" t="s">
        <v>776</v>
      </c>
      <c r="E43" s="6" t="s">
        <v>30</v>
      </c>
      <c r="F43" s="6" t="s">
        <v>12</v>
      </c>
      <c r="G43" s="6" t="s">
        <v>13</v>
      </c>
      <c r="H43" s="6" t="s">
        <v>35</v>
      </c>
      <c r="I43" s="5">
        <v>1</v>
      </c>
      <c r="J43" s="12" t="s">
        <v>589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v>0</v>
      </c>
      <c r="AP43" s="46">
        <f t="shared" si="2"/>
        <v>0</v>
      </c>
      <c r="AQ43" s="7">
        <f t="shared" si="3"/>
        <v>0</v>
      </c>
    </row>
    <row r="44" spans="1:43" x14ac:dyDescent="0.3">
      <c r="A44" s="5">
        <v>43</v>
      </c>
      <c r="B44" s="6" t="s">
        <v>9</v>
      </c>
      <c r="C44" s="10" t="s">
        <v>625</v>
      </c>
      <c r="D44" s="39" t="s">
        <v>777</v>
      </c>
      <c r="E44" s="6" t="s">
        <v>128</v>
      </c>
      <c r="F44" s="6" t="s">
        <v>12</v>
      </c>
      <c r="G44" s="6" t="s">
        <v>13</v>
      </c>
      <c r="H44" s="6" t="s">
        <v>35</v>
      </c>
      <c r="I44" s="5">
        <v>1</v>
      </c>
      <c r="J44" s="12" t="s">
        <v>590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f t="shared" si="2"/>
        <v>0</v>
      </c>
      <c r="AQ44" s="7">
        <f t="shared" si="3"/>
        <v>0</v>
      </c>
    </row>
    <row r="45" spans="1:43" x14ac:dyDescent="0.3">
      <c r="A45" s="5">
        <v>44</v>
      </c>
      <c r="B45" s="6" t="s">
        <v>9</v>
      </c>
      <c r="C45" s="10" t="s">
        <v>626</v>
      </c>
      <c r="D45" s="39" t="s">
        <v>778</v>
      </c>
      <c r="E45" s="6" t="s">
        <v>30</v>
      </c>
      <c r="F45" s="6" t="s">
        <v>12</v>
      </c>
      <c r="G45" s="6" t="s">
        <v>13</v>
      </c>
      <c r="H45" s="6" t="s">
        <v>35</v>
      </c>
      <c r="I45" s="5">
        <v>1</v>
      </c>
      <c r="J45" s="12" t="s">
        <v>589</v>
      </c>
      <c r="K45" s="46">
        <v>0</v>
      </c>
      <c r="L45" s="10">
        <v>0.93300000000000005</v>
      </c>
      <c r="M45" s="46">
        <v>0</v>
      </c>
      <c r="N45" s="10">
        <v>2.9830000000000001</v>
      </c>
      <c r="O45" s="46">
        <v>0</v>
      </c>
      <c r="P45" s="46">
        <v>0</v>
      </c>
      <c r="Q45" s="10">
        <v>3.9350000000000001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10">
        <v>6.702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v>0</v>
      </c>
      <c r="AP45" s="46">
        <f t="shared" si="2"/>
        <v>0.48510000000000003</v>
      </c>
      <c r="AQ45" s="7">
        <f t="shared" si="3"/>
        <v>0.48510000000000003</v>
      </c>
    </row>
    <row r="46" spans="1:43" x14ac:dyDescent="0.3">
      <c r="A46" s="5">
        <v>45</v>
      </c>
      <c r="B46" s="6" t="s">
        <v>9</v>
      </c>
      <c r="C46" s="10" t="s">
        <v>627</v>
      </c>
      <c r="D46" s="39" t="s">
        <v>779</v>
      </c>
      <c r="E46" s="6" t="s">
        <v>30</v>
      </c>
      <c r="F46" s="6" t="s">
        <v>12</v>
      </c>
      <c r="G46" s="6" t="s">
        <v>13</v>
      </c>
      <c r="H46" s="6" t="s">
        <v>35</v>
      </c>
      <c r="I46" s="5">
        <v>1</v>
      </c>
      <c r="J46" s="12" t="s">
        <v>589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v>0</v>
      </c>
      <c r="AP46" s="46">
        <f t="shared" si="2"/>
        <v>0</v>
      </c>
      <c r="AQ46" s="7">
        <f t="shared" si="3"/>
        <v>0</v>
      </c>
    </row>
    <row r="47" spans="1:43" ht="13.5" customHeight="1" x14ac:dyDescent="0.3">
      <c r="A47" s="5">
        <v>46</v>
      </c>
      <c r="B47" s="6" t="s">
        <v>9</v>
      </c>
      <c r="C47" s="10" t="s">
        <v>628</v>
      </c>
      <c r="D47" s="39" t="s">
        <v>773</v>
      </c>
      <c r="E47" s="6" t="s">
        <v>128</v>
      </c>
      <c r="F47" s="6" t="s">
        <v>12</v>
      </c>
      <c r="G47" s="6" t="s">
        <v>441</v>
      </c>
      <c r="H47" s="6" t="s">
        <v>80</v>
      </c>
      <c r="I47" s="5">
        <v>2</v>
      </c>
      <c r="J47" s="67" t="s">
        <v>160</v>
      </c>
      <c r="K47" s="10">
        <v>99.331000000000003</v>
      </c>
      <c r="L47" s="10">
        <v>205.23400000000004</v>
      </c>
      <c r="M47" s="10">
        <v>227.50500000000002</v>
      </c>
      <c r="N47" s="10">
        <v>244.15599999999995</v>
      </c>
      <c r="O47" s="10">
        <v>365.8850000000001</v>
      </c>
      <c r="P47" s="10">
        <v>360.29599999999999</v>
      </c>
      <c r="Q47" s="10">
        <v>168.108</v>
      </c>
      <c r="R47" s="10">
        <v>162.054</v>
      </c>
      <c r="S47" s="10">
        <v>91.616</v>
      </c>
      <c r="T47" s="10">
        <v>191.77499999999995</v>
      </c>
      <c r="U47" s="10">
        <v>159.54000000000002</v>
      </c>
      <c r="V47" s="10">
        <v>160.40099999999998</v>
      </c>
      <c r="W47" s="10">
        <v>341.89900000000006</v>
      </c>
      <c r="X47" s="10">
        <v>117.85000000000002</v>
      </c>
      <c r="Y47" s="10">
        <v>61.408000000000001</v>
      </c>
      <c r="Z47" s="10">
        <v>143.791</v>
      </c>
      <c r="AA47" s="10">
        <v>268.85700000000003</v>
      </c>
      <c r="AB47" s="10">
        <v>278.697</v>
      </c>
      <c r="AC47" s="10">
        <v>307.32599999999996</v>
      </c>
      <c r="AD47" s="10">
        <v>246.66699999999997</v>
      </c>
      <c r="AE47" s="10">
        <v>156.40700000000001</v>
      </c>
      <c r="AF47" s="10">
        <v>61.500999999999998</v>
      </c>
      <c r="AG47" s="10">
        <v>210.054</v>
      </c>
      <c r="AH47" s="10">
        <v>329.62399999999997</v>
      </c>
      <c r="AI47" s="10">
        <v>196.30700000000002</v>
      </c>
      <c r="AJ47" s="10">
        <v>214.845</v>
      </c>
      <c r="AK47" s="10">
        <v>224.38399999999999</v>
      </c>
      <c r="AL47" s="10">
        <v>138.10100000000003</v>
      </c>
      <c r="AM47" s="10">
        <v>56.272999999999996</v>
      </c>
      <c r="AN47" s="10">
        <v>191.62700000000001</v>
      </c>
      <c r="AO47" s="10">
        <v>245.81899999999999</v>
      </c>
      <c r="AP47" s="46">
        <f t="shared" si="2"/>
        <v>199.38396666666668</v>
      </c>
      <c r="AQ47" s="7">
        <f t="shared" si="3"/>
        <v>99.69198333333334</v>
      </c>
    </row>
    <row r="48" spans="1:43" x14ac:dyDescent="0.3">
      <c r="A48" s="5">
        <v>47</v>
      </c>
      <c r="B48" s="6" t="s">
        <v>9</v>
      </c>
      <c r="C48" s="10" t="s">
        <v>629</v>
      </c>
      <c r="D48" s="39" t="s">
        <v>735</v>
      </c>
      <c r="E48" s="6" t="s">
        <v>128</v>
      </c>
      <c r="F48" s="6" t="s">
        <v>12</v>
      </c>
      <c r="G48" s="6" t="s">
        <v>13</v>
      </c>
      <c r="H48" s="6" t="s">
        <v>35</v>
      </c>
      <c r="I48" s="5">
        <v>5</v>
      </c>
      <c r="J48" s="12" t="s">
        <v>590</v>
      </c>
      <c r="K48" s="10">
        <v>21.632999999999999</v>
      </c>
      <c r="L48" s="10">
        <v>19.936999999999998</v>
      </c>
      <c r="M48" s="10">
        <v>45.541999999999994</v>
      </c>
      <c r="N48" s="10">
        <v>10.880999999999998</v>
      </c>
      <c r="O48" s="10">
        <v>31.073</v>
      </c>
      <c r="P48" s="10">
        <v>21.352</v>
      </c>
      <c r="Q48" s="10">
        <v>12.692</v>
      </c>
      <c r="R48" s="10">
        <v>31.623000000000001</v>
      </c>
      <c r="S48" s="10">
        <v>16.407</v>
      </c>
      <c r="T48" s="10">
        <v>2.802</v>
      </c>
      <c r="U48" s="10">
        <v>22.759</v>
      </c>
      <c r="V48" s="10">
        <v>2.6269999999999998</v>
      </c>
      <c r="W48" s="10">
        <v>11.746</v>
      </c>
      <c r="X48" s="10">
        <v>19.617000000000001</v>
      </c>
      <c r="Y48" s="10">
        <v>20.292000000000002</v>
      </c>
      <c r="Z48" s="10">
        <v>4.1230000000000002</v>
      </c>
      <c r="AA48" s="10">
        <v>3.1829999999999998</v>
      </c>
      <c r="AB48" s="10">
        <v>11.604000000000001</v>
      </c>
      <c r="AC48" s="10">
        <v>22.079000000000001</v>
      </c>
      <c r="AD48" s="10">
        <v>6.4459999999999997</v>
      </c>
      <c r="AE48" s="10">
        <v>9.6340000000000003</v>
      </c>
      <c r="AF48" s="10">
        <v>10.971</v>
      </c>
      <c r="AG48" s="10">
        <v>2.4049999999999998</v>
      </c>
      <c r="AH48" s="10">
        <v>3.4260000000000002</v>
      </c>
      <c r="AI48" s="10">
        <v>11.238999999999999</v>
      </c>
      <c r="AJ48" s="10">
        <v>6.056</v>
      </c>
      <c r="AK48" s="10">
        <v>9.9290000000000003</v>
      </c>
      <c r="AL48" s="10">
        <v>3.032</v>
      </c>
      <c r="AM48" s="10">
        <v>6.197000000000001</v>
      </c>
      <c r="AN48" s="10">
        <v>20.398</v>
      </c>
      <c r="AO48" s="10">
        <v>3.5960000000000001</v>
      </c>
      <c r="AP48" s="46">
        <f t="shared" si="2"/>
        <v>14.056833333333334</v>
      </c>
      <c r="AQ48" s="7">
        <f t="shared" si="3"/>
        <v>2.8113666666666668</v>
      </c>
    </row>
    <row r="49" spans="1:43" x14ac:dyDescent="0.3">
      <c r="A49" s="5">
        <v>48</v>
      </c>
      <c r="B49" s="6" t="s">
        <v>9</v>
      </c>
      <c r="C49" s="10" t="s">
        <v>630</v>
      </c>
      <c r="D49" s="39" t="s">
        <v>780</v>
      </c>
      <c r="E49" s="6" t="s">
        <v>128</v>
      </c>
      <c r="F49" s="6" t="s">
        <v>12</v>
      </c>
      <c r="G49" s="6" t="s">
        <v>13</v>
      </c>
      <c r="H49" s="6" t="s">
        <v>35</v>
      </c>
      <c r="I49" s="5">
        <v>2</v>
      </c>
      <c r="J49" s="12" t="s">
        <v>590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v>0</v>
      </c>
      <c r="AP49" s="46">
        <f t="shared" si="2"/>
        <v>0</v>
      </c>
      <c r="AQ49" s="7">
        <f t="shared" si="3"/>
        <v>0</v>
      </c>
    </row>
    <row r="50" spans="1:43" x14ac:dyDescent="0.3">
      <c r="A50" s="5">
        <v>49</v>
      </c>
      <c r="B50" s="6" t="s">
        <v>9</v>
      </c>
      <c r="C50" s="10" t="s">
        <v>630</v>
      </c>
      <c r="D50" s="39" t="s">
        <v>780</v>
      </c>
      <c r="E50" s="6" t="s">
        <v>128</v>
      </c>
      <c r="F50" s="6" t="s">
        <v>12</v>
      </c>
      <c r="G50" s="6" t="s">
        <v>353</v>
      </c>
      <c r="H50" s="6" t="s">
        <v>35</v>
      </c>
      <c r="I50" s="5">
        <v>2</v>
      </c>
      <c r="J50" s="12" t="s">
        <v>590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0</v>
      </c>
      <c r="AP50" s="46">
        <f t="shared" si="2"/>
        <v>0</v>
      </c>
      <c r="AQ50" s="7">
        <f t="shared" si="3"/>
        <v>0</v>
      </c>
    </row>
    <row r="51" spans="1:43" x14ac:dyDescent="0.3">
      <c r="A51" s="5">
        <v>50</v>
      </c>
      <c r="B51" s="6" t="s">
        <v>9</v>
      </c>
      <c r="C51" s="10" t="s">
        <v>631</v>
      </c>
      <c r="D51" s="39" t="s">
        <v>743</v>
      </c>
      <c r="E51" s="6" t="s">
        <v>128</v>
      </c>
      <c r="F51" s="6" t="s">
        <v>12</v>
      </c>
      <c r="G51" s="6" t="s">
        <v>524</v>
      </c>
      <c r="H51" s="6" t="s">
        <v>35</v>
      </c>
      <c r="I51" s="5">
        <v>1</v>
      </c>
      <c r="J51" s="67" t="s">
        <v>160</v>
      </c>
      <c r="K51" s="46">
        <v>0</v>
      </c>
      <c r="L51" s="10">
        <v>2.6179999999999999</v>
      </c>
      <c r="M51" s="46">
        <v>0</v>
      </c>
      <c r="N51" s="46">
        <v>0</v>
      </c>
      <c r="O51" s="46">
        <v>0</v>
      </c>
      <c r="P51" s="46">
        <v>0</v>
      </c>
      <c r="Q51" s="10">
        <v>6.0579999999999998</v>
      </c>
      <c r="R51" s="10">
        <v>2.399</v>
      </c>
      <c r="S51" s="10">
        <v>3.9130000000000003</v>
      </c>
      <c r="T51" s="10">
        <v>6.5820000000000007</v>
      </c>
      <c r="U51" s="10">
        <v>3.7590000000000003</v>
      </c>
      <c r="V51" s="10">
        <v>7.9139999999999997</v>
      </c>
      <c r="W51" s="10">
        <v>11.852</v>
      </c>
      <c r="X51" s="10">
        <v>3.5649999999999999</v>
      </c>
      <c r="Y51" s="10">
        <v>3.7070000000000003</v>
      </c>
      <c r="Z51" s="10">
        <v>8.24</v>
      </c>
      <c r="AA51" s="10">
        <v>5.2289999999999992</v>
      </c>
      <c r="AB51" s="10">
        <v>2.746</v>
      </c>
      <c r="AC51" s="10">
        <v>2.7770000000000001</v>
      </c>
      <c r="AD51" s="10">
        <v>2.4410000000000003</v>
      </c>
      <c r="AE51" s="10">
        <v>3.6440000000000001</v>
      </c>
      <c r="AF51" s="10">
        <v>2.9980000000000002</v>
      </c>
      <c r="AG51" s="10">
        <v>3.238</v>
      </c>
      <c r="AH51" s="10">
        <v>3.8330000000000002</v>
      </c>
      <c r="AI51" s="10">
        <v>3.9849999999999999</v>
      </c>
      <c r="AJ51" s="10">
        <v>4.734</v>
      </c>
      <c r="AK51" s="10">
        <v>5.7729999999999997</v>
      </c>
      <c r="AL51" s="10">
        <v>3.319</v>
      </c>
      <c r="AM51" s="10">
        <v>2.8140000000000001</v>
      </c>
      <c r="AN51" s="10">
        <v>3.681</v>
      </c>
      <c r="AO51" s="10">
        <v>5.5169999999999995</v>
      </c>
      <c r="AP51" s="46">
        <f t="shared" si="2"/>
        <v>3.7273000000000001</v>
      </c>
      <c r="AQ51" s="7">
        <f t="shared" si="3"/>
        <v>3.7273000000000001</v>
      </c>
    </row>
    <row r="52" spans="1:43" x14ac:dyDescent="0.3">
      <c r="A52" s="5">
        <v>51</v>
      </c>
      <c r="B52" s="6" t="s">
        <v>9</v>
      </c>
      <c r="C52" s="10" t="s">
        <v>631</v>
      </c>
      <c r="D52" s="39" t="s">
        <v>743</v>
      </c>
      <c r="E52" s="6" t="s">
        <v>128</v>
      </c>
      <c r="F52" s="6" t="s">
        <v>12</v>
      </c>
      <c r="G52" s="6" t="s">
        <v>135</v>
      </c>
      <c r="H52" s="6" t="s">
        <v>35</v>
      </c>
      <c r="I52" s="5">
        <v>1</v>
      </c>
      <c r="J52" s="67" t="s">
        <v>160</v>
      </c>
      <c r="K52" s="46">
        <v>0</v>
      </c>
      <c r="L52" s="10">
        <v>9.9859999999999989</v>
      </c>
      <c r="M52" s="46">
        <v>0</v>
      </c>
      <c r="N52" s="10">
        <v>4.726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10">
        <v>8.1710000000000012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10">
        <v>12.566000000000001</v>
      </c>
      <c r="AO52" s="10">
        <v>15.689</v>
      </c>
      <c r="AP52" s="46">
        <f t="shared" si="2"/>
        <v>1.1816333333333335</v>
      </c>
      <c r="AQ52" s="7">
        <f t="shared" si="3"/>
        <v>1.1816333333333335</v>
      </c>
    </row>
    <row r="53" spans="1:43" x14ac:dyDescent="0.3">
      <c r="A53" s="5">
        <v>52</v>
      </c>
      <c r="B53" s="6" t="s">
        <v>9</v>
      </c>
      <c r="C53" s="10" t="s">
        <v>631</v>
      </c>
      <c r="D53" s="39" t="s">
        <v>743</v>
      </c>
      <c r="E53" s="6" t="s">
        <v>128</v>
      </c>
      <c r="F53" s="6" t="s">
        <v>12</v>
      </c>
      <c r="G53" s="6" t="s">
        <v>124</v>
      </c>
      <c r="H53" s="6" t="s">
        <v>80</v>
      </c>
      <c r="I53" s="5">
        <v>1</v>
      </c>
      <c r="J53" s="67" t="s">
        <v>160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v>0</v>
      </c>
      <c r="AP53" s="46">
        <f t="shared" si="2"/>
        <v>0</v>
      </c>
      <c r="AQ53" s="7">
        <f t="shared" si="3"/>
        <v>0</v>
      </c>
    </row>
    <row r="54" spans="1:43" x14ac:dyDescent="0.3">
      <c r="A54" s="5">
        <v>53</v>
      </c>
      <c r="B54" s="6" t="s">
        <v>9</v>
      </c>
      <c r="C54" s="10" t="s">
        <v>632</v>
      </c>
      <c r="D54" s="39" t="s">
        <v>781</v>
      </c>
      <c r="E54" s="6" t="s">
        <v>128</v>
      </c>
      <c r="F54" s="6" t="s">
        <v>12</v>
      </c>
      <c r="G54" s="6" t="s">
        <v>13</v>
      </c>
      <c r="H54" s="6" t="s">
        <v>35</v>
      </c>
      <c r="I54" s="5">
        <v>9</v>
      </c>
      <c r="J54" s="12" t="s">
        <v>590</v>
      </c>
      <c r="K54" s="10">
        <v>109.09500000000001</v>
      </c>
      <c r="L54" s="10">
        <v>92.721999999999994</v>
      </c>
      <c r="M54" s="10">
        <v>139.18100000000001</v>
      </c>
      <c r="N54" s="10">
        <v>141.07</v>
      </c>
      <c r="O54" s="10">
        <v>46.343000000000004</v>
      </c>
      <c r="P54" s="10">
        <v>178.999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v>0</v>
      </c>
      <c r="AP54" s="46">
        <f t="shared" si="2"/>
        <v>23.580333333333336</v>
      </c>
      <c r="AQ54" s="7">
        <f t="shared" si="3"/>
        <v>2.6200370370370374</v>
      </c>
    </row>
    <row r="55" spans="1:43" x14ac:dyDescent="0.3">
      <c r="A55" s="5">
        <v>54</v>
      </c>
      <c r="B55" s="6" t="s">
        <v>9</v>
      </c>
      <c r="C55" s="10" t="s">
        <v>633</v>
      </c>
      <c r="D55" s="39" t="s">
        <v>782</v>
      </c>
      <c r="E55" s="6" t="s">
        <v>128</v>
      </c>
      <c r="F55" s="6" t="s">
        <v>12</v>
      </c>
      <c r="G55" s="6" t="s">
        <v>13</v>
      </c>
      <c r="H55" s="6" t="s">
        <v>35</v>
      </c>
      <c r="I55" s="5">
        <v>1</v>
      </c>
      <c r="J55" s="12" t="s">
        <v>590</v>
      </c>
      <c r="K55" s="46">
        <v>0</v>
      </c>
      <c r="L55" s="10">
        <v>1.3120000000000001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10">
        <v>0.19900000000000001</v>
      </c>
      <c r="W55" s="10">
        <v>1.2749999999999999</v>
      </c>
      <c r="X55" s="46">
        <v>0</v>
      </c>
      <c r="Y55" s="46">
        <v>0</v>
      </c>
      <c r="Z55" s="46">
        <v>0</v>
      </c>
      <c r="AA55" s="46">
        <v>0</v>
      </c>
      <c r="AB55" s="10">
        <v>1.3260000000000001</v>
      </c>
      <c r="AC55" s="10">
        <v>8.7999999999999995E-2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10">
        <v>1.9530000000000001</v>
      </c>
      <c r="AM55" s="46">
        <v>0</v>
      </c>
      <c r="AN55" s="46">
        <v>0</v>
      </c>
      <c r="AO55" s="46">
        <v>0</v>
      </c>
      <c r="AP55" s="46">
        <f t="shared" si="2"/>
        <v>0.2051</v>
      </c>
      <c r="AQ55" s="7">
        <f t="shared" si="3"/>
        <v>0.2051</v>
      </c>
    </row>
    <row r="56" spans="1:43" x14ac:dyDescent="0.3">
      <c r="A56" s="5">
        <v>55</v>
      </c>
      <c r="B56" s="6" t="s">
        <v>498</v>
      </c>
      <c r="C56" s="10" t="s">
        <v>634</v>
      </c>
      <c r="D56" s="39" t="s">
        <v>783</v>
      </c>
      <c r="E56" s="6" t="s">
        <v>128</v>
      </c>
      <c r="F56" s="6" t="s">
        <v>12</v>
      </c>
      <c r="G56" s="6" t="s">
        <v>255</v>
      </c>
      <c r="H56" s="6" t="s">
        <v>80</v>
      </c>
      <c r="I56" s="5">
        <v>1</v>
      </c>
      <c r="J56" s="67" t="s">
        <v>160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v>0</v>
      </c>
      <c r="AP56" s="46">
        <f t="shared" si="2"/>
        <v>0</v>
      </c>
      <c r="AQ56" s="7">
        <f t="shared" si="3"/>
        <v>0</v>
      </c>
    </row>
    <row r="57" spans="1:43" x14ac:dyDescent="0.3">
      <c r="A57" s="5">
        <v>56</v>
      </c>
      <c r="B57" s="6" t="s">
        <v>9</v>
      </c>
      <c r="C57" s="10" t="s">
        <v>635</v>
      </c>
      <c r="D57" s="39" t="s">
        <v>720</v>
      </c>
      <c r="E57" s="6" t="s">
        <v>128</v>
      </c>
      <c r="F57" s="6" t="s">
        <v>12</v>
      </c>
      <c r="G57" s="6" t="s">
        <v>13</v>
      </c>
      <c r="H57" s="6" t="s">
        <v>35</v>
      </c>
      <c r="I57" s="5">
        <v>1</v>
      </c>
      <c r="J57" s="12" t="s">
        <v>589</v>
      </c>
      <c r="K57" s="46">
        <v>0</v>
      </c>
      <c r="L57" s="46">
        <v>0</v>
      </c>
      <c r="M57" s="10">
        <v>1.1779999999999999</v>
      </c>
      <c r="N57" s="46">
        <v>0</v>
      </c>
      <c r="O57" s="46">
        <v>0</v>
      </c>
      <c r="P57" s="10">
        <v>2.698</v>
      </c>
      <c r="Q57" s="46">
        <v>0</v>
      </c>
      <c r="R57" s="46">
        <v>0</v>
      </c>
      <c r="S57" s="10">
        <v>3.504</v>
      </c>
      <c r="T57" s="10">
        <v>1.2999999999999999E-2</v>
      </c>
      <c r="U57" s="10">
        <v>5.1449999999999996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10">
        <v>3.4780000000000002</v>
      </c>
      <c r="AB57" s="46">
        <v>0</v>
      </c>
      <c r="AC57" s="10">
        <v>1.7549999999999999</v>
      </c>
      <c r="AD57" s="10">
        <v>2.1819999999999999</v>
      </c>
      <c r="AE57" s="10">
        <v>4.4130000000000003</v>
      </c>
      <c r="AF57" s="46">
        <v>0</v>
      </c>
      <c r="AG57" s="10">
        <v>5.0869999999999997</v>
      </c>
      <c r="AH57" s="10">
        <v>0.41</v>
      </c>
      <c r="AI57" s="10">
        <v>3</v>
      </c>
      <c r="AJ57" s="10">
        <v>4.6180000000000003</v>
      </c>
      <c r="AK57" s="10">
        <v>1.155</v>
      </c>
      <c r="AL57" s="10">
        <v>2.7879999999999998</v>
      </c>
      <c r="AM57" s="10">
        <v>3.3159999999999998</v>
      </c>
      <c r="AN57" s="10">
        <v>5.5010000000000003</v>
      </c>
      <c r="AO57" s="10">
        <v>5.5469999999999997</v>
      </c>
      <c r="AP57" s="46">
        <f t="shared" si="2"/>
        <v>1.6747000000000001</v>
      </c>
      <c r="AQ57" s="7">
        <f t="shared" si="3"/>
        <v>1.6747000000000001</v>
      </c>
    </row>
    <row r="58" spans="1:43" x14ac:dyDescent="0.3">
      <c r="A58" s="5">
        <v>57</v>
      </c>
      <c r="B58" s="6" t="s">
        <v>9</v>
      </c>
      <c r="C58" s="10" t="s">
        <v>636</v>
      </c>
      <c r="D58" s="39" t="s">
        <v>753</v>
      </c>
      <c r="E58" s="6" t="s">
        <v>128</v>
      </c>
      <c r="F58" s="6" t="s">
        <v>12</v>
      </c>
      <c r="G58" s="6" t="s">
        <v>13</v>
      </c>
      <c r="H58" s="6" t="s">
        <v>35</v>
      </c>
      <c r="I58" s="5">
        <v>10</v>
      </c>
      <c r="J58" s="94" t="s">
        <v>273</v>
      </c>
      <c r="K58" s="10">
        <v>26.597000000000001</v>
      </c>
      <c r="L58" s="10">
        <v>9.2360000000000007</v>
      </c>
      <c r="M58" s="10">
        <v>29.183</v>
      </c>
      <c r="N58" s="10">
        <v>12.541999999999998</v>
      </c>
      <c r="O58" s="10">
        <v>21.538999999999998</v>
      </c>
      <c r="P58" s="10">
        <v>16.701999999999998</v>
      </c>
      <c r="Q58" s="10">
        <v>8.0219999999999985</v>
      </c>
      <c r="R58" s="10">
        <v>13.928999999999998</v>
      </c>
      <c r="S58" s="10">
        <v>18.625000000000004</v>
      </c>
      <c r="T58" s="10">
        <v>38.774000000000001</v>
      </c>
      <c r="U58" s="10">
        <v>14.242999999999999</v>
      </c>
      <c r="V58" s="10">
        <v>34.091000000000001</v>
      </c>
      <c r="W58" s="10">
        <v>9.4510000000000005</v>
      </c>
      <c r="X58" s="10">
        <v>12.933999999999999</v>
      </c>
      <c r="Y58" s="10">
        <v>26.480999999999998</v>
      </c>
      <c r="Z58" s="10">
        <v>23.509999999999998</v>
      </c>
      <c r="AA58" s="10">
        <v>30.871999999999996</v>
      </c>
      <c r="AB58" s="10">
        <v>20.459999999999997</v>
      </c>
      <c r="AC58" s="10">
        <v>35.58300000000002</v>
      </c>
      <c r="AD58" s="10">
        <v>33.323</v>
      </c>
      <c r="AE58" s="10">
        <v>13.346</v>
      </c>
      <c r="AF58" s="10">
        <v>16.898000000000003</v>
      </c>
      <c r="AG58" s="10">
        <v>20.370999999999995</v>
      </c>
      <c r="AH58" s="10">
        <v>14.667</v>
      </c>
      <c r="AI58" s="10">
        <v>19.239000000000001</v>
      </c>
      <c r="AJ58" s="10">
        <v>16.241999999999997</v>
      </c>
      <c r="AK58" s="10">
        <v>27.939999999999998</v>
      </c>
      <c r="AL58" s="10">
        <v>36.196999999999996</v>
      </c>
      <c r="AM58" s="10">
        <v>51.504999999999995</v>
      </c>
      <c r="AN58" s="10">
        <v>34.441000000000003</v>
      </c>
      <c r="AO58" s="10">
        <v>26.744</v>
      </c>
      <c r="AP58" s="46">
        <f t="shared" si="2"/>
        <v>22.898099999999999</v>
      </c>
      <c r="AQ58" s="7">
        <f t="shared" si="3"/>
        <v>2.2898100000000001</v>
      </c>
    </row>
    <row r="59" spans="1:43" x14ac:dyDescent="0.3">
      <c r="A59" s="5">
        <v>58</v>
      </c>
      <c r="B59" s="6" t="s">
        <v>9</v>
      </c>
      <c r="C59" s="10" t="s">
        <v>637</v>
      </c>
      <c r="D59" s="39" t="s">
        <v>721</v>
      </c>
      <c r="E59" s="6" t="s">
        <v>128</v>
      </c>
      <c r="F59" s="6" t="s">
        <v>12</v>
      </c>
      <c r="G59" s="6" t="s">
        <v>13</v>
      </c>
      <c r="H59" s="6" t="s">
        <v>35</v>
      </c>
      <c r="I59" s="5">
        <v>2</v>
      </c>
      <c r="J59" s="12" t="s">
        <v>589</v>
      </c>
      <c r="K59" s="10">
        <v>8.7640000000000011</v>
      </c>
      <c r="L59" s="10">
        <v>12.276999999999999</v>
      </c>
      <c r="M59" s="10">
        <v>10.700999999999999</v>
      </c>
      <c r="N59" s="10">
        <v>7.5990000000000002</v>
      </c>
      <c r="O59" s="10">
        <v>22.547000000000004</v>
      </c>
      <c r="P59" s="10">
        <v>15.549999999999997</v>
      </c>
      <c r="Q59" s="10">
        <v>17.977999999999998</v>
      </c>
      <c r="R59" s="10">
        <v>7.7809999999999997</v>
      </c>
      <c r="S59" s="10">
        <v>12.67</v>
      </c>
      <c r="T59" s="10">
        <v>25.817999999999998</v>
      </c>
      <c r="U59" s="10">
        <v>24.97</v>
      </c>
      <c r="V59" s="10">
        <v>17.205000000000002</v>
      </c>
      <c r="W59" s="10">
        <v>23.008000000000003</v>
      </c>
      <c r="X59" s="10">
        <v>16.562999999999999</v>
      </c>
      <c r="Y59" s="10">
        <v>9.4220000000000006</v>
      </c>
      <c r="Z59" s="10">
        <v>9.2899999999999991</v>
      </c>
      <c r="AA59" s="10">
        <v>24.664999999999996</v>
      </c>
      <c r="AB59" s="10">
        <v>11.335999999999999</v>
      </c>
      <c r="AC59" s="10">
        <v>22.081</v>
      </c>
      <c r="AD59" s="10">
        <v>14.689</v>
      </c>
      <c r="AE59" s="10">
        <v>16.267000000000003</v>
      </c>
      <c r="AF59" s="10">
        <v>15.747999999999998</v>
      </c>
      <c r="AG59" s="10">
        <v>16.124000000000002</v>
      </c>
      <c r="AH59" s="10">
        <v>28.105999999999998</v>
      </c>
      <c r="AI59" s="10">
        <v>21.714000000000002</v>
      </c>
      <c r="AJ59" s="10">
        <v>18.462</v>
      </c>
      <c r="AK59" s="10">
        <v>24.200999999999997</v>
      </c>
      <c r="AL59" s="10">
        <v>19.324999999999999</v>
      </c>
      <c r="AM59" s="10">
        <v>10.811</v>
      </c>
      <c r="AN59" s="10">
        <v>23.032</v>
      </c>
      <c r="AO59" s="10">
        <v>20.048000000000002</v>
      </c>
      <c r="AP59" s="46">
        <f t="shared" si="2"/>
        <v>16.956800000000001</v>
      </c>
      <c r="AQ59" s="7">
        <f t="shared" si="3"/>
        <v>8.4784000000000006</v>
      </c>
    </row>
    <row r="60" spans="1:43" x14ac:dyDescent="0.3">
      <c r="A60" s="5">
        <v>59</v>
      </c>
      <c r="B60" s="6" t="s">
        <v>9</v>
      </c>
      <c r="C60" s="5"/>
      <c r="D60" s="6" t="s">
        <v>93</v>
      </c>
      <c r="E60" s="6" t="s">
        <v>26</v>
      </c>
      <c r="F60" s="6" t="s">
        <v>19</v>
      </c>
      <c r="G60" s="6" t="s">
        <v>13</v>
      </c>
      <c r="H60" s="6" t="s">
        <v>14</v>
      </c>
      <c r="I60" s="5">
        <v>1</v>
      </c>
      <c r="J60" s="67" t="s">
        <v>160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v>0</v>
      </c>
      <c r="AP60" s="46">
        <f t="shared" si="2"/>
        <v>0</v>
      </c>
      <c r="AQ60" s="7">
        <f t="shared" si="3"/>
        <v>0</v>
      </c>
    </row>
    <row r="61" spans="1:43" x14ac:dyDescent="0.3">
      <c r="A61" s="5">
        <v>60</v>
      </c>
      <c r="B61" s="6" t="s">
        <v>9</v>
      </c>
      <c r="C61" s="10" t="s">
        <v>638</v>
      </c>
      <c r="D61" s="39" t="s">
        <v>759</v>
      </c>
      <c r="E61" s="6" t="s">
        <v>128</v>
      </c>
      <c r="F61" s="6" t="s">
        <v>12</v>
      </c>
      <c r="G61" s="6" t="s">
        <v>13</v>
      </c>
      <c r="H61" s="6" t="s">
        <v>35</v>
      </c>
      <c r="I61" s="5">
        <v>8</v>
      </c>
      <c r="J61" s="94" t="s">
        <v>273</v>
      </c>
      <c r="K61" s="10">
        <v>30.018999999999998</v>
      </c>
      <c r="L61" s="10">
        <v>25.113</v>
      </c>
      <c r="M61" s="10">
        <v>36.823999999999991</v>
      </c>
      <c r="N61" s="10">
        <v>30.476999999999997</v>
      </c>
      <c r="O61" s="10">
        <v>35.219000000000001</v>
      </c>
      <c r="P61" s="10">
        <v>32.694000000000003</v>
      </c>
      <c r="Q61" s="10">
        <v>23.697000000000003</v>
      </c>
      <c r="R61" s="10">
        <v>40.311999999999998</v>
      </c>
      <c r="S61" s="10">
        <v>23.087000000000003</v>
      </c>
      <c r="T61" s="10">
        <v>15.942</v>
      </c>
      <c r="U61" s="10">
        <v>33.216000000000001</v>
      </c>
      <c r="V61" s="10">
        <v>33.467999999999996</v>
      </c>
      <c r="W61" s="10">
        <v>55.284000000000006</v>
      </c>
      <c r="X61" s="10">
        <v>30.591999999999999</v>
      </c>
      <c r="Y61" s="10">
        <v>34.488</v>
      </c>
      <c r="Z61" s="10">
        <v>31.708000000000006</v>
      </c>
      <c r="AA61" s="10">
        <v>35.206999999999994</v>
      </c>
      <c r="AB61" s="10">
        <v>51.965000000000003</v>
      </c>
      <c r="AC61" s="10">
        <v>34.622</v>
      </c>
      <c r="AD61" s="10">
        <v>39.991</v>
      </c>
      <c r="AE61" s="10">
        <v>58.457999999999998</v>
      </c>
      <c r="AF61" s="10">
        <v>37.980999999999995</v>
      </c>
      <c r="AG61" s="10">
        <v>35.048999999999999</v>
      </c>
      <c r="AH61" s="10">
        <v>55.843999999999994</v>
      </c>
      <c r="AI61" s="10">
        <v>30.100999999999999</v>
      </c>
      <c r="AJ61" s="10">
        <v>24.064000000000004</v>
      </c>
      <c r="AK61" s="10">
        <v>28.688000000000002</v>
      </c>
      <c r="AL61" s="10">
        <v>30.017000000000003</v>
      </c>
      <c r="AM61" s="10">
        <v>32.03</v>
      </c>
      <c r="AN61" s="10">
        <v>36.194000000000003</v>
      </c>
      <c r="AO61" s="10">
        <v>21.670000000000005</v>
      </c>
      <c r="AP61" s="46">
        <f t="shared" si="2"/>
        <v>34.745033333333332</v>
      </c>
      <c r="AQ61" s="7">
        <f t="shared" si="3"/>
        <v>4.3431291666666665</v>
      </c>
    </row>
    <row r="62" spans="1:43" x14ac:dyDescent="0.3">
      <c r="A62" s="5">
        <v>61</v>
      </c>
      <c r="B62" s="6" t="s">
        <v>9</v>
      </c>
      <c r="C62" s="10" t="s">
        <v>713</v>
      </c>
      <c r="D62" s="6" t="s">
        <v>714</v>
      </c>
      <c r="E62" s="6" t="s">
        <v>128</v>
      </c>
      <c r="F62" s="6" t="s">
        <v>12</v>
      </c>
      <c r="G62" s="6" t="s">
        <v>13</v>
      </c>
      <c r="H62" s="6" t="s">
        <v>35</v>
      </c>
      <c r="I62" s="5">
        <v>6</v>
      </c>
      <c r="J62" s="94" t="s">
        <v>273</v>
      </c>
      <c r="K62" s="10"/>
      <c r="L62" s="10"/>
      <c r="M62" s="10"/>
      <c r="N62" s="10"/>
      <c r="O62" s="10"/>
      <c r="P62" s="10"/>
      <c r="Q62" s="10"/>
      <c r="R62" s="10"/>
      <c r="S62" s="10">
        <v>14.956</v>
      </c>
      <c r="T62" s="10">
        <v>47.926000000000002</v>
      </c>
      <c r="U62" s="10">
        <v>80.774000000000015</v>
      </c>
      <c r="V62" s="10">
        <v>72.173000000000002</v>
      </c>
      <c r="W62" s="10">
        <v>52.828000000000003</v>
      </c>
      <c r="X62" s="10">
        <v>51.696999999999996</v>
      </c>
      <c r="Y62" s="10">
        <v>60.561999999999998</v>
      </c>
      <c r="Z62" s="10">
        <v>89.803000000000011</v>
      </c>
      <c r="AA62" s="10">
        <v>47.724999999999994</v>
      </c>
      <c r="AB62" s="10">
        <v>57.484999999999999</v>
      </c>
      <c r="AC62" s="10">
        <v>85.077000000000012</v>
      </c>
      <c r="AD62" s="10">
        <v>64.489000000000004</v>
      </c>
      <c r="AE62" s="10">
        <v>43.788000000000004</v>
      </c>
      <c r="AF62" s="10">
        <v>72.858999999999995</v>
      </c>
      <c r="AG62" s="10">
        <v>44.933</v>
      </c>
      <c r="AH62" s="10">
        <v>98.555000000000021</v>
      </c>
      <c r="AI62" s="10">
        <v>67.704999999999998</v>
      </c>
      <c r="AJ62" s="10">
        <v>59.734999999999992</v>
      </c>
      <c r="AK62" s="10">
        <v>63.059999999999988</v>
      </c>
      <c r="AL62" s="10">
        <v>72.611000000000018</v>
      </c>
      <c r="AM62" s="10">
        <v>77.688000000000002</v>
      </c>
      <c r="AN62" s="10">
        <v>54.122999999999998</v>
      </c>
      <c r="AO62" s="10">
        <v>79.245000000000019</v>
      </c>
      <c r="AP62" s="46">
        <f t="shared" si="2"/>
        <v>62.752363636363654</v>
      </c>
      <c r="AQ62" s="7">
        <f t="shared" si="3"/>
        <v>10.458727272727275</v>
      </c>
    </row>
    <row r="63" spans="1:43" x14ac:dyDescent="0.3">
      <c r="A63" s="5">
        <v>62</v>
      </c>
      <c r="B63" s="6" t="s">
        <v>536</v>
      </c>
      <c r="C63" s="10" t="s">
        <v>639</v>
      </c>
      <c r="D63" s="39" t="s">
        <v>784</v>
      </c>
      <c r="E63" s="6" t="s">
        <v>128</v>
      </c>
      <c r="F63" s="6" t="s">
        <v>12</v>
      </c>
      <c r="G63" s="6" t="s">
        <v>255</v>
      </c>
      <c r="H63" s="6" t="s">
        <v>80</v>
      </c>
      <c r="I63" s="5">
        <v>1</v>
      </c>
      <c r="J63" s="67" t="s">
        <v>160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10">
        <v>7.2959999999999994</v>
      </c>
      <c r="AF63" s="46">
        <v>0</v>
      </c>
      <c r="AG63" s="46">
        <v>0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10">
        <v>11.894</v>
      </c>
      <c r="AO63" s="46">
        <v>0</v>
      </c>
      <c r="AP63" s="46">
        <f t="shared" si="2"/>
        <v>0.63966666666666661</v>
      </c>
      <c r="AQ63" s="7">
        <f t="shared" si="3"/>
        <v>0.63966666666666661</v>
      </c>
    </row>
    <row r="64" spans="1:43" x14ac:dyDescent="0.3">
      <c r="A64" s="5">
        <v>63</v>
      </c>
      <c r="B64" s="6" t="s">
        <v>9</v>
      </c>
      <c r="C64" s="5"/>
      <c r="D64" s="6" t="s">
        <v>27</v>
      </c>
      <c r="E64" s="6" t="s">
        <v>28</v>
      </c>
      <c r="F64" s="6" t="s">
        <v>19</v>
      </c>
      <c r="G64" s="6" t="s">
        <v>13</v>
      </c>
      <c r="H64" s="6" t="s">
        <v>14</v>
      </c>
      <c r="I64" s="5">
        <v>4</v>
      </c>
      <c r="J64" s="67" t="s">
        <v>160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v>0</v>
      </c>
      <c r="AN64" s="46">
        <v>0</v>
      </c>
      <c r="AO64" s="46">
        <v>0</v>
      </c>
      <c r="AP64" s="46">
        <f t="shared" si="2"/>
        <v>0</v>
      </c>
      <c r="AQ64" s="7">
        <f t="shared" si="3"/>
        <v>0</v>
      </c>
    </row>
    <row r="65" spans="1:43" x14ac:dyDescent="0.3">
      <c r="A65" s="5">
        <v>64</v>
      </c>
      <c r="B65" s="6" t="s">
        <v>9</v>
      </c>
      <c r="C65" s="5"/>
      <c r="D65" s="6" t="s">
        <v>94</v>
      </c>
      <c r="E65" s="6" t="s">
        <v>32</v>
      </c>
      <c r="F65" s="6" t="s">
        <v>19</v>
      </c>
      <c r="G65" s="6" t="s">
        <v>13</v>
      </c>
      <c r="H65" s="6" t="s">
        <v>14</v>
      </c>
      <c r="I65" s="5">
        <v>2</v>
      </c>
      <c r="J65" s="67" t="s">
        <v>160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v>0</v>
      </c>
      <c r="AP65" s="46">
        <f t="shared" si="2"/>
        <v>0</v>
      </c>
      <c r="AQ65" s="7">
        <f t="shared" si="3"/>
        <v>0</v>
      </c>
    </row>
    <row r="66" spans="1:43" x14ac:dyDescent="0.3">
      <c r="A66" s="5">
        <v>65</v>
      </c>
      <c r="B66" s="6" t="s">
        <v>49</v>
      </c>
      <c r="C66" s="10" t="s">
        <v>640</v>
      </c>
      <c r="D66" s="39" t="s">
        <v>717</v>
      </c>
      <c r="E66" s="6" t="s">
        <v>128</v>
      </c>
      <c r="F66" s="6" t="s">
        <v>12</v>
      </c>
      <c r="G66" s="6" t="s">
        <v>13</v>
      </c>
      <c r="H66" s="6" t="s">
        <v>35</v>
      </c>
      <c r="I66" s="5">
        <v>5</v>
      </c>
      <c r="J66" s="12" t="s">
        <v>589</v>
      </c>
      <c r="K66" s="46">
        <v>0</v>
      </c>
      <c r="L66" s="10">
        <v>15.753</v>
      </c>
      <c r="M66" s="10">
        <v>10.981999999999999</v>
      </c>
      <c r="N66" s="46">
        <v>0</v>
      </c>
      <c r="O66" s="10">
        <v>3.343</v>
      </c>
      <c r="P66" s="10">
        <v>5.6120000000000001</v>
      </c>
      <c r="Q66" s="10">
        <v>6.8480000000000008</v>
      </c>
      <c r="R66" s="10">
        <v>1.3109999999999999</v>
      </c>
      <c r="S66" s="10">
        <v>7.9339999999999993</v>
      </c>
      <c r="T66" s="10">
        <v>2.7480000000000002</v>
      </c>
      <c r="U66" s="10">
        <v>13.907999999999999</v>
      </c>
      <c r="V66" s="10">
        <v>16.472000000000001</v>
      </c>
      <c r="W66" s="10">
        <v>9.5830000000000002</v>
      </c>
      <c r="X66" s="10">
        <v>8.5560000000000009</v>
      </c>
      <c r="Y66" s="10">
        <v>15.021000000000001</v>
      </c>
      <c r="Z66" s="10">
        <v>2.226</v>
      </c>
      <c r="AA66" s="10">
        <v>14.005999999999998</v>
      </c>
      <c r="AB66" s="10">
        <v>16.304000000000002</v>
      </c>
      <c r="AC66" s="10">
        <v>13.988</v>
      </c>
      <c r="AD66" s="10">
        <v>11.384</v>
      </c>
      <c r="AE66" s="10">
        <v>27.960999999999999</v>
      </c>
      <c r="AF66" s="10">
        <v>23.513999999999999</v>
      </c>
      <c r="AG66" s="10">
        <v>14.316000000000001</v>
      </c>
      <c r="AH66" s="10">
        <v>10.314</v>
      </c>
      <c r="AI66" s="46">
        <v>0</v>
      </c>
      <c r="AJ66" s="10">
        <v>25.555</v>
      </c>
      <c r="AK66" s="10">
        <v>11.968999999999999</v>
      </c>
      <c r="AL66" s="10">
        <v>16.151999999999997</v>
      </c>
      <c r="AM66" s="10">
        <v>15.026</v>
      </c>
      <c r="AN66" s="10">
        <v>4.4009999999999998</v>
      </c>
      <c r="AO66" s="10">
        <v>23.309000000000001</v>
      </c>
      <c r="AP66" s="46">
        <f t="shared" ref="AP66:AP97" si="4">AVERAGE(K66:AN66)</f>
        <v>10.839566666666666</v>
      </c>
      <c r="AQ66" s="7">
        <f t="shared" ref="AQ66:AQ97" si="5">AP66/I66</f>
        <v>2.1679133333333334</v>
      </c>
    </row>
    <row r="67" spans="1:43" x14ac:dyDescent="0.3">
      <c r="A67" s="5">
        <v>66</v>
      </c>
      <c r="B67" s="6" t="s">
        <v>49</v>
      </c>
      <c r="C67" s="10" t="s">
        <v>641</v>
      </c>
      <c r="D67" s="39" t="s">
        <v>725</v>
      </c>
      <c r="E67" s="6" t="s">
        <v>128</v>
      </c>
      <c r="F67" s="6" t="s">
        <v>12</v>
      </c>
      <c r="G67" s="6" t="s">
        <v>13</v>
      </c>
      <c r="H67" s="6" t="s">
        <v>35</v>
      </c>
      <c r="I67" s="5">
        <v>10</v>
      </c>
      <c r="J67" s="12" t="s">
        <v>589</v>
      </c>
      <c r="K67" s="10">
        <v>124.601</v>
      </c>
      <c r="L67" s="10">
        <v>98.375</v>
      </c>
      <c r="M67" s="10">
        <v>83.679000000000002</v>
      </c>
      <c r="N67" s="10">
        <v>77.213999999999999</v>
      </c>
      <c r="O67" s="10">
        <v>132.32300000000001</v>
      </c>
      <c r="P67" s="10">
        <v>86.074999999999989</v>
      </c>
      <c r="Q67" s="10">
        <v>92.090999999999994</v>
      </c>
      <c r="R67" s="10">
        <v>61.953000000000003</v>
      </c>
      <c r="S67" s="10">
        <v>81.427000000000021</v>
      </c>
      <c r="T67" s="10">
        <v>84.097999999999985</v>
      </c>
      <c r="U67" s="10">
        <v>60.69100000000001</v>
      </c>
      <c r="V67" s="10">
        <v>86.795999999999978</v>
      </c>
      <c r="W67" s="10">
        <v>88.46299999999998</v>
      </c>
      <c r="X67" s="10">
        <v>70.578999999999994</v>
      </c>
      <c r="Y67" s="10">
        <v>75.072000000000003</v>
      </c>
      <c r="Z67" s="10">
        <v>83.298999999999992</v>
      </c>
      <c r="AA67" s="10">
        <v>72.942000000000007</v>
      </c>
      <c r="AB67" s="10">
        <v>59.901000000000003</v>
      </c>
      <c r="AC67" s="10">
        <v>96.129000000000005</v>
      </c>
      <c r="AD67" s="10">
        <v>78.585000000000008</v>
      </c>
      <c r="AE67" s="10">
        <v>77.337000000000018</v>
      </c>
      <c r="AF67" s="10">
        <v>85.26600000000002</v>
      </c>
      <c r="AG67" s="10">
        <v>70.294999999999987</v>
      </c>
      <c r="AH67" s="10">
        <v>85.775000000000006</v>
      </c>
      <c r="AI67" s="10">
        <v>55.163000000000004</v>
      </c>
      <c r="AJ67" s="10">
        <v>69.596000000000004</v>
      </c>
      <c r="AK67" s="10">
        <v>76.926000000000002</v>
      </c>
      <c r="AL67" s="10">
        <v>71.125</v>
      </c>
      <c r="AM67" s="10">
        <v>69.142000000000024</v>
      </c>
      <c r="AN67" s="10">
        <v>86.906999999999996</v>
      </c>
      <c r="AO67" s="10">
        <v>62.262999999999998</v>
      </c>
      <c r="AP67" s="46">
        <f t="shared" si="4"/>
        <v>81.394166666666663</v>
      </c>
      <c r="AQ67" s="7">
        <f t="shared" si="5"/>
        <v>8.1394166666666656</v>
      </c>
    </row>
    <row r="68" spans="1:43" x14ac:dyDescent="0.3">
      <c r="A68" s="5">
        <v>67</v>
      </c>
      <c r="B68" s="6" t="s">
        <v>52</v>
      </c>
      <c r="C68" s="10" t="s">
        <v>642</v>
      </c>
      <c r="D68" s="39" t="s">
        <v>785</v>
      </c>
      <c r="E68" s="6" t="s">
        <v>128</v>
      </c>
      <c r="F68" s="6" t="s">
        <v>12</v>
      </c>
      <c r="G68" s="6" t="s">
        <v>13</v>
      </c>
      <c r="H68" s="6" t="s">
        <v>35</v>
      </c>
      <c r="I68" s="5">
        <v>3</v>
      </c>
      <c r="J68" s="12" t="s">
        <v>589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0</v>
      </c>
      <c r="AL68" s="46">
        <v>0</v>
      </c>
      <c r="AM68" s="46">
        <v>0</v>
      </c>
      <c r="AN68" s="46">
        <v>0</v>
      </c>
      <c r="AO68" s="46">
        <v>0</v>
      </c>
      <c r="AP68" s="46">
        <f t="shared" si="4"/>
        <v>0</v>
      </c>
      <c r="AQ68" s="7">
        <f t="shared" si="5"/>
        <v>0</v>
      </c>
    </row>
    <row r="69" spans="1:43" x14ac:dyDescent="0.3">
      <c r="A69" s="5">
        <v>68</v>
      </c>
      <c r="B69" s="6" t="s">
        <v>52</v>
      </c>
      <c r="C69" s="10" t="s">
        <v>643</v>
      </c>
      <c r="D69" s="39" t="s">
        <v>749</v>
      </c>
      <c r="E69" s="6" t="s">
        <v>128</v>
      </c>
      <c r="F69" s="6" t="s">
        <v>12</v>
      </c>
      <c r="G69" s="6" t="s">
        <v>13</v>
      </c>
      <c r="H69" s="6" t="s">
        <v>35</v>
      </c>
      <c r="I69" s="5">
        <v>7</v>
      </c>
      <c r="J69" s="12" t="s">
        <v>273</v>
      </c>
      <c r="K69" s="10">
        <v>96.879000000000019</v>
      </c>
      <c r="L69" s="10">
        <v>123.13700000000001</v>
      </c>
      <c r="M69" s="10">
        <v>116.69899999999998</v>
      </c>
      <c r="N69" s="10">
        <v>85.934999999999988</v>
      </c>
      <c r="O69" s="10">
        <v>106.66700000000002</v>
      </c>
      <c r="P69" s="10">
        <v>111.33800000000004</v>
      </c>
      <c r="Q69" s="10">
        <v>85.220999999999989</v>
      </c>
      <c r="R69" s="10">
        <v>85.527999999999992</v>
      </c>
      <c r="S69" s="10">
        <v>113.37400000000001</v>
      </c>
      <c r="T69" s="10">
        <v>93.839000000000013</v>
      </c>
      <c r="U69" s="10">
        <v>125.78199999999997</v>
      </c>
      <c r="V69" s="10">
        <v>94.11099999999999</v>
      </c>
      <c r="W69" s="10">
        <v>84.678000000000011</v>
      </c>
      <c r="X69" s="10">
        <v>117.83199999999999</v>
      </c>
      <c r="Y69" s="10">
        <v>74.59</v>
      </c>
      <c r="Z69" s="10">
        <v>130.483</v>
      </c>
      <c r="AA69" s="10">
        <v>77.064000000000007</v>
      </c>
      <c r="AB69" s="10">
        <v>56.923000000000002</v>
      </c>
      <c r="AC69" s="10">
        <v>132.08699999999999</v>
      </c>
      <c r="AD69" s="10">
        <v>89.537999999999997</v>
      </c>
      <c r="AE69" s="10">
        <v>84.509</v>
      </c>
      <c r="AF69" s="10">
        <v>111.92800000000003</v>
      </c>
      <c r="AG69" s="10">
        <v>143.506</v>
      </c>
      <c r="AH69" s="10">
        <v>47.345999999999997</v>
      </c>
      <c r="AI69" s="10">
        <v>118.49599999999998</v>
      </c>
      <c r="AJ69" s="10">
        <v>74.165999999999997</v>
      </c>
      <c r="AK69" s="10">
        <v>122.30600000000003</v>
      </c>
      <c r="AL69" s="10">
        <v>70.675999999999988</v>
      </c>
      <c r="AM69" s="10">
        <v>67.260000000000005</v>
      </c>
      <c r="AN69" s="10">
        <v>97.657999999999987</v>
      </c>
      <c r="AO69" s="10">
        <v>65.838999999999999</v>
      </c>
      <c r="AP69" s="46">
        <f t="shared" si="4"/>
        <v>97.98520000000002</v>
      </c>
      <c r="AQ69" s="7">
        <f t="shared" si="5"/>
        <v>13.997885714285717</v>
      </c>
    </row>
    <row r="70" spans="1:43" ht="16.5" customHeight="1" x14ac:dyDescent="0.3">
      <c r="A70" s="5">
        <v>69</v>
      </c>
      <c r="B70" s="6" t="s">
        <v>134</v>
      </c>
      <c r="C70" s="10" t="s">
        <v>644</v>
      </c>
      <c r="D70" s="39" t="s">
        <v>754</v>
      </c>
      <c r="E70" s="6" t="s">
        <v>128</v>
      </c>
      <c r="F70" s="6" t="s">
        <v>12</v>
      </c>
      <c r="G70" s="6" t="s">
        <v>13</v>
      </c>
      <c r="H70" s="6" t="s">
        <v>35</v>
      </c>
      <c r="I70" s="5">
        <v>7</v>
      </c>
      <c r="J70" s="12" t="s">
        <v>273</v>
      </c>
      <c r="K70" s="10">
        <v>89.74199999999999</v>
      </c>
      <c r="L70" s="10">
        <v>58.93399999999999</v>
      </c>
      <c r="M70" s="10">
        <v>66.815999999999988</v>
      </c>
      <c r="N70" s="10">
        <v>41.271999999999998</v>
      </c>
      <c r="O70" s="10">
        <v>37.125999999999991</v>
      </c>
      <c r="P70" s="10">
        <v>61.529000000000003</v>
      </c>
      <c r="Q70" s="10">
        <v>36.164000000000001</v>
      </c>
      <c r="R70" s="10">
        <v>57.431999999999995</v>
      </c>
      <c r="S70" s="10">
        <v>51.265999999999998</v>
      </c>
      <c r="T70" s="10">
        <v>44.024999999999999</v>
      </c>
      <c r="U70" s="10">
        <v>57.78</v>
      </c>
      <c r="V70" s="10">
        <v>48.730000000000004</v>
      </c>
      <c r="W70" s="10">
        <v>61.723999999999997</v>
      </c>
      <c r="X70" s="10">
        <v>48.384999999999998</v>
      </c>
      <c r="Y70" s="10">
        <v>39.981999999999999</v>
      </c>
      <c r="Z70" s="10">
        <v>51.847999999999999</v>
      </c>
      <c r="AA70" s="10">
        <v>50.277000000000008</v>
      </c>
      <c r="AB70" s="10">
        <v>62.278999999999996</v>
      </c>
      <c r="AC70" s="10">
        <v>30.355</v>
      </c>
      <c r="AD70" s="10">
        <v>55.481000000000009</v>
      </c>
      <c r="AE70" s="10">
        <v>43.070999999999998</v>
      </c>
      <c r="AF70" s="10">
        <v>65.166000000000011</v>
      </c>
      <c r="AG70" s="10">
        <v>52.646000000000001</v>
      </c>
      <c r="AH70" s="10">
        <v>41.350999999999992</v>
      </c>
      <c r="AI70" s="10">
        <v>37.235999999999997</v>
      </c>
      <c r="AJ70" s="10">
        <v>47.660000000000004</v>
      </c>
      <c r="AK70" s="10">
        <v>42.195999999999998</v>
      </c>
      <c r="AL70" s="10">
        <v>43.598999999999997</v>
      </c>
      <c r="AM70" s="10">
        <v>53.748999999999995</v>
      </c>
      <c r="AN70" s="10">
        <v>51.565999999999995</v>
      </c>
      <c r="AO70" s="10">
        <v>41.960999999999999</v>
      </c>
      <c r="AP70" s="46">
        <f t="shared" si="4"/>
        <v>50.979566666666656</v>
      </c>
      <c r="AQ70" s="7">
        <f t="shared" si="5"/>
        <v>7.282795238095237</v>
      </c>
    </row>
    <row r="71" spans="1:43" x14ac:dyDescent="0.3">
      <c r="A71" s="5">
        <v>70</v>
      </c>
      <c r="B71" s="12" t="s">
        <v>246</v>
      </c>
      <c r="C71" s="10" t="s">
        <v>645</v>
      </c>
      <c r="D71" s="39" t="s">
        <v>765</v>
      </c>
      <c r="E71" s="6" t="s">
        <v>128</v>
      </c>
      <c r="F71" s="6" t="s">
        <v>12</v>
      </c>
      <c r="G71" s="6" t="s">
        <v>13</v>
      </c>
      <c r="H71" s="6" t="s">
        <v>35</v>
      </c>
      <c r="I71" s="5">
        <v>5</v>
      </c>
      <c r="J71" s="12" t="s">
        <v>273</v>
      </c>
      <c r="K71" s="10">
        <v>39.606999999999999</v>
      </c>
      <c r="L71" s="10">
        <v>37.397999999999996</v>
      </c>
      <c r="M71" s="10">
        <v>14.561</v>
      </c>
      <c r="N71" s="10">
        <v>41.654999999999994</v>
      </c>
      <c r="O71" s="10">
        <v>20.228999999999999</v>
      </c>
      <c r="P71" s="10">
        <v>30.312999999999995</v>
      </c>
      <c r="Q71" s="10">
        <v>30.688999999999997</v>
      </c>
      <c r="R71" s="10">
        <v>19.672999999999998</v>
      </c>
      <c r="S71" s="10">
        <v>24.243000000000002</v>
      </c>
      <c r="T71" s="10">
        <v>24.282999999999998</v>
      </c>
      <c r="U71" s="10">
        <v>28.834000000000003</v>
      </c>
      <c r="V71" s="10">
        <v>35.748999999999995</v>
      </c>
      <c r="W71" s="10">
        <v>40.729999999999997</v>
      </c>
      <c r="X71" s="10">
        <v>26.807000000000002</v>
      </c>
      <c r="Y71" s="10">
        <v>25.670999999999999</v>
      </c>
      <c r="Z71" s="10">
        <v>14.21</v>
      </c>
      <c r="AA71" s="10">
        <v>41.731999999999999</v>
      </c>
      <c r="AB71" s="10">
        <v>26.244</v>
      </c>
      <c r="AC71" s="10">
        <v>31.2</v>
      </c>
      <c r="AD71" s="10">
        <v>18.535</v>
      </c>
      <c r="AE71" s="10">
        <v>41.413000000000004</v>
      </c>
      <c r="AF71" s="10">
        <v>21.770999999999997</v>
      </c>
      <c r="AG71" s="10">
        <v>36.164999999999999</v>
      </c>
      <c r="AH71" s="10">
        <v>35.896000000000001</v>
      </c>
      <c r="AI71" s="10">
        <v>20.7</v>
      </c>
      <c r="AJ71" s="10">
        <v>36.245999999999995</v>
      </c>
      <c r="AK71" s="10">
        <v>26.654000000000003</v>
      </c>
      <c r="AL71" s="10">
        <v>12.902999999999997</v>
      </c>
      <c r="AM71" s="10">
        <v>45.205000000000005</v>
      </c>
      <c r="AN71" s="10">
        <v>23.590000000000003</v>
      </c>
      <c r="AO71" s="10">
        <v>31.744</v>
      </c>
      <c r="AP71" s="46">
        <f t="shared" si="4"/>
        <v>29.096866666666667</v>
      </c>
      <c r="AQ71" s="7">
        <f t="shared" si="5"/>
        <v>5.8193733333333331</v>
      </c>
    </row>
    <row r="72" spans="1:43" x14ac:dyDescent="0.3">
      <c r="A72" s="5">
        <v>71</v>
      </c>
      <c r="B72" s="6" t="s">
        <v>58</v>
      </c>
      <c r="C72" s="10" t="s">
        <v>646</v>
      </c>
      <c r="D72" s="39" t="s">
        <v>724</v>
      </c>
      <c r="E72" s="6" t="s">
        <v>61</v>
      </c>
      <c r="F72" s="6" t="s">
        <v>12</v>
      </c>
      <c r="G72" s="6" t="s">
        <v>13</v>
      </c>
      <c r="H72" s="6" t="s">
        <v>35</v>
      </c>
      <c r="I72" s="5">
        <v>4</v>
      </c>
      <c r="J72" s="12" t="s">
        <v>589</v>
      </c>
      <c r="K72" s="10">
        <v>94.053999999999988</v>
      </c>
      <c r="L72" s="10">
        <v>81.000999999999976</v>
      </c>
      <c r="M72" s="10">
        <v>99.248000000000005</v>
      </c>
      <c r="N72" s="10">
        <v>104.253</v>
      </c>
      <c r="O72" s="10">
        <v>77.484999999999985</v>
      </c>
      <c r="P72" s="10">
        <v>89.575999999999979</v>
      </c>
      <c r="Q72" s="10">
        <v>93.248999999999981</v>
      </c>
      <c r="R72" s="10">
        <v>84.781999999999982</v>
      </c>
      <c r="S72" s="10">
        <v>70.972999999999999</v>
      </c>
      <c r="T72" s="10">
        <v>100.839</v>
      </c>
      <c r="U72" s="10">
        <v>84.8</v>
      </c>
      <c r="V72" s="10">
        <v>96.056999999999988</v>
      </c>
      <c r="W72" s="10">
        <v>100.23600000000002</v>
      </c>
      <c r="X72" s="10">
        <v>75.796999999999997</v>
      </c>
      <c r="Y72" s="10">
        <v>99.876000000000019</v>
      </c>
      <c r="Z72" s="10">
        <v>76.335999999999999</v>
      </c>
      <c r="AA72" s="10">
        <v>100.836</v>
      </c>
      <c r="AB72" s="10">
        <v>85.014999999999986</v>
      </c>
      <c r="AC72" s="10">
        <v>88.461999999999989</v>
      </c>
      <c r="AD72" s="10">
        <v>75.187999999999988</v>
      </c>
      <c r="AE72" s="10">
        <v>75.974999999999994</v>
      </c>
      <c r="AF72" s="10">
        <v>79.088999999999999</v>
      </c>
      <c r="AG72" s="10">
        <v>84.202999999999989</v>
      </c>
      <c r="AH72" s="10">
        <v>90.117999999999981</v>
      </c>
      <c r="AI72" s="10">
        <v>79.061000000000021</v>
      </c>
      <c r="AJ72" s="10">
        <v>66.427000000000007</v>
      </c>
      <c r="AK72" s="10">
        <v>76.791999999999987</v>
      </c>
      <c r="AL72" s="10">
        <v>78.8</v>
      </c>
      <c r="AM72" s="10">
        <v>77.092000000000013</v>
      </c>
      <c r="AN72" s="10">
        <v>82.336000000000013</v>
      </c>
      <c r="AO72" s="10">
        <v>69.462999999999994</v>
      </c>
      <c r="AP72" s="46">
        <f t="shared" si="4"/>
        <v>85.598533333333336</v>
      </c>
      <c r="AQ72" s="7">
        <f t="shared" si="5"/>
        <v>21.399633333333334</v>
      </c>
    </row>
    <row r="73" spans="1:43" x14ac:dyDescent="0.3">
      <c r="A73" s="5">
        <v>72</v>
      </c>
      <c r="B73" s="6" t="s">
        <v>58</v>
      </c>
      <c r="C73" s="10" t="s">
        <v>647</v>
      </c>
      <c r="D73" s="39" t="s">
        <v>727</v>
      </c>
      <c r="E73" s="6" t="s">
        <v>61</v>
      </c>
      <c r="F73" s="6" t="s">
        <v>12</v>
      </c>
      <c r="G73" s="6" t="s">
        <v>13</v>
      </c>
      <c r="H73" s="6" t="s">
        <v>35</v>
      </c>
      <c r="I73" s="5">
        <v>9</v>
      </c>
      <c r="J73" s="12" t="s">
        <v>589</v>
      </c>
      <c r="K73" s="10">
        <v>109.372</v>
      </c>
      <c r="L73" s="10">
        <v>180.50799999999995</v>
      </c>
      <c r="M73" s="10">
        <v>145.60300000000001</v>
      </c>
      <c r="N73" s="10">
        <v>130.36799999999997</v>
      </c>
      <c r="O73" s="10">
        <v>137.47500000000002</v>
      </c>
      <c r="P73" s="10">
        <v>109.27200000000001</v>
      </c>
      <c r="Q73" s="10">
        <v>119.661</v>
      </c>
      <c r="R73" s="10">
        <v>137.411</v>
      </c>
      <c r="S73" s="10">
        <v>125.014</v>
      </c>
      <c r="T73" s="10">
        <v>107.89699999999998</v>
      </c>
      <c r="U73" s="10">
        <v>123.03999999999999</v>
      </c>
      <c r="V73" s="10">
        <v>130.77999999999997</v>
      </c>
      <c r="W73" s="10">
        <v>131.14799999999997</v>
      </c>
      <c r="X73" s="10">
        <v>100.35499999999999</v>
      </c>
      <c r="Y73" s="10">
        <v>134.88200000000001</v>
      </c>
      <c r="Z73" s="10">
        <v>118.15199999999997</v>
      </c>
      <c r="AA73" s="10">
        <v>120.05399999999999</v>
      </c>
      <c r="AB73" s="10">
        <v>135.589</v>
      </c>
      <c r="AC73" s="10">
        <v>152.22899999999998</v>
      </c>
      <c r="AD73" s="10">
        <v>129.14799999999997</v>
      </c>
      <c r="AE73" s="10">
        <v>133.92000000000002</v>
      </c>
      <c r="AF73" s="10">
        <v>92.774000000000001</v>
      </c>
      <c r="AG73" s="10">
        <v>115.389</v>
      </c>
      <c r="AH73" s="10">
        <v>120.17900000000002</v>
      </c>
      <c r="AI73" s="10">
        <v>105.09900000000002</v>
      </c>
      <c r="AJ73" s="10">
        <v>126.61400000000003</v>
      </c>
      <c r="AK73" s="10">
        <v>104.26</v>
      </c>
      <c r="AL73" s="10">
        <v>130.01899999999998</v>
      </c>
      <c r="AM73" s="10">
        <v>101.768</v>
      </c>
      <c r="AN73" s="10">
        <v>153.60300000000001</v>
      </c>
      <c r="AO73" s="10">
        <v>105.18600000000001</v>
      </c>
      <c r="AP73" s="46">
        <f t="shared" si="4"/>
        <v>125.3861</v>
      </c>
      <c r="AQ73" s="7">
        <f t="shared" si="5"/>
        <v>13.931788888888889</v>
      </c>
    </row>
    <row r="74" spans="1:43" x14ac:dyDescent="0.3">
      <c r="A74" s="5">
        <v>73</v>
      </c>
      <c r="B74" s="6" t="s">
        <v>58</v>
      </c>
      <c r="C74" s="10" t="s">
        <v>648</v>
      </c>
      <c r="D74" s="39" t="s">
        <v>763</v>
      </c>
      <c r="E74" s="6" t="s">
        <v>63</v>
      </c>
      <c r="F74" s="6" t="s">
        <v>19</v>
      </c>
      <c r="G74" s="6" t="s">
        <v>13</v>
      </c>
      <c r="H74" s="12" t="s">
        <v>35</v>
      </c>
      <c r="I74" s="5">
        <v>8</v>
      </c>
      <c r="J74" s="94" t="s">
        <v>273</v>
      </c>
      <c r="K74" s="10">
        <v>50.147999999999996</v>
      </c>
      <c r="L74" s="10">
        <v>13.999000000000001</v>
      </c>
      <c r="M74" s="10">
        <v>55.58</v>
      </c>
      <c r="N74" s="10">
        <v>11.837</v>
      </c>
      <c r="O74" s="10">
        <v>15.350999999999999</v>
      </c>
      <c r="P74" s="10">
        <v>31.272000000000002</v>
      </c>
      <c r="Q74" s="10">
        <v>32.192</v>
      </c>
      <c r="R74" s="10">
        <v>31.614999999999998</v>
      </c>
      <c r="S74" s="10">
        <v>1.7919999999999998</v>
      </c>
      <c r="T74" s="10">
        <v>22.234999999999999</v>
      </c>
      <c r="U74" s="10">
        <v>37.161000000000001</v>
      </c>
      <c r="V74" s="10">
        <v>10.037000000000001</v>
      </c>
      <c r="W74" s="10">
        <v>25.175000000000001</v>
      </c>
      <c r="X74" s="10">
        <v>25.797999999999998</v>
      </c>
      <c r="Y74" s="10">
        <v>31.806999999999999</v>
      </c>
      <c r="Z74" s="10">
        <v>29.187999999999999</v>
      </c>
      <c r="AA74" s="10">
        <v>20.656999999999996</v>
      </c>
      <c r="AB74" s="10">
        <v>16.286999999999999</v>
      </c>
      <c r="AC74" s="10">
        <v>15.299999999999999</v>
      </c>
      <c r="AD74" s="10">
        <v>33.180999999999997</v>
      </c>
      <c r="AE74" s="10">
        <v>23.417000000000002</v>
      </c>
      <c r="AF74" s="10">
        <v>32.018999999999998</v>
      </c>
      <c r="AG74" s="10">
        <v>24.411999999999999</v>
      </c>
      <c r="AH74" s="10">
        <v>13.051000000000002</v>
      </c>
      <c r="AI74" s="10">
        <v>26.338000000000001</v>
      </c>
      <c r="AJ74" s="10">
        <v>16.943999999999999</v>
      </c>
      <c r="AK74" s="10">
        <v>6.8460000000000001</v>
      </c>
      <c r="AL74" s="10">
        <v>7.0040000000000004</v>
      </c>
      <c r="AM74" s="10">
        <v>14.436</v>
      </c>
      <c r="AN74" s="10">
        <v>17.821000000000002</v>
      </c>
      <c r="AO74" s="10">
        <v>18.350000000000001</v>
      </c>
      <c r="AP74" s="46">
        <f t="shared" si="4"/>
        <v>23.096666666666671</v>
      </c>
      <c r="AQ74" s="7">
        <f t="shared" si="5"/>
        <v>2.8870833333333339</v>
      </c>
    </row>
    <row r="75" spans="1:43" ht="15" customHeight="1" x14ac:dyDescent="0.3">
      <c r="A75" s="5">
        <v>74</v>
      </c>
      <c r="B75" s="6" t="s">
        <v>58</v>
      </c>
      <c r="C75" s="10" t="s">
        <v>648</v>
      </c>
      <c r="D75" s="39" t="s">
        <v>763</v>
      </c>
      <c r="E75" s="6" t="s">
        <v>63</v>
      </c>
      <c r="F75" s="6" t="s">
        <v>19</v>
      </c>
      <c r="G75" s="6" t="s">
        <v>64</v>
      </c>
      <c r="H75" s="6" t="s">
        <v>80</v>
      </c>
      <c r="I75" s="5">
        <v>1</v>
      </c>
      <c r="J75" s="94" t="s">
        <v>273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0</v>
      </c>
      <c r="AL75" s="46">
        <v>0</v>
      </c>
      <c r="AM75" s="46">
        <v>0</v>
      </c>
      <c r="AN75" s="46">
        <v>0</v>
      </c>
      <c r="AO75" s="46">
        <v>0</v>
      </c>
      <c r="AP75" s="46">
        <f t="shared" si="4"/>
        <v>0</v>
      </c>
      <c r="AQ75" s="7">
        <f t="shared" si="5"/>
        <v>0</v>
      </c>
    </row>
    <row r="76" spans="1:43" x14ac:dyDescent="0.3">
      <c r="A76" s="5">
        <v>75</v>
      </c>
      <c r="B76" s="6" t="s">
        <v>58</v>
      </c>
      <c r="C76" s="10" t="s">
        <v>649</v>
      </c>
      <c r="D76" s="39" t="s">
        <v>767</v>
      </c>
      <c r="E76" s="6" t="s">
        <v>128</v>
      </c>
      <c r="F76" s="6" t="s">
        <v>12</v>
      </c>
      <c r="G76" s="6" t="s">
        <v>13</v>
      </c>
      <c r="H76" s="12" t="s">
        <v>35</v>
      </c>
      <c r="I76" s="5">
        <v>7</v>
      </c>
      <c r="J76" s="94" t="s">
        <v>273</v>
      </c>
      <c r="K76" s="10">
        <v>129.464</v>
      </c>
      <c r="L76" s="10">
        <v>158.12700000000004</v>
      </c>
      <c r="M76" s="10">
        <v>127.60799999999998</v>
      </c>
      <c r="N76" s="10">
        <v>141.67899999999997</v>
      </c>
      <c r="O76" s="10">
        <v>142.16200000000001</v>
      </c>
      <c r="P76" s="10">
        <v>129.10500000000002</v>
      </c>
      <c r="Q76" s="10">
        <v>96.16</v>
      </c>
      <c r="R76" s="10">
        <v>143.12699999999998</v>
      </c>
      <c r="S76" s="10">
        <v>159.94299999999998</v>
      </c>
      <c r="T76" s="10">
        <v>140.98599999999999</v>
      </c>
      <c r="U76" s="10">
        <v>148.67099999999999</v>
      </c>
      <c r="V76" s="10">
        <v>131.94</v>
      </c>
      <c r="W76" s="10">
        <v>151.07300000000004</v>
      </c>
      <c r="X76" s="10">
        <v>166.66800000000001</v>
      </c>
      <c r="Y76" s="10">
        <v>155.04500000000002</v>
      </c>
      <c r="Z76" s="10">
        <v>141.684</v>
      </c>
      <c r="AA76" s="10">
        <v>154.05100000000002</v>
      </c>
      <c r="AB76" s="10">
        <v>135.33999999999997</v>
      </c>
      <c r="AC76" s="10">
        <v>150.00799999999998</v>
      </c>
      <c r="AD76" s="10">
        <v>160.24800000000002</v>
      </c>
      <c r="AE76" s="10">
        <v>91.572000000000017</v>
      </c>
      <c r="AF76" s="10">
        <v>119.456</v>
      </c>
      <c r="AG76" s="10">
        <v>122.56200000000001</v>
      </c>
      <c r="AH76" s="10">
        <v>98.23599999999999</v>
      </c>
      <c r="AI76" s="10">
        <v>112.66700000000003</v>
      </c>
      <c r="AJ76" s="10">
        <v>130.029</v>
      </c>
      <c r="AK76" s="10">
        <v>163.15199999999996</v>
      </c>
      <c r="AL76" s="10">
        <v>183.76900000000001</v>
      </c>
      <c r="AM76" s="10">
        <v>161.22200000000004</v>
      </c>
      <c r="AN76" s="10">
        <v>129.90100000000004</v>
      </c>
      <c r="AO76" s="10">
        <v>132.26</v>
      </c>
      <c r="AP76" s="46">
        <f t="shared" si="4"/>
        <v>139.18850000000003</v>
      </c>
      <c r="AQ76" s="7">
        <f t="shared" si="5"/>
        <v>19.884071428571435</v>
      </c>
    </row>
    <row r="77" spans="1:43" x14ac:dyDescent="0.3">
      <c r="A77" s="5">
        <v>76</v>
      </c>
      <c r="B77" s="6" t="s">
        <v>58</v>
      </c>
      <c r="C77" s="10" t="s">
        <v>650</v>
      </c>
      <c r="D77" s="39" t="s">
        <v>758</v>
      </c>
      <c r="E77" s="6" t="s">
        <v>128</v>
      </c>
      <c r="F77" s="6" t="s">
        <v>12</v>
      </c>
      <c r="G77" s="6" t="s">
        <v>13</v>
      </c>
      <c r="H77" s="12" t="s">
        <v>35</v>
      </c>
      <c r="I77" s="5">
        <v>10</v>
      </c>
      <c r="J77" s="94" t="s">
        <v>273</v>
      </c>
      <c r="K77" s="10">
        <v>145.09199999999998</v>
      </c>
      <c r="L77" s="10">
        <v>81.552000000000007</v>
      </c>
      <c r="M77" s="10">
        <v>123.97600000000001</v>
      </c>
      <c r="N77" s="10">
        <v>201.02900000000002</v>
      </c>
      <c r="O77" s="10">
        <v>130.60999999999999</v>
      </c>
      <c r="P77" s="10">
        <v>128.78899999999999</v>
      </c>
      <c r="Q77" s="10">
        <v>158.32000000000002</v>
      </c>
      <c r="R77" s="10">
        <v>136.251</v>
      </c>
      <c r="S77" s="10">
        <v>178.62599999999998</v>
      </c>
      <c r="T77" s="10">
        <v>137.369</v>
      </c>
      <c r="U77" s="10">
        <v>156.57900000000001</v>
      </c>
      <c r="V77" s="10">
        <v>104.28899999999999</v>
      </c>
      <c r="W77" s="10">
        <v>149.98699999999997</v>
      </c>
      <c r="X77" s="10">
        <v>150.15599999999998</v>
      </c>
      <c r="Y77" s="10">
        <v>119.84000000000006</v>
      </c>
      <c r="Z77" s="10">
        <v>120.06200000000005</v>
      </c>
      <c r="AA77" s="10">
        <v>176.488</v>
      </c>
      <c r="AB77" s="10">
        <v>142.40599999999998</v>
      </c>
      <c r="AC77" s="10">
        <v>150.98600000000002</v>
      </c>
      <c r="AD77" s="10">
        <v>166.90899999999999</v>
      </c>
      <c r="AE77" s="10">
        <v>131.34900000000002</v>
      </c>
      <c r="AF77" s="10">
        <v>150.43500000000009</v>
      </c>
      <c r="AG77" s="10">
        <v>105.82800000000002</v>
      </c>
      <c r="AH77" s="10">
        <v>164.71400000000003</v>
      </c>
      <c r="AI77" s="10">
        <v>104.477</v>
      </c>
      <c r="AJ77" s="10">
        <v>154.89300000000003</v>
      </c>
      <c r="AK77" s="10">
        <v>136.86400000000003</v>
      </c>
      <c r="AL77" s="10">
        <v>118.48000000000002</v>
      </c>
      <c r="AM77" s="10">
        <v>160.04900000000004</v>
      </c>
      <c r="AN77" s="10">
        <v>127.82100000000003</v>
      </c>
      <c r="AO77" s="10">
        <v>146.60799999999998</v>
      </c>
      <c r="AP77" s="46">
        <f t="shared" si="4"/>
        <v>140.4742</v>
      </c>
      <c r="AQ77" s="7">
        <f t="shared" si="5"/>
        <v>14.047419999999999</v>
      </c>
    </row>
    <row r="78" spans="1:43" x14ac:dyDescent="0.3">
      <c r="A78" s="5">
        <v>77</v>
      </c>
      <c r="B78" s="6" t="s">
        <v>58</v>
      </c>
      <c r="C78" s="10" t="s">
        <v>651</v>
      </c>
      <c r="D78" s="39" t="s">
        <v>756</v>
      </c>
      <c r="E78" s="6" t="s">
        <v>128</v>
      </c>
      <c r="F78" s="6" t="s">
        <v>12</v>
      </c>
      <c r="G78" s="6" t="s">
        <v>13</v>
      </c>
      <c r="H78" s="12" t="s">
        <v>35</v>
      </c>
      <c r="I78" s="5">
        <v>8</v>
      </c>
      <c r="J78" s="94" t="s">
        <v>273</v>
      </c>
      <c r="K78" s="10">
        <v>41.033999999999999</v>
      </c>
      <c r="L78" s="10">
        <v>73.41</v>
      </c>
      <c r="M78" s="10">
        <v>39.861999999999995</v>
      </c>
      <c r="N78" s="10">
        <v>51.261000000000003</v>
      </c>
      <c r="O78" s="10">
        <v>57.247999999999998</v>
      </c>
      <c r="P78" s="10">
        <v>60.853999999999999</v>
      </c>
      <c r="Q78" s="10">
        <v>66.3</v>
      </c>
      <c r="R78" s="10">
        <v>66.584000000000003</v>
      </c>
      <c r="S78" s="10">
        <v>56.047999999999995</v>
      </c>
      <c r="T78" s="10">
        <v>87.108999999999995</v>
      </c>
      <c r="U78" s="10">
        <v>66.448000000000008</v>
      </c>
      <c r="V78" s="10">
        <v>49.198</v>
      </c>
      <c r="W78" s="10">
        <v>40.013999999999996</v>
      </c>
      <c r="X78" s="10">
        <v>51.826999999999991</v>
      </c>
      <c r="Y78" s="10">
        <v>28.575999999999997</v>
      </c>
      <c r="Z78" s="10">
        <v>25.725999999999999</v>
      </c>
      <c r="AA78" s="10">
        <v>62.83</v>
      </c>
      <c r="AB78" s="10">
        <v>47.487000000000002</v>
      </c>
      <c r="AC78" s="10">
        <v>52.054000000000002</v>
      </c>
      <c r="AD78" s="10">
        <v>33.465000000000003</v>
      </c>
      <c r="AE78" s="10">
        <v>38.736999999999995</v>
      </c>
      <c r="AF78" s="10">
        <v>52.977999999999994</v>
      </c>
      <c r="AG78" s="10">
        <v>32.803000000000004</v>
      </c>
      <c r="AH78" s="10">
        <v>23.671999999999997</v>
      </c>
      <c r="AI78" s="10">
        <v>17.744</v>
      </c>
      <c r="AJ78" s="10">
        <v>27.152000000000001</v>
      </c>
      <c r="AK78" s="10">
        <v>34.152999999999999</v>
      </c>
      <c r="AL78" s="10">
        <v>11.206</v>
      </c>
      <c r="AM78" s="10">
        <v>19.929000000000002</v>
      </c>
      <c r="AN78" s="10">
        <v>26.439</v>
      </c>
      <c r="AO78" s="10">
        <v>15.731999999999998</v>
      </c>
      <c r="AP78" s="46">
        <f t="shared" si="4"/>
        <v>44.738266666666682</v>
      </c>
      <c r="AQ78" s="7">
        <f t="shared" si="5"/>
        <v>5.5922833333333353</v>
      </c>
    </row>
    <row r="79" spans="1:43" x14ac:dyDescent="0.3">
      <c r="A79" s="5">
        <v>78</v>
      </c>
      <c r="B79" s="6" t="s">
        <v>58</v>
      </c>
      <c r="C79" s="10" t="s">
        <v>652</v>
      </c>
      <c r="D79" s="39" t="s">
        <v>786</v>
      </c>
      <c r="E79" s="6" t="s">
        <v>128</v>
      </c>
      <c r="F79" s="6" t="s">
        <v>12</v>
      </c>
      <c r="G79" s="6" t="s">
        <v>13</v>
      </c>
      <c r="H79" s="12" t="s">
        <v>35</v>
      </c>
      <c r="I79" s="5">
        <v>6</v>
      </c>
      <c r="J79" s="94" t="s">
        <v>273</v>
      </c>
      <c r="K79" s="46">
        <v>0</v>
      </c>
      <c r="L79" s="46">
        <v>0</v>
      </c>
      <c r="M79" s="46">
        <v>0</v>
      </c>
      <c r="N79" s="10">
        <v>8.6519999999999992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v>0</v>
      </c>
      <c r="AO79" s="46">
        <v>0</v>
      </c>
      <c r="AP79" s="46">
        <f t="shared" si="4"/>
        <v>0.28839999999999999</v>
      </c>
      <c r="AQ79" s="7">
        <f t="shared" si="5"/>
        <v>4.8066666666666667E-2</v>
      </c>
    </row>
    <row r="80" spans="1:43" x14ac:dyDescent="0.3">
      <c r="A80" s="5">
        <v>79</v>
      </c>
      <c r="B80" s="6" t="s">
        <v>58</v>
      </c>
      <c r="C80" s="10" t="s">
        <v>653</v>
      </c>
      <c r="D80" s="12" t="s">
        <v>816</v>
      </c>
      <c r="E80" s="6" t="s">
        <v>128</v>
      </c>
      <c r="F80" s="6" t="s">
        <v>12</v>
      </c>
      <c r="G80" s="6" t="s">
        <v>13</v>
      </c>
      <c r="H80" s="12" t="s">
        <v>35</v>
      </c>
      <c r="I80" s="5">
        <v>2</v>
      </c>
      <c r="J80" s="94" t="s">
        <v>273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v>0</v>
      </c>
      <c r="AP80" s="46">
        <f t="shared" si="4"/>
        <v>0</v>
      </c>
      <c r="AQ80" s="7">
        <f t="shared" si="5"/>
        <v>0</v>
      </c>
    </row>
    <row r="81" spans="1:43" x14ac:dyDescent="0.3">
      <c r="A81" s="5">
        <v>80</v>
      </c>
      <c r="B81" s="6" t="s">
        <v>476</v>
      </c>
      <c r="C81" s="5" t="s">
        <v>698</v>
      </c>
      <c r="D81" s="39" t="s">
        <v>477</v>
      </c>
      <c r="E81" s="6" t="s">
        <v>128</v>
      </c>
      <c r="F81" s="6" t="s">
        <v>12</v>
      </c>
      <c r="G81" s="6" t="s">
        <v>13</v>
      </c>
      <c r="H81" s="12" t="s">
        <v>35</v>
      </c>
      <c r="I81" s="5">
        <v>1</v>
      </c>
      <c r="J81" s="67" t="s">
        <v>590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v>0</v>
      </c>
      <c r="AO81" s="46">
        <v>0</v>
      </c>
      <c r="AP81" s="46">
        <f t="shared" si="4"/>
        <v>0</v>
      </c>
      <c r="AQ81" s="7">
        <f t="shared" si="5"/>
        <v>0</v>
      </c>
    </row>
    <row r="82" spans="1:43" x14ac:dyDescent="0.3">
      <c r="A82" s="5">
        <v>81</v>
      </c>
      <c r="B82" s="6" t="s">
        <v>569</v>
      </c>
      <c r="C82" s="10" t="s">
        <v>656</v>
      </c>
      <c r="D82" s="39" t="s">
        <v>787</v>
      </c>
      <c r="E82" s="6" t="s">
        <v>61</v>
      </c>
      <c r="F82" s="6" t="s">
        <v>12</v>
      </c>
      <c r="G82" s="6" t="s">
        <v>13</v>
      </c>
      <c r="H82" s="12" t="s">
        <v>35</v>
      </c>
      <c r="I82" s="5">
        <v>14</v>
      </c>
      <c r="J82" s="67" t="s">
        <v>160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v>0</v>
      </c>
      <c r="AO82" s="46">
        <v>0</v>
      </c>
      <c r="AP82" s="46">
        <f t="shared" si="4"/>
        <v>0</v>
      </c>
      <c r="AQ82" s="7">
        <f t="shared" si="5"/>
        <v>0</v>
      </c>
    </row>
    <row r="83" spans="1:43" x14ac:dyDescent="0.3">
      <c r="A83" s="5">
        <v>82</v>
      </c>
      <c r="B83" s="6" t="s">
        <v>829</v>
      </c>
      <c r="C83" s="101" t="s">
        <v>831</v>
      </c>
      <c r="D83" t="s">
        <v>830</v>
      </c>
      <c r="E83" s="6" t="s">
        <v>128</v>
      </c>
      <c r="F83" s="6" t="s">
        <v>12</v>
      </c>
      <c r="G83" s="6" t="s">
        <v>255</v>
      </c>
      <c r="H83" s="6" t="s">
        <v>80</v>
      </c>
      <c r="I83" s="5">
        <v>1</v>
      </c>
      <c r="J83" s="67" t="s">
        <v>160</v>
      </c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>
        <v>0</v>
      </c>
      <c r="AK83" s="46">
        <v>0</v>
      </c>
      <c r="AL83" s="46">
        <v>0</v>
      </c>
      <c r="AM83" s="46">
        <v>0</v>
      </c>
      <c r="AN83" s="46">
        <v>0</v>
      </c>
      <c r="AO83" s="10">
        <v>4.9020000000000001</v>
      </c>
      <c r="AP83" s="46">
        <f t="shared" si="4"/>
        <v>0</v>
      </c>
      <c r="AQ83" s="7">
        <f t="shared" si="5"/>
        <v>0</v>
      </c>
    </row>
    <row r="84" spans="1:43" x14ac:dyDescent="0.3">
      <c r="A84" s="5">
        <v>83</v>
      </c>
      <c r="B84" s="6" t="s">
        <v>844</v>
      </c>
      <c r="C84" s="101" t="s">
        <v>845</v>
      </c>
      <c r="D84" s="104" t="s">
        <v>843</v>
      </c>
      <c r="E84" s="6" t="s">
        <v>128</v>
      </c>
      <c r="F84" s="6" t="s">
        <v>12</v>
      </c>
      <c r="G84" s="6" t="s">
        <v>255</v>
      </c>
      <c r="H84" s="6" t="s">
        <v>80</v>
      </c>
      <c r="I84" s="92">
        <v>1</v>
      </c>
      <c r="J84" s="67" t="s">
        <v>160</v>
      </c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>
        <v>0</v>
      </c>
      <c r="AF84" s="46">
        <v>0</v>
      </c>
      <c r="AG84" s="46">
        <v>0</v>
      </c>
      <c r="AH84" s="46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>
        <v>0</v>
      </c>
      <c r="AO84" s="46">
        <v>0</v>
      </c>
      <c r="AP84" s="46">
        <f t="shared" si="4"/>
        <v>0</v>
      </c>
      <c r="AQ84" s="7">
        <f t="shared" si="5"/>
        <v>0</v>
      </c>
    </row>
    <row r="85" spans="1:43" x14ac:dyDescent="0.3">
      <c r="A85" s="5">
        <v>84</v>
      </c>
      <c r="B85" s="6" t="s">
        <v>119</v>
      </c>
      <c r="C85" s="10" t="s">
        <v>654</v>
      </c>
      <c r="D85" s="39" t="s">
        <v>716</v>
      </c>
      <c r="E85" s="6" t="s">
        <v>30</v>
      </c>
      <c r="F85" s="6" t="s">
        <v>12</v>
      </c>
      <c r="G85" s="6" t="s">
        <v>121</v>
      </c>
      <c r="H85" s="6" t="s">
        <v>35</v>
      </c>
      <c r="I85" s="5">
        <v>20</v>
      </c>
      <c r="J85" s="12" t="s">
        <v>589</v>
      </c>
      <c r="K85" s="10">
        <v>7.0049999999999999</v>
      </c>
      <c r="L85" s="10">
        <v>10.124000000000001</v>
      </c>
      <c r="M85" s="10">
        <v>14.956999999999999</v>
      </c>
      <c r="N85" s="10">
        <v>17.965999999999998</v>
      </c>
      <c r="O85" s="10">
        <v>41.144999999999996</v>
      </c>
      <c r="P85" s="10">
        <v>39.123000000000005</v>
      </c>
      <c r="Q85" s="10">
        <v>25.072999999999997</v>
      </c>
      <c r="R85" s="10">
        <v>12.411000000000001</v>
      </c>
      <c r="S85" s="10">
        <v>21.887</v>
      </c>
      <c r="T85" s="10">
        <v>30.934999999999999</v>
      </c>
      <c r="U85" s="10">
        <v>27.696999999999999</v>
      </c>
      <c r="V85" s="10">
        <v>11.492000000000001</v>
      </c>
      <c r="W85" s="10">
        <v>22.341000000000001</v>
      </c>
      <c r="X85" s="10">
        <v>33.978999999999999</v>
      </c>
      <c r="Y85" s="10">
        <v>23.587000000000003</v>
      </c>
      <c r="Z85" s="10">
        <v>32.107999999999997</v>
      </c>
      <c r="AA85" s="10">
        <v>15.616000000000001</v>
      </c>
      <c r="AB85" s="10">
        <v>21.774999999999999</v>
      </c>
      <c r="AC85" s="10">
        <v>63.740000000000009</v>
      </c>
      <c r="AD85" s="10">
        <v>84.165999999999997</v>
      </c>
      <c r="AE85" s="10">
        <v>11.673</v>
      </c>
      <c r="AF85" s="10">
        <v>53.683</v>
      </c>
      <c r="AG85" s="10">
        <v>75.260999999999996</v>
      </c>
      <c r="AH85" s="10">
        <v>56.24</v>
      </c>
      <c r="AI85" s="10">
        <v>60.365999999999993</v>
      </c>
      <c r="AJ85" s="10">
        <v>50.511999999999993</v>
      </c>
      <c r="AK85" s="10">
        <v>68.980999999999995</v>
      </c>
      <c r="AL85" s="10">
        <v>56.219999999999992</v>
      </c>
      <c r="AM85" s="10">
        <v>27.504999999999999</v>
      </c>
      <c r="AN85" s="10">
        <v>42.655999999999992</v>
      </c>
      <c r="AO85" s="10">
        <v>21.931999999999999</v>
      </c>
      <c r="AP85" s="46">
        <f t="shared" si="4"/>
        <v>35.340799999999994</v>
      </c>
      <c r="AQ85" s="7">
        <f t="shared" si="5"/>
        <v>1.7670399999999997</v>
      </c>
    </row>
    <row r="86" spans="1:43" x14ac:dyDescent="0.3">
      <c r="A86" s="5">
        <v>85</v>
      </c>
      <c r="B86" s="6" t="s">
        <v>119</v>
      </c>
      <c r="C86" s="10" t="s">
        <v>655</v>
      </c>
      <c r="D86" s="39" t="s">
        <v>726</v>
      </c>
      <c r="E86" s="6" t="s">
        <v>30</v>
      </c>
      <c r="F86" s="6" t="s">
        <v>12</v>
      </c>
      <c r="G86" s="6" t="s">
        <v>121</v>
      </c>
      <c r="H86" s="6" t="s">
        <v>35</v>
      </c>
      <c r="I86" s="5">
        <v>3</v>
      </c>
      <c r="J86" s="12" t="s">
        <v>589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46">
        <v>0</v>
      </c>
      <c r="Q86" s="46">
        <v>0</v>
      </c>
      <c r="R86" s="46">
        <v>0</v>
      </c>
      <c r="S86" s="46">
        <v>0</v>
      </c>
      <c r="T86" s="10">
        <v>1.05</v>
      </c>
      <c r="U86" s="10">
        <v>18.209000000000003</v>
      </c>
      <c r="V86" s="10">
        <v>8.5850000000000009</v>
      </c>
      <c r="W86" s="10">
        <v>13.183999999999999</v>
      </c>
      <c r="X86" s="10">
        <v>34.131</v>
      </c>
      <c r="Y86" s="10">
        <v>27.015999999999998</v>
      </c>
      <c r="Z86" s="10">
        <v>14.315999999999999</v>
      </c>
      <c r="AA86" s="10">
        <v>26.952000000000002</v>
      </c>
      <c r="AB86" s="10">
        <v>20.857999999999997</v>
      </c>
      <c r="AC86" s="10">
        <v>27.905000000000005</v>
      </c>
      <c r="AD86" s="10">
        <v>28.218000000000004</v>
      </c>
      <c r="AE86" s="10">
        <v>40.155999999999999</v>
      </c>
      <c r="AF86" s="10">
        <v>42.583999999999996</v>
      </c>
      <c r="AG86" s="10">
        <v>8.3650000000000002</v>
      </c>
      <c r="AH86" s="10">
        <v>29.407000000000004</v>
      </c>
      <c r="AI86" s="10">
        <v>30.052000000000003</v>
      </c>
      <c r="AJ86" s="10">
        <v>23.395000000000003</v>
      </c>
      <c r="AK86" s="10">
        <v>21.850999999999999</v>
      </c>
      <c r="AL86" s="10">
        <v>14.382</v>
      </c>
      <c r="AM86" s="10">
        <v>14.815999999999999</v>
      </c>
      <c r="AN86" s="10">
        <v>20.896000000000001</v>
      </c>
      <c r="AO86" s="10">
        <v>39.796999999999997</v>
      </c>
      <c r="AP86" s="46">
        <f t="shared" si="4"/>
        <v>15.544266666666667</v>
      </c>
      <c r="AQ86" s="7">
        <f t="shared" si="5"/>
        <v>5.1814222222222224</v>
      </c>
    </row>
    <row r="87" spans="1:43" x14ac:dyDescent="0.3">
      <c r="A87" s="5">
        <v>86</v>
      </c>
      <c r="B87" s="6" t="s">
        <v>578</v>
      </c>
      <c r="C87" s="10" t="s">
        <v>657</v>
      </c>
      <c r="D87" s="39" t="s">
        <v>815</v>
      </c>
      <c r="E87" s="6" t="s">
        <v>128</v>
      </c>
      <c r="F87" s="6" t="s">
        <v>12</v>
      </c>
      <c r="G87" s="6" t="s">
        <v>255</v>
      </c>
      <c r="H87" s="6" t="s">
        <v>80</v>
      </c>
      <c r="I87" s="5">
        <v>1</v>
      </c>
      <c r="J87" s="67" t="s">
        <v>160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0</v>
      </c>
      <c r="AJ87" s="46">
        <v>0</v>
      </c>
      <c r="AK87" s="46">
        <v>0</v>
      </c>
      <c r="AL87" s="46">
        <v>0</v>
      </c>
      <c r="AM87" s="46">
        <v>0</v>
      </c>
      <c r="AN87" s="46">
        <v>0</v>
      </c>
      <c r="AO87" s="46">
        <v>0</v>
      </c>
      <c r="AP87" s="46">
        <f t="shared" si="4"/>
        <v>0</v>
      </c>
      <c r="AQ87" s="7">
        <f t="shared" si="5"/>
        <v>0</v>
      </c>
    </row>
    <row r="88" spans="1:43" x14ac:dyDescent="0.3">
      <c r="A88" s="5">
        <v>87</v>
      </c>
      <c r="B88" s="6" t="s">
        <v>576</v>
      </c>
      <c r="C88" s="10" t="s">
        <v>658</v>
      </c>
      <c r="D88" s="39" t="s">
        <v>788</v>
      </c>
      <c r="E88" s="6" t="s">
        <v>128</v>
      </c>
      <c r="F88" s="6" t="s">
        <v>12</v>
      </c>
      <c r="G88" s="6" t="s">
        <v>255</v>
      </c>
      <c r="H88" s="6" t="s">
        <v>80</v>
      </c>
      <c r="I88" s="5">
        <v>1</v>
      </c>
      <c r="J88" s="67" t="s">
        <v>160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10">
        <v>10.61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6">
        <v>0</v>
      </c>
      <c r="AI88" s="46">
        <v>0</v>
      </c>
      <c r="AJ88" s="46">
        <v>0</v>
      </c>
      <c r="AK88" s="46">
        <v>0</v>
      </c>
      <c r="AL88" s="46">
        <v>0</v>
      </c>
      <c r="AM88" s="46">
        <v>0</v>
      </c>
      <c r="AN88" s="46">
        <v>0</v>
      </c>
      <c r="AO88" s="46">
        <v>0</v>
      </c>
      <c r="AP88" s="46">
        <f t="shared" si="4"/>
        <v>0.35366666666666663</v>
      </c>
      <c r="AQ88" s="7">
        <f t="shared" si="5"/>
        <v>0.35366666666666663</v>
      </c>
    </row>
    <row r="89" spans="1:43" x14ac:dyDescent="0.3">
      <c r="A89" s="5">
        <v>88</v>
      </c>
      <c r="B89" s="6" t="s">
        <v>499</v>
      </c>
      <c r="C89" s="10" t="s">
        <v>660</v>
      </c>
      <c r="D89" s="39" t="s">
        <v>789</v>
      </c>
      <c r="E89" s="6" t="s">
        <v>128</v>
      </c>
      <c r="F89" s="6" t="s">
        <v>12</v>
      </c>
      <c r="G89" s="6" t="s">
        <v>255</v>
      </c>
      <c r="H89" s="6" t="s">
        <v>80</v>
      </c>
      <c r="I89" s="5">
        <v>1</v>
      </c>
      <c r="J89" s="67" t="s">
        <v>160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v>0</v>
      </c>
      <c r="AN89" s="46">
        <v>0</v>
      </c>
      <c r="AO89" s="46">
        <v>0</v>
      </c>
      <c r="AP89" s="46">
        <f t="shared" si="4"/>
        <v>0</v>
      </c>
      <c r="AQ89" s="7">
        <f t="shared" si="5"/>
        <v>0</v>
      </c>
    </row>
    <row r="90" spans="1:43" x14ac:dyDescent="0.3">
      <c r="A90" s="5">
        <v>89</v>
      </c>
      <c r="B90" s="87" t="s">
        <v>560</v>
      </c>
      <c r="C90" s="10" t="s">
        <v>661</v>
      </c>
      <c r="D90" s="39" t="s">
        <v>790</v>
      </c>
      <c r="E90" s="6" t="s">
        <v>128</v>
      </c>
      <c r="F90" s="6" t="s">
        <v>12</v>
      </c>
      <c r="G90" s="6" t="s">
        <v>255</v>
      </c>
      <c r="H90" s="6" t="s">
        <v>80</v>
      </c>
      <c r="I90" s="5">
        <v>1</v>
      </c>
      <c r="J90" s="67" t="s">
        <v>160</v>
      </c>
      <c r="K90" s="45">
        <v>0</v>
      </c>
      <c r="L90" s="45">
        <v>0</v>
      </c>
      <c r="M90" s="45">
        <v>0</v>
      </c>
      <c r="N90" s="45">
        <v>0</v>
      </c>
      <c r="O90" s="10">
        <v>38.079000000000001</v>
      </c>
      <c r="P90" s="10">
        <v>38.180000000000007</v>
      </c>
      <c r="Q90" s="46">
        <v>0</v>
      </c>
      <c r="R90" s="46">
        <v>0</v>
      </c>
      <c r="S90" s="10">
        <v>19.626999999999999</v>
      </c>
      <c r="T90" s="46">
        <v>0</v>
      </c>
      <c r="U90" s="10">
        <v>19.817</v>
      </c>
      <c r="V90" s="46">
        <v>0</v>
      </c>
      <c r="W90" s="10">
        <v>18.71</v>
      </c>
      <c r="X90" s="10">
        <v>30.806000000000004</v>
      </c>
      <c r="Y90" s="46">
        <v>0</v>
      </c>
      <c r="Z90" s="46">
        <v>0</v>
      </c>
      <c r="AA90" s="10">
        <v>39.768999999999998</v>
      </c>
      <c r="AB90" s="46">
        <v>0</v>
      </c>
      <c r="AC90" s="46">
        <v>0</v>
      </c>
      <c r="AD90" s="10">
        <v>37.589999999999996</v>
      </c>
      <c r="AE90" s="10">
        <v>20.733000000000001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v>0</v>
      </c>
      <c r="AN90" s="46">
        <v>0</v>
      </c>
      <c r="AO90" s="46">
        <v>0</v>
      </c>
      <c r="AP90" s="46">
        <f t="shared" si="4"/>
        <v>8.7770333333333337</v>
      </c>
      <c r="AQ90" s="7">
        <f t="shared" si="5"/>
        <v>8.7770333333333337</v>
      </c>
    </row>
    <row r="91" spans="1:43" x14ac:dyDescent="0.3">
      <c r="A91" s="5">
        <v>90</v>
      </c>
      <c r="B91" s="87" t="s">
        <v>563</v>
      </c>
      <c r="C91" s="10" t="s">
        <v>659</v>
      </c>
      <c r="D91" s="39" t="s">
        <v>791</v>
      </c>
      <c r="E91" s="6" t="s">
        <v>128</v>
      </c>
      <c r="F91" s="6" t="s">
        <v>12</v>
      </c>
      <c r="G91" s="6" t="s">
        <v>255</v>
      </c>
      <c r="H91" s="6" t="s">
        <v>80</v>
      </c>
      <c r="I91" s="5">
        <v>1</v>
      </c>
      <c r="J91" s="67" t="s">
        <v>160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0</v>
      </c>
      <c r="AL91" s="46">
        <v>0</v>
      </c>
      <c r="AM91" s="46">
        <v>0</v>
      </c>
      <c r="AN91" s="46">
        <v>0</v>
      </c>
      <c r="AO91" s="46">
        <v>0</v>
      </c>
      <c r="AP91" s="46">
        <f t="shared" si="4"/>
        <v>0</v>
      </c>
      <c r="AQ91" s="7">
        <f t="shared" si="5"/>
        <v>0</v>
      </c>
    </row>
    <row r="92" spans="1:43" x14ac:dyDescent="0.3">
      <c r="A92" s="5">
        <v>91</v>
      </c>
      <c r="B92" s="101" t="s">
        <v>832</v>
      </c>
      <c r="C92" s="101" t="s">
        <v>833</v>
      </c>
      <c r="D92" s="102" t="s">
        <v>834</v>
      </c>
      <c r="E92" s="6" t="s">
        <v>128</v>
      </c>
      <c r="F92" s="6" t="s">
        <v>12</v>
      </c>
      <c r="G92" s="6" t="s">
        <v>255</v>
      </c>
      <c r="H92" s="6" t="s">
        <v>80</v>
      </c>
      <c r="I92" s="92">
        <v>1</v>
      </c>
      <c r="J92" s="67" t="s">
        <v>160</v>
      </c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>
        <v>0</v>
      </c>
      <c r="AB92" s="10">
        <v>2.78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v>0</v>
      </c>
      <c r="AP92" s="46">
        <f t="shared" si="4"/>
        <v>0.19857142857142857</v>
      </c>
      <c r="AQ92" s="7">
        <f t="shared" si="5"/>
        <v>0.19857142857142857</v>
      </c>
    </row>
    <row r="93" spans="1:43" x14ac:dyDescent="0.3">
      <c r="A93" s="5">
        <v>92</v>
      </c>
      <c r="B93" s="87" t="s">
        <v>597</v>
      </c>
      <c r="C93" s="97" t="s">
        <v>699</v>
      </c>
      <c r="D93" s="39" t="s">
        <v>792</v>
      </c>
      <c r="E93" s="6" t="s">
        <v>128</v>
      </c>
      <c r="F93" s="6" t="s">
        <v>12</v>
      </c>
      <c r="G93" s="6" t="s">
        <v>255</v>
      </c>
      <c r="H93" s="6" t="s">
        <v>80</v>
      </c>
      <c r="I93" s="5">
        <v>1</v>
      </c>
      <c r="J93" s="67" t="s">
        <v>160</v>
      </c>
      <c r="K93" s="46"/>
      <c r="L93" s="46">
        <v>0</v>
      </c>
      <c r="M93" s="46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0</v>
      </c>
      <c r="AL93" s="46">
        <v>0</v>
      </c>
      <c r="AM93" s="46">
        <v>0</v>
      </c>
      <c r="AN93" s="46">
        <v>0</v>
      </c>
      <c r="AO93" s="46">
        <v>0</v>
      </c>
      <c r="AP93" s="46">
        <f t="shared" si="4"/>
        <v>0</v>
      </c>
      <c r="AQ93" s="7">
        <f t="shared" si="5"/>
        <v>0</v>
      </c>
    </row>
    <row r="94" spans="1:43" x14ac:dyDescent="0.3">
      <c r="A94" s="5">
        <v>93</v>
      </c>
      <c r="B94" s="87" t="s">
        <v>598</v>
      </c>
      <c r="C94" s="97" t="s">
        <v>700</v>
      </c>
      <c r="D94" s="39" t="s">
        <v>793</v>
      </c>
      <c r="E94" s="6" t="s">
        <v>128</v>
      </c>
      <c r="F94" s="6" t="s">
        <v>12</v>
      </c>
      <c r="G94" s="6" t="s">
        <v>255</v>
      </c>
      <c r="H94" s="6" t="s">
        <v>80</v>
      </c>
      <c r="I94" s="5">
        <v>1</v>
      </c>
      <c r="J94" s="67" t="s">
        <v>160</v>
      </c>
      <c r="K94" s="46"/>
      <c r="L94" s="46">
        <v>0</v>
      </c>
      <c r="M94" s="46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0</v>
      </c>
      <c r="AL94" s="46">
        <v>0</v>
      </c>
      <c r="AM94" s="46">
        <v>0</v>
      </c>
      <c r="AN94" s="46">
        <v>0</v>
      </c>
      <c r="AO94" s="46">
        <v>0</v>
      </c>
      <c r="AP94" s="46">
        <f t="shared" si="4"/>
        <v>0</v>
      </c>
      <c r="AQ94" s="7">
        <f t="shared" si="5"/>
        <v>0</v>
      </c>
    </row>
    <row r="95" spans="1:43" x14ac:dyDescent="0.3">
      <c r="A95" s="5">
        <v>94</v>
      </c>
      <c r="B95" s="87" t="s">
        <v>708</v>
      </c>
      <c r="C95" s="97" t="s">
        <v>709</v>
      </c>
      <c r="D95" s="39" t="s">
        <v>794</v>
      </c>
      <c r="E95" s="6" t="s">
        <v>128</v>
      </c>
      <c r="F95" s="6" t="s">
        <v>12</v>
      </c>
      <c r="G95" s="6" t="s">
        <v>255</v>
      </c>
      <c r="H95" s="6" t="s">
        <v>80</v>
      </c>
      <c r="I95" s="5">
        <v>1</v>
      </c>
      <c r="J95" s="67" t="s">
        <v>160</v>
      </c>
      <c r="K95" s="46"/>
      <c r="L95" s="46"/>
      <c r="M95" s="46"/>
      <c r="N95" s="46"/>
      <c r="O95" s="46"/>
      <c r="P95" s="10">
        <v>0.74299999999999999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v>0</v>
      </c>
      <c r="AP95" s="46">
        <f t="shared" si="4"/>
        <v>2.972E-2</v>
      </c>
      <c r="AQ95" s="7">
        <f t="shared" si="5"/>
        <v>2.972E-2</v>
      </c>
    </row>
    <row r="96" spans="1:43" x14ac:dyDescent="0.3">
      <c r="A96" s="5">
        <v>95</v>
      </c>
      <c r="B96" s="39" t="s">
        <v>822</v>
      </c>
      <c r="C96" s="100" t="s">
        <v>823</v>
      </c>
      <c r="D96" s="12" t="s">
        <v>824</v>
      </c>
      <c r="E96" s="6" t="s">
        <v>128</v>
      </c>
      <c r="F96" s="6" t="s">
        <v>12</v>
      </c>
      <c r="G96" s="6" t="s">
        <v>255</v>
      </c>
      <c r="H96" s="6" t="s">
        <v>80</v>
      </c>
      <c r="I96" s="5">
        <v>1</v>
      </c>
      <c r="J96" s="67" t="s">
        <v>160</v>
      </c>
      <c r="K96" s="46"/>
      <c r="L96" s="46"/>
      <c r="M96" s="46"/>
      <c r="N96" s="46"/>
      <c r="O96" s="46"/>
      <c r="P96" s="10"/>
      <c r="Q96" s="46"/>
      <c r="R96" s="46"/>
      <c r="S96" s="46"/>
      <c r="T96" s="46"/>
      <c r="U96" s="46"/>
      <c r="V96" s="46"/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10">
        <v>9.41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0</v>
      </c>
      <c r="AL96" s="46">
        <v>0</v>
      </c>
      <c r="AM96" s="46">
        <v>0</v>
      </c>
      <c r="AN96" s="46">
        <v>0</v>
      </c>
      <c r="AO96" s="46">
        <v>0</v>
      </c>
      <c r="AP96" s="46">
        <f t="shared" si="4"/>
        <v>0.52277777777777779</v>
      </c>
      <c r="AQ96" s="7">
        <f t="shared" si="5"/>
        <v>0.52277777777777779</v>
      </c>
    </row>
    <row r="97" spans="1:43" x14ac:dyDescent="0.3">
      <c r="A97" s="5">
        <v>96</v>
      </c>
      <c r="B97" s="6" t="s">
        <v>55</v>
      </c>
      <c r="C97" s="10" t="s">
        <v>662</v>
      </c>
      <c r="D97" s="39" t="s">
        <v>731</v>
      </c>
      <c r="E97" s="6" t="s">
        <v>57</v>
      </c>
      <c r="F97" s="6" t="s">
        <v>12</v>
      </c>
      <c r="G97" s="6" t="s">
        <v>13</v>
      </c>
      <c r="H97" s="6" t="s">
        <v>35</v>
      </c>
      <c r="I97" s="5">
        <v>40</v>
      </c>
      <c r="J97" s="12" t="s">
        <v>589</v>
      </c>
      <c r="K97" s="10">
        <v>543.32099999999991</v>
      </c>
      <c r="L97" s="10">
        <v>250.92800000000003</v>
      </c>
      <c r="M97" s="10">
        <v>309.95299999999997</v>
      </c>
      <c r="N97" s="10">
        <v>318.26999999999987</v>
      </c>
      <c r="O97" s="10">
        <v>364.92200000000003</v>
      </c>
      <c r="P97" s="10">
        <v>286.08899999999988</v>
      </c>
      <c r="Q97" s="10">
        <v>384.61099999999999</v>
      </c>
      <c r="R97" s="10">
        <v>543.81999999999994</v>
      </c>
      <c r="S97" s="10">
        <v>302.28500000000003</v>
      </c>
      <c r="T97" s="10">
        <v>225.23099999999999</v>
      </c>
      <c r="U97" s="10">
        <v>416.63399999999996</v>
      </c>
      <c r="V97" s="10">
        <v>371.86799999999999</v>
      </c>
      <c r="W97" s="10">
        <v>436.35500000000013</v>
      </c>
      <c r="X97" s="10">
        <v>387.50199999999995</v>
      </c>
      <c r="Y97" s="10">
        <v>434.79600000000005</v>
      </c>
      <c r="Z97" s="10">
        <v>310.85499999999996</v>
      </c>
      <c r="AA97" s="10">
        <v>222.00999999999996</v>
      </c>
      <c r="AB97" s="10">
        <v>434.70100000000002</v>
      </c>
      <c r="AC97" s="10">
        <v>561.28699999999992</v>
      </c>
      <c r="AD97" s="10">
        <v>507.32400000000013</v>
      </c>
      <c r="AE97" s="10">
        <v>607.99499999999989</v>
      </c>
      <c r="AF97" s="10">
        <v>699.47200000000021</v>
      </c>
      <c r="AG97" s="10">
        <v>462.54100000000017</v>
      </c>
      <c r="AH97" s="10">
        <v>204.20199999999997</v>
      </c>
      <c r="AI97" s="10">
        <v>683.346</v>
      </c>
      <c r="AJ97" s="10">
        <v>666.36199999999974</v>
      </c>
      <c r="AK97" s="10">
        <v>682.16499999999996</v>
      </c>
      <c r="AL97" s="10">
        <v>662.11099999999988</v>
      </c>
      <c r="AM97" s="10">
        <v>704.9649999999998</v>
      </c>
      <c r="AN97" s="10">
        <v>478.55600000000004</v>
      </c>
      <c r="AO97" s="10">
        <v>184.749</v>
      </c>
      <c r="AP97" s="46">
        <f t="shared" si="4"/>
        <v>448.81589999999994</v>
      </c>
      <c r="AQ97" s="7">
        <f t="shared" si="5"/>
        <v>11.220397499999999</v>
      </c>
    </row>
    <row r="98" spans="1:43" x14ac:dyDescent="0.3">
      <c r="A98" s="5">
        <v>97</v>
      </c>
      <c r="B98" s="12" t="s">
        <v>221</v>
      </c>
      <c r="C98" s="10" t="s">
        <v>664</v>
      </c>
      <c r="D98" s="39" t="s">
        <v>795</v>
      </c>
      <c r="E98" s="6" t="s">
        <v>30</v>
      </c>
      <c r="F98" s="6" t="s">
        <v>12</v>
      </c>
      <c r="G98" s="6" t="s">
        <v>13</v>
      </c>
      <c r="H98" s="6" t="s">
        <v>35</v>
      </c>
      <c r="I98" s="5">
        <v>19</v>
      </c>
      <c r="J98" s="12" t="s">
        <v>589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v>0</v>
      </c>
      <c r="AN98" s="46">
        <v>0</v>
      </c>
      <c r="AO98" s="46">
        <v>0</v>
      </c>
      <c r="AP98" s="46">
        <f t="shared" ref="AP98:AP129" si="6">AVERAGE(K98:AN98)</f>
        <v>0</v>
      </c>
      <c r="AQ98" s="7">
        <f t="shared" ref="AQ98:AQ129" si="7">AP98/I98</f>
        <v>0</v>
      </c>
    </row>
    <row r="99" spans="1:43" ht="13.5" customHeight="1" x14ac:dyDescent="0.3">
      <c r="A99" s="5">
        <v>98</v>
      </c>
      <c r="B99" s="12" t="s">
        <v>222</v>
      </c>
      <c r="C99" s="10" t="s">
        <v>663</v>
      </c>
      <c r="D99" s="39" t="s">
        <v>796</v>
      </c>
      <c r="E99" s="6" t="s">
        <v>69</v>
      </c>
      <c r="F99" s="6" t="s">
        <v>12</v>
      </c>
      <c r="G99" s="6" t="s">
        <v>40</v>
      </c>
      <c r="H99" s="6" t="s">
        <v>35</v>
      </c>
      <c r="I99" s="5">
        <v>2</v>
      </c>
      <c r="J99" s="12" t="s">
        <v>160</v>
      </c>
      <c r="K99" s="46">
        <v>0</v>
      </c>
      <c r="L99" s="46">
        <v>0</v>
      </c>
      <c r="M99" s="46">
        <v>0</v>
      </c>
      <c r="N99" s="10">
        <v>2.8250000000000002</v>
      </c>
      <c r="O99" s="10">
        <v>3.016</v>
      </c>
      <c r="P99" s="10">
        <v>31.556000000000001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10">
        <v>4.6239999999999997</v>
      </c>
      <c r="W99" s="10">
        <v>10.367000000000001</v>
      </c>
      <c r="X99" s="46">
        <v>0</v>
      </c>
      <c r="Y99" s="10">
        <v>17.471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10">
        <v>25.808999999999997</v>
      </c>
      <c r="AG99" s="10">
        <v>0.626</v>
      </c>
      <c r="AH99" s="46">
        <v>0</v>
      </c>
      <c r="AI99" s="46">
        <v>0</v>
      </c>
      <c r="AJ99" s="10">
        <v>37.773000000000003</v>
      </c>
      <c r="AK99" s="46">
        <v>0</v>
      </c>
      <c r="AL99" s="10">
        <v>8.8580000000000005</v>
      </c>
      <c r="AM99" s="10">
        <v>34.56</v>
      </c>
      <c r="AN99" s="46">
        <v>0</v>
      </c>
      <c r="AO99" s="46">
        <v>0</v>
      </c>
      <c r="AP99" s="46">
        <f t="shared" si="6"/>
        <v>5.9161666666666672</v>
      </c>
      <c r="AQ99" s="7">
        <f t="shared" si="7"/>
        <v>2.9580833333333336</v>
      </c>
    </row>
    <row r="100" spans="1:43" x14ac:dyDescent="0.3">
      <c r="A100" s="5">
        <v>99</v>
      </c>
      <c r="B100" s="12" t="s">
        <v>175</v>
      </c>
      <c r="C100" s="10" t="s">
        <v>665</v>
      </c>
      <c r="D100" s="39" t="s">
        <v>718</v>
      </c>
      <c r="E100" s="6" t="s">
        <v>128</v>
      </c>
      <c r="F100" s="6" t="s">
        <v>12</v>
      </c>
      <c r="G100" s="6" t="s">
        <v>121</v>
      </c>
      <c r="H100" s="6" t="s">
        <v>35</v>
      </c>
      <c r="I100" s="5">
        <v>6</v>
      </c>
      <c r="J100" s="12" t="s">
        <v>589</v>
      </c>
      <c r="K100" s="10">
        <v>166.636</v>
      </c>
      <c r="L100" s="10">
        <v>177.21100000000001</v>
      </c>
      <c r="M100" s="10">
        <v>112.633</v>
      </c>
      <c r="N100" s="10">
        <v>164.75200000000001</v>
      </c>
      <c r="O100" s="10">
        <v>69.275000000000006</v>
      </c>
      <c r="P100" s="10">
        <v>70.779999999999973</v>
      </c>
      <c r="Q100" s="10">
        <v>97.786000000000016</v>
      </c>
      <c r="R100" s="10">
        <v>147.73600000000008</v>
      </c>
      <c r="S100" s="10">
        <v>177.38200000000012</v>
      </c>
      <c r="T100" s="10">
        <v>144.37200000000001</v>
      </c>
      <c r="U100" s="10">
        <v>139.91700000000006</v>
      </c>
      <c r="V100" s="10">
        <v>140.08499999999998</v>
      </c>
      <c r="W100" s="10">
        <v>151.84500000000003</v>
      </c>
      <c r="X100" s="10">
        <v>159.22999999999996</v>
      </c>
      <c r="Y100" s="10">
        <v>69.600000000000009</v>
      </c>
      <c r="Z100" s="10">
        <v>36.155000000000008</v>
      </c>
      <c r="AA100" s="10">
        <v>14.564999999999998</v>
      </c>
      <c r="AB100" s="10">
        <v>4.7850000000000001</v>
      </c>
      <c r="AC100" s="10">
        <v>119.84599999999999</v>
      </c>
      <c r="AD100" s="10">
        <v>39.563000000000009</v>
      </c>
      <c r="AE100" s="46">
        <v>0</v>
      </c>
      <c r="AF100" s="10">
        <v>7.6590000000000007</v>
      </c>
      <c r="AG100" s="10">
        <v>5.0939999999999994</v>
      </c>
      <c r="AH100" s="10">
        <v>208.28799999999993</v>
      </c>
      <c r="AI100" s="10">
        <v>142.149</v>
      </c>
      <c r="AJ100" s="10">
        <v>161.654</v>
      </c>
      <c r="AK100" s="10">
        <v>154.36899999999997</v>
      </c>
      <c r="AL100" s="10">
        <v>175.38199999999998</v>
      </c>
      <c r="AM100" s="10">
        <v>173.27299999999997</v>
      </c>
      <c r="AN100" s="10">
        <v>181.13099999999997</v>
      </c>
      <c r="AO100" s="10">
        <v>179.19000000000003</v>
      </c>
      <c r="AP100" s="46">
        <f t="shared" si="6"/>
        <v>113.77176666666669</v>
      </c>
      <c r="AQ100" s="7">
        <f t="shared" si="7"/>
        <v>18.961961111111115</v>
      </c>
    </row>
    <row r="101" spans="1:43" x14ac:dyDescent="0.3">
      <c r="A101" s="5">
        <v>100</v>
      </c>
      <c r="B101" s="12" t="s">
        <v>175</v>
      </c>
      <c r="C101" s="10" t="s">
        <v>666</v>
      </c>
      <c r="D101" s="39" t="s">
        <v>799</v>
      </c>
      <c r="E101" s="6" t="s">
        <v>128</v>
      </c>
      <c r="F101" s="6" t="s">
        <v>12</v>
      </c>
      <c r="G101" s="6" t="s">
        <v>124</v>
      </c>
      <c r="H101" s="6" t="s">
        <v>80</v>
      </c>
      <c r="I101" s="5">
        <v>1</v>
      </c>
      <c r="J101" s="67" t="s">
        <v>160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v>0</v>
      </c>
      <c r="AO101" s="46">
        <v>0</v>
      </c>
      <c r="AP101" s="46">
        <f t="shared" si="6"/>
        <v>0</v>
      </c>
      <c r="AQ101" s="7">
        <f t="shared" si="7"/>
        <v>0</v>
      </c>
    </row>
    <row r="102" spans="1:43" x14ac:dyDescent="0.3">
      <c r="A102" s="5">
        <v>101</v>
      </c>
      <c r="B102" s="12" t="s">
        <v>175</v>
      </c>
      <c r="C102" s="10" t="s">
        <v>667</v>
      </c>
      <c r="D102" s="39" t="s">
        <v>798</v>
      </c>
      <c r="E102" s="6" t="s">
        <v>128</v>
      </c>
      <c r="F102" s="6" t="s">
        <v>12</v>
      </c>
      <c r="G102" s="6" t="s">
        <v>124</v>
      </c>
      <c r="H102" s="6" t="s">
        <v>80</v>
      </c>
      <c r="I102" s="5">
        <v>1</v>
      </c>
      <c r="J102" s="67" t="s">
        <v>160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0</v>
      </c>
      <c r="AN102" s="46">
        <v>0</v>
      </c>
      <c r="AO102" s="46">
        <v>0</v>
      </c>
      <c r="AP102" s="46">
        <f t="shared" si="6"/>
        <v>0</v>
      </c>
      <c r="AQ102" s="7">
        <f t="shared" si="7"/>
        <v>0</v>
      </c>
    </row>
    <row r="103" spans="1:43" x14ac:dyDescent="0.3">
      <c r="A103" s="5">
        <v>102</v>
      </c>
      <c r="B103" s="12" t="s">
        <v>175</v>
      </c>
      <c r="C103" s="10" t="s">
        <v>668</v>
      </c>
      <c r="D103" s="39" t="s">
        <v>797</v>
      </c>
      <c r="E103" s="6" t="s">
        <v>128</v>
      </c>
      <c r="F103" s="6" t="s">
        <v>12</v>
      </c>
      <c r="G103" s="6" t="s">
        <v>124</v>
      </c>
      <c r="H103" s="6" t="s">
        <v>80</v>
      </c>
      <c r="I103" s="5">
        <v>1</v>
      </c>
      <c r="J103" s="67" t="s">
        <v>160</v>
      </c>
      <c r="K103" s="46">
        <v>0</v>
      </c>
      <c r="L103" s="46">
        <v>0</v>
      </c>
      <c r="M103" s="46">
        <v>0</v>
      </c>
      <c r="N103" s="46">
        <v>0</v>
      </c>
      <c r="O103" s="10">
        <v>0.01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0</v>
      </c>
      <c r="AN103" s="46">
        <v>0</v>
      </c>
      <c r="AO103" s="46">
        <v>0</v>
      </c>
      <c r="AP103" s="46">
        <f t="shared" si="6"/>
        <v>3.3333333333333332E-4</v>
      </c>
      <c r="AQ103" s="7">
        <f t="shared" si="7"/>
        <v>3.3333333333333332E-4</v>
      </c>
    </row>
    <row r="104" spans="1:43" x14ac:dyDescent="0.3">
      <c r="A104" s="5">
        <v>103</v>
      </c>
      <c r="B104" s="12" t="s">
        <v>565</v>
      </c>
      <c r="C104" s="10" t="s">
        <v>669</v>
      </c>
      <c r="D104" s="39" t="s">
        <v>764</v>
      </c>
      <c r="E104" s="6" t="s">
        <v>128</v>
      </c>
      <c r="F104" s="6" t="s">
        <v>12</v>
      </c>
      <c r="G104" s="6" t="s">
        <v>558</v>
      </c>
      <c r="H104" s="6" t="s">
        <v>35</v>
      </c>
      <c r="I104" s="5">
        <v>15</v>
      </c>
      <c r="J104" s="94" t="s">
        <v>273</v>
      </c>
      <c r="K104" s="10">
        <v>126.26599999999999</v>
      </c>
      <c r="L104" s="10">
        <v>125.65300000000002</v>
      </c>
      <c r="M104" s="10">
        <v>106.18899999999998</v>
      </c>
      <c r="N104" s="10">
        <v>90.298000000000002</v>
      </c>
      <c r="O104" s="10">
        <v>88.546999999999997</v>
      </c>
      <c r="P104" s="10">
        <v>57.332999999999977</v>
      </c>
      <c r="Q104" s="10">
        <v>103.1660000000001</v>
      </c>
      <c r="R104" s="10">
        <v>61.451999999999984</v>
      </c>
      <c r="S104" s="10">
        <v>79.411000000000001</v>
      </c>
      <c r="T104" s="10">
        <v>59.994000000000007</v>
      </c>
      <c r="U104" s="10">
        <v>94.282999999999973</v>
      </c>
      <c r="V104" s="10">
        <v>129.61400000000006</v>
      </c>
      <c r="W104" s="10">
        <v>106.709</v>
      </c>
      <c r="X104" s="10">
        <v>114.59300000000002</v>
      </c>
      <c r="Y104" s="10">
        <v>108.29899999999999</v>
      </c>
      <c r="Z104" s="10">
        <v>112.89900000000007</v>
      </c>
      <c r="AA104" s="10">
        <v>105.28100000000001</v>
      </c>
      <c r="AB104" s="10">
        <v>96.975999999999999</v>
      </c>
      <c r="AC104" s="10">
        <v>111.77700000000007</v>
      </c>
      <c r="AD104" s="10">
        <v>112.19100000000006</v>
      </c>
      <c r="AE104" s="10">
        <v>107.29200000000003</v>
      </c>
      <c r="AF104" s="10">
        <v>148.358</v>
      </c>
      <c r="AG104" s="10">
        <v>147.678</v>
      </c>
      <c r="AH104" s="10">
        <v>242.87799999999999</v>
      </c>
      <c r="AI104" s="10">
        <v>234.21500000000009</v>
      </c>
      <c r="AJ104" s="10">
        <v>283.69599999999991</v>
      </c>
      <c r="AK104" s="10">
        <v>346.88499999999993</v>
      </c>
      <c r="AL104" s="10">
        <v>363.51399999999995</v>
      </c>
      <c r="AM104" s="10">
        <v>310.64999999999986</v>
      </c>
      <c r="AN104" s="10">
        <v>372.05500000000001</v>
      </c>
      <c r="AO104" s="10">
        <v>339.45600000000013</v>
      </c>
      <c r="AP104" s="46">
        <f t="shared" si="6"/>
        <v>151.60506666666669</v>
      </c>
      <c r="AQ104" s="7">
        <f t="shared" si="7"/>
        <v>10.107004444444446</v>
      </c>
    </row>
    <row r="105" spans="1:43" x14ac:dyDescent="0.3">
      <c r="A105" s="5">
        <v>104</v>
      </c>
      <c r="B105" s="12" t="s">
        <v>565</v>
      </c>
      <c r="C105" s="10" t="s">
        <v>669</v>
      </c>
      <c r="D105" s="39" t="s">
        <v>764</v>
      </c>
      <c r="E105" s="6" t="s">
        <v>128</v>
      </c>
      <c r="F105" s="6" t="s">
        <v>12</v>
      </c>
      <c r="G105" s="6" t="s">
        <v>559</v>
      </c>
      <c r="H105" s="6" t="s">
        <v>80</v>
      </c>
      <c r="I105" s="5">
        <v>1</v>
      </c>
      <c r="J105" s="94" t="s">
        <v>273</v>
      </c>
      <c r="K105" s="45">
        <v>0</v>
      </c>
      <c r="L105" s="10">
        <v>23.9</v>
      </c>
      <c r="M105" s="10">
        <v>27.910000000000004</v>
      </c>
      <c r="N105" s="10">
        <v>34.22</v>
      </c>
      <c r="O105" s="46">
        <v>0</v>
      </c>
      <c r="P105" s="46">
        <v>0</v>
      </c>
      <c r="Q105" s="10">
        <v>31.720000000000002</v>
      </c>
      <c r="R105" s="10">
        <v>34.158999999999999</v>
      </c>
      <c r="S105" s="10">
        <v>47.970000000000006</v>
      </c>
      <c r="T105" s="10">
        <v>55.28</v>
      </c>
      <c r="U105" s="10">
        <v>17.380000000000003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10">
        <v>12.290000000000001</v>
      </c>
      <c r="AI105" s="46">
        <v>0</v>
      </c>
      <c r="AJ105" s="10">
        <v>21.35</v>
      </c>
      <c r="AK105" s="10">
        <v>8.0799999999999983</v>
      </c>
      <c r="AL105" s="10">
        <v>11.41</v>
      </c>
      <c r="AM105" s="10">
        <v>4.8</v>
      </c>
      <c r="AN105" s="10">
        <v>5.64</v>
      </c>
      <c r="AO105" s="10">
        <v>7.8900000000000006</v>
      </c>
      <c r="AP105" s="46">
        <f t="shared" si="6"/>
        <v>11.203633333333334</v>
      </c>
      <c r="AQ105" s="7">
        <f t="shared" si="7"/>
        <v>11.203633333333334</v>
      </c>
    </row>
    <row r="106" spans="1:43" ht="14.25" customHeight="1" x14ac:dyDescent="0.3">
      <c r="A106" s="5">
        <v>105</v>
      </c>
      <c r="B106" s="6" t="s">
        <v>65</v>
      </c>
      <c r="C106" s="10" t="s">
        <v>670</v>
      </c>
      <c r="D106" s="39" t="s">
        <v>732</v>
      </c>
      <c r="E106" s="6" t="s">
        <v>30</v>
      </c>
      <c r="F106" s="6" t="s">
        <v>12</v>
      </c>
      <c r="G106" s="6" t="s">
        <v>13</v>
      </c>
      <c r="H106" s="6" t="s">
        <v>35</v>
      </c>
      <c r="I106" s="5">
        <v>5</v>
      </c>
      <c r="J106" s="12" t="s">
        <v>589</v>
      </c>
      <c r="K106" s="10">
        <v>35.78</v>
      </c>
      <c r="L106" s="10">
        <v>27.265999999999998</v>
      </c>
      <c r="M106" s="10">
        <v>39.913999999999994</v>
      </c>
      <c r="N106" s="10">
        <v>38.176999999999992</v>
      </c>
      <c r="O106" s="10">
        <v>41.076999999999998</v>
      </c>
      <c r="P106" s="10">
        <v>49.779999999999994</v>
      </c>
      <c r="Q106" s="10">
        <v>43.022999999999996</v>
      </c>
      <c r="R106" s="10">
        <v>48.925999999999988</v>
      </c>
      <c r="S106" s="10">
        <v>32.088000000000001</v>
      </c>
      <c r="T106" s="10">
        <v>49.203000000000003</v>
      </c>
      <c r="U106" s="10">
        <v>28.206000000000003</v>
      </c>
      <c r="V106" s="10">
        <v>41.923000000000002</v>
      </c>
      <c r="W106" s="10">
        <v>39.006</v>
      </c>
      <c r="X106" s="10">
        <v>31.195</v>
      </c>
      <c r="Y106" s="10">
        <v>37.176000000000009</v>
      </c>
      <c r="Z106" s="10">
        <v>54.048999999999999</v>
      </c>
      <c r="AA106" s="10">
        <v>48.01100000000001</v>
      </c>
      <c r="AB106" s="10">
        <v>41.233000000000004</v>
      </c>
      <c r="AC106" s="10">
        <v>43.583999999999996</v>
      </c>
      <c r="AD106" s="10">
        <v>38.730999999999995</v>
      </c>
      <c r="AE106" s="10">
        <v>47.419999999999995</v>
      </c>
      <c r="AF106" s="10">
        <v>35.285000000000004</v>
      </c>
      <c r="AG106" s="10">
        <v>48.134999999999991</v>
      </c>
      <c r="AH106" s="10">
        <v>20.404000000000003</v>
      </c>
      <c r="AI106" s="10">
        <v>29.976000000000003</v>
      </c>
      <c r="AJ106" s="10">
        <v>36.402000000000001</v>
      </c>
      <c r="AK106" s="10">
        <v>37.805999999999997</v>
      </c>
      <c r="AL106" s="10">
        <v>42.573999999999991</v>
      </c>
      <c r="AM106" s="10">
        <v>45.198999999999998</v>
      </c>
      <c r="AN106" s="10">
        <v>39.452999999999989</v>
      </c>
      <c r="AO106" s="10">
        <v>30.759999999999998</v>
      </c>
      <c r="AP106" s="46">
        <f t="shared" si="6"/>
        <v>39.700066666666672</v>
      </c>
      <c r="AQ106" s="7">
        <f t="shared" si="7"/>
        <v>7.9400133333333347</v>
      </c>
    </row>
    <row r="107" spans="1:43" x14ac:dyDescent="0.3">
      <c r="A107" s="5">
        <v>106</v>
      </c>
      <c r="B107" s="6" t="s">
        <v>65</v>
      </c>
      <c r="C107" s="10" t="s">
        <v>671</v>
      </c>
      <c r="D107" s="39" t="s">
        <v>723</v>
      </c>
      <c r="E107" s="6" t="s">
        <v>30</v>
      </c>
      <c r="F107" s="6" t="s">
        <v>12</v>
      </c>
      <c r="G107" s="6" t="s">
        <v>13</v>
      </c>
      <c r="H107" s="6" t="s">
        <v>35</v>
      </c>
      <c r="I107" s="5">
        <v>16</v>
      </c>
      <c r="J107" s="12" t="s">
        <v>589</v>
      </c>
      <c r="K107" s="10">
        <v>59.491000000000007</v>
      </c>
      <c r="L107" s="10">
        <v>46.403000000000006</v>
      </c>
      <c r="M107" s="10">
        <v>35.134</v>
      </c>
      <c r="N107" s="10">
        <v>50.375999999999998</v>
      </c>
      <c r="O107" s="10">
        <v>27.546999999999997</v>
      </c>
      <c r="P107" s="10">
        <v>52.292000000000002</v>
      </c>
      <c r="Q107" s="10">
        <v>41.4</v>
      </c>
      <c r="R107" s="10">
        <v>73.007000000000005</v>
      </c>
      <c r="S107" s="10">
        <v>23.775000000000002</v>
      </c>
      <c r="T107" s="10">
        <v>69.068999999999988</v>
      </c>
      <c r="U107" s="10">
        <v>41.099999999999994</v>
      </c>
      <c r="V107" s="10">
        <v>59.012</v>
      </c>
      <c r="W107" s="10">
        <v>80.875000000000014</v>
      </c>
      <c r="X107" s="10">
        <v>62.634000000000007</v>
      </c>
      <c r="Y107" s="10">
        <v>28.225000000000001</v>
      </c>
      <c r="Z107" s="10">
        <v>37.457999999999998</v>
      </c>
      <c r="AA107" s="10">
        <v>40.545999999999992</v>
      </c>
      <c r="AB107" s="10">
        <v>40.503999999999998</v>
      </c>
      <c r="AC107" s="10">
        <v>53.567999999999998</v>
      </c>
      <c r="AD107" s="10">
        <v>29.145999999999997</v>
      </c>
      <c r="AE107" s="10">
        <v>63.936999999999998</v>
      </c>
      <c r="AF107" s="10">
        <v>74.547999999999988</v>
      </c>
      <c r="AG107" s="10">
        <v>72.438999999999993</v>
      </c>
      <c r="AH107" s="10">
        <v>72.873999999999995</v>
      </c>
      <c r="AI107" s="10">
        <v>76.486999999999995</v>
      </c>
      <c r="AJ107" s="10">
        <v>85.293999999999997</v>
      </c>
      <c r="AK107" s="10">
        <v>48.738</v>
      </c>
      <c r="AL107" s="10">
        <v>29.22</v>
      </c>
      <c r="AM107" s="10">
        <v>43.838999999999999</v>
      </c>
      <c r="AN107" s="10">
        <v>32.905000000000001</v>
      </c>
      <c r="AO107" s="10">
        <v>65.251999999999995</v>
      </c>
      <c r="AP107" s="46">
        <f t="shared" si="6"/>
        <v>51.728100000000012</v>
      </c>
      <c r="AQ107" s="7">
        <f t="shared" si="7"/>
        <v>3.2330062500000007</v>
      </c>
    </row>
    <row r="108" spans="1:43" x14ac:dyDescent="0.3">
      <c r="A108" s="5">
        <v>107</v>
      </c>
      <c r="B108" s="6" t="s">
        <v>65</v>
      </c>
      <c r="C108" s="10" t="s">
        <v>672</v>
      </c>
      <c r="D108" s="98" t="s">
        <v>818</v>
      </c>
      <c r="E108" s="6" t="s">
        <v>30</v>
      </c>
      <c r="F108" s="6" t="s">
        <v>12</v>
      </c>
      <c r="G108" s="6" t="s">
        <v>13</v>
      </c>
      <c r="H108" s="6" t="s">
        <v>35</v>
      </c>
      <c r="I108" s="5">
        <v>10</v>
      </c>
      <c r="J108" s="12" t="s">
        <v>589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0</v>
      </c>
      <c r="AN108" s="46">
        <v>0</v>
      </c>
      <c r="AO108" s="46">
        <v>0</v>
      </c>
      <c r="AP108" s="46">
        <f t="shared" si="6"/>
        <v>0</v>
      </c>
      <c r="AQ108" s="7">
        <f t="shared" si="7"/>
        <v>0</v>
      </c>
    </row>
    <row r="109" spans="1:43" x14ac:dyDescent="0.3">
      <c r="A109" s="5">
        <v>108</v>
      </c>
      <c r="B109" s="6" t="s">
        <v>65</v>
      </c>
      <c r="C109" s="10" t="s">
        <v>673</v>
      </c>
      <c r="D109" s="39" t="s">
        <v>719</v>
      </c>
      <c r="E109" s="6" t="s">
        <v>30</v>
      </c>
      <c r="F109" s="6" t="s">
        <v>12</v>
      </c>
      <c r="G109" s="6" t="s">
        <v>13</v>
      </c>
      <c r="H109" s="6" t="s">
        <v>35</v>
      </c>
      <c r="I109" s="5">
        <v>13</v>
      </c>
      <c r="J109" s="12" t="s">
        <v>589</v>
      </c>
      <c r="K109" s="10">
        <v>23.920999999999999</v>
      </c>
      <c r="L109" s="10">
        <v>47.36</v>
      </c>
      <c r="M109" s="10">
        <v>28.133999999999997</v>
      </c>
      <c r="N109" s="10">
        <v>21.337</v>
      </c>
      <c r="O109" s="10">
        <v>27.443999999999999</v>
      </c>
      <c r="P109" s="10">
        <v>24.215000000000003</v>
      </c>
      <c r="Q109" s="10">
        <v>32.874000000000002</v>
      </c>
      <c r="R109" s="10">
        <v>28.123000000000001</v>
      </c>
      <c r="S109" s="10">
        <v>23.379000000000001</v>
      </c>
      <c r="T109" s="10">
        <v>28.369</v>
      </c>
      <c r="U109" s="10">
        <v>37.766999999999996</v>
      </c>
      <c r="V109" s="10">
        <v>24.813000000000002</v>
      </c>
      <c r="W109" s="10">
        <v>38.123000000000005</v>
      </c>
      <c r="X109" s="10">
        <v>38.744999999999997</v>
      </c>
      <c r="Y109" s="10">
        <v>14.367000000000001</v>
      </c>
      <c r="Z109" s="10">
        <v>24.199000000000002</v>
      </c>
      <c r="AA109" s="10">
        <v>13.135</v>
      </c>
      <c r="AB109" s="10">
        <v>15.667</v>
      </c>
      <c r="AC109" s="10">
        <v>73.527000000000001</v>
      </c>
      <c r="AD109" s="10">
        <v>50.27</v>
      </c>
      <c r="AE109" s="10">
        <v>62.856000000000002</v>
      </c>
      <c r="AF109" s="10">
        <v>40.177999999999997</v>
      </c>
      <c r="AG109" s="10">
        <v>78.83499999999998</v>
      </c>
      <c r="AH109" s="10">
        <v>56.839999999999996</v>
      </c>
      <c r="AI109" s="10">
        <v>77.566000000000003</v>
      </c>
      <c r="AJ109" s="10">
        <v>63.859000000000002</v>
      </c>
      <c r="AK109" s="10">
        <v>24.272000000000002</v>
      </c>
      <c r="AL109" s="10">
        <v>28.993000000000002</v>
      </c>
      <c r="AM109" s="10">
        <v>36.344999999999999</v>
      </c>
      <c r="AN109" s="10">
        <v>54.164999999999999</v>
      </c>
      <c r="AO109" s="10">
        <v>55.47</v>
      </c>
      <c r="AP109" s="46">
        <f t="shared" si="6"/>
        <v>37.989266666666673</v>
      </c>
      <c r="AQ109" s="7">
        <f t="shared" si="7"/>
        <v>2.9222512820512825</v>
      </c>
    </row>
    <row r="110" spans="1:43" x14ac:dyDescent="0.3">
      <c r="A110" s="5">
        <v>109</v>
      </c>
      <c r="B110" s="6" t="s">
        <v>65</v>
      </c>
      <c r="C110" s="10" t="s">
        <v>674</v>
      </c>
      <c r="D110" s="39" t="s">
        <v>730</v>
      </c>
      <c r="E110" s="6" t="s">
        <v>30</v>
      </c>
      <c r="F110" s="6" t="s">
        <v>12</v>
      </c>
      <c r="G110" s="6" t="s">
        <v>13</v>
      </c>
      <c r="H110" s="6" t="s">
        <v>35</v>
      </c>
      <c r="I110" s="5">
        <v>20</v>
      </c>
      <c r="J110" s="12" t="s">
        <v>589</v>
      </c>
      <c r="K110" s="10">
        <v>333.45800000000003</v>
      </c>
      <c r="L110" s="10">
        <v>322.15700000000004</v>
      </c>
      <c r="M110" s="10">
        <v>354.23699999999991</v>
      </c>
      <c r="N110" s="10">
        <v>348.22600000000006</v>
      </c>
      <c r="O110" s="10">
        <v>379.95400000000006</v>
      </c>
      <c r="P110" s="10">
        <v>342.13500000000005</v>
      </c>
      <c r="Q110" s="10">
        <v>399.95100000000008</v>
      </c>
      <c r="R110" s="10">
        <v>394.04799999999983</v>
      </c>
      <c r="S110" s="10">
        <v>274.26900000000006</v>
      </c>
      <c r="T110" s="10">
        <v>319.31599999999992</v>
      </c>
      <c r="U110" s="10">
        <v>366.87700000000001</v>
      </c>
      <c r="V110" s="10">
        <v>368.83700000000022</v>
      </c>
      <c r="W110" s="10">
        <v>350.96800000000007</v>
      </c>
      <c r="X110" s="10">
        <v>363.017</v>
      </c>
      <c r="Y110" s="10">
        <v>384.46400000000017</v>
      </c>
      <c r="Z110" s="10">
        <v>328.28199999999998</v>
      </c>
      <c r="AA110" s="10">
        <v>352.10100000000028</v>
      </c>
      <c r="AB110" s="10">
        <v>372.26599999999996</v>
      </c>
      <c r="AC110" s="10">
        <v>295.17200000000014</v>
      </c>
      <c r="AD110" s="10">
        <v>348.24600000000004</v>
      </c>
      <c r="AE110" s="10">
        <v>404.82199999999989</v>
      </c>
      <c r="AF110" s="10">
        <v>411.46199999999993</v>
      </c>
      <c r="AG110" s="10">
        <v>307.87700000000018</v>
      </c>
      <c r="AH110" s="10">
        <v>328.62800000000004</v>
      </c>
      <c r="AI110" s="10">
        <v>338.60499999999996</v>
      </c>
      <c r="AJ110" s="10">
        <v>445.77699999999999</v>
      </c>
      <c r="AK110" s="10">
        <v>318.09100000000001</v>
      </c>
      <c r="AL110" s="10">
        <v>261.97000000000003</v>
      </c>
      <c r="AM110" s="10">
        <v>380.49399999999991</v>
      </c>
      <c r="AN110" s="10">
        <v>476.37700000000001</v>
      </c>
      <c r="AO110" s="10">
        <v>404.15599999999989</v>
      </c>
      <c r="AP110" s="46">
        <f t="shared" si="6"/>
        <v>355.73613333333338</v>
      </c>
      <c r="AQ110" s="7">
        <f t="shared" si="7"/>
        <v>17.786806666666671</v>
      </c>
    </row>
    <row r="111" spans="1:43" x14ac:dyDescent="0.3">
      <c r="A111" s="5">
        <v>110</v>
      </c>
      <c r="B111" s="6" t="s">
        <v>65</v>
      </c>
      <c r="C111" s="10" t="s">
        <v>674</v>
      </c>
      <c r="D111" s="39" t="s">
        <v>730</v>
      </c>
      <c r="E111" s="6" t="s">
        <v>30</v>
      </c>
      <c r="F111" s="6" t="s">
        <v>12</v>
      </c>
      <c r="G111" s="6" t="s">
        <v>124</v>
      </c>
      <c r="H111" s="6" t="s">
        <v>80</v>
      </c>
      <c r="I111" s="5">
        <v>2</v>
      </c>
      <c r="J111" s="12" t="s">
        <v>589</v>
      </c>
      <c r="K111" s="10"/>
      <c r="L111" s="10"/>
      <c r="M111" s="10"/>
      <c r="N111" s="10"/>
      <c r="O111" s="10"/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0</v>
      </c>
      <c r="AO111" s="46">
        <v>0</v>
      </c>
      <c r="AP111" s="46">
        <f t="shared" si="6"/>
        <v>0</v>
      </c>
      <c r="AQ111" s="7">
        <f t="shared" si="7"/>
        <v>0</v>
      </c>
    </row>
    <row r="112" spans="1:43" x14ac:dyDescent="0.3">
      <c r="A112" s="5">
        <v>111</v>
      </c>
      <c r="B112" s="6" t="s">
        <v>65</v>
      </c>
      <c r="C112" s="10" t="s">
        <v>675</v>
      </c>
      <c r="D112" s="39" t="s">
        <v>800</v>
      </c>
      <c r="E112" s="6" t="s">
        <v>30</v>
      </c>
      <c r="F112" s="6" t="s">
        <v>12</v>
      </c>
      <c r="G112" s="6" t="s">
        <v>13</v>
      </c>
      <c r="H112" s="6" t="s">
        <v>35</v>
      </c>
      <c r="I112" s="5">
        <v>1</v>
      </c>
      <c r="J112" s="12" t="s">
        <v>160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f t="shared" si="6"/>
        <v>0</v>
      </c>
      <c r="AQ112" s="7">
        <f t="shared" si="7"/>
        <v>0</v>
      </c>
    </row>
    <row r="113" spans="1:43" x14ac:dyDescent="0.3">
      <c r="A113" s="5">
        <v>112</v>
      </c>
      <c r="B113" s="6" t="s">
        <v>65</v>
      </c>
      <c r="C113" s="10" t="s">
        <v>676</v>
      </c>
      <c r="D113" s="39" t="s">
        <v>801</v>
      </c>
      <c r="E113" s="6" t="s">
        <v>30</v>
      </c>
      <c r="F113" s="6" t="s">
        <v>12</v>
      </c>
      <c r="G113" s="6" t="s">
        <v>13</v>
      </c>
      <c r="H113" s="6" t="s">
        <v>35</v>
      </c>
      <c r="I113" s="5">
        <v>1</v>
      </c>
      <c r="J113" s="12" t="s">
        <v>160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46">
        <v>0</v>
      </c>
      <c r="AM113" s="46">
        <v>0</v>
      </c>
      <c r="AN113" s="46">
        <v>0</v>
      </c>
      <c r="AO113" s="46">
        <v>0</v>
      </c>
      <c r="AP113" s="46">
        <f t="shared" si="6"/>
        <v>0</v>
      </c>
      <c r="AQ113" s="7">
        <f t="shared" si="7"/>
        <v>0</v>
      </c>
    </row>
    <row r="114" spans="1:43" x14ac:dyDescent="0.3">
      <c r="A114" s="5">
        <v>113</v>
      </c>
      <c r="B114" s="6" t="s">
        <v>65</v>
      </c>
      <c r="C114" s="10" t="s">
        <v>677</v>
      </c>
      <c r="D114" s="39" t="s">
        <v>802</v>
      </c>
      <c r="E114" s="6" t="s">
        <v>128</v>
      </c>
      <c r="F114" s="6" t="s">
        <v>12</v>
      </c>
      <c r="G114" s="6" t="s">
        <v>40</v>
      </c>
      <c r="H114" s="6" t="s">
        <v>35</v>
      </c>
      <c r="I114" s="5">
        <v>2</v>
      </c>
      <c r="J114" s="67" t="s">
        <v>160</v>
      </c>
      <c r="K114" s="10">
        <v>36.006999999999998</v>
      </c>
      <c r="L114" s="10">
        <v>19.919</v>
      </c>
      <c r="M114" s="46">
        <v>0</v>
      </c>
      <c r="N114" s="46">
        <v>0</v>
      </c>
      <c r="O114" s="10">
        <v>8.5630000000000006</v>
      </c>
      <c r="P114" s="46">
        <v>0</v>
      </c>
      <c r="Q114" s="10">
        <v>13.623000000000001</v>
      </c>
      <c r="R114" s="10">
        <v>27.559000000000001</v>
      </c>
      <c r="S114" s="46">
        <v>0</v>
      </c>
      <c r="T114" s="46">
        <v>0</v>
      </c>
      <c r="U114" s="46">
        <v>0</v>
      </c>
      <c r="V114" s="10">
        <v>7.7539999999999996</v>
      </c>
      <c r="W114" s="46">
        <v>0</v>
      </c>
      <c r="X114" s="10">
        <v>38.686</v>
      </c>
      <c r="Y114" s="46">
        <v>0</v>
      </c>
      <c r="Z114" s="46">
        <v>0</v>
      </c>
      <c r="AA114" s="10">
        <v>31.047000000000001</v>
      </c>
      <c r="AB114" s="46">
        <v>0</v>
      </c>
      <c r="AC114" s="46">
        <v>0</v>
      </c>
      <c r="AD114" s="10">
        <v>35.811999999999998</v>
      </c>
      <c r="AE114" s="10">
        <v>36.56</v>
      </c>
      <c r="AF114" s="46">
        <v>0</v>
      </c>
      <c r="AG114" s="46">
        <v>0</v>
      </c>
      <c r="AH114" s="10">
        <v>37.023000000000003</v>
      </c>
      <c r="AI114" s="46">
        <v>0</v>
      </c>
      <c r="AJ114" s="46">
        <v>0</v>
      </c>
      <c r="AK114" s="46">
        <v>0</v>
      </c>
      <c r="AL114" s="46">
        <v>0</v>
      </c>
      <c r="AM114" s="46">
        <v>0</v>
      </c>
      <c r="AN114" s="10">
        <v>35.874000000000002</v>
      </c>
      <c r="AO114" s="46">
        <v>0</v>
      </c>
      <c r="AP114" s="46">
        <f t="shared" si="6"/>
        <v>10.947566666666669</v>
      </c>
      <c r="AQ114" s="7">
        <f t="shared" si="7"/>
        <v>5.4737833333333343</v>
      </c>
    </row>
    <row r="115" spans="1:43" x14ac:dyDescent="0.3">
      <c r="A115" s="5">
        <v>114</v>
      </c>
      <c r="B115" s="6" t="s">
        <v>65</v>
      </c>
      <c r="C115" s="10" t="s">
        <v>678</v>
      </c>
      <c r="D115" s="39" t="s">
        <v>803</v>
      </c>
      <c r="E115" s="6"/>
      <c r="F115" s="6" t="s">
        <v>130</v>
      </c>
      <c r="G115" s="6" t="s">
        <v>121</v>
      </c>
      <c r="H115" s="6" t="s">
        <v>35</v>
      </c>
      <c r="I115" s="5">
        <v>2</v>
      </c>
      <c r="J115" s="12" t="s">
        <v>590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v>0</v>
      </c>
      <c r="AN115" s="46">
        <v>0</v>
      </c>
      <c r="AO115" s="46">
        <v>0</v>
      </c>
      <c r="AP115" s="46">
        <f t="shared" si="6"/>
        <v>0</v>
      </c>
      <c r="AQ115" s="7">
        <f t="shared" si="7"/>
        <v>0</v>
      </c>
    </row>
    <row r="116" spans="1:43" x14ac:dyDescent="0.3">
      <c r="A116" s="5">
        <v>115</v>
      </c>
      <c r="B116" s="6" t="s">
        <v>65</v>
      </c>
      <c r="C116" s="10" t="s">
        <v>679</v>
      </c>
      <c r="D116" s="39" t="s">
        <v>737</v>
      </c>
      <c r="E116" s="6" t="s">
        <v>128</v>
      </c>
      <c r="F116" s="6" t="s">
        <v>19</v>
      </c>
      <c r="G116" s="6" t="s">
        <v>13</v>
      </c>
      <c r="H116" s="6" t="s">
        <v>35</v>
      </c>
      <c r="I116" s="5">
        <v>6</v>
      </c>
      <c r="J116" s="12" t="s">
        <v>590</v>
      </c>
      <c r="K116" s="10">
        <v>30.277999999999999</v>
      </c>
      <c r="L116" s="10">
        <v>44.634</v>
      </c>
      <c r="M116" s="10">
        <v>60.613999999999997</v>
      </c>
      <c r="N116" s="10">
        <v>72.936000000000007</v>
      </c>
      <c r="O116" s="10">
        <v>65.456000000000003</v>
      </c>
      <c r="P116" s="10">
        <v>52.442999999999991</v>
      </c>
      <c r="Q116" s="10">
        <v>11.116999999999999</v>
      </c>
      <c r="R116" s="10">
        <v>14.377000000000001</v>
      </c>
      <c r="S116" s="10">
        <v>104.40699999999998</v>
      </c>
      <c r="T116" s="10">
        <v>47.919000000000004</v>
      </c>
      <c r="U116" s="10">
        <v>83.328000000000003</v>
      </c>
      <c r="V116" s="10">
        <v>63.438999999999986</v>
      </c>
      <c r="W116" s="10">
        <v>66.156999999999996</v>
      </c>
      <c r="X116" s="46">
        <v>0</v>
      </c>
      <c r="Y116" s="46">
        <v>0</v>
      </c>
      <c r="Z116" s="10">
        <v>48.453000000000003</v>
      </c>
      <c r="AA116" s="10">
        <v>85.644999999999996</v>
      </c>
      <c r="AB116" s="10">
        <v>61.143000000000008</v>
      </c>
      <c r="AC116" s="10">
        <v>54.222999999999999</v>
      </c>
      <c r="AD116" s="10">
        <v>73.117999999999995</v>
      </c>
      <c r="AE116" s="10">
        <v>4.9180000000000001</v>
      </c>
      <c r="AF116" s="46">
        <v>0</v>
      </c>
      <c r="AG116" s="10">
        <v>56.689</v>
      </c>
      <c r="AH116" s="10">
        <v>52.197999999999993</v>
      </c>
      <c r="AI116" s="46">
        <v>0</v>
      </c>
      <c r="AJ116" s="10">
        <v>21.104999999999997</v>
      </c>
      <c r="AK116" s="10">
        <v>46.962000000000003</v>
      </c>
      <c r="AL116" s="10">
        <v>31.267000000000003</v>
      </c>
      <c r="AM116" s="10">
        <v>10.433999999999999</v>
      </c>
      <c r="AN116" s="10">
        <v>30.959000000000003</v>
      </c>
      <c r="AO116" s="10">
        <v>32.569000000000003</v>
      </c>
      <c r="AP116" s="46">
        <f t="shared" si="6"/>
        <v>43.140633333333334</v>
      </c>
      <c r="AQ116" s="7">
        <f t="shared" si="7"/>
        <v>7.1901055555555553</v>
      </c>
    </row>
    <row r="117" spans="1:43" x14ac:dyDescent="0.3">
      <c r="A117" s="5">
        <v>116</v>
      </c>
      <c r="B117" s="6" t="s">
        <v>65</v>
      </c>
      <c r="C117" s="10" t="s">
        <v>680</v>
      </c>
      <c r="D117" s="39" t="s">
        <v>751</v>
      </c>
      <c r="E117" s="6" t="s">
        <v>128</v>
      </c>
      <c r="F117" s="6" t="s">
        <v>12</v>
      </c>
      <c r="G117" s="6" t="s">
        <v>121</v>
      </c>
      <c r="H117" s="6" t="s">
        <v>35</v>
      </c>
      <c r="I117" s="5">
        <v>20</v>
      </c>
      <c r="J117" s="94" t="s">
        <v>273</v>
      </c>
      <c r="K117" s="10">
        <v>88.989000000000004</v>
      </c>
      <c r="L117" s="10">
        <v>87.801000000000002</v>
      </c>
      <c r="M117" s="10">
        <v>143.52500000000001</v>
      </c>
      <c r="N117" s="10">
        <v>142.04099999999997</v>
      </c>
      <c r="O117" s="10">
        <v>133.44000000000003</v>
      </c>
      <c r="P117" s="10">
        <v>150.48400000000001</v>
      </c>
      <c r="Q117" s="10">
        <v>131.09499999999997</v>
      </c>
      <c r="R117" s="10">
        <v>97.405000000000015</v>
      </c>
      <c r="S117" s="10">
        <v>95.916000000000025</v>
      </c>
      <c r="T117" s="10">
        <v>164.04800000000003</v>
      </c>
      <c r="U117" s="10">
        <v>139.06100000000004</v>
      </c>
      <c r="V117" s="10">
        <v>153.935</v>
      </c>
      <c r="W117" s="10">
        <v>157.83599999999998</v>
      </c>
      <c r="X117" s="10">
        <v>110.08600000000001</v>
      </c>
      <c r="Y117" s="10">
        <v>159.268</v>
      </c>
      <c r="Z117" s="10">
        <v>199.25799999999998</v>
      </c>
      <c r="AA117" s="10">
        <v>153.51200000000003</v>
      </c>
      <c r="AB117" s="10">
        <v>212.25400000000002</v>
      </c>
      <c r="AC117" s="10">
        <v>158.98699999999999</v>
      </c>
      <c r="AD117" s="10">
        <v>186.7950000000001</v>
      </c>
      <c r="AE117" s="10">
        <v>156.14499999999995</v>
      </c>
      <c r="AF117" s="10">
        <v>170.083</v>
      </c>
      <c r="AG117" s="10">
        <v>176.04900000000006</v>
      </c>
      <c r="AH117" s="10">
        <v>210.68700000000001</v>
      </c>
      <c r="AI117" s="10">
        <v>216.21899999999999</v>
      </c>
      <c r="AJ117" s="10">
        <v>207.40299999999996</v>
      </c>
      <c r="AK117" s="10">
        <v>188.59700000000007</v>
      </c>
      <c r="AL117" s="10">
        <v>114.65799999999997</v>
      </c>
      <c r="AM117" s="10">
        <v>168.19200000000004</v>
      </c>
      <c r="AN117" s="10">
        <v>179.05499999999998</v>
      </c>
      <c r="AO117" s="10">
        <v>159.88499999999999</v>
      </c>
      <c r="AP117" s="46">
        <f t="shared" si="6"/>
        <v>155.09413333333336</v>
      </c>
      <c r="AQ117" s="7">
        <f t="shared" si="7"/>
        <v>7.7547066666666682</v>
      </c>
    </row>
    <row r="118" spans="1:43" x14ac:dyDescent="0.3">
      <c r="A118" s="5">
        <v>117</v>
      </c>
      <c r="B118" s="6" t="s">
        <v>65</v>
      </c>
      <c r="C118" s="10" t="s">
        <v>680</v>
      </c>
      <c r="D118" s="39" t="s">
        <v>751</v>
      </c>
      <c r="E118" s="6" t="s">
        <v>128</v>
      </c>
      <c r="F118" s="6" t="s">
        <v>12</v>
      </c>
      <c r="G118" s="6" t="s">
        <v>40</v>
      </c>
      <c r="H118" s="6" t="s">
        <v>35</v>
      </c>
      <c r="I118" s="5">
        <v>1</v>
      </c>
      <c r="J118" s="67" t="s">
        <v>160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46">
        <v>0</v>
      </c>
      <c r="AD118" s="46">
        <v>0</v>
      </c>
      <c r="AE118" s="46">
        <v>0</v>
      </c>
      <c r="AF118" s="10">
        <v>0.28999999999999998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0</v>
      </c>
      <c r="AN118" s="46">
        <v>0</v>
      </c>
      <c r="AO118" s="10">
        <v>13.281000000000001</v>
      </c>
      <c r="AP118" s="46">
        <f t="shared" si="6"/>
        <v>2.4166666666666666E-2</v>
      </c>
      <c r="AQ118" s="7">
        <f t="shared" si="7"/>
        <v>2.4166666666666666E-2</v>
      </c>
    </row>
    <row r="119" spans="1:43" x14ac:dyDescent="0.3">
      <c r="A119" s="5">
        <v>118</v>
      </c>
      <c r="B119" s="6" t="s">
        <v>65</v>
      </c>
      <c r="C119" s="10" t="s">
        <v>680</v>
      </c>
      <c r="D119" s="39" t="s">
        <v>751</v>
      </c>
      <c r="E119" s="6" t="s">
        <v>128</v>
      </c>
      <c r="F119" s="6" t="s">
        <v>12</v>
      </c>
      <c r="G119" s="6" t="s">
        <v>124</v>
      </c>
      <c r="H119" s="6" t="s">
        <v>80</v>
      </c>
      <c r="I119" s="5">
        <v>1</v>
      </c>
      <c r="J119" s="12" t="s">
        <v>589</v>
      </c>
      <c r="K119" s="10"/>
      <c r="L119" s="10"/>
      <c r="M119" s="10"/>
      <c r="N119" s="10"/>
      <c r="O119" s="10"/>
      <c r="P119" s="46">
        <v>0</v>
      </c>
      <c r="Q119" s="10">
        <v>0.09</v>
      </c>
      <c r="R119" s="10">
        <v>5.92</v>
      </c>
      <c r="S119" s="10">
        <v>7.67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v>0</v>
      </c>
      <c r="AP119" s="46">
        <f t="shared" si="6"/>
        <v>0.54720000000000002</v>
      </c>
      <c r="AQ119" s="7">
        <f t="shared" si="7"/>
        <v>0.54720000000000002</v>
      </c>
    </row>
    <row r="120" spans="1:43" x14ac:dyDescent="0.3">
      <c r="A120" s="5">
        <v>119</v>
      </c>
      <c r="B120" s="6" t="s">
        <v>65</v>
      </c>
      <c r="C120" s="5" t="s">
        <v>701</v>
      </c>
      <c r="D120" s="39" t="s">
        <v>817</v>
      </c>
      <c r="E120" s="6" t="s">
        <v>128</v>
      </c>
      <c r="F120" s="6" t="s">
        <v>12</v>
      </c>
      <c r="G120" s="6" t="s">
        <v>121</v>
      </c>
      <c r="H120" s="6" t="s">
        <v>35</v>
      </c>
      <c r="I120" s="5">
        <v>5</v>
      </c>
      <c r="J120" s="12" t="s">
        <v>589</v>
      </c>
      <c r="K120" s="46">
        <v>0</v>
      </c>
      <c r="L120" s="46">
        <v>0</v>
      </c>
      <c r="M120" s="46">
        <v>0</v>
      </c>
      <c r="N120" s="10">
        <v>3.9E-2</v>
      </c>
      <c r="O120" s="46">
        <v>0</v>
      </c>
      <c r="P120" s="10">
        <v>2.9000000000000005E-2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v>0</v>
      </c>
      <c r="AP120" s="46">
        <f t="shared" si="6"/>
        <v>2.2666666666666668E-3</v>
      </c>
      <c r="AQ120" s="7">
        <f t="shared" si="7"/>
        <v>4.5333333333333337E-4</v>
      </c>
    </row>
    <row r="121" spans="1:43" x14ac:dyDescent="0.3">
      <c r="A121" s="5">
        <v>120</v>
      </c>
      <c r="B121" s="6" t="s">
        <v>65</v>
      </c>
      <c r="C121" s="10" t="s">
        <v>681</v>
      </c>
      <c r="D121" s="39" t="s">
        <v>757</v>
      </c>
      <c r="E121" s="6" t="s">
        <v>128</v>
      </c>
      <c r="F121" s="6" t="s">
        <v>12</v>
      </c>
      <c r="G121" s="6" t="s">
        <v>121</v>
      </c>
      <c r="H121" s="6" t="s">
        <v>35</v>
      </c>
      <c r="I121" s="5">
        <v>15</v>
      </c>
      <c r="J121" s="94" t="s">
        <v>273</v>
      </c>
      <c r="K121" s="10">
        <v>207.94899999999996</v>
      </c>
      <c r="L121" s="10">
        <v>203.43799999999999</v>
      </c>
      <c r="M121" s="10">
        <v>226.55000000000007</v>
      </c>
      <c r="N121" s="10">
        <v>244.75000000000006</v>
      </c>
      <c r="O121" s="10">
        <v>292.31999999999994</v>
      </c>
      <c r="P121" s="10">
        <v>290.79600000000005</v>
      </c>
      <c r="Q121" s="10">
        <v>258.78100000000001</v>
      </c>
      <c r="R121" s="10">
        <v>297.61599999999999</v>
      </c>
      <c r="S121" s="10">
        <v>271.99</v>
      </c>
      <c r="T121" s="10">
        <v>257.26600000000002</v>
      </c>
      <c r="U121" s="10">
        <v>256.93900000000008</v>
      </c>
      <c r="V121" s="10">
        <v>319.59900000000005</v>
      </c>
      <c r="W121" s="10">
        <v>243.07300000000004</v>
      </c>
      <c r="X121" s="10">
        <v>259.56900000000007</v>
      </c>
      <c r="Y121" s="10">
        <v>255.69000000000003</v>
      </c>
      <c r="Z121" s="10">
        <v>252.11099999999999</v>
      </c>
      <c r="AA121" s="10">
        <v>235.89699999999996</v>
      </c>
      <c r="AB121" s="10">
        <v>237.89599999999999</v>
      </c>
      <c r="AC121" s="10">
        <v>259.64000000000004</v>
      </c>
      <c r="AD121" s="10">
        <v>242.41000000000003</v>
      </c>
      <c r="AE121" s="10">
        <v>266.68599999999992</v>
      </c>
      <c r="AF121" s="10">
        <v>276.23400000000004</v>
      </c>
      <c r="AG121" s="10">
        <v>251.41999999999996</v>
      </c>
      <c r="AH121" s="10">
        <v>261.18400000000003</v>
      </c>
      <c r="AI121" s="10">
        <v>209.98000000000002</v>
      </c>
      <c r="AJ121" s="10">
        <v>261.24400000000003</v>
      </c>
      <c r="AK121" s="10">
        <v>214.81900000000005</v>
      </c>
      <c r="AL121" s="10">
        <v>211.95700000000002</v>
      </c>
      <c r="AM121" s="10">
        <v>217.018</v>
      </c>
      <c r="AN121" s="10">
        <v>235.50299999999996</v>
      </c>
      <c r="AO121" s="10">
        <v>213.70999999999998</v>
      </c>
      <c r="AP121" s="46">
        <f t="shared" si="6"/>
        <v>250.67750000000007</v>
      </c>
      <c r="AQ121" s="7">
        <f t="shared" si="7"/>
        <v>16.711833333333338</v>
      </c>
    </row>
    <row r="122" spans="1:43" x14ac:dyDescent="0.3">
      <c r="A122" s="5">
        <v>121</v>
      </c>
      <c r="B122" s="6" t="s">
        <v>65</v>
      </c>
      <c r="C122" s="10" t="s">
        <v>681</v>
      </c>
      <c r="D122" s="39" t="s">
        <v>757</v>
      </c>
      <c r="E122" s="6" t="s">
        <v>128</v>
      </c>
      <c r="F122" s="6" t="s">
        <v>12</v>
      </c>
      <c r="G122" s="6" t="s">
        <v>124</v>
      </c>
      <c r="H122" s="6" t="s">
        <v>80</v>
      </c>
      <c r="I122" s="5">
        <v>1</v>
      </c>
      <c r="J122" s="94" t="s">
        <v>273</v>
      </c>
      <c r="K122" s="10"/>
      <c r="L122" s="10"/>
      <c r="M122" s="10"/>
      <c r="N122" s="10"/>
      <c r="O122" s="10"/>
      <c r="P122" s="46">
        <v>0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0</v>
      </c>
      <c r="AK122" s="46">
        <v>0</v>
      </c>
      <c r="AL122" s="46">
        <v>0</v>
      </c>
      <c r="AM122" s="46">
        <v>0</v>
      </c>
      <c r="AN122" s="46">
        <v>0</v>
      </c>
      <c r="AO122" s="46">
        <v>0</v>
      </c>
      <c r="AP122" s="46">
        <f t="shared" si="6"/>
        <v>0</v>
      </c>
      <c r="AQ122" s="7">
        <f t="shared" si="7"/>
        <v>0</v>
      </c>
    </row>
    <row r="123" spans="1:43" x14ac:dyDescent="0.3">
      <c r="A123" s="5">
        <v>122</v>
      </c>
      <c r="B123" s="6" t="s">
        <v>65</v>
      </c>
      <c r="C123" s="10" t="s">
        <v>682</v>
      </c>
      <c r="D123" s="39" t="s">
        <v>744</v>
      </c>
      <c r="E123" s="6" t="s">
        <v>128</v>
      </c>
      <c r="F123" s="6" t="s">
        <v>12</v>
      </c>
      <c r="G123" s="6" t="s">
        <v>121</v>
      </c>
      <c r="H123" s="6" t="s">
        <v>35</v>
      </c>
      <c r="I123" s="5">
        <v>4</v>
      </c>
      <c r="J123" s="12" t="s">
        <v>160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10">
        <v>1.847</v>
      </c>
      <c r="S123" s="46">
        <v>0</v>
      </c>
      <c r="T123" s="10">
        <v>0.91</v>
      </c>
      <c r="U123" s="10">
        <v>2.2789999999999999</v>
      </c>
      <c r="V123" s="46">
        <v>0</v>
      </c>
      <c r="W123" s="46">
        <v>0</v>
      </c>
      <c r="X123" s="10">
        <v>0.92800000000000005</v>
      </c>
      <c r="Y123" s="10">
        <v>0.92600000000000005</v>
      </c>
      <c r="Z123" s="46">
        <v>0</v>
      </c>
      <c r="AA123" s="46">
        <v>0</v>
      </c>
      <c r="AB123" s="46">
        <v>0</v>
      </c>
      <c r="AC123" s="10">
        <v>0.33800000000000002</v>
      </c>
      <c r="AD123" s="10">
        <v>1.502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f t="shared" si="6"/>
        <v>0.29100000000000004</v>
      </c>
      <c r="AQ123" s="7">
        <f t="shared" si="7"/>
        <v>7.2750000000000009E-2</v>
      </c>
    </row>
    <row r="124" spans="1:43" x14ac:dyDescent="0.3">
      <c r="A124" s="5">
        <v>123</v>
      </c>
      <c r="B124" s="6" t="s">
        <v>65</v>
      </c>
      <c r="C124" s="10" t="s">
        <v>682</v>
      </c>
      <c r="D124" s="39" t="s">
        <v>744</v>
      </c>
      <c r="E124" s="6" t="s">
        <v>128</v>
      </c>
      <c r="F124" s="6" t="s">
        <v>12</v>
      </c>
      <c r="G124" s="6" t="s">
        <v>40</v>
      </c>
      <c r="H124" s="6" t="s">
        <v>35</v>
      </c>
      <c r="I124" s="5">
        <v>2</v>
      </c>
      <c r="J124" s="12" t="s">
        <v>160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0</v>
      </c>
      <c r="AP124" s="46">
        <f t="shared" si="6"/>
        <v>0</v>
      </c>
      <c r="AQ124" s="7">
        <f t="shared" si="7"/>
        <v>0</v>
      </c>
    </row>
    <row r="125" spans="1:43" x14ac:dyDescent="0.3">
      <c r="A125" s="5">
        <v>124</v>
      </c>
      <c r="B125" s="6" t="s">
        <v>65</v>
      </c>
      <c r="C125" s="5" t="s">
        <v>702</v>
      </c>
      <c r="D125" s="39" t="s">
        <v>734</v>
      </c>
      <c r="E125" s="6" t="s">
        <v>236</v>
      </c>
      <c r="F125" s="6" t="s">
        <v>12</v>
      </c>
      <c r="G125" s="6" t="s">
        <v>121</v>
      </c>
      <c r="H125" s="6" t="s">
        <v>35</v>
      </c>
      <c r="I125" s="5">
        <v>2</v>
      </c>
      <c r="J125" s="67" t="s">
        <v>160</v>
      </c>
      <c r="K125" s="10">
        <v>0.92200000000000004</v>
      </c>
      <c r="L125" s="10">
        <v>12.303999999999998</v>
      </c>
      <c r="M125" s="46">
        <v>0</v>
      </c>
      <c r="N125" s="10">
        <v>8.7100000000000009</v>
      </c>
      <c r="O125" s="10">
        <v>10.615</v>
      </c>
      <c r="P125" s="10">
        <v>2.5440000000000005</v>
      </c>
      <c r="Q125" s="10">
        <v>1.5620000000000001</v>
      </c>
      <c r="R125" s="46">
        <v>0</v>
      </c>
      <c r="S125" s="46">
        <v>0</v>
      </c>
      <c r="T125" s="10">
        <v>25.388999999999999</v>
      </c>
      <c r="U125" s="10">
        <v>29.798999999999999</v>
      </c>
      <c r="V125" s="10">
        <v>26.216000000000001</v>
      </c>
      <c r="W125" s="10">
        <v>26.108999999999998</v>
      </c>
      <c r="X125" s="10">
        <v>24.393000000000011</v>
      </c>
      <c r="Y125" s="10">
        <v>8.94</v>
      </c>
      <c r="Z125" s="10">
        <v>8.052999999999999</v>
      </c>
      <c r="AA125" s="10">
        <v>26.410999999999998</v>
      </c>
      <c r="AB125" s="10">
        <v>17.213999999999999</v>
      </c>
      <c r="AC125" s="10">
        <v>18.722000000000001</v>
      </c>
      <c r="AD125" s="10">
        <v>25.240000000000002</v>
      </c>
      <c r="AE125" s="10">
        <v>18.062999999999999</v>
      </c>
      <c r="AF125" s="10">
        <v>33.132000000000005</v>
      </c>
      <c r="AG125" s="10">
        <v>9.1169999999999991</v>
      </c>
      <c r="AH125" s="10">
        <v>21.384</v>
      </c>
      <c r="AI125" s="10">
        <v>28.304000000000002</v>
      </c>
      <c r="AJ125" s="10">
        <v>25.638999999999999</v>
      </c>
      <c r="AK125" s="10">
        <v>18.579000000000001</v>
      </c>
      <c r="AL125" s="10">
        <v>16.527999999999999</v>
      </c>
      <c r="AM125" s="10">
        <v>29.238</v>
      </c>
      <c r="AN125" s="10">
        <v>0.99399999999999999</v>
      </c>
      <c r="AO125" s="10">
        <v>18.007000000000001</v>
      </c>
      <c r="AP125" s="46">
        <f t="shared" si="6"/>
        <v>15.804033333333336</v>
      </c>
      <c r="AQ125" s="7">
        <f t="shared" si="7"/>
        <v>7.9020166666666682</v>
      </c>
    </row>
    <row r="126" spans="1:43" x14ac:dyDescent="0.3">
      <c r="A126" s="5">
        <v>125</v>
      </c>
      <c r="B126" s="6" t="s">
        <v>65</v>
      </c>
      <c r="C126" s="10" t="s">
        <v>683</v>
      </c>
      <c r="D126" s="39" t="s">
        <v>804</v>
      </c>
      <c r="E126" s="6" t="s">
        <v>236</v>
      </c>
      <c r="F126" s="6" t="s">
        <v>12</v>
      </c>
      <c r="G126" s="6" t="s">
        <v>121</v>
      </c>
      <c r="H126" s="6" t="s">
        <v>35</v>
      </c>
      <c r="I126" s="5">
        <v>3</v>
      </c>
      <c r="J126" s="67" t="s">
        <v>160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v>0</v>
      </c>
      <c r="AP126" s="46">
        <f t="shared" si="6"/>
        <v>0</v>
      </c>
      <c r="AQ126" s="7">
        <f t="shared" si="7"/>
        <v>0</v>
      </c>
    </row>
    <row r="127" spans="1:43" x14ac:dyDescent="0.3">
      <c r="A127" s="5">
        <v>126</v>
      </c>
      <c r="B127" s="6" t="s">
        <v>65</v>
      </c>
      <c r="C127" s="10" t="s">
        <v>684</v>
      </c>
      <c r="D127" s="39" t="s">
        <v>805</v>
      </c>
      <c r="E127" s="6" t="s">
        <v>236</v>
      </c>
      <c r="F127" s="6" t="s">
        <v>12</v>
      </c>
      <c r="G127" s="6" t="s">
        <v>121</v>
      </c>
      <c r="H127" s="6" t="s">
        <v>35</v>
      </c>
      <c r="I127" s="5">
        <v>3</v>
      </c>
      <c r="J127" s="67" t="s">
        <v>160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v>0</v>
      </c>
      <c r="AP127" s="46">
        <f t="shared" si="6"/>
        <v>0</v>
      </c>
      <c r="AQ127" s="7">
        <f t="shared" si="7"/>
        <v>0</v>
      </c>
    </row>
    <row r="128" spans="1:43" x14ac:dyDescent="0.3">
      <c r="A128" s="5">
        <v>127</v>
      </c>
      <c r="B128" s="6" t="s">
        <v>65</v>
      </c>
      <c r="C128" s="10" t="s">
        <v>684</v>
      </c>
      <c r="D128" s="39" t="s">
        <v>805</v>
      </c>
      <c r="E128" s="6" t="s">
        <v>236</v>
      </c>
      <c r="F128" s="6" t="s">
        <v>12</v>
      </c>
      <c r="G128" s="6" t="s">
        <v>95</v>
      </c>
      <c r="H128" s="6" t="s">
        <v>80</v>
      </c>
      <c r="I128" s="5">
        <v>1</v>
      </c>
      <c r="J128" s="67" t="s">
        <v>160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v>0</v>
      </c>
      <c r="AP128" s="46">
        <f t="shared" si="6"/>
        <v>0</v>
      </c>
      <c r="AQ128" s="7">
        <f t="shared" si="7"/>
        <v>0</v>
      </c>
    </row>
    <row r="129" spans="1:43" x14ac:dyDescent="0.3">
      <c r="A129" s="5">
        <v>128</v>
      </c>
      <c r="B129" s="6" t="s">
        <v>65</v>
      </c>
      <c r="C129" s="10" t="s">
        <v>685</v>
      </c>
      <c r="D129" s="39" t="s">
        <v>806</v>
      </c>
      <c r="E129" s="6" t="s">
        <v>236</v>
      </c>
      <c r="F129" s="6" t="s">
        <v>12</v>
      </c>
      <c r="G129" s="6" t="s">
        <v>121</v>
      </c>
      <c r="H129" s="6" t="s">
        <v>35</v>
      </c>
      <c r="I129" s="5">
        <v>3</v>
      </c>
      <c r="J129" s="67" t="s">
        <v>160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v>0</v>
      </c>
      <c r="AP129" s="46">
        <f t="shared" si="6"/>
        <v>0</v>
      </c>
      <c r="AQ129" s="7">
        <f t="shared" si="7"/>
        <v>0</v>
      </c>
    </row>
    <row r="130" spans="1:43" x14ac:dyDescent="0.3">
      <c r="A130" s="5">
        <v>129</v>
      </c>
      <c r="B130" s="6" t="s">
        <v>65</v>
      </c>
      <c r="C130" s="10" t="s">
        <v>686</v>
      </c>
      <c r="D130" s="39" t="s">
        <v>738</v>
      </c>
      <c r="E130" s="6" t="s">
        <v>236</v>
      </c>
      <c r="F130" s="6" t="s">
        <v>12</v>
      </c>
      <c r="G130" s="6" t="s">
        <v>121</v>
      </c>
      <c r="H130" s="6" t="s">
        <v>35</v>
      </c>
      <c r="I130" s="5">
        <v>3</v>
      </c>
      <c r="J130" s="67" t="s">
        <v>160</v>
      </c>
      <c r="K130" s="10">
        <v>28.151</v>
      </c>
      <c r="L130" s="10">
        <v>5.19</v>
      </c>
      <c r="M130" s="10">
        <v>17.999000000000002</v>
      </c>
      <c r="N130" s="10">
        <v>15.465</v>
      </c>
      <c r="O130" s="10">
        <v>13.942</v>
      </c>
      <c r="P130" s="10">
        <v>8.8309999999999995</v>
      </c>
      <c r="Q130" s="10">
        <v>17.061</v>
      </c>
      <c r="R130" s="10">
        <v>23.356999999999999</v>
      </c>
      <c r="S130" s="10">
        <v>1.5069999999999999</v>
      </c>
      <c r="T130" s="10">
        <v>13.055</v>
      </c>
      <c r="U130" s="10">
        <v>20.6</v>
      </c>
      <c r="V130" s="10">
        <v>20.581</v>
      </c>
      <c r="W130" s="10">
        <v>12.302999999999999</v>
      </c>
      <c r="X130" s="10">
        <v>8.7929999999999993</v>
      </c>
      <c r="Y130" s="10">
        <v>5.7859999999999996</v>
      </c>
      <c r="Z130" s="10">
        <v>3.266</v>
      </c>
      <c r="AA130" s="10">
        <v>9.359</v>
      </c>
      <c r="AB130" s="10">
        <v>8.5590000000000011</v>
      </c>
      <c r="AC130" s="10">
        <v>9.4269999999999996</v>
      </c>
      <c r="AD130" s="10">
        <v>16.937999999999999</v>
      </c>
      <c r="AE130" s="10">
        <v>16.401</v>
      </c>
      <c r="AF130" s="10">
        <v>11.144</v>
      </c>
      <c r="AG130" s="10">
        <v>12.038</v>
      </c>
      <c r="AH130" s="10">
        <v>16.282</v>
      </c>
      <c r="AI130" s="10">
        <v>16.366</v>
      </c>
      <c r="AJ130" s="10">
        <v>8.9740000000000002</v>
      </c>
      <c r="AK130" s="10">
        <v>22.666999999999998</v>
      </c>
      <c r="AL130" s="10">
        <v>6.2720000000000002</v>
      </c>
      <c r="AM130" s="10">
        <v>24.754999999999999</v>
      </c>
      <c r="AN130" s="10">
        <v>8.4719999999999995</v>
      </c>
      <c r="AO130" s="10">
        <v>21.920999999999999</v>
      </c>
      <c r="AP130" s="46">
        <f t="shared" ref="AP130:AP148" si="8">AVERAGE(K130:AN130)</f>
        <v>13.451366666666665</v>
      </c>
      <c r="AQ130" s="7">
        <f t="shared" ref="AQ130:AQ152" si="9">AP130/I130</f>
        <v>4.4837888888888884</v>
      </c>
    </row>
    <row r="131" spans="1:43" x14ac:dyDescent="0.3">
      <c r="A131" s="5">
        <v>130</v>
      </c>
      <c r="B131" s="6" t="s">
        <v>65</v>
      </c>
      <c r="C131" s="10" t="s">
        <v>687</v>
      </c>
      <c r="D131" s="39" t="s">
        <v>807</v>
      </c>
      <c r="E131" s="6" t="s">
        <v>236</v>
      </c>
      <c r="F131" s="6" t="s">
        <v>12</v>
      </c>
      <c r="G131" s="6" t="s">
        <v>121</v>
      </c>
      <c r="H131" s="6" t="s">
        <v>35</v>
      </c>
      <c r="I131" s="5">
        <v>3</v>
      </c>
      <c r="J131" s="67" t="s">
        <v>160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0</v>
      </c>
      <c r="AL131" s="46">
        <v>0</v>
      </c>
      <c r="AM131" s="46">
        <v>0</v>
      </c>
      <c r="AN131" s="46">
        <v>0</v>
      </c>
      <c r="AO131" s="46">
        <v>0</v>
      </c>
      <c r="AP131" s="46">
        <f t="shared" si="8"/>
        <v>0</v>
      </c>
      <c r="AQ131" s="7">
        <f t="shared" si="9"/>
        <v>0</v>
      </c>
    </row>
    <row r="132" spans="1:43" x14ac:dyDescent="0.3">
      <c r="A132" s="5">
        <v>131</v>
      </c>
      <c r="B132" s="6" t="s">
        <v>65</v>
      </c>
      <c r="C132" s="10" t="s">
        <v>688</v>
      </c>
      <c r="D132" s="39" t="s">
        <v>808</v>
      </c>
      <c r="E132" s="6" t="s">
        <v>236</v>
      </c>
      <c r="F132" s="6" t="s">
        <v>12</v>
      </c>
      <c r="G132" s="6" t="s">
        <v>121</v>
      </c>
      <c r="H132" s="6" t="s">
        <v>35</v>
      </c>
      <c r="I132" s="5">
        <v>3</v>
      </c>
      <c r="J132" s="67" t="s">
        <v>160</v>
      </c>
      <c r="K132" s="46">
        <v>0</v>
      </c>
      <c r="L132" s="46">
        <v>0</v>
      </c>
      <c r="M132" s="46">
        <v>0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v>0</v>
      </c>
      <c r="AP132" s="46">
        <f t="shared" si="8"/>
        <v>0</v>
      </c>
      <c r="AQ132" s="7">
        <f t="shared" si="9"/>
        <v>0</v>
      </c>
    </row>
    <row r="133" spans="1:43" x14ac:dyDescent="0.3">
      <c r="A133" s="5">
        <v>132</v>
      </c>
      <c r="B133" s="6" t="s">
        <v>65</v>
      </c>
      <c r="C133" s="10" t="s">
        <v>689</v>
      </c>
      <c r="D133" s="39" t="s">
        <v>811</v>
      </c>
      <c r="E133" s="6" t="s">
        <v>30</v>
      </c>
      <c r="F133" s="6" t="s">
        <v>12</v>
      </c>
      <c r="G133" s="6" t="s">
        <v>121</v>
      </c>
      <c r="H133" s="6" t="s">
        <v>35</v>
      </c>
      <c r="I133" s="5">
        <v>4</v>
      </c>
      <c r="J133" s="12" t="s">
        <v>590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10">
        <v>6.056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46">
        <v>0</v>
      </c>
      <c r="AN133" s="10">
        <v>0.60899999999999999</v>
      </c>
      <c r="AO133" s="46">
        <v>0</v>
      </c>
      <c r="AP133" s="46">
        <f t="shared" si="8"/>
        <v>0.22216666666666668</v>
      </c>
      <c r="AQ133" s="7">
        <f t="shared" si="9"/>
        <v>5.554166666666667E-2</v>
      </c>
    </row>
    <row r="134" spans="1:43" ht="15.75" customHeight="1" x14ac:dyDescent="0.3">
      <c r="A134" s="5">
        <v>133</v>
      </c>
      <c r="B134" s="6" t="s">
        <v>65</v>
      </c>
      <c r="C134" s="10" t="s">
        <v>690</v>
      </c>
      <c r="D134" s="103" t="s">
        <v>769</v>
      </c>
      <c r="E134" s="6" t="s">
        <v>128</v>
      </c>
      <c r="F134" s="6" t="s">
        <v>12</v>
      </c>
      <c r="G134" s="6" t="s">
        <v>121</v>
      </c>
      <c r="H134" s="6" t="s">
        <v>35</v>
      </c>
      <c r="I134" s="5">
        <v>15</v>
      </c>
      <c r="J134" s="94" t="s">
        <v>273</v>
      </c>
      <c r="K134" s="10">
        <v>64.912999999999997</v>
      </c>
      <c r="L134" s="10">
        <v>58.683</v>
      </c>
      <c r="M134" s="10">
        <v>70.965999999999994</v>
      </c>
      <c r="N134" s="10">
        <v>60.777999999999992</v>
      </c>
      <c r="O134" s="10">
        <v>58.036999999999999</v>
      </c>
      <c r="P134" s="10">
        <v>64.641000000000005</v>
      </c>
      <c r="Q134" s="10">
        <v>71.611000000000004</v>
      </c>
      <c r="R134" s="10">
        <v>84.45999999999998</v>
      </c>
      <c r="S134" s="10">
        <v>52.169000000000011</v>
      </c>
      <c r="T134" s="10">
        <v>50.265000000000001</v>
      </c>
      <c r="U134" s="10">
        <v>59.619000000000007</v>
      </c>
      <c r="V134" s="10">
        <v>99.105999999999995</v>
      </c>
      <c r="W134" s="10">
        <v>87.137999999999991</v>
      </c>
      <c r="X134" s="10">
        <v>90.846000000000004</v>
      </c>
      <c r="Y134" s="10">
        <v>116.14700000000002</v>
      </c>
      <c r="Z134" s="10">
        <v>103.85599999999999</v>
      </c>
      <c r="AA134" s="10">
        <v>90.488</v>
      </c>
      <c r="AB134" s="10">
        <v>78.72799999999998</v>
      </c>
      <c r="AC134" s="10">
        <v>84.308000000000007</v>
      </c>
      <c r="AD134" s="10">
        <v>84.524000000000015</v>
      </c>
      <c r="AE134" s="10">
        <v>67.597999999999999</v>
      </c>
      <c r="AF134" s="10">
        <v>63.55</v>
      </c>
      <c r="AG134" s="10">
        <v>70.381</v>
      </c>
      <c r="AH134" s="10">
        <v>78.661000000000001</v>
      </c>
      <c r="AI134" s="10">
        <v>68.547000000000011</v>
      </c>
      <c r="AJ134" s="10">
        <v>89.426000000000002</v>
      </c>
      <c r="AK134" s="10">
        <v>76.081999999999994</v>
      </c>
      <c r="AL134" s="10">
        <v>36.183000000000007</v>
      </c>
      <c r="AM134" s="10">
        <v>77.876999999999995</v>
      </c>
      <c r="AN134" s="10">
        <v>62.208999999999996</v>
      </c>
      <c r="AO134" s="10">
        <v>57.122999999999998</v>
      </c>
      <c r="AP134" s="46">
        <f t="shared" si="8"/>
        <v>74.059899999999999</v>
      </c>
      <c r="AQ134" s="7">
        <f t="shared" si="9"/>
        <v>4.9373266666666664</v>
      </c>
    </row>
    <row r="135" spans="1:43" ht="15.75" customHeight="1" x14ac:dyDescent="0.3">
      <c r="A135" s="5">
        <v>134</v>
      </c>
      <c r="B135" s="6" t="s">
        <v>65</v>
      </c>
      <c r="C135" s="10" t="s">
        <v>690</v>
      </c>
      <c r="D135" s="103" t="s">
        <v>769</v>
      </c>
      <c r="E135" s="6" t="s">
        <v>128</v>
      </c>
      <c r="F135" s="6" t="s">
        <v>12</v>
      </c>
      <c r="G135" s="6" t="s">
        <v>95</v>
      </c>
      <c r="H135" s="6" t="s">
        <v>80</v>
      </c>
      <c r="I135" s="5">
        <v>1</v>
      </c>
      <c r="J135" s="67" t="s">
        <v>160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>
        <v>7.88</v>
      </c>
      <c r="AC135" s="46">
        <v>0</v>
      </c>
      <c r="AD135" s="10">
        <v>12.190000000000001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0</v>
      </c>
      <c r="AL135" s="46">
        <v>0</v>
      </c>
      <c r="AM135" s="46">
        <v>0</v>
      </c>
      <c r="AN135" s="46">
        <v>0</v>
      </c>
      <c r="AO135" s="46">
        <v>0</v>
      </c>
      <c r="AP135" s="46">
        <f t="shared" si="8"/>
        <v>1.5438461538461539</v>
      </c>
      <c r="AQ135" s="7">
        <f t="shared" si="9"/>
        <v>1.5438461538461539</v>
      </c>
    </row>
    <row r="136" spans="1:43" x14ac:dyDescent="0.3">
      <c r="A136" s="5">
        <v>135</v>
      </c>
      <c r="B136" s="6" t="s">
        <v>65</v>
      </c>
      <c r="C136" s="10" t="s">
        <v>691</v>
      </c>
      <c r="D136" s="39" t="s">
        <v>733</v>
      </c>
      <c r="E136" s="6" t="s">
        <v>407</v>
      </c>
      <c r="F136" s="6" t="s">
        <v>19</v>
      </c>
      <c r="G136" s="6" t="s">
        <v>121</v>
      </c>
      <c r="H136" s="6" t="s">
        <v>35</v>
      </c>
      <c r="I136" s="5">
        <v>2</v>
      </c>
      <c r="J136" s="12" t="s">
        <v>590</v>
      </c>
      <c r="K136" s="46">
        <v>0</v>
      </c>
      <c r="L136" s="10">
        <v>12.163</v>
      </c>
      <c r="M136" s="46">
        <v>0</v>
      </c>
      <c r="N136" s="10">
        <v>8.9239999999999995</v>
      </c>
      <c r="O136" s="10">
        <v>22.969000000000001</v>
      </c>
      <c r="P136" s="46">
        <v>0</v>
      </c>
      <c r="Q136" s="46">
        <v>0</v>
      </c>
      <c r="R136" s="46">
        <v>0</v>
      </c>
      <c r="S136" s="10">
        <v>9.0969999999999995</v>
      </c>
      <c r="T136" s="10">
        <v>11.604000000000001</v>
      </c>
      <c r="U136" s="46">
        <v>0</v>
      </c>
      <c r="V136" s="46">
        <v>0</v>
      </c>
      <c r="W136" s="46">
        <v>0</v>
      </c>
      <c r="X136" s="10">
        <v>7.274</v>
      </c>
      <c r="Y136" s="46">
        <v>0</v>
      </c>
      <c r="Z136" s="10">
        <v>8.8810000000000002</v>
      </c>
      <c r="AA136" s="10">
        <v>8.6150000000000002</v>
      </c>
      <c r="AB136" s="10">
        <v>8.0350000000000001</v>
      </c>
      <c r="AC136" s="46">
        <v>0</v>
      </c>
      <c r="AD136" s="46">
        <v>0</v>
      </c>
      <c r="AE136" s="46">
        <v>0</v>
      </c>
      <c r="AF136" s="10">
        <v>2.68</v>
      </c>
      <c r="AG136" s="10">
        <v>7.08</v>
      </c>
      <c r="AH136" s="46">
        <v>0</v>
      </c>
      <c r="AI136" s="46">
        <v>0</v>
      </c>
      <c r="AJ136" s="10">
        <v>14.146999999999998</v>
      </c>
      <c r="AK136" s="46">
        <v>0</v>
      </c>
      <c r="AL136" s="46">
        <v>0</v>
      </c>
      <c r="AM136" s="46">
        <v>0</v>
      </c>
      <c r="AN136" s="10">
        <v>6.18</v>
      </c>
      <c r="AO136" s="46">
        <v>0</v>
      </c>
      <c r="AP136" s="46">
        <f t="shared" si="8"/>
        <v>4.2549666666666663</v>
      </c>
      <c r="AQ136" s="7">
        <f t="shared" si="9"/>
        <v>2.1274833333333332</v>
      </c>
    </row>
    <row r="137" spans="1:43" x14ac:dyDescent="0.3">
      <c r="A137" s="5">
        <v>136</v>
      </c>
      <c r="B137" s="6" t="s">
        <v>65</v>
      </c>
      <c r="C137" s="10" t="s">
        <v>692</v>
      </c>
      <c r="D137" s="39" t="s">
        <v>812</v>
      </c>
      <c r="E137" s="6" t="s">
        <v>432</v>
      </c>
      <c r="F137" s="6" t="s">
        <v>19</v>
      </c>
      <c r="G137" s="6" t="s">
        <v>121</v>
      </c>
      <c r="H137" s="6" t="s">
        <v>35</v>
      </c>
      <c r="I137" s="5">
        <v>2</v>
      </c>
      <c r="J137" s="12" t="s">
        <v>590</v>
      </c>
      <c r="K137" s="46">
        <v>0</v>
      </c>
      <c r="L137" s="10">
        <v>13.030999999999999</v>
      </c>
      <c r="M137" s="46">
        <v>0</v>
      </c>
      <c r="N137" s="10">
        <v>6.61</v>
      </c>
      <c r="O137" s="46">
        <v>0</v>
      </c>
      <c r="P137" s="46">
        <v>0</v>
      </c>
      <c r="Q137" s="46">
        <v>0</v>
      </c>
      <c r="R137" s="46">
        <v>0</v>
      </c>
      <c r="S137" s="10">
        <v>15.228999999999999</v>
      </c>
      <c r="T137" s="46">
        <v>0</v>
      </c>
      <c r="U137" s="10">
        <v>15.055</v>
      </c>
      <c r="V137" s="46">
        <v>0</v>
      </c>
      <c r="W137" s="10">
        <v>8.5670000000000002</v>
      </c>
      <c r="X137" s="46">
        <v>0</v>
      </c>
      <c r="Y137" s="46">
        <v>0</v>
      </c>
      <c r="Z137" s="10">
        <v>3.0000000000000001E-3</v>
      </c>
      <c r="AA137" s="10">
        <v>21.764000000000003</v>
      </c>
      <c r="AB137" s="10">
        <v>7.032</v>
      </c>
      <c r="AC137" s="10">
        <v>6.9260000000000002</v>
      </c>
      <c r="AD137" s="10">
        <v>7.5839999999999996</v>
      </c>
      <c r="AE137" s="46">
        <v>0</v>
      </c>
      <c r="AF137" s="46">
        <v>0</v>
      </c>
      <c r="AG137" s="10">
        <v>3.4319999999999999</v>
      </c>
      <c r="AH137" s="46">
        <v>0</v>
      </c>
      <c r="AI137" s="46">
        <v>0</v>
      </c>
      <c r="AJ137" s="10">
        <v>7.4630000000000001</v>
      </c>
      <c r="AK137" s="46">
        <v>0</v>
      </c>
      <c r="AL137" s="46">
        <v>0</v>
      </c>
      <c r="AM137" s="46">
        <v>0</v>
      </c>
      <c r="AN137" s="10">
        <v>10.8</v>
      </c>
      <c r="AO137" s="46">
        <v>0</v>
      </c>
      <c r="AP137" s="46">
        <f t="shared" si="8"/>
        <v>4.1165333333333329</v>
      </c>
      <c r="AQ137" s="7">
        <f t="shared" si="9"/>
        <v>2.0582666666666665</v>
      </c>
    </row>
    <row r="138" spans="1:43" x14ac:dyDescent="0.3">
      <c r="A138" s="5">
        <v>137</v>
      </c>
      <c r="B138" s="6" t="s">
        <v>65</v>
      </c>
      <c r="C138" s="10" t="s">
        <v>693</v>
      </c>
      <c r="D138" s="39" t="s">
        <v>820</v>
      </c>
      <c r="E138" s="6" t="s">
        <v>407</v>
      </c>
      <c r="F138" s="6" t="s">
        <v>19</v>
      </c>
      <c r="G138" s="6" t="s">
        <v>121</v>
      </c>
      <c r="H138" s="6" t="s">
        <v>35</v>
      </c>
      <c r="I138" s="5">
        <v>1</v>
      </c>
      <c r="J138" s="12" t="s">
        <v>590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46">
        <v>0</v>
      </c>
      <c r="AN138" s="46">
        <v>0</v>
      </c>
      <c r="AO138" s="46">
        <v>0</v>
      </c>
      <c r="AP138" s="46">
        <f t="shared" si="8"/>
        <v>0</v>
      </c>
      <c r="AQ138" s="7">
        <f t="shared" si="9"/>
        <v>0</v>
      </c>
    </row>
    <row r="139" spans="1:43" x14ac:dyDescent="0.3">
      <c r="A139" s="5">
        <v>138</v>
      </c>
      <c r="B139" s="6" t="s">
        <v>65</v>
      </c>
      <c r="C139" s="10" t="s">
        <v>694</v>
      </c>
      <c r="D139" s="39" t="s">
        <v>458</v>
      </c>
      <c r="E139" s="6" t="s">
        <v>432</v>
      </c>
      <c r="F139" s="6" t="s">
        <v>19</v>
      </c>
      <c r="G139" s="6" t="s">
        <v>121</v>
      </c>
      <c r="H139" s="6" t="s">
        <v>35</v>
      </c>
      <c r="I139" s="5">
        <v>2</v>
      </c>
      <c r="J139" s="12" t="s">
        <v>590</v>
      </c>
      <c r="K139" s="46">
        <v>0</v>
      </c>
      <c r="L139" s="46">
        <v>0</v>
      </c>
      <c r="M139" s="46">
        <v>0</v>
      </c>
      <c r="N139" s="46">
        <v>0</v>
      </c>
      <c r="O139" s="10">
        <v>2E-3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10">
        <v>1E-3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>
        <v>0</v>
      </c>
      <c r="AO139" s="46">
        <v>0</v>
      </c>
      <c r="AP139" s="46">
        <f t="shared" si="8"/>
        <v>1E-4</v>
      </c>
      <c r="AQ139" s="7">
        <f t="shared" si="9"/>
        <v>5.0000000000000002E-5</v>
      </c>
    </row>
    <row r="140" spans="1:43" x14ac:dyDescent="0.3">
      <c r="A140" s="5">
        <v>139</v>
      </c>
      <c r="B140" s="6" t="s">
        <v>65</v>
      </c>
      <c r="C140" s="10" t="s">
        <v>695</v>
      </c>
      <c r="D140" s="39" t="s">
        <v>520</v>
      </c>
      <c r="E140" s="6" t="s">
        <v>521</v>
      </c>
      <c r="F140" s="6" t="s">
        <v>19</v>
      </c>
      <c r="G140" s="6" t="s">
        <v>121</v>
      </c>
      <c r="H140" s="6" t="s">
        <v>35</v>
      </c>
      <c r="I140" s="5">
        <v>1</v>
      </c>
      <c r="J140" s="12" t="s">
        <v>590</v>
      </c>
      <c r="K140" s="46">
        <v>0</v>
      </c>
      <c r="L140" s="46">
        <v>0</v>
      </c>
      <c r="M140" s="46">
        <v>0</v>
      </c>
      <c r="N140" s="46">
        <v>0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0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0</v>
      </c>
      <c r="AL140" s="46">
        <v>0</v>
      </c>
      <c r="AM140" s="46">
        <v>0</v>
      </c>
      <c r="AN140" s="46">
        <v>0</v>
      </c>
      <c r="AO140" s="46">
        <v>0</v>
      </c>
      <c r="AP140" s="46">
        <f t="shared" si="8"/>
        <v>0</v>
      </c>
      <c r="AQ140" s="7">
        <f t="shared" si="9"/>
        <v>0</v>
      </c>
    </row>
    <row r="141" spans="1:43" x14ac:dyDescent="0.3">
      <c r="A141" s="5">
        <v>140</v>
      </c>
      <c r="B141" s="6" t="s">
        <v>65</v>
      </c>
      <c r="C141" s="10" t="s">
        <v>846</v>
      </c>
      <c r="D141" s="39" t="s">
        <v>841</v>
      </c>
      <c r="E141" s="6" t="s">
        <v>521</v>
      </c>
      <c r="F141" s="6" t="s">
        <v>19</v>
      </c>
      <c r="G141" s="6" t="s">
        <v>121</v>
      </c>
      <c r="H141" s="6" t="s">
        <v>35</v>
      </c>
      <c r="I141" s="5">
        <v>2</v>
      </c>
      <c r="J141" s="12" t="s">
        <v>590</v>
      </c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>
        <v>0</v>
      </c>
      <c r="AG141" s="10">
        <v>3.0630000000000002</v>
      </c>
      <c r="AH141" s="10">
        <v>0.57599999999999996</v>
      </c>
      <c r="AI141" s="46">
        <v>0</v>
      </c>
      <c r="AJ141" s="46">
        <v>0</v>
      </c>
      <c r="AK141" s="10">
        <v>4.01</v>
      </c>
      <c r="AL141" s="46">
        <v>0</v>
      </c>
      <c r="AM141" s="46">
        <v>0</v>
      </c>
      <c r="AN141" s="10">
        <v>6.5830000000000002</v>
      </c>
      <c r="AO141" s="10">
        <v>1.1479999999999999</v>
      </c>
      <c r="AP141" s="46">
        <f t="shared" si="8"/>
        <v>1.5813333333333333</v>
      </c>
      <c r="AQ141" s="7">
        <f t="shared" si="9"/>
        <v>0.79066666666666663</v>
      </c>
    </row>
    <row r="142" spans="1:43" x14ac:dyDescent="0.3">
      <c r="A142" s="5">
        <v>141</v>
      </c>
      <c r="B142" s="6" t="s">
        <v>65</v>
      </c>
      <c r="C142" s="10" t="s">
        <v>696</v>
      </c>
      <c r="D142" s="39" t="s">
        <v>813</v>
      </c>
      <c r="E142" s="6" t="s">
        <v>128</v>
      </c>
      <c r="F142" s="6" t="s">
        <v>12</v>
      </c>
      <c r="G142" s="6" t="s">
        <v>121</v>
      </c>
      <c r="H142" s="6" t="s">
        <v>35</v>
      </c>
      <c r="I142" s="5">
        <v>15</v>
      </c>
      <c r="J142" s="94" t="s">
        <v>273</v>
      </c>
      <c r="K142" s="46">
        <v>0</v>
      </c>
      <c r="L142" s="46">
        <v>0</v>
      </c>
      <c r="M142" s="46">
        <v>0</v>
      </c>
      <c r="N142" s="46">
        <v>0</v>
      </c>
      <c r="O142" s="10">
        <v>8.0000000000000002E-3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10">
        <v>21.359000000000005</v>
      </c>
      <c r="AA142" s="10">
        <v>22.246000000000002</v>
      </c>
      <c r="AB142" s="10">
        <v>37.325000000000003</v>
      </c>
      <c r="AC142" s="10">
        <v>40.298999999999999</v>
      </c>
      <c r="AD142" s="10">
        <v>19.432000000000002</v>
      </c>
      <c r="AE142" s="10">
        <v>47.515999999999998</v>
      </c>
      <c r="AF142" s="10">
        <v>35.994</v>
      </c>
      <c r="AG142" s="10">
        <v>23.595000000000002</v>
      </c>
      <c r="AH142" s="10">
        <v>42.11</v>
      </c>
      <c r="AI142" s="10">
        <v>40.847999999999999</v>
      </c>
      <c r="AJ142" s="10">
        <v>62.433000000000007</v>
      </c>
      <c r="AK142" s="10">
        <v>18.387</v>
      </c>
      <c r="AL142" s="10">
        <v>52.305999999999997</v>
      </c>
      <c r="AM142" s="10">
        <v>49.165999999999997</v>
      </c>
      <c r="AN142" s="10">
        <v>42.314999999999998</v>
      </c>
      <c r="AO142" s="10">
        <v>32.151999999999994</v>
      </c>
      <c r="AP142" s="46">
        <f t="shared" si="8"/>
        <v>18.511299999999999</v>
      </c>
      <c r="AQ142" s="7">
        <f t="shared" si="9"/>
        <v>1.2340866666666666</v>
      </c>
    </row>
    <row r="143" spans="1:43" x14ac:dyDescent="0.3">
      <c r="A143" s="5">
        <v>142</v>
      </c>
      <c r="B143" s="6" t="s">
        <v>65</v>
      </c>
      <c r="C143" s="10" t="s">
        <v>696</v>
      </c>
      <c r="D143" s="39" t="s">
        <v>813</v>
      </c>
      <c r="E143" s="6" t="s">
        <v>128</v>
      </c>
      <c r="F143" s="6" t="s">
        <v>12</v>
      </c>
      <c r="G143" s="6" t="s">
        <v>95</v>
      </c>
      <c r="H143" s="6" t="s">
        <v>80</v>
      </c>
      <c r="I143" s="5">
        <v>2</v>
      </c>
      <c r="J143" s="94" t="s">
        <v>273</v>
      </c>
      <c r="K143" s="46"/>
      <c r="L143" s="46"/>
      <c r="M143" s="46"/>
      <c r="N143" s="46"/>
      <c r="O143" s="10"/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0</v>
      </c>
      <c r="AM143" s="46">
        <v>0</v>
      </c>
      <c r="AN143" s="46">
        <v>0</v>
      </c>
      <c r="AO143" s="10">
        <v>0.03</v>
      </c>
      <c r="AP143" s="46">
        <f t="shared" si="8"/>
        <v>0</v>
      </c>
      <c r="AQ143" s="7">
        <f t="shared" si="9"/>
        <v>0</v>
      </c>
    </row>
    <row r="144" spans="1:43" x14ac:dyDescent="0.3">
      <c r="A144" s="5">
        <v>143</v>
      </c>
      <c r="B144" s="6" t="s">
        <v>65</v>
      </c>
      <c r="C144" s="5"/>
      <c r="D144" s="39" t="s">
        <v>115</v>
      </c>
      <c r="E144" s="6" t="s">
        <v>113</v>
      </c>
      <c r="F144" s="6" t="s">
        <v>19</v>
      </c>
      <c r="G144" s="6" t="s">
        <v>116</v>
      </c>
      <c r="H144" s="6" t="s">
        <v>80</v>
      </c>
      <c r="I144" s="5">
        <v>1</v>
      </c>
      <c r="J144" s="67" t="s">
        <v>160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v>0</v>
      </c>
      <c r="AN144" s="46">
        <v>0</v>
      </c>
      <c r="AO144" s="46">
        <v>0</v>
      </c>
      <c r="AP144" s="46">
        <f t="shared" si="8"/>
        <v>0</v>
      </c>
      <c r="AQ144" s="7">
        <f t="shared" si="9"/>
        <v>0</v>
      </c>
    </row>
    <row r="145" spans="1:43" x14ac:dyDescent="0.3">
      <c r="A145" s="5">
        <v>144</v>
      </c>
      <c r="B145" s="6" t="s">
        <v>65</v>
      </c>
      <c r="C145" s="5"/>
      <c r="D145" s="39" t="s">
        <v>117</v>
      </c>
      <c r="E145" s="6" t="s">
        <v>113</v>
      </c>
      <c r="F145" s="6" t="s">
        <v>19</v>
      </c>
      <c r="G145" s="6" t="s">
        <v>116</v>
      </c>
      <c r="H145" s="6" t="s">
        <v>80</v>
      </c>
      <c r="I145" s="5">
        <v>1</v>
      </c>
      <c r="J145" s="67" t="s">
        <v>160</v>
      </c>
      <c r="K145" s="46">
        <v>0</v>
      </c>
      <c r="L145" s="46">
        <v>0</v>
      </c>
      <c r="M145" s="46">
        <v>0</v>
      </c>
      <c r="N145" s="46">
        <v>0</v>
      </c>
      <c r="O145" s="46">
        <v>0</v>
      </c>
      <c r="P145" s="46">
        <v>0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46">
        <v>0</v>
      </c>
      <c r="AA145" s="46">
        <v>0</v>
      </c>
      <c r="AB145" s="46">
        <v>0</v>
      </c>
      <c r="AC145" s="46">
        <v>0</v>
      </c>
      <c r="AD145" s="46">
        <v>0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>
        <v>0</v>
      </c>
      <c r="AK145" s="46">
        <v>0</v>
      </c>
      <c r="AL145" s="46">
        <v>0</v>
      </c>
      <c r="AM145" s="46">
        <v>0</v>
      </c>
      <c r="AN145" s="46">
        <v>0</v>
      </c>
      <c r="AO145" s="46">
        <v>0</v>
      </c>
      <c r="AP145" s="46">
        <f t="shared" si="8"/>
        <v>0</v>
      </c>
      <c r="AQ145" s="7">
        <f t="shared" si="9"/>
        <v>0</v>
      </c>
    </row>
    <row r="146" spans="1:43" x14ac:dyDescent="0.3">
      <c r="A146" s="5">
        <v>145</v>
      </c>
      <c r="B146" s="6" t="s">
        <v>65</v>
      </c>
      <c r="C146" s="5"/>
      <c r="D146" s="6" t="s">
        <v>66</v>
      </c>
      <c r="E146" s="6" t="s">
        <v>67</v>
      </c>
      <c r="F146" s="6" t="s">
        <v>12</v>
      </c>
      <c r="G146" s="6" t="s">
        <v>13</v>
      </c>
      <c r="H146" s="6" t="s">
        <v>14</v>
      </c>
      <c r="I146" s="5">
        <v>87</v>
      </c>
      <c r="J146" s="67" t="s">
        <v>160</v>
      </c>
      <c r="K146" s="46">
        <v>0</v>
      </c>
      <c r="L146" s="46">
        <v>0</v>
      </c>
      <c r="M146" s="46">
        <v>0</v>
      </c>
      <c r="N146" s="46">
        <v>0</v>
      </c>
      <c r="O146" s="46">
        <v>0</v>
      </c>
      <c r="P146" s="46">
        <v>0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0</v>
      </c>
      <c r="Z146" s="46">
        <v>0</v>
      </c>
      <c r="AA146" s="46">
        <v>0</v>
      </c>
      <c r="AB146" s="46">
        <v>0</v>
      </c>
      <c r="AC146" s="46">
        <v>0</v>
      </c>
      <c r="AD146" s="46">
        <v>0</v>
      </c>
      <c r="AE146" s="46">
        <v>0</v>
      </c>
      <c r="AF146" s="46">
        <v>0</v>
      </c>
      <c r="AG146" s="46">
        <v>0</v>
      </c>
      <c r="AH146" s="46">
        <v>0</v>
      </c>
      <c r="AI146" s="46">
        <v>0</v>
      </c>
      <c r="AJ146" s="46">
        <v>0</v>
      </c>
      <c r="AK146" s="46">
        <v>0</v>
      </c>
      <c r="AL146" s="46">
        <v>0</v>
      </c>
      <c r="AM146" s="46">
        <v>0</v>
      </c>
      <c r="AN146" s="46">
        <v>0</v>
      </c>
      <c r="AO146" s="46">
        <v>0</v>
      </c>
      <c r="AP146" s="46">
        <f t="shared" si="8"/>
        <v>0</v>
      </c>
      <c r="AQ146" s="7">
        <f t="shared" si="9"/>
        <v>0</v>
      </c>
    </row>
    <row r="147" spans="1:43" x14ac:dyDescent="0.3">
      <c r="A147" s="5">
        <v>146</v>
      </c>
      <c r="B147" s="6" t="s">
        <v>65</v>
      </c>
      <c r="C147" s="5"/>
      <c r="D147" s="6" t="s">
        <v>70</v>
      </c>
      <c r="E147" s="6"/>
      <c r="F147" s="6" t="s">
        <v>12</v>
      </c>
      <c r="G147" s="6" t="s">
        <v>13</v>
      </c>
      <c r="H147" s="6" t="s">
        <v>14</v>
      </c>
      <c r="I147" s="5">
        <v>82</v>
      </c>
      <c r="J147" s="67" t="s">
        <v>160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46">
        <v>0</v>
      </c>
      <c r="AA147" s="46">
        <v>0</v>
      </c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0</v>
      </c>
      <c r="AI147" s="46">
        <v>0</v>
      </c>
      <c r="AJ147" s="46">
        <v>0</v>
      </c>
      <c r="AK147" s="46">
        <v>0</v>
      </c>
      <c r="AL147" s="46">
        <v>0</v>
      </c>
      <c r="AM147" s="46">
        <v>0</v>
      </c>
      <c r="AN147" s="46">
        <v>0</v>
      </c>
      <c r="AO147" s="46">
        <v>0</v>
      </c>
      <c r="AP147" s="46">
        <f t="shared" si="8"/>
        <v>0</v>
      </c>
      <c r="AQ147" s="7">
        <f t="shared" si="9"/>
        <v>0</v>
      </c>
    </row>
    <row r="148" spans="1:43" x14ac:dyDescent="0.3">
      <c r="A148" s="5">
        <v>147</v>
      </c>
      <c r="B148" s="6" t="s">
        <v>65</v>
      </c>
      <c r="C148" s="5"/>
      <c r="D148" s="6" t="s">
        <v>74</v>
      </c>
      <c r="E148" s="6" t="s">
        <v>30</v>
      </c>
      <c r="F148" s="6" t="s">
        <v>19</v>
      </c>
      <c r="G148" s="6" t="s">
        <v>13</v>
      </c>
      <c r="H148" s="6" t="s">
        <v>14</v>
      </c>
      <c r="I148" s="5">
        <v>2</v>
      </c>
      <c r="J148" s="67" t="s">
        <v>160</v>
      </c>
      <c r="K148" s="46">
        <v>0</v>
      </c>
      <c r="L148" s="46">
        <v>0</v>
      </c>
      <c r="M148" s="46">
        <v>0</v>
      </c>
      <c r="N148" s="46">
        <v>0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0</v>
      </c>
      <c r="Z148" s="46">
        <v>0</v>
      </c>
      <c r="AA148" s="46">
        <v>0</v>
      </c>
      <c r="AB148" s="46">
        <v>0</v>
      </c>
      <c r="AC148" s="46">
        <v>0</v>
      </c>
      <c r="AD148" s="46">
        <v>0</v>
      </c>
      <c r="AE148" s="46">
        <v>0</v>
      </c>
      <c r="AF148" s="46">
        <v>0</v>
      </c>
      <c r="AG148" s="46">
        <v>0</v>
      </c>
      <c r="AH148" s="46">
        <v>0</v>
      </c>
      <c r="AI148" s="46">
        <v>0</v>
      </c>
      <c r="AJ148" s="46">
        <v>0</v>
      </c>
      <c r="AK148" s="46">
        <v>0</v>
      </c>
      <c r="AL148" s="46">
        <v>0</v>
      </c>
      <c r="AM148" s="46">
        <v>0</v>
      </c>
      <c r="AN148" s="46">
        <v>0</v>
      </c>
      <c r="AO148" s="46">
        <v>0</v>
      </c>
      <c r="AP148" s="46">
        <f t="shared" si="8"/>
        <v>0</v>
      </c>
      <c r="AQ148" s="7">
        <f t="shared" si="9"/>
        <v>0</v>
      </c>
    </row>
    <row r="149" spans="1:43" x14ac:dyDescent="0.3">
      <c r="A149" s="5">
        <v>148</v>
      </c>
      <c r="B149" s="6" t="s">
        <v>65</v>
      </c>
      <c r="C149" s="5"/>
      <c r="D149" s="39" t="s">
        <v>122</v>
      </c>
      <c r="E149" s="6" t="s">
        <v>30</v>
      </c>
      <c r="F149" s="6" t="s">
        <v>19</v>
      </c>
      <c r="G149" s="6" t="s">
        <v>13</v>
      </c>
      <c r="H149" s="6" t="s">
        <v>14</v>
      </c>
      <c r="I149" s="5">
        <v>3</v>
      </c>
      <c r="J149" s="67" t="s">
        <v>160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>
        <v>0</v>
      </c>
      <c r="AL149" s="46">
        <v>0</v>
      </c>
      <c r="AM149" s="46">
        <v>0</v>
      </c>
      <c r="AN149" s="46">
        <v>0</v>
      </c>
      <c r="AO149" s="46">
        <v>0</v>
      </c>
      <c r="AP149" s="46">
        <f t="shared" ref="AP149:AP152" si="10">AVERAGE(K149:AN149)</f>
        <v>0</v>
      </c>
      <c r="AQ149" s="7">
        <f t="shared" si="9"/>
        <v>0</v>
      </c>
    </row>
    <row r="150" spans="1:43" x14ac:dyDescent="0.3">
      <c r="A150" s="5">
        <v>149</v>
      </c>
      <c r="B150" s="6" t="s">
        <v>572</v>
      </c>
      <c r="C150" s="10" t="s">
        <v>697</v>
      </c>
      <c r="D150" s="39" t="s">
        <v>809</v>
      </c>
      <c r="E150" s="6" t="s">
        <v>61</v>
      </c>
      <c r="F150" s="6" t="s">
        <v>12</v>
      </c>
      <c r="G150" s="6" t="s">
        <v>121</v>
      </c>
      <c r="H150" s="6" t="s">
        <v>35</v>
      </c>
      <c r="I150" s="5">
        <v>7</v>
      </c>
      <c r="J150" s="12" t="s">
        <v>160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J150" s="46">
        <v>0</v>
      </c>
      <c r="AK150" s="46">
        <v>0</v>
      </c>
      <c r="AL150" s="46">
        <v>0</v>
      </c>
      <c r="AM150" s="46">
        <v>0</v>
      </c>
      <c r="AN150" s="46">
        <v>0</v>
      </c>
      <c r="AO150" s="46">
        <v>0</v>
      </c>
      <c r="AP150" s="46">
        <f t="shared" si="10"/>
        <v>0</v>
      </c>
      <c r="AQ150" s="7">
        <f t="shared" si="9"/>
        <v>0</v>
      </c>
    </row>
    <row r="151" spans="1:43" x14ac:dyDescent="0.3">
      <c r="A151" s="5">
        <v>150</v>
      </c>
      <c r="B151" s="6" t="s">
        <v>572</v>
      </c>
      <c r="C151" s="10" t="s">
        <v>657</v>
      </c>
      <c r="D151" s="39" t="s">
        <v>810</v>
      </c>
      <c r="E151" s="6" t="s">
        <v>61</v>
      </c>
      <c r="F151" s="6" t="s">
        <v>12</v>
      </c>
      <c r="G151" s="6" t="s">
        <v>121</v>
      </c>
      <c r="H151" s="6" t="s">
        <v>35</v>
      </c>
      <c r="I151" s="5">
        <v>12</v>
      </c>
      <c r="J151" s="12" t="s">
        <v>160</v>
      </c>
      <c r="K151" s="46">
        <v>0</v>
      </c>
      <c r="L151" s="46">
        <v>0</v>
      </c>
      <c r="M151" s="46">
        <v>0</v>
      </c>
      <c r="N151" s="46">
        <v>0</v>
      </c>
      <c r="O151" s="46">
        <v>0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46">
        <v>0</v>
      </c>
      <c r="AA151" s="46">
        <v>0</v>
      </c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0</v>
      </c>
      <c r="AI151" s="46">
        <v>0</v>
      </c>
      <c r="AJ151" s="46">
        <v>0</v>
      </c>
      <c r="AK151" s="46">
        <v>0</v>
      </c>
      <c r="AL151" s="46">
        <v>0</v>
      </c>
      <c r="AM151" s="46">
        <v>0</v>
      </c>
      <c r="AN151" s="46">
        <v>0</v>
      </c>
      <c r="AO151" s="46">
        <v>0</v>
      </c>
      <c r="AP151" s="46">
        <f t="shared" si="10"/>
        <v>0</v>
      </c>
      <c r="AQ151" s="7">
        <f t="shared" si="9"/>
        <v>0</v>
      </c>
    </row>
    <row r="152" spans="1:43" x14ac:dyDescent="0.3">
      <c r="H152" s="89" t="s">
        <v>79</v>
      </c>
      <c r="I152" s="90">
        <f>SUM(I2:I151)</f>
        <v>872</v>
      </c>
      <c r="J152" s="90"/>
      <c r="K152" s="91">
        <f t="shared" ref="K152:AM152" si="11">SUM(K2:K149)</f>
        <v>6007.7449999999972</v>
      </c>
      <c r="L152" s="91">
        <f t="shared" si="11"/>
        <v>6026.8459999999986</v>
      </c>
      <c r="M152" s="91">
        <f t="shared" si="11"/>
        <v>6569.4870000000001</v>
      </c>
      <c r="N152" s="91">
        <f t="shared" si="11"/>
        <v>6545.3680000000013</v>
      </c>
      <c r="O152" s="91">
        <f t="shared" si="11"/>
        <v>6443.9789999999985</v>
      </c>
      <c r="P152" s="91">
        <f t="shared" si="11"/>
        <v>6675.5280000000012</v>
      </c>
      <c r="Q152" s="91">
        <f t="shared" si="11"/>
        <v>6006.3369999999995</v>
      </c>
      <c r="R152" s="91">
        <f t="shared" si="11"/>
        <v>5663.7599999999984</v>
      </c>
      <c r="S152" s="91">
        <f t="shared" si="11"/>
        <v>5947.241</v>
      </c>
      <c r="T152" s="91">
        <f t="shared" si="11"/>
        <v>6132.956000000001</v>
      </c>
      <c r="U152" s="91">
        <f t="shared" si="11"/>
        <v>6665.5400000000018</v>
      </c>
      <c r="V152" s="91">
        <f t="shared" si="11"/>
        <v>6696.5500000000011</v>
      </c>
      <c r="W152" s="91">
        <f t="shared" si="11"/>
        <v>6822.0390000000025</v>
      </c>
      <c r="X152" s="91">
        <f t="shared" si="11"/>
        <v>5961.0410000000002</v>
      </c>
      <c r="Y152" s="91">
        <f t="shared" si="11"/>
        <v>5506.9010000000007</v>
      </c>
      <c r="Z152" s="91">
        <f t="shared" si="11"/>
        <v>5747.1009999999978</v>
      </c>
      <c r="AA152" s="91">
        <f t="shared" si="11"/>
        <v>6689.7150000000038</v>
      </c>
      <c r="AB152" s="91">
        <f t="shared" si="11"/>
        <v>6328.6639999999998</v>
      </c>
      <c r="AC152" s="91">
        <f t="shared" si="11"/>
        <v>6902.3570000000009</v>
      </c>
      <c r="AD152" s="91">
        <f t="shared" si="11"/>
        <v>6645.5540000000001</v>
      </c>
      <c r="AE152" s="91">
        <f t="shared" si="11"/>
        <v>5920.829999999999</v>
      </c>
      <c r="AF152" s="91">
        <f t="shared" si="11"/>
        <v>6199.2849999999999</v>
      </c>
      <c r="AG152" s="91">
        <f t="shared" si="11"/>
        <v>5847.4010000000007</v>
      </c>
      <c r="AH152" s="91">
        <f t="shared" si="11"/>
        <v>6142.6749999999993</v>
      </c>
      <c r="AI152" s="91">
        <f t="shared" si="11"/>
        <v>6266.2740000000003</v>
      </c>
      <c r="AJ152" s="91">
        <f t="shared" si="11"/>
        <v>6436.5880000000006</v>
      </c>
      <c r="AK152" s="91">
        <f t="shared" si="11"/>
        <v>6533.9910000000018</v>
      </c>
      <c r="AL152" s="91">
        <f t="shared" si="11"/>
        <v>6141.7049999999999</v>
      </c>
      <c r="AM152" s="91">
        <f t="shared" si="11"/>
        <v>6353.684000000002</v>
      </c>
      <c r="AN152" s="91">
        <f>SUM(AN2:AN151)</f>
        <v>6447.4279999999999</v>
      </c>
      <c r="AO152" s="91">
        <f>SUM(AO2:AO151)</f>
        <v>5865.8990000000003</v>
      </c>
      <c r="AP152" s="46">
        <f t="shared" si="10"/>
        <v>6275.8190000000004</v>
      </c>
      <c r="AQ152" s="7">
        <f t="shared" si="9"/>
        <v>7.1970401376146791</v>
      </c>
    </row>
    <row r="153" spans="1:43" x14ac:dyDescent="0.3">
      <c r="AK153" s="81"/>
      <c r="AP153" s="50"/>
    </row>
    <row r="156" spans="1:43" x14ac:dyDescent="0.3">
      <c r="AC156" s="88"/>
    </row>
    <row r="157" spans="1:43" x14ac:dyDescent="0.3">
      <c r="W157" s="88"/>
    </row>
    <row r="158" spans="1:43" x14ac:dyDescent="0.3">
      <c r="AB158" s="88"/>
      <c r="AE158" s="88"/>
      <c r="AF158" s="88"/>
    </row>
  </sheetData>
  <autoFilter ref="A1:AQ152" xr:uid="{00000000-0009-0000-0000-000033000000}"/>
  <pageMargins left="0.7" right="0.7" top="0.75" bottom="0.75" header="0.3" footer="0.3"/>
  <pageSetup scale="1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3:AF35"/>
  <sheetViews>
    <sheetView topLeftCell="A22" workbookViewId="0">
      <selection activeCell="K24" sqref="K24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6.33203125" bestFit="1" customWidth="1"/>
    <col min="4" max="4" width="8.5546875" bestFit="1" customWidth="1"/>
    <col min="5" max="5" width="9.44140625" bestFit="1" customWidth="1"/>
    <col min="6" max="6" width="7.88671875" bestFit="1" customWidth="1"/>
    <col min="7" max="7" width="10.88671875" bestFit="1" customWidth="1"/>
    <col min="8" max="8" width="9" customWidth="1"/>
    <col min="9" max="9" width="9.77734375" bestFit="1" customWidth="1"/>
    <col min="10" max="10" width="7" bestFit="1" customWidth="1"/>
    <col min="11" max="11" width="10.21875" bestFit="1" customWidth="1"/>
    <col min="12" max="12" width="7" bestFit="1" customWidth="1"/>
    <col min="13" max="14" width="8.6640625" bestFit="1" customWidth="1"/>
    <col min="15" max="15" width="7.33203125" bestFit="1" customWidth="1"/>
    <col min="16" max="16" width="8" bestFit="1" customWidth="1"/>
    <col min="17" max="17" width="7.6640625" bestFit="1" customWidth="1"/>
    <col min="18" max="18" width="6" bestFit="1" customWidth="1"/>
    <col min="19" max="19" width="5.88671875" bestFit="1" customWidth="1"/>
    <col min="20" max="20" width="9" bestFit="1" customWidth="1"/>
    <col min="21" max="21" width="12.44140625" bestFit="1" customWidth="1"/>
    <col min="22" max="22" width="10.77734375" bestFit="1" customWidth="1"/>
    <col min="23" max="23" width="14.21875" bestFit="1" customWidth="1"/>
    <col min="24" max="24" width="9" bestFit="1" customWidth="1"/>
    <col min="25" max="25" width="5.44140625" bestFit="1" customWidth="1"/>
    <col min="26" max="26" width="4.77734375" bestFit="1" customWidth="1"/>
    <col min="27" max="27" width="8.5546875" bestFit="1" customWidth="1"/>
    <col min="28" max="28" width="8.77734375" bestFit="1" customWidth="1"/>
    <col min="29" max="29" width="9.77734375" bestFit="1" customWidth="1"/>
    <col min="30" max="30" width="8.21875" bestFit="1" customWidth="1"/>
    <col min="31" max="31" width="12.109375" bestFit="1" customWidth="1"/>
    <col min="32" max="32" width="10.77734375" bestFit="1" customWidth="1"/>
    <col min="33" max="50" width="17.33203125" bestFit="1" customWidth="1"/>
    <col min="51" max="52" width="22.33203125" bestFit="1" customWidth="1"/>
  </cols>
  <sheetData>
    <row r="3" spans="1:32" x14ac:dyDescent="0.3">
      <c r="B3" s="29" t="s">
        <v>144</v>
      </c>
    </row>
    <row r="4" spans="1:32" x14ac:dyDescent="0.3">
      <c r="A4" s="29" t="s">
        <v>131</v>
      </c>
      <c r="B4" t="s">
        <v>576</v>
      </c>
      <c r="C4" t="s">
        <v>578</v>
      </c>
      <c r="D4" t="s">
        <v>175</v>
      </c>
      <c r="E4" t="s">
        <v>58</v>
      </c>
      <c r="F4" t="s">
        <v>569</v>
      </c>
      <c r="G4" t="s">
        <v>476</v>
      </c>
      <c r="H4" t="s">
        <v>65</v>
      </c>
      <c r="I4" t="s">
        <v>222</v>
      </c>
      <c r="J4" t="s">
        <v>134</v>
      </c>
      <c r="K4" t="s">
        <v>9</v>
      </c>
      <c r="L4" t="s">
        <v>536</v>
      </c>
      <c r="M4" t="s">
        <v>55</v>
      </c>
      <c r="N4" t="s">
        <v>499</v>
      </c>
      <c r="O4" t="s">
        <v>563</v>
      </c>
      <c r="P4" t="s">
        <v>119</v>
      </c>
      <c r="Q4" t="s">
        <v>560</v>
      </c>
      <c r="R4" t="s">
        <v>221</v>
      </c>
      <c r="S4" t="s">
        <v>572</v>
      </c>
      <c r="T4" t="s">
        <v>565</v>
      </c>
      <c r="U4" t="s">
        <v>246</v>
      </c>
      <c r="V4" t="s">
        <v>49</v>
      </c>
      <c r="W4" t="s">
        <v>52</v>
      </c>
      <c r="X4" t="s">
        <v>498</v>
      </c>
      <c r="Y4" t="s">
        <v>597</v>
      </c>
      <c r="Z4" t="s">
        <v>598</v>
      </c>
      <c r="AA4" t="s">
        <v>708</v>
      </c>
      <c r="AB4" t="s">
        <v>822</v>
      </c>
      <c r="AC4" t="s">
        <v>829</v>
      </c>
      <c r="AD4" t="s">
        <v>832</v>
      </c>
      <c r="AE4" t="s">
        <v>844</v>
      </c>
      <c r="AF4" t="s">
        <v>83</v>
      </c>
    </row>
    <row r="5" spans="1:32" x14ac:dyDescent="0.3">
      <c r="A5" s="26" t="s">
        <v>704</v>
      </c>
      <c r="B5" s="136">
        <v>0</v>
      </c>
      <c r="C5" s="136">
        <v>0</v>
      </c>
      <c r="D5" s="136">
        <v>166.636</v>
      </c>
      <c r="E5" s="136">
        <v>569.16399999999999</v>
      </c>
      <c r="F5" s="136">
        <v>0</v>
      </c>
      <c r="G5" s="136">
        <v>0</v>
      </c>
      <c r="H5" s="136">
        <v>909.85900000000004</v>
      </c>
      <c r="I5" s="136">
        <v>0</v>
      </c>
      <c r="J5" s="136">
        <v>89.74199999999999</v>
      </c>
      <c r="K5" s="136">
        <v>3334.665</v>
      </c>
      <c r="L5" s="136">
        <v>0</v>
      </c>
      <c r="M5" s="136">
        <v>543.32099999999991</v>
      </c>
      <c r="N5" s="136">
        <v>0</v>
      </c>
      <c r="O5" s="136">
        <v>0</v>
      </c>
      <c r="P5" s="136">
        <v>7.0049999999999999</v>
      </c>
      <c r="Q5" s="136">
        <v>0</v>
      </c>
      <c r="R5" s="136">
        <v>0</v>
      </c>
      <c r="S5" s="136">
        <v>0</v>
      </c>
      <c r="T5" s="136">
        <v>126.26599999999999</v>
      </c>
      <c r="U5" s="136">
        <v>39.606999999999999</v>
      </c>
      <c r="V5" s="136">
        <v>124.601</v>
      </c>
      <c r="W5" s="136">
        <v>96.879000000000019</v>
      </c>
      <c r="X5" s="136">
        <v>0</v>
      </c>
      <c r="Y5" s="136"/>
      <c r="Z5" s="136"/>
      <c r="AA5" s="136"/>
      <c r="AB5" s="136"/>
      <c r="AC5" s="136"/>
      <c r="AD5" s="136"/>
      <c r="AE5" s="136"/>
      <c r="AF5" s="136">
        <v>6007.744999999999</v>
      </c>
    </row>
    <row r="6" spans="1:32" x14ac:dyDescent="0.3">
      <c r="A6" s="26" t="s">
        <v>703</v>
      </c>
      <c r="B6" s="136">
        <v>0</v>
      </c>
      <c r="C6" s="136">
        <v>0</v>
      </c>
      <c r="D6" s="136">
        <v>177.21100000000001</v>
      </c>
      <c r="E6" s="136">
        <v>588.59699999999998</v>
      </c>
      <c r="F6" s="136">
        <v>0</v>
      </c>
      <c r="G6" s="136">
        <v>0</v>
      </c>
      <c r="H6" s="136">
        <v>900.34900000000005</v>
      </c>
      <c r="I6" s="136">
        <v>0</v>
      </c>
      <c r="J6" s="136">
        <v>58.93399999999999</v>
      </c>
      <c r="K6" s="136">
        <v>3616.4869999999996</v>
      </c>
      <c r="L6" s="136">
        <v>0</v>
      </c>
      <c r="M6" s="136">
        <v>250.92800000000003</v>
      </c>
      <c r="N6" s="136">
        <v>0</v>
      </c>
      <c r="O6" s="136">
        <v>0</v>
      </c>
      <c r="P6" s="136">
        <v>10.124000000000001</v>
      </c>
      <c r="Q6" s="136">
        <v>0</v>
      </c>
      <c r="R6" s="136">
        <v>0</v>
      </c>
      <c r="S6" s="136">
        <v>0</v>
      </c>
      <c r="T6" s="136">
        <v>149.55300000000003</v>
      </c>
      <c r="U6" s="136">
        <v>37.397999999999996</v>
      </c>
      <c r="V6" s="136">
        <v>114.128</v>
      </c>
      <c r="W6" s="136">
        <v>123.13700000000001</v>
      </c>
      <c r="X6" s="136">
        <v>0</v>
      </c>
      <c r="Y6" s="136">
        <v>0</v>
      </c>
      <c r="Z6" s="136">
        <v>0</v>
      </c>
      <c r="AA6" s="136"/>
      <c r="AB6" s="136"/>
      <c r="AC6" s="136"/>
      <c r="AD6" s="136"/>
      <c r="AE6" s="136"/>
      <c r="AF6" s="136">
        <v>6026.8459999999986</v>
      </c>
    </row>
    <row r="7" spans="1:32" x14ac:dyDescent="0.3">
      <c r="A7" s="26" t="s">
        <v>705</v>
      </c>
      <c r="B7" s="136">
        <v>0</v>
      </c>
      <c r="C7" s="136">
        <v>0</v>
      </c>
      <c r="D7" s="136">
        <v>112.633</v>
      </c>
      <c r="E7" s="136">
        <v>591.87699999999995</v>
      </c>
      <c r="F7" s="136">
        <v>0</v>
      </c>
      <c r="G7" s="136">
        <v>0</v>
      </c>
      <c r="H7" s="136">
        <v>977.07299999999998</v>
      </c>
      <c r="I7" s="136">
        <v>0</v>
      </c>
      <c r="J7" s="136">
        <v>66.815999999999988</v>
      </c>
      <c r="K7" s="136">
        <v>4136.1580000000013</v>
      </c>
      <c r="L7" s="136">
        <v>0</v>
      </c>
      <c r="M7" s="136">
        <v>309.95299999999997</v>
      </c>
      <c r="N7" s="136">
        <v>0</v>
      </c>
      <c r="O7" s="136">
        <v>0</v>
      </c>
      <c r="P7" s="136">
        <v>14.956999999999999</v>
      </c>
      <c r="Q7" s="136">
        <v>0</v>
      </c>
      <c r="R7" s="136">
        <v>0</v>
      </c>
      <c r="S7" s="136">
        <v>0</v>
      </c>
      <c r="T7" s="136">
        <v>134.09899999999999</v>
      </c>
      <c r="U7" s="136">
        <v>14.561</v>
      </c>
      <c r="V7" s="136">
        <v>94.661000000000001</v>
      </c>
      <c r="W7" s="136">
        <v>116.69899999999998</v>
      </c>
      <c r="X7" s="136">
        <v>0</v>
      </c>
      <c r="Y7" s="136">
        <v>0</v>
      </c>
      <c r="Z7" s="136">
        <v>0</v>
      </c>
      <c r="AA7" s="136"/>
      <c r="AB7" s="136"/>
      <c r="AC7" s="136"/>
      <c r="AD7" s="136"/>
      <c r="AE7" s="136"/>
      <c r="AF7" s="136">
        <v>6569.4870000000019</v>
      </c>
    </row>
    <row r="8" spans="1:32" x14ac:dyDescent="0.3">
      <c r="A8" s="26" t="s">
        <v>706</v>
      </c>
      <c r="B8" s="136">
        <v>0</v>
      </c>
      <c r="C8" s="136">
        <v>0</v>
      </c>
      <c r="D8" s="136">
        <v>164.75200000000001</v>
      </c>
      <c r="E8" s="136">
        <v>649.07899999999995</v>
      </c>
      <c r="F8" s="136">
        <v>0</v>
      </c>
      <c r="G8" s="136">
        <v>0</v>
      </c>
      <c r="H8" s="136">
        <v>1018.3690000000001</v>
      </c>
      <c r="I8" s="136">
        <v>2.8250000000000002</v>
      </c>
      <c r="J8" s="136">
        <v>41.271999999999998</v>
      </c>
      <c r="K8" s="136">
        <v>4003.5130000000004</v>
      </c>
      <c r="L8" s="136">
        <v>0</v>
      </c>
      <c r="M8" s="136">
        <v>318.26999999999987</v>
      </c>
      <c r="N8" s="136">
        <v>0</v>
      </c>
      <c r="O8" s="136">
        <v>0</v>
      </c>
      <c r="P8" s="136">
        <v>17.965999999999998</v>
      </c>
      <c r="Q8" s="136">
        <v>0</v>
      </c>
      <c r="R8" s="136">
        <v>0</v>
      </c>
      <c r="S8" s="136">
        <v>0</v>
      </c>
      <c r="T8" s="136">
        <v>124.518</v>
      </c>
      <c r="U8" s="136">
        <v>41.654999999999994</v>
      </c>
      <c r="V8" s="136">
        <v>77.213999999999999</v>
      </c>
      <c r="W8" s="136">
        <v>85.934999999999988</v>
      </c>
      <c r="X8" s="136">
        <v>0</v>
      </c>
      <c r="Y8" s="136">
        <v>0</v>
      </c>
      <c r="Z8" s="136">
        <v>0</v>
      </c>
      <c r="AA8" s="136"/>
      <c r="AB8" s="136"/>
      <c r="AC8" s="136"/>
      <c r="AD8" s="136"/>
      <c r="AE8" s="136"/>
      <c r="AF8" s="136">
        <v>6545.3680000000004</v>
      </c>
    </row>
    <row r="9" spans="1:32" x14ac:dyDescent="0.3">
      <c r="A9" s="26" t="s">
        <v>707</v>
      </c>
      <c r="B9" s="136">
        <v>0</v>
      </c>
      <c r="C9" s="136">
        <v>0</v>
      </c>
      <c r="D9" s="136">
        <v>69.285000000000011</v>
      </c>
      <c r="E9" s="136">
        <v>560.33100000000002</v>
      </c>
      <c r="F9" s="136">
        <v>0</v>
      </c>
      <c r="G9" s="136">
        <v>0</v>
      </c>
      <c r="H9" s="136">
        <v>1081.374</v>
      </c>
      <c r="I9" s="136">
        <v>3.016</v>
      </c>
      <c r="J9" s="136">
        <v>37.125999999999991</v>
      </c>
      <c r="K9" s="136">
        <v>3897.5920000000001</v>
      </c>
      <c r="L9" s="136">
        <v>0</v>
      </c>
      <c r="M9" s="136">
        <v>364.92200000000003</v>
      </c>
      <c r="N9" s="136">
        <v>0</v>
      </c>
      <c r="O9" s="136">
        <v>0</v>
      </c>
      <c r="P9" s="136">
        <v>41.144999999999996</v>
      </c>
      <c r="Q9" s="136">
        <v>38.079000000000001</v>
      </c>
      <c r="R9" s="136">
        <v>0</v>
      </c>
      <c r="S9" s="136">
        <v>0</v>
      </c>
      <c r="T9" s="136">
        <v>88.546999999999997</v>
      </c>
      <c r="U9" s="136">
        <v>20.228999999999999</v>
      </c>
      <c r="V9" s="136">
        <v>135.666</v>
      </c>
      <c r="W9" s="136">
        <v>106.66700000000002</v>
      </c>
      <c r="X9" s="136">
        <v>0</v>
      </c>
      <c r="Y9" s="136">
        <v>0</v>
      </c>
      <c r="Z9" s="136">
        <v>0</v>
      </c>
      <c r="AA9" s="136"/>
      <c r="AB9" s="136"/>
      <c r="AC9" s="136"/>
      <c r="AD9" s="136"/>
      <c r="AE9" s="136"/>
      <c r="AF9" s="136">
        <v>6443.9790000000012</v>
      </c>
    </row>
    <row r="10" spans="1:32" x14ac:dyDescent="0.3">
      <c r="A10" s="26" t="s">
        <v>710</v>
      </c>
      <c r="B10" s="136">
        <v>10.61</v>
      </c>
      <c r="C10" s="136">
        <v>0</v>
      </c>
      <c r="D10" s="136">
        <v>70.779999999999973</v>
      </c>
      <c r="E10" s="136">
        <v>548.86800000000005</v>
      </c>
      <c r="F10" s="136">
        <v>0</v>
      </c>
      <c r="G10" s="136">
        <v>0</v>
      </c>
      <c r="H10" s="136">
        <v>1038.19</v>
      </c>
      <c r="I10" s="136">
        <v>31.556000000000001</v>
      </c>
      <c r="J10" s="136">
        <v>61.529000000000003</v>
      </c>
      <c r="K10" s="136">
        <v>4259.1890000000012</v>
      </c>
      <c r="L10" s="136">
        <v>0</v>
      </c>
      <c r="M10" s="136">
        <v>286.08899999999988</v>
      </c>
      <c r="N10" s="136">
        <v>0</v>
      </c>
      <c r="O10" s="136">
        <v>0</v>
      </c>
      <c r="P10" s="136">
        <v>39.123000000000005</v>
      </c>
      <c r="Q10" s="136">
        <v>38.180000000000007</v>
      </c>
      <c r="R10" s="136">
        <v>0</v>
      </c>
      <c r="S10" s="136">
        <v>0</v>
      </c>
      <c r="T10" s="136">
        <v>57.332999999999977</v>
      </c>
      <c r="U10" s="136">
        <v>30.312999999999995</v>
      </c>
      <c r="V10" s="136">
        <v>91.686999999999983</v>
      </c>
      <c r="W10" s="136">
        <v>111.33800000000004</v>
      </c>
      <c r="X10" s="136">
        <v>0</v>
      </c>
      <c r="Y10" s="136">
        <v>0</v>
      </c>
      <c r="Z10" s="136">
        <v>0</v>
      </c>
      <c r="AA10" s="136">
        <v>0.74299999999999999</v>
      </c>
      <c r="AB10" s="136"/>
      <c r="AC10" s="136"/>
      <c r="AD10" s="136"/>
      <c r="AE10" s="136"/>
      <c r="AF10" s="136">
        <v>6675.5280000000012</v>
      </c>
    </row>
    <row r="11" spans="1:32" x14ac:dyDescent="0.3">
      <c r="A11" s="26" t="s">
        <v>711</v>
      </c>
      <c r="B11" s="136">
        <v>0</v>
      </c>
      <c r="C11" s="136">
        <v>0</v>
      </c>
      <c r="D11" s="136">
        <v>97.786000000000016</v>
      </c>
      <c r="E11" s="136">
        <v>565.88199999999995</v>
      </c>
      <c r="F11" s="136">
        <v>0</v>
      </c>
      <c r="G11" s="136">
        <v>0</v>
      </c>
      <c r="H11" s="136">
        <v>1022.1880000000002</v>
      </c>
      <c r="I11" s="136">
        <v>0</v>
      </c>
      <c r="J11" s="136">
        <v>36.164000000000001</v>
      </c>
      <c r="K11" s="136">
        <v>3524.8980000000001</v>
      </c>
      <c r="L11" s="136">
        <v>0</v>
      </c>
      <c r="M11" s="136">
        <v>384.61099999999999</v>
      </c>
      <c r="N11" s="136">
        <v>0</v>
      </c>
      <c r="O11" s="136">
        <v>0</v>
      </c>
      <c r="P11" s="136">
        <v>25.072999999999997</v>
      </c>
      <c r="Q11" s="136">
        <v>0</v>
      </c>
      <c r="R11" s="136">
        <v>0</v>
      </c>
      <c r="S11" s="136">
        <v>0</v>
      </c>
      <c r="T11" s="136">
        <v>134.88600000000011</v>
      </c>
      <c r="U11" s="136">
        <v>30.688999999999997</v>
      </c>
      <c r="V11" s="136">
        <v>98.938999999999993</v>
      </c>
      <c r="W11" s="136">
        <v>85.220999999999989</v>
      </c>
      <c r="X11" s="136">
        <v>0</v>
      </c>
      <c r="Y11" s="136">
        <v>0</v>
      </c>
      <c r="Z11" s="136">
        <v>0</v>
      </c>
      <c r="AA11" s="136">
        <v>0</v>
      </c>
      <c r="AB11" s="136"/>
      <c r="AC11" s="136"/>
      <c r="AD11" s="136"/>
      <c r="AE11" s="136"/>
      <c r="AF11" s="136">
        <v>6006.3370000000014</v>
      </c>
    </row>
    <row r="12" spans="1:32" x14ac:dyDescent="0.3">
      <c r="A12" s="26" t="s">
        <v>712</v>
      </c>
      <c r="B12" s="136">
        <v>0</v>
      </c>
      <c r="C12" s="136">
        <v>0</v>
      </c>
      <c r="D12" s="136">
        <v>147.73600000000008</v>
      </c>
      <c r="E12" s="136">
        <v>599.77</v>
      </c>
      <c r="F12" s="136">
        <v>0</v>
      </c>
      <c r="G12" s="136">
        <v>0</v>
      </c>
      <c r="H12" s="136">
        <v>1096.6449999999995</v>
      </c>
      <c r="I12" s="136">
        <v>0</v>
      </c>
      <c r="J12" s="136">
        <v>57.431999999999995</v>
      </c>
      <c r="K12" s="136">
        <v>2941.8699999999994</v>
      </c>
      <c r="L12" s="136">
        <v>0</v>
      </c>
      <c r="M12" s="136">
        <v>543.81999999999994</v>
      </c>
      <c r="N12" s="136">
        <v>0</v>
      </c>
      <c r="O12" s="136">
        <v>0</v>
      </c>
      <c r="P12" s="136">
        <v>12.411000000000001</v>
      </c>
      <c r="Q12" s="136">
        <v>0</v>
      </c>
      <c r="R12" s="136">
        <v>0</v>
      </c>
      <c r="S12" s="136">
        <v>0</v>
      </c>
      <c r="T12" s="136">
        <v>95.61099999999999</v>
      </c>
      <c r="U12" s="136">
        <v>19.672999999999998</v>
      </c>
      <c r="V12" s="136">
        <v>63.264000000000003</v>
      </c>
      <c r="W12" s="136">
        <v>85.527999999999992</v>
      </c>
      <c r="X12" s="136">
        <v>0</v>
      </c>
      <c r="Y12" s="136">
        <v>0</v>
      </c>
      <c r="Z12" s="136">
        <v>0</v>
      </c>
      <c r="AA12" s="136">
        <v>0</v>
      </c>
      <c r="AB12" s="136"/>
      <c r="AC12" s="136"/>
      <c r="AD12" s="136"/>
      <c r="AE12" s="136"/>
      <c r="AF12" s="136">
        <v>5663.7599999999993</v>
      </c>
    </row>
    <row r="13" spans="1:32" x14ac:dyDescent="0.3">
      <c r="A13" s="26" t="s">
        <v>715</v>
      </c>
      <c r="B13" s="136">
        <v>0</v>
      </c>
      <c r="C13" s="136">
        <v>0</v>
      </c>
      <c r="D13" s="136">
        <v>177.38200000000012</v>
      </c>
      <c r="E13" s="136">
        <v>592.39599999999996</v>
      </c>
      <c r="F13" s="136">
        <v>0</v>
      </c>
      <c r="G13" s="136">
        <v>0</v>
      </c>
      <c r="H13" s="136">
        <v>911.49599999999998</v>
      </c>
      <c r="I13" s="136">
        <v>0</v>
      </c>
      <c r="J13" s="136">
        <v>51.265999999999998</v>
      </c>
      <c r="K13" s="136">
        <v>3516.5429999999997</v>
      </c>
      <c r="L13" s="136">
        <v>0</v>
      </c>
      <c r="M13" s="136">
        <v>302.28500000000003</v>
      </c>
      <c r="N13" s="136">
        <v>0</v>
      </c>
      <c r="O13" s="136">
        <v>0</v>
      </c>
      <c r="P13" s="136">
        <v>21.887</v>
      </c>
      <c r="Q13" s="136">
        <v>19.626999999999999</v>
      </c>
      <c r="R13" s="136">
        <v>0</v>
      </c>
      <c r="S13" s="136">
        <v>0</v>
      </c>
      <c r="T13" s="136">
        <v>127.381</v>
      </c>
      <c r="U13" s="136">
        <v>24.243000000000002</v>
      </c>
      <c r="V13" s="136">
        <v>89.361000000000018</v>
      </c>
      <c r="W13" s="136">
        <v>113.37400000000001</v>
      </c>
      <c r="X13" s="136">
        <v>0</v>
      </c>
      <c r="Y13" s="136">
        <v>0</v>
      </c>
      <c r="Z13" s="136">
        <v>0</v>
      </c>
      <c r="AA13" s="136">
        <v>0</v>
      </c>
      <c r="AB13" s="136"/>
      <c r="AC13" s="136"/>
      <c r="AD13" s="136"/>
      <c r="AE13" s="136"/>
      <c r="AF13" s="136">
        <v>5947.241</v>
      </c>
    </row>
    <row r="14" spans="1:32" x14ac:dyDescent="0.3">
      <c r="A14" s="26" t="s">
        <v>814</v>
      </c>
      <c r="B14" s="136">
        <v>0</v>
      </c>
      <c r="C14" s="136">
        <v>0</v>
      </c>
      <c r="D14" s="136">
        <v>144.37200000000001</v>
      </c>
      <c r="E14" s="136">
        <v>596.43500000000006</v>
      </c>
      <c r="F14" s="136">
        <v>0</v>
      </c>
      <c r="G14" s="136">
        <v>0</v>
      </c>
      <c r="H14" s="136">
        <v>1036.4129999999998</v>
      </c>
      <c r="I14" s="136">
        <v>0</v>
      </c>
      <c r="J14" s="136">
        <v>44.024999999999999</v>
      </c>
      <c r="K14" s="136">
        <v>3734.2530000000006</v>
      </c>
      <c r="L14" s="136">
        <v>0</v>
      </c>
      <c r="M14" s="136">
        <v>225.23099999999999</v>
      </c>
      <c r="N14" s="136">
        <v>0</v>
      </c>
      <c r="O14" s="136">
        <v>0</v>
      </c>
      <c r="P14" s="136">
        <v>31.984999999999999</v>
      </c>
      <c r="Q14" s="136">
        <v>0</v>
      </c>
      <c r="R14" s="136">
        <v>0</v>
      </c>
      <c r="S14" s="136">
        <v>0</v>
      </c>
      <c r="T14" s="136">
        <v>115.274</v>
      </c>
      <c r="U14" s="136">
        <v>24.282999999999998</v>
      </c>
      <c r="V14" s="136">
        <v>86.845999999999989</v>
      </c>
      <c r="W14" s="136">
        <v>93.839000000000013</v>
      </c>
      <c r="X14" s="136">
        <v>0</v>
      </c>
      <c r="Y14" s="136">
        <v>0</v>
      </c>
      <c r="Z14" s="136">
        <v>0</v>
      </c>
      <c r="AA14" s="136">
        <v>0</v>
      </c>
      <c r="AB14" s="136"/>
      <c r="AC14" s="136"/>
      <c r="AD14" s="136"/>
      <c r="AE14" s="136"/>
      <c r="AF14" s="136">
        <v>6132.9560000000001</v>
      </c>
    </row>
    <row r="15" spans="1:32" x14ac:dyDescent="0.3">
      <c r="A15" s="26" t="s">
        <v>819</v>
      </c>
      <c r="B15" s="136">
        <v>0</v>
      </c>
      <c r="C15" s="136">
        <v>0</v>
      </c>
      <c r="D15" s="136">
        <v>139.91700000000006</v>
      </c>
      <c r="E15" s="136">
        <v>616.69899999999996</v>
      </c>
      <c r="F15" s="136">
        <v>0</v>
      </c>
      <c r="G15" s="136">
        <v>0</v>
      </c>
      <c r="H15" s="136">
        <v>1080.6300000000001</v>
      </c>
      <c r="I15" s="136">
        <v>0</v>
      </c>
      <c r="J15" s="136">
        <v>57.78</v>
      </c>
      <c r="K15" s="136">
        <v>3947.2789999999991</v>
      </c>
      <c r="L15" s="136">
        <v>0</v>
      </c>
      <c r="M15" s="136">
        <v>416.63399999999996</v>
      </c>
      <c r="N15" s="136">
        <v>0</v>
      </c>
      <c r="O15" s="136">
        <v>0</v>
      </c>
      <c r="P15" s="136">
        <v>45.906000000000006</v>
      </c>
      <c r="Q15" s="136">
        <v>19.817</v>
      </c>
      <c r="R15" s="136">
        <v>0</v>
      </c>
      <c r="S15" s="136">
        <v>0</v>
      </c>
      <c r="T15" s="136">
        <v>111.66299999999998</v>
      </c>
      <c r="U15" s="136">
        <v>28.834000000000003</v>
      </c>
      <c r="V15" s="136">
        <v>74.599000000000004</v>
      </c>
      <c r="W15" s="136">
        <v>125.78199999999997</v>
      </c>
      <c r="X15" s="136">
        <v>0</v>
      </c>
      <c r="Y15" s="136">
        <v>0</v>
      </c>
      <c r="Z15" s="136">
        <v>0</v>
      </c>
      <c r="AA15" s="136">
        <v>0</v>
      </c>
      <c r="AB15" s="136"/>
      <c r="AC15" s="136"/>
      <c r="AD15" s="136"/>
      <c r="AE15" s="136"/>
      <c r="AF15" s="136">
        <v>6665.5399999999991</v>
      </c>
    </row>
    <row r="16" spans="1:32" x14ac:dyDescent="0.3">
      <c r="A16" s="26" t="s">
        <v>821</v>
      </c>
      <c r="B16" s="136">
        <v>0</v>
      </c>
      <c r="C16" s="136">
        <v>0</v>
      </c>
      <c r="D16" s="136">
        <v>140.08499999999998</v>
      </c>
      <c r="E16" s="136">
        <v>522.30099999999993</v>
      </c>
      <c r="F16" s="136">
        <v>0</v>
      </c>
      <c r="G16" s="136">
        <v>0</v>
      </c>
      <c r="H16" s="136">
        <v>1185.2150000000001</v>
      </c>
      <c r="I16" s="136">
        <v>4.6239999999999997</v>
      </c>
      <c r="J16" s="136">
        <v>48.730000000000004</v>
      </c>
      <c r="K16" s="136">
        <v>4040.9080000000004</v>
      </c>
      <c r="L16" s="136">
        <v>0</v>
      </c>
      <c r="M16" s="136">
        <v>371.86799999999999</v>
      </c>
      <c r="N16" s="136">
        <v>0</v>
      </c>
      <c r="O16" s="136">
        <v>0</v>
      </c>
      <c r="P16" s="136">
        <v>20.077000000000002</v>
      </c>
      <c r="Q16" s="136">
        <v>0</v>
      </c>
      <c r="R16" s="136">
        <v>0</v>
      </c>
      <c r="S16" s="136">
        <v>0</v>
      </c>
      <c r="T16" s="136">
        <v>129.61400000000006</v>
      </c>
      <c r="U16" s="136">
        <v>35.748999999999995</v>
      </c>
      <c r="V16" s="136">
        <v>103.26799999999997</v>
      </c>
      <c r="W16" s="136">
        <v>94.11099999999999</v>
      </c>
      <c r="X16" s="136">
        <v>0</v>
      </c>
      <c r="Y16" s="136">
        <v>0</v>
      </c>
      <c r="Z16" s="136">
        <v>0</v>
      </c>
      <c r="AA16" s="136">
        <v>0</v>
      </c>
      <c r="AB16" s="136"/>
      <c r="AC16" s="136"/>
      <c r="AD16" s="136"/>
      <c r="AE16" s="136"/>
      <c r="AF16" s="136">
        <v>6696.5500000000011</v>
      </c>
    </row>
    <row r="17" spans="1:32" x14ac:dyDescent="0.3">
      <c r="A17" s="26" t="s">
        <v>825</v>
      </c>
      <c r="B17" s="136">
        <v>0</v>
      </c>
      <c r="C17" s="136">
        <v>0</v>
      </c>
      <c r="D17" s="136">
        <v>151.84500000000003</v>
      </c>
      <c r="E17" s="136">
        <v>597.63299999999992</v>
      </c>
      <c r="F17" s="136">
        <v>0</v>
      </c>
      <c r="G17" s="136">
        <v>0</v>
      </c>
      <c r="H17" s="136">
        <v>1110.1550000000002</v>
      </c>
      <c r="I17" s="136">
        <v>10.367000000000001</v>
      </c>
      <c r="J17" s="136">
        <v>61.723999999999997</v>
      </c>
      <c r="K17" s="136">
        <v>4069.5619999999999</v>
      </c>
      <c r="L17" s="136">
        <v>0</v>
      </c>
      <c r="M17" s="136">
        <v>436.35500000000013</v>
      </c>
      <c r="N17" s="136">
        <v>0</v>
      </c>
      <c r="O17" s="136">
        <v>0</v>
      </c>
      <c r="P17" s="136">
        <v>35.524999999999999</v>
      </c>
      <c r="Q17" s="136">
        <v>18.71</v>
      </c>
      <c r="R17" s="136">
        <v>0</v>
      </c>
      <c r="S17" s="136">
        <v>0</v>
      </c>
      <c r="T17" s="136">
        <v>106.709</v>
      </c>
      <c r="U17" s="136">
        <v>40.729999999999997</v>
      </c>
      <c r="V17" s="136">
        <v>98.045999999999978</v>
      </c>
      <c r="W17" s="136">
        <v>84.678000000000011</v>
      </c>
      <c r="X17" s="136">
        <v>0</v>
      </c>
      <c r="Y17" s="136">
        <v>0</v>
      </c>
      <c r="Z17" s="136">
        <v>0</v>
      </c>
      <c r="AA17" s="136">
        <v>0</v>
      </c>
      <c r="AB17" s="136">
        <v>0</v>
      </c>
      <c r="AC17" s="136"/>
      <c r="AD17" s="136"/>
      <c r="AE17" s="136"/>
      <c r="AF17" s="136">
        <v>6822.0389999999998</v>
      </c>
    </row>
    <row r="18" spans="1:32" x14ac:dyDescent="0.3">
      <c r="A18" s="26" t="s">
        <v>826</v>
      </c>
      <c r="B18" s="136">
        <v>0</v>
      </c>
      <c r="C18" s="136">
        <v>0</v>
      </c>
      <c r="D18" s="136">
        <v>159.22999999999996</v>
      </c>
      <c r="E18" s="136">
        <v>570.601</v>
      </c>
      <c r="F18" s="136">
        <v>0</v>
      </c>
      <c r="G18" s="136">
        <v>0</v>
      </c>
      <c r="H18" s="136">
        <v>1042.2220000000002</v>
      </c>
      <c r="I18" s="136">
        <v>0</v>
      </c>
      <c r="J18" s="136">
        <v>48.384999999999998</v>
      </c>
      <c r="K18" s="136">
        <v>3315.8180000000002</v>
      </c>
      <c r="L18" s="136">
        <v>0</v>
      </c>
      <c r="M18" s="136">
        <v>387.50199999999995</v>
      </c>
      <c r="N18" s="136">
        <v>0</v>
      </c>
      <c r="O18" s="136">
        <v>0</v>
      </c>
      <c r="P18" s="136">
        <v>68.11</v>
      </c>
      <c r="Q18" s="136">
        <v>30.806000000000004</v>
      </c>
      <c r="R18" s="136">
        <v>0</v>
      </c>
      <c r="S18" s="136">
        <v>0</v>
      </c>
      <c r="T18" s="136">
        <v>114.59300000000002</v>
      </c>
      <c r="U18" s="136">
        <v>26.807000000000002</v>
      </c>
      <c r="V18" s="136">
        <v>79.134999999999991</v>
      </c>
      <c r="W18" s="136">
        <v>117.83199999999999</v>
      </c>
      <c r="X18" s="136">
        <v>0</v>
      </c>
      <c r="Y18" s="136">
        <v>0</v>
      </c>
      <c r="Z18" s="136">
        <v>0</v>
      </c>
      <c r="AA18" s="136">
        <v>0</v>
      </c>
      <c r="AB18" s="136">
        <v>0</v>
      </c>
      <c r="AC18" s="136"/>
      <c r="AD18" s="136"/>
      <c r="AE18" s="136"/>
      <c r="AF18" s="136">
        <v>5961.0409999999993</v>
      </c>
    </row>
    <row r="19" spans="1:32" x14ac:dyDescent="0.3">
      <c r="A19" s="26" t="s">
        <v>827</v>
      </c>
      <c r="B19" s="136">
        <v>0</v>
      </c>
      <c r="C19" s="136">
        <v>0</v>
      </c>
      <c r="D19" s="136">
        <v>69.600000000000009</v>
      </c>
      <c r="E19" s="136">
        <v>570.02600000000018</v>
      </c>
      <c r="F19" s="136">
        <v>0</v>
      </c>
      <c r="G19" s="136">
        <v>0</v>
      </c>
      <c r="H19" s="136">
        <v>1010.9890000000004</v>
      </c>
      <c r="I19" s="136">
        <v>17.471</v>
      </c>
      <c r="J19" s="136">
        <v>39.981999999999999</v>
      </c>
      <c r="K19" s="136">
        <v>3014.7809999999999</v>
      </c>
      <c r="L19" s="136">
        <v>0</v>
      </c>
      <c r="M19" s="136">
        <v>434.79600000000005</v>
      </c>
      <c r="N19" s="136">
        <v>0</v>
      </c>
      <c r="O19" s="136">
        <v>0</v>
      </c>
      <c r="P19" s="136">
        <v>50.603000000000002</v>
      </c>
      <c r="Q19" s="136">
        <v>0</v>
      </c>
      <c r="R19" s="136">
        <v>0</v>
      </c>
      <c r="S19" s="136">
        <v>0</v>
      </c>
      <c r="T19" s="136">
        <v>108.29899999999999</v>
      </c>
      <c r="U19" s="136">
        <v>25.670999999999999</v>
      </c>
      <c r="V19" s="136">
        <v>90.093000000000004</v>
      </c>
      <c r="W19" s="136">
        <v>74.59</v>
      </c>
      <c r="X19" s="136">
        <v>0</v>
      </c>
      <c r="Y19" s="136">
        <v>0</v>
      </c>
      <c r="Z19" s="136">
        <v>0</v>
      </c>
      <c r="AA19" s="136">
        <v>0</v>
      </c>
      <c r="AB19" s="136">
        <v>0</v>
      </c>
      <c r="AC19" s="136"/>
      <c r="AD19" s="136"/>
      <c r="AE19" s="136"/>
      <c r="AF19" s="136">
        <v>5506.9010000000007</v>
      </c>
    </row>
    <row r="20" spans="1:32" x14ac:dyDescent="0.3">
      <c r="A20" s="26" t="s">
        <v>828</v>
      </c>
      <c r="B20" s="136">
        <v>0</v>
      </c>
      <c r="C20" s="136">
        <v>0</v>
      </c>
      <c r="D20" s="136">
        <v>36.155000000000008</v>
      </c>
      <c r="E20" s="136">
        <v>511.14800000000002</v>
      </c>
      <c r="F20" s="136">
        <v>0</v>
      </c>
      <c r="G20" s="136">
        <v>0</v>
      </c>
      <c r="H20" s="136">
        <v>1089.2280000000001</v>
      </c>
      <c r="I20" s="136">
        <v>0</v>
      </c>
      <c r="J20" s="136">
        <v>51.847999999999999</v>
      </c>
      <c r="K20" s="136">
        <v>3358.3259999999991</v>
      </c>
      <c r="L20" s="136">
        <v>0</v>
      </c>
      <c r="M20" s="136">
        <v>310.85499999999996</v>
      </c>
      <c r="N20" s="136">
        <v>0</v>
      </c>
      <c r="O20" s="136">
        <v>0</v>
      </c>
      <c r="P20" s="136">
        <v>46.423999999999992</v>
      </c>
      <c r="Q20" s="136">
        <v>0</v>
      </c>
      <c r="R20" s="136">
        <v>0</v>
      </c>
      <c r="S20" s="136">
        <v>0</v>
      </c>
      <c r="T20" s="136">
        <v>112.89900000000007</v>
      </c>
      <c r="U20" s="136">
        <v>14.21</v>
      </c>
      <c r="V20" s="136">
        <v>85.524999999999991</v>
      </c>
      <c r="W20" s="136">
        <v>130.483</v>
      </c>
      <c r="X20" s="136">
        <v>0</v>
      </c>
      <c r="Y20" s="136">
        <v>0</v>
      </c>
      <c r="Z20" s="136">
        <v>0</v>
      </c>
      <c r="AA20" s="136">
        <v>0</v>
      </c>
      <c r="AB20" s="136">
        <v>0</v>
      </c>
      <c r="AC20" s="136"/>
      <c r="AD20" s="136"/>
      <c r="AE20" s="136"/>
      <c r="AF20" s="136">
        <v>5747.1009999999987</v>
      </c>
    </row>
    <row r="21" spans="1:32" x14ac:dyDescent="0.3">
      <c r="A21" s="26" t="s">
        <v>835</v>
      </c>
      <c r="B21" s="136">
        <v>0</v>
      </c>
      <c r="C21" s="136">
        <v>0</v>
      </c>
      <c r="D21" s="136">
        <v>14.564999999999998</v>
      </c>
      <c r="E21" s="136">
        <v>634.91600000000005</v>
      </c>
      <c r="F21" s="136">
        <v>0</v>
      </c>
      <c r="G21" s="136">
        <v>0</v>
      </c>
      <c r="H21" s="136">
        <v>1138.7770000000003</v>
      </c>
      <c r="I21" s="136">
        <v>0</v>
      </c>
      <c r="J21" s="136">
        <v>50.277000000000008</v>
      </c>
      <c r="K21" s="136">
        <v>4235.808</v>
      </c>
      <c r="L21" s="136">
        <v>0</v>
      </c>
      <c r="M21" s="136">
        <v>222.00999999999996</v>
      </c>
      <c r="N21" s="136">
        <v>0</v>
      </c>
      <c r="O21" s="136">
        <v>0</v>
      </c>
      <c r="P21" s="136">
        <v>42.568000000000005</v>
      </c>
      <c r="Q21" s="136">
        <v>39.768999999999998</v>
      </c>
      <c r="R21" s="136">
        <v>0</v>
      </c>
      <c r="S21" s="136">
        <v>0</v>
      </c>
      <c r="T21" s="136">
        <v>105.28100000000001</v>
      </c>
      <c r="U21" s="136">
        <v>41.731999999999999</v>
      </c>
      <c r="V21" s="136">
        <v>86.948000000000008</v>
      </c>
      <c r="W21" s="136">
        <v>77.064000000000007</v>
      </c>
      <c r="X21" s="136">
        <v>0</v>
      </c>
      <c r="Y21" s="136">
        <v>0</v>
      </c>
      <c r="Z21" s="136">
        <v>0</v>
      </c>
      <c r="AA21" s="136">
        <v>0</v>
      </c>
      <c r="AB21" s="136">
        <v>0</v>
      </c>
      <c r="AC21" s="136">
        <v>0</v>
      </c>
      <c r="AD21" s="136">
        <v>0</v>
      </c>
      <c r="AE21" s="136"/>
      <c r="AF21" s="136">
        <v>6689.715000000002</v>
      </c>
    </row>
    <row r="22" spans="1:32" x14ac:dyDescent="0.3">
      <c r="A22" s="26" t="s">
        <v>836</v>
      </c>
      <c r="B22" s="136">
        <v>0</v>
      </c>
      <c r="C22" s="136">
        <v>0</v>
      </c>
      <c r="D22" s="136">
        <v>4.7850000000000001</v>
      </c>
      <c r="E22" s="136">
        <v>562.12399999999991</v>
      </c>
      <c r="F22" s="136">
        <v>0</v>
      </c>
      <c r="G22" s="136">
        <v>0</v>
      </c>
      <c r="H22" s="136">
        <v>1145.7360000000001</v>
      </c>
      <c r="I22" s="136">
        <v>0</v>
      </c>
      <c r="J22" s="136">
        <v>62.278999999999996</v>
      </c>
      <c r="K22" s="136">
        <v>3817.2780000000002</v>
      </c>
      <c r="L22" s="136">
        <v>0</v>
      </c>
      <c r="M22" s="136">
        <v>434.70100000000002</v>
      </c>
      <c r="N22" s="136">
        <v>0</v>
      </c>
      <c r="O22" s="136">
        <v>0</v>
      </c>
      <c r="P22" s="136">
        <v>42.632999999999996</v>
      </c>
      <c r="Q22" s="136">
        <v>0</v>
      </c>
      <c r="R22" s="136">
        <v>0</v>
      </c>
      <c r="S22" s="136">
        <v>0</v>
      </c>
      <c r="T22" s="136">
        <v>96.975999999999999</v>
      </c>
      <c r="U22" s="136">
        <v>26.244</v>
      </c>
      <c r="V22" s="136">
        <v>76.205000000000013</v>
      </c>
      <c r="W22" s="136">
        <v>56.923000000000002</v>
      </c>
      <c r="X22" s="136">
        <v>0</v>
      </c>
      <c r="Y22" s="136">
        <v>0</v>
      </c>
      <c r="Z22" s="136">
        <v>0</v>
      </c>
      <c r="AA22" s="136">
        <v>0</v>
      </c>
      <c r="AB22" s="136">
        <v>0</v>
      </c>
      <c r="AC22" s="136">
        <v>0</v>
      </c>
      <c r="AD22" s="136">
        <v>2.78</v>
      </c>
      <c r="AE22" s="136"/>
      <c r="AF22" s="136">
        <v>6328.6639999999989</v>
      </c>
    </row>
    <row r="23" spans="1:32" x14ac:dyDescent="0.3">
      <c r="A23" s="26" t="s">
        <v>837</v>
      </c>
      <c r="B23" s="136">
        <v>0</v>
      </c>
      <c r="C23" s="136">
        <v>0</v>
      </c>
      <c r="D23" s="136">
        <v>119.84599999999999</v>
      </c>
      <c r="E23" s="136">
        <v>609.03899999999999</v>
      </c>
      <c r="F23" s="136">
        <v>0</v>
      </c>
      <c r="G23" s="136">
        <v>0</v>
      </c>
      <c r="H23" s="136">
        <v>1098.722</v>
      </c>
      <c r="I23" s="136">
        <v>0</v>
      </c>
      <c r="J23" s="136">
        <v>30.355</v>
      </c>
      <c r="K23" s="136">
        <v>4006.2820000000006</v>
      </c>
      <c r="L23" s="136">
        <v>0</v>
      </c>
      <c r="M23" s="136">
        <v>561.28699999999992</v>
      </c>
      <c r="N23" s="136">
        <v>0</v>
      </c>
      <c r="O23" s="136">
        <v>0</v>
      </c>
      <c r="P23" s="136">
        <v>91.64500000000001</v>
      </c>
      <c r="Q23" s="136">
        <v>0</v>
      </c>
      <c r="R23" s="136">
        <v>0</v>
      </c>
      <c r="S23" s="136">
        <v>0</v>
      </c>
      <c r="T23" s="136">
        <v>111.77700000000007</v>
      </c>
      <c r="U23" s="136">
        <v>31.2</v>
      </c>
      <c r="V23" s="136">
        <v>110.117</v>
      </c>
      <c r="W23" s="136">
        <v>132.08699999999999</v>
      </c>
      <c r="X23" s="136">
        <v>0</v>
      </c>
      <c r="Y23" s="136">
        <v>0</v>
      </c>
      <c r="Z23" s="136">
        <v>0</v>
      </c>
      <c r="AA23" s="136">
        <v>0</v>
      </c>
      <c r="AB23" s="136">
        <v>0</v>
      </c>
      <c r="AC23" s="136">
        <v>0</v>
      </c>
      <c r="AD23" s="136">
        <v>0</v>
      </c>
      <c r="AE23" s="136"/>
      <c r="AF23" s="136">
        <v>6902.3570000000018</v>
      </c>
    </row>
    <row r="24" spans="1:32" x14ac:dyDescent="0.3">
      <c r="A24" s="26" t="s">
        <v>838</v>
      </c>
      <c r="B24" s="136">
        <v>0</v>
      </c>
      <c r="C24" s="136">
        <v>0</v>
      </c>
      <c r="D24" s="136">
        <v>39.563000000000009</v>
      </c>
      <c r="E24" s="136">
        <v>598.13900000000001</v>
      </c>
      <c r="F24" s="136">
        <v>0</v>
      </c>
      <c r="G24" s="136">
        <v>0</v>
      </c>
      <c r="H24" s="136">
        <v>1171.9380000000006</v>
      </c>
      <c r="I24" s="136">
        <v>0</v>
      </c>
      <c r="J24" s="136">
        <v>55.481000000000009</v>
      </c>
      <c r="K24" s="136">
        <v>3812.902</v>
      </c>
      <c r="L24" s="136">
        <v>0</v>
      </c>
      <c r="M24" s="136">
        <v>507.32400000000013</v>
      </c>
      <c r="N24" s="136">
        <v>0</v>
      </c>
      <c r="O24" s="136">
        <v>0</v>
      </c>
      <c r="P24" s="136">
        <v>112.384</v>
      </c>
      <c r="Q24" s="136">
        <v>37.589999999999996</v>
      </c>
      <c r="R24" s="136">
        <v>0</v>
      </c>
      <c r="S24" s="136">
        <v>0</v>
      </c>
      <c r="T24" s="136">
        <v>112.19100000000006</v>
      </c>
      <c r="U24" s="136">
        <v>18.535</v>
      </c>
      <c r="V24" s="136">
        <v>89.969000000000008</v>
      </c>
      <c r="W24" s="136">
        <v>89.537999999999997</v>
      </c>
      <c r="X24" s="136">
        <v>0</v>
      </c>
      <c r="Y24" s="136">
        <v>0</v>
      </c>
      <c r="Z24" s="136">
        <v>0</v>
      </c>
      <c r="AA24" s="136">
        <v>0</v>
      </c>
      <c r="AB24" s="136">
        <v>0</v>
      </c>
      <c r="AC24" s="136">
        <v>0</v>
      </c>
      <c r="AD24" s="136">
        <v>0</v>
      </c>
      <c r="AE24" s="136"/>
      <c r="AF24" s="136">
        <v>6645.554000000001</v>
      </c>
    </row>
    <row r="25" spans="1:32" x14ac:dyDescent="0.3">
      <c r="A25" s="26" t="s">
        <v>839</v>
      </c>
      <c r="B25" s="136">
        <v>0</v>
      </c>
      <c r="C25" s="136">
        <v>0</v>
      </c>
      <c r="D25" s="136">
        <v>0</v>
      </c>
      <c r="E25" s="136">
        <v>494.97</v>
      </c>
      <c r="F25" s="136">
        <v>0</v>
      </c>
      <c r="G25" s="136">
        <v>0</v>
      </c>
      <c r="H25" s="136">
        <v>1192.9219999999998</v>
      </c>
      <c r="I25" s="136">
        <v>0</v>
      </c>
      <c r="J25" s="136">
        <v>43.070999999999998</v>
      </c>
      <c r="K25" s="136">
        <v>3154.0920000000001</v>
      </c>
      <c r="L25" s="136">
        <v>7.2959999999999994</v>
      </c>
      <c r="M25" s="136">
        <v>607.99499999999989</v>
      </c>
      <c r="N25" s="136">
        <v>0</v>
      </c>
      <c r="O25" s="136">
        <v>0</v>
      </c>
      <c r="P25" s="136">
        <v>51.829000000000001</v>
      </c>
      <c r="Q25" s="136">
        <v>20.733000000000001</v>
      </c>
      <c r="R25" s="136">
        <v>0</v>
      </c>
      <c r="S25" s="136">
        <v>0</v>
      </c>
      <c r="T25" s="136">
        <v>107.29200000000003</v>
      </c>
      <c r="U25" s="136">
        <v>41.413000000000004</v>
      </c>
      <c r="V25" s="136">
        <v>105.29800000000002</v>
      </c>
      <c r="W25" s="136">
        <v>84.509</v>
      </c>
      <c r="X25" s="136">
        <v>0</v>
      </c>
      <c r="Y25" s="136">
        <v>0</v>
      </c>
      <c r="Z25" s="136">
        <v>0</v>
      </c>
      <c r="AA25" s="136">
        <v>0</v>
      </c>
      <c r="AB25" s="136">
        <v>9.41</v>
      </c>
      <c r="AC25" s="136">
        <v>0</v>
      </c>
      <c r="AD25" s="136">
        <v>0</v>
      </c>
      <c r="AE25" s="136">
        <v>0</v>
      </c>
      <c r="AF25" s="136">
        <v>5920.83</v>
      </c>
    </row>
    <row r="26" spans="1:32" x14ac:dyDescent="0.3">
      <c r="A26" s="26" t="s">
        <v>840</v>
      </c>
      <c r="B26" s="136">
        <v>0</v>
      </c>
      <c r="C26" s="136">
        <v>0</v>
      </c>
      <c r="D26" s="136">
        <v>7.6590000000000007</v>
      </c>
      <c r="E26" s="136">
        <v>526.75100000000009</v>
      </c>
      <c r="F26" s="136">
        <v>0</v>
      </c>
      <c r="G26" s="136">
        <v>0</v>
      </c>
      <c r="H26" s="136">
        <v>1154.58</v>
      </c>
      <c r="I26" s="136">
        <v>25.808999999999997</v>
      </c>
      <c r="J26" s="136">
        <v>65.166000000000011</v>
      </c>
      <c r="K26" s="136">
        <v>3232.7440000000011</v>
      </c>
      <c r="L26" s="136">
        <v>0</v>
      </c>
      <c r="M26" s="136">
        <v>699.47200000000021</v>
      </c>
      <c r="N26" s="136">
        <v>0</v>
      </c>
      <c r="O26" s="136">
        <v>0</v>
      </c>
      <c r="P26" s="136">
        <v>96.266999999999996</v>
      </c>
      <c r="Q26" s="136">
        <v>0</v>
      </c>
      <c r="R26" s="136">
        <v>0</v>
      </c>
      <c r="S26" s="136">
        <v>0</v>
      </c>
      <c r="T26" s="136">
        <v>148.358</v>
      </c>
      <c r="U26" s="136">
        <v>21.770999999999997</v>
      </c>
      <c r="V26" s="136">
        <v>108.78000000000002</v>
      </c>
      <c r="W26" s="136">
        <v>111.92800000000003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36">
        <v>0</v>
      </c>
      <c r="AD26" s="136">
        <v>0</v>
      </c>
      <c r="AE26" s="136">
        <v>0</v>
      </c>
      <c r="AF26" s="136">
        <v>6199.2849999999999</v>
      </c>
    </row>
    <row r="27" spans="1:32" x14ac:dyDescent="0.3">
      <c r="A27" s="26" t="s">
        <v>842</v>
      </c>
      <c r="B27" s="136">
        <v>0</v>
      </c>
      <c r="C27" s="136">
        <v>0</v>
      </c>
      <c r="D27" s="136">
        <v>5.0939999999999994</v>
      </c>
      <c r="E27" s="136">
        <v>485.19700000000006</v>
      </c>
      <c r="F27" s="136">
        <v>0</v>
      </c>
      <c r="G27" s="136">
        <v>0</v>
      </c>
      <c r="H27" s="136">
        <v>1120.1500000000003</v>
      </c>
      <c r="I27" s="136">
        <v>0.626</v>
      </c>
      <c r="J27" s="136">
        <v>52.646000000000001</v>
      </c>
      <c r="K27" s="136">
        <v>3225.5609999999997</v>
      </c>
      <c r="L27" s="136">
        <v>0</v>
      </c>
      <c r="M27" s="136">
        <v>462.54100000000017</v>
      </c>
      <c r="N27" s="136">
        <v>0</v>
      </c>
      <c r="O27" s="136">
        <v>0</v>
      </c>
      <c r="P27" s="136">
        <v>83.625999999999991</v>
      </c>
      <c r="Q27" s="136">
        <v>0</v>
      </c>
      <c r="R27" s="136">
        <v>0</v>
      </c>
      <c r="S27" s="136">
        <v>0</v>
      </c>
      <c r="T27" s="136">
        <v>147.678</v>
      </c>
      <c r="U27" s="136">
        <v>36.164999999999999</v>
      </c>
      <c r="V27" s="136">
        <v>84.61099999999999</v>
      </c>
      <c r="W27" s="136">
        <v>143.506</v>
      </c>
      <c r="X27" s="136">
        <v>0</v>
      </c>
      <c r="Y27" s="136">
        <v>0</v>
      </c>
      <c r="Z27" s="136">
        <v>0</v>
      </c>
      <c r="AA27" s="136">
        <v>0</v>
      </c>
      <c r="AB27" s="136">
        <v>0</v>
      </c>
      <c r="AC27" s="136">
        <v>0</v>
      </c>
      <c r="AD27" s="136">
        <v>0</v>
      </c>
      <c r="AE27" s="136">
        <v>0</v>
      </c>
      <c r="AF27" s="136">
        <v>5847.4009999999998</v>
      </c>
    </row>
    <row r="28" spans="1:32" x14ac:dyDescent="0.3">
      <c r="A28" s="26" t="s">
        <v>847</v>
      </c>
      <c r="B28" s="136">
        <v>0</v>
      </c>
      <c r="C28" s="136">
        <v>0</v>
      </c>
      <c r="D28" s="136">
        <v>208.28799999999993</v>
      </c>
      <c r="E28" s="136">
        <v>509.97</v>
      </c>
      <c r="F28" s="136">
        <v>0</v>
      </c>
      <c r="G28" s="136">
        <v>0</v>
      </c>
      <c r="H28" s="136">
        <v>1198.8509999999999</v>
      </c>
      <c r="I28" s="136">
        <v>0</v>
      </c>
      <c r="J28" s="136">
        <v>41.350999999999992</v>
      </c>
      <c r="K28" s="136">
        <v>3459.8669999999993</v>
      </c>
      <c r="L28" s="136">
        <v>0</v>
      </c>
      <c r="M28" s="136">
        <v>204.20199999999997</v>
      </c>
      <c r="N28" s="136">
        <v>0</v>
      </c>
      <c r="O28" s="136">
        <v>0</v>
      </c>
      <c r="P28" s="136">
        <v>85.647000000000006</v>
      </c>
      <c r="Q28" s="136">
        <v>0</v>
      </c>
      <c r="R28" s="136">
        <v>0</v>
      </c>
      <c r="S28" s="136">
        <v>0</v>
      </c>
      <c r="T28" s="136">
        <v>255.16799999999998</v>
      </c>
      <c r="U28" s="136">
        <v>35.896000000000001</v>
      </c>
      <c r="V28" s="136">
        <v>96.088999999999999</v>
      </c>
      <c r="W28" s="136">
        <v>47.345999999999997</v>
      </c>
      <c r="X28" s="136">
        <v>0</v>
      </c>
      <c r="Y28" s="136">
        <v>0</v>
      </c>
      <c r="Z28" s="136">
        <v>0</v>
      </c>
      <c r="AA28" s="136">
        <v>0</v>
      </c>
      <c r="AB28" s="136">
        <v>0</v>
      </c>
      <c r="AC28" s="136">
        <v>0</v>
      </c>
      <c r="AD28" s="136">
        <v>0</v>
      </c>
      <c r="AE28" s="136">
        <v>0</v>
      </c>
      <c r="AF28" s="136">
        <v>6142.6749999999984</v>
      </c>
    </row>
    <row r="29" spans="1:32" x14ac:dyDescent="0.3">
      <c r="A29" s="26" t="s">
        <v>848</v>
      </c>
      <c r="B29" s="136">
        <v>0</v>
      </c>
      <c r="C29" s="136">
        <v>0</v>
      </c>
      <c r="D29" s="136">
        <v>142.149</v>
      </c>
      <c r="E29" s="136">
        <v>445.38600000000008</v>
      </c>
      <c r="F29" s="136">
        <v>0</v>
      </c>
      <c r="G29" s="136">
        <v>0</v>
      </c>
      <c r="H29" s="136">
        <v>1102.8979999999999</v>
      </c>
      <c r="I29" s="136">
        <v>0</v>
      </c>
      <c r="J29" s="136">
        <v>37.235999999999997</v>
      </c>
      <c r="K29" s="136">
        <v>3336.2669999999998</v>
      </c>
      <c r="L29" s="136">
        <v>0</v>
      </c>
      <c r="M29" s="136">
        <v>683.346</v>
      </c>
      <c r="N29" s="136">
        <v>0</v>
      </c>
      <c r="O29" s="136">
        <v>0</v>
      </c>
      <c r="P29" s="136">
        <v>90.417999999999992</v>
      </c>
      <c r="Q29" s="136">
        <v>0</v>
      </c>
      <c r="R29" s="136">
        <v>0</v>
      </c>
      <c r="S29" s="136">
        <v>0</v>
      </c>
      <c r="T29" s="136">
        <v>234.21500000000009</v>
      </c>
      <c r="U29" s="136">
        <v>20.7</v>
      </c>
      <c r="V29" s="136">
        <v>55.163000000000004</v>
      </c>
      <c r="W29" s="136">
        <v>118.49599999999998</v>
      </c>
      <c r="X29" s="136">
        <v>0</v>
      </c>
      <c r="Y29" s="136">
        <v>0</v>
      </c>
      <c r="Z29" s="136">
        <v>0</v>
      </c>
      <c r="AA29" s="136">
        <v>0</v>
      </c>
      <c r="AB29" s="136">
        <v>0</v>
      </c>
      <c r="AC29" s="136">
        <v>0</v>
      </c>
      <c r="AD29" s="136">
        <v>0</v>
      </c>
      <c r="AE29" s="136">
        <v>0</v>
      </c>
      <c r="AF29" s="136">
        <v>6266.2739999999985</v>
      </c>
    </row>
    <row r="30" spans="1:32" x14ac:dyDescent="0.3">
      <c r="A30" s="26" t="s">
        <v>849</v>
      </c>
      <c r="B30" s="136">
        <v>0</v>
      </c>
      <c r="C30" s="136">
        <v>0</v>
      </c>
      <c r="D30" s="136">
        <v>161.654</v>
      </c>
      <c r="E30" s="136">
        <v>522.05900000000008</v>
      </c>
      <c r="F30" s="136">
        <v>0</v>
      </c>
      <c r="G30" s="136">
        <v>0</v>
      </c>
      <c r="H30" s="136">
        <v>1329.1659999999995</v>
      </c>
      <c r="I30" s="136">
        <v>37.773000000000003</v>
      </c>
      <c r="J30" s="136">
        <v>47.660000000000004</v>
      </c>
      <c r="K30" s="136">
        <v>3087.3979999999992</v>
      </c>
      <c r="L30" s="136">
        <v>0</v>
      </c>
      <c r="M30" s="136">
        <v>666.36199999999974</v>
      </c>
      <c r="N30" s="136">
        <v>0</v>
      </c>
      <c r="O30" s="136">
        <v>0</v>
      </c>
      <c r="P30" s="136">
        <v>73.906999999999996</v>
      </c>
      <c r="Q30" s="136">
        <v>0</v>
      </c>
      <c r="R30" s="136">
        <v>0</v>
      </c>
      <c r="S30" s="136">
        <v>0</v>
      </c>
      <c r="T30" s="136">
        <v>305.04599999999994</v>
      </c>
      <c r="U30" s="136">
        <v>36.245999999999995</v>
      </c>
      <c r="V30" s="136">
        <v>95.15100000000001</v>
      </c>
      <c r="W30" s="136">
        <v>74.165999999999997</v>
      </c>
      <c r="X30" s="136">
        <v>0</v>
      </c>
      <c r="Y30" s="136">
        <v>0</v>
      </c>
      <c r="Z30" s="136">
        <v>0</v>
      </c>
      <c r="AA30" s="136">
        <v>0</v>
      </c>
      <c r="AB30" s="136">
        <v>0</v>
      </c>
      <c r="AC30" s="136">
        <v>0</v>
      </c>
      <c r="AD30" s="136">
        <v>0</v>
      </c>
      <c r="AE30" s="136">
        <v>0</v>
      </c>
      <c r="AF30" s="136">
        <v>6436.5879999999997</v>
      </c>
    </row>
    <row r="31" spans="1:32" x14ac:dyDescent="0.3">
      <c r="A31" s="26" t="s">
        <v>850</v>
      </c>
      <c r="B31" s="136">
        <v>0</v>
      </c>
      <c r="C31" s="136">
        <v>0</v>
      </c>
      <c r="D31" s="136">
        <v>154.36899999999997</v>
      </c>
      <c r="E31" s="136">
        <v>522.06700000000001</v>
      </c>
      <c r="F31" s="136">
        <v>0</v>
      </c>
      <c r="G31" s="136">
        <v>0</v>
      </c>
      <c r="H31" s="136">
        <v>1019.0100000000002</v>
      </c>
      <c r="I31" s="136">
        <v>0</v>
      </c>
      <c r="J31" s="136">
        <v>42.195999999999998</v>
      </c>
      <c r="K31" s="136">
        <v>3430.5320000000006</v>
      </c>
      <c r="L31" s="136">
        <v>0</v>
      </c>
      <c r="M31" s="136">
        <v>682.16499999999996</v>
      </c>
      <c r="N31" s="136">
        <v>0</v>
      </c>
      <c r="O31" s="136">
        <v>0</v>
      </c>
      <c r="P31" s="136">
        <v>90.831999999999994</v>
      </c>
      <c r="Q31" s="136">
        <v>0</v>
      </c>
      <c r="R31" s="136">
        <v>0</v>
      </c>
      <c r="S31" s="136">
        <v>0</v>
      </c>
      <c r="T31" s="136">
        <v>354.96499999999992</v>
      </c>
      <c r="U31" s="136">
        <v>26.654000000000003</v>
      </c>
      <c r="V31" s="136">
        <v>88.894999999999996</v>
      </c>
      <c r="W31" s="136">
        <v>122.30600000000003</v>
      </c>
      <c r="X31" s="136">
        <v>0</v>
      </c>
      <c r="Y31" s="136">
        <v>0</v>
      </c>
      <c r="Z31" s="136">
        <v>0</v>
      </c>
      <c r="AA31" s="136">
        <v>0</v>
      </c>
      <c r="AB31" s="136">
        <v>0</v>
      </c>
      <c r="AC31" s="136">
        <v>0</v>
      </c>
      <c r="AD31" s="136">
        <v>0</v>
      </c>
      <c r="AE31" s="136">
        <v>0</v>
      </c>
      <c r="AF31" s="136">
        <v>6533.9910000000018</v>
      </c>
    </row>
    <row r="32" spans="1:32" x14ac:dyDescent="0.3">
      <c r="A32" s="26" t="s">
        <v>851</v>
      </c>
      <c r="B32" s="136">
        <v>0</v>
      </c>
      <c r="C32" s="136">
        <v>0</v>
      </c>
      <c r="D32" s="136">
        <v>175.38199999999998</v>
      </c>
      <c r="E32" s="136">
        <v>529.27800000000002</v>
      </c>
      <c r="F32" s="136">
        <v>0</v>
      </c>
      <c r="G32" s="136">
        <v>0</v>
      </c>
      <c r="H32" s="136">
        <v>831.92800000000011</v>
      </c>
      <c r="I32" s="136">
        <v>8.8580000000000005</v>
      </c>
      <c r="J32" s="136">
        <v>43.598999999999997</v>
      </c>
      <c r="K32" s="136">
        <v>3274.1669999999995</v>
      </c>
      <c r="L32" s="136">
        <v>0</v>
      </c>
      <c r="M32" s="136">
        <v>662.11099999999988</v>
      </c>
      <c r="N32" s="136">
        <v>0</v>
      </c>
      <c r="O32" s="136">
        <v>0</v>
      </c>
      <c r="P32" s="136">
        <v>70.60199999999999</v>
      </c>
      <c r="Q32" s="136">
        <v>0</v>
      </c>
      <c r="R32" s="136">
        <v>0</v>
      </c>
      <c r="S32" s="136">
        <v>0</v>
      </c>
      <c r="T32" s="136">
        <v>374.92399999999998</v>
      </c>
      <c r="U32" s="136">
        <v>12.902999999999997</v>
      </c>
      <c r="V32" s="136">
        <v>87.277000000000001</v>
      </c>
      <c r="W32" s="136">
        <v>70.675999999999988</v>
      </c>
      <c r="X32" s="136">
        <v>0</v>
      </c>
      <c r="Y32" s="136">
        <v>0</v>
      </c>
      <c r="Z32" s="136">
        <v>0</v>
      </c>
      <c r="AA32" s="136">
        <v>0</v>
      </c>
      <c r="AB32" s="136">
        <v>0</v>
      </c>
      <c r="AC32" s="136">
        <v>0</v>
      </c>
      <c r="AD32" s="136">
        <v>0</v>
      </c>
      <c r="AE32" s="136">
        <v>0</v>
      </c>
      <c r="AF32" s="136">
        <v>6141.7049999999999</v>
      </c>
    </row>
    <row r="33" spans="1:32" x14ac:dyDescent="0.3">
      <c r="A33" s="26" t="s">
        <v>852</v>
      </c>
      <c r="B33" s="136">
        <v>0</v>
      </c>
      <c r="C33" s="136">
        <v>0</v>
      </c>
      <c r="D33" s="136">
        <v>173.27299999999997</v>
      </c>
      <c r="E33" s="136">
        <v>534.49599999999998</v>
      </c>
      <c r="F33" s="136">
        <v>0</v>
      </c>
      <c r="G33" s="136">
        <v>0</v>
      </c>
      <c r="H33" s="136">
        <v>1082.557</v>
      </c>
      <c r="I33" s="136">
        <v>34.56</v>
      </c>
      <c r="J33" s="136">
        <v>53.748999999999995</v>
      </c>
      <c r="K33" s="136">
        <v>3215.6800000000007</v>
      </c>
      <c r="L33" s="136">
        <v>0</v>
      </c>
      <c r="M33" s="136">
        <v>704.9649999999998</v>
      </c>
      <c r="N33" s="136">
        <v>0</v>
      </c>
      <c r="O33" s="136">
        <v>0</v>
      </c>
      <c r="P33" s="136">
        <v>42.320999999999998</v>
      </c>
      <c r="Q33" s="136">
        <v>0</v>
      </c>
      <c r="R33" s="136">
        <v>0</v>
      </c>
      <c r="S33" s="136">
        <v>0</v>
      </c>
      <c r="T33" s="136">
        <v>315.44999999999987</v>
      </c>
      <c r="U33" s="136">
        <v>45.205000000000005</v>
      </c>
      <c r="V33" s="136">
        <v>84.168000000000021</v>
      </c>
      <c r="W33" s="136">
        <v>67.260000000000005</v>
      </c>
      <c r="X33" s="136">
        <v>0</v>
      </c>
      <c r="Y33" s="136">
        <v>0</v>
      </c>
      <c r="Z33" s="136">
        <v>0</v>
      </c>
      <c r="AA33" s="136">
        <v>0</v>
      </c>
      <c r="AB33" s="136">
        <v>0</v>
      </c>
      <c r="AC33" s="136">
        <v>0</v>
      </c>
      <c r="AD33" s="136">
        <v>0</v>
      </c>
      <c r="AE33" s="136">
        <v>0</v>
      </c>
      <c r="AF33" s="136">
        <v>6353.6840000000002</v>
      </c>
    </row>
    <row r="34" spans="1:32" x14ac:dyDescent="0.3">
      <c r="A34" s="26" t="s">
        <v>853</v>
      </c>
      <c r="B34" s="136">
        <v>0</v>
      </c>
      <c r="C34" s="136">
        <v>0</v>
      </c>
      <c r="D34" s="136">
        <v>181.13099999999997</v>
      </c>
      <c r="E34" s="136">
        <v>537.92100000000005</v>
      </c>
      <c r="F34" s="136">
        <v>0</v>
      </c>
      <c r="G34" s="136">
        <v>0</v>
      </c>
      <c r="H34" s="136">
        <v>1222.453</v>
      </c>
      <c r="I34" s="136">
        <v>0</v>
      </c>
      <c r="J34" s="136">
        <v>51.565999999999995</v>
      </c>
      <c r="K34" s="136">
        <v>3310.1039999999998</v>
      </c>
      <c r="L34" s="136">
        <v>11.894</v>
      </c>
      <c r="M34" s="136">
        <v>478.55600000000004</v>
      </c>
      <c r="N34" s="136">
        <v>0</v>
      </c>
      <c r="O34" s="136">
        <v>0</v>
      </c>
      <c r="P34" s="136">
        <v>63.551999999999992</v>
      </c>
      <c r="Q34" s="136">
        <v>0</v>
      </c>
      <c r="R34" s="136">
        <v>0</v>
      </c>
      <c r="S34" s="136">
        <v>0</v>
      </c>
      <c r="T34" s="136">
        <v>377.69499999999999</v>
      </c>
      <c r="U34" s="136">
        <v>23.590000000000003</v>
      </c>
      <c r="V34" s="136">
        <v>91.307999999999993</v>
      </c>
      <c r="W34" s="136">
        <v>97.657999999999987</v>
      </c>
      <c r="X34" s="136">
        <v>0</v>
      </c>
      <c r="Y34" s="136">
        <v>0</v>
      </c>
      <c r="Z34" s="136">
        <v>0</v>
      </c>
      <c r="AA34" s="136">
        <v>0</v>
      </c>
      <c r="AB34" s="136">
        <v>0</v>
      </c>
      <c r="AC34" s="136">
        <v>0</v>
      </c>
      <c r="AD34" s="136">
        <v>0</v>
      </c>
      <c r="AE34" s="136">
        <v>0</v>
      </c>
      <c r="AF34" s="136">
        <v>6447.4279999999999</v>
      </c>
    </row>
    <row r="35" spans="1:32" x14ac:dyDescent="0.3">
      <c r="A35" s="26" t="s">
        <v>854</v>
      </c>
      <c r="B35" s="136">
        <v>0</v>
      </c>
      <c r="C35" s="136">
        <v>0</v>
      </c>
      <c r="D35" s="136">
        <v>179.19000000000003</v>
      </c>
      <c r="E35" s="136">
        <v>487.59899999999993</v>
      </c>
      <c r="F35" s="136">
        <v>0</v>
      </c>
      <c r="G35" s="136">
        <v>0</v>
      </c>
      <c r="H35" s="136">
        <v>1105.4639999999997</v>
      </c>
      <c r="I35" s="136">
        <v>0</v>
      </c>
      <c r="J35" s="136">
        <v>41.960999999999999</v>
      </c>
      <c r="K35" s="136">
        <v>3269.8039999999992</v>
      </c>
      <c r="L35" s="136">
        <v>0</v>
      </c>
      <c r="M35" s="136">
        <v>184.749</v>
      </c>
      <c r="N35" s="136">
        <v>0</v>
      </c>
      <c r="O35" s="136">
        <v>0</v>
      </c>
      <c r="P35" s="136">
        <v>61.728999999999999</v>
      </c>
      <c r="Q35" s="136">
        <v>0</v>
      </c>
      <c r="R35" s="136">
        <v>0</v>
      </c>
      <c r="S35" s="136">
        <v>0</v>
      </c>
      <c r="T35" s="136">
        <v>347.34600000000012</v>
      </c>
      <c r="U35" s="136">
        <v>31.744</v>
      </c>
      <c r="V35" s="136">
        <v>85.572000000000003</v>
      </c>
      <c r="W35" s="136">
        <v>65.838999999999999</v>
      </c>
      <c r="X35" s="136">
        <v>0</v>
      </c>
      <c r="Y35" s="136">
        <v>0</v>
      </c>
      <c r="Z35" s="136">
        <v>0</v>
      </c>
      <c r="AA35" s="136">
        <v>0</v>
      </c>
      <c r="AB35" s="136">
        <v>0</v>
      </c>
      <c r="AC35" s="136">
        <v>4.9020000000000001</v>
      </c>
      <c r="AD35" s="136">
        <v>0</v>
      </c>
      <c r="AE35" s="136">
        <v>0</v>
      </c>
      <c r="AF35" s="136">
        <v>5865.8989999999994</v>
      </c>
    </row>
  </sheetData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52"/>
  <sheetViews>
    <sheetView topLeftCell="A135" workbookViewId="0">
      <selection activeCell="A148" sqref="A148"/>
    </sheetView>
  </sheetViews>
  <sheetFormatPr defaultRowHeight="14.4" x14ac:dyDescent="0.3"/>
  <cols>
    <col min="1" max="1" width="19.6640625" customWidth="1"/>
    <col min="2" max="32" width="17.33203125" customWidth="1"/>
    <col min="33" max="33" width="16.44140625" bestFit="1" customWidth="1"/>
  </cols>
  <sheetData>
    <row r="1" spans="1:33" x14ac:dyDescent="0.3">
      <c r="A1" s="29" t="s">
        <v>1</v>
      </c>
      <c r="B1" t="s">
        <v>82</v>
      </c>
    </row>
    <row r="2" spans="1:33" x14ac:dyDescent="0.3">
      <c r="A2" s="29" t="s">
        <v>158</v>
      </c>
      <c r="B2" t="s">
        <v>82</v>
      </c>
    </row>
    <row r="4" spans="1:33" x14ac:dyDescent="0.3">
      <c r="A4" s="29" t="s">
        <v>542</v>
      </c>
      <c r="B4" s="82" t="s">
        <v>855</v>
      </c>
      <c r="C4" s="82" t="s">
        <v>858</v>
      </c>
      <c r="D4" s="82" t="s">
        <v>859</v>
      </c>
      <c r="E4" s="82" t="s">
        <v>860</v>
      </c>
      <c r="F4" s="82" t="s">
        <v>861</v>
      </c>
      <c r="G4" s="82" t="s">
        <v>865</v>
      </c>
      <c r="H4" s="82" t="s">
        <v>868</v>
      </c>
      <c r="I4" s="82" t="s">
        <v>869</v>
      </c>
      <c r="J4" s="82" t="s">
        <v>870</v>
      </c>
      <c r="K4" s="82" t="s">
        <v>872</v>
      </c>
      <c r="L4" s="82" t="s">
        <v>873</v>
      </c>
      <c r="M4" s="82" t="s">
        <v>874</v>
      </c>
      <c r="N4" s="82" t="s">
        <v>875</v>
      </c>
      <c r="O4" s="82" t="s">
        <v>876</v>
      </c>
      <c r="P4" s="82" t="s">
        <v>877</v>
      </c>
      <c r="Q4" s="82" t="s">
        <v>878</v>
      </c>
      <c r="R4" s="82" t="s">
        <v>879</v>
      </c>
      <c r="S4" s="82" t="s">
        <v>880</v>
      </c>
      <c r="T4" s="82" t="s">
        <v>881</v>
      </c>
      <c r="U4" s="82" t="s">
        <v>888</v>
      </c>
      <c r="V4" s="82" t="s">
        <v>889</v>
      </c>
      <c r="W4" s="82" t="s">
        <v>890</v>
      </c>
      <c r="X4" s="82" t="s">
        <v>891</v>
      </c>
      <c r="Y4" s="82" t="s">
        <v>894</v>
      </c>
      <c r="Z4" s="82" t="s">
        <v>897</v>
      </c>
      <c r="AA4" s="82" t="s">
        <v>898</v>
      </c>
      <c r="AB4" s="82" t="s">
        <v>899</v>
      </c>
      <c r="AC4" s="82" t="s">
        <v>900</v>
      </c>
      <c r="AD4" s="82" t="s">
        <v>901</v>
      </c>
      <c r="AE4" s="82" t="s">
        <v>902</v>
      </c>
      <c r="AF4" s="82" t="s">
        <v>903</v>
      </c>
      <c r="AG4" s="82" t="s">
        <v>85</v>
      </c>
    </row>
    <row r="5" spans="1:33" x14ac:dyDescent="0.3">
      <c r="A5" s="39" t="s">
        <v>820</v>
      </c>
      <c r="B5" s="31">
        <v>0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1E-3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0</v>
      </c>
      <c r="V5" s="31">
        <v>0</v>
      </c>
      <c r="W5" s="31">
        <v>0</v>
      </c>
      <c r="X5" s="31">
        <v>0</v>
      </c>
      <c r="Y5" s="31">
        <v>0</v>
      </c>
      <c r="Z5" s="31">
        <v>1E-3</v>
      </c>
      <c r="AA5" s="31">
        <v>0</v>
      </c>
      <c r="AB5" s="31">
        <v>0</v>
      </c>
      <c r="AC5" s="31">
        <v>0</v>
      </c>
      <c r="AD5" s="31">
        <v>0</v>
      </c>
      <c r="AE5" s="31">
        <v>0</v>
      </c>
      <c r="AF5" s="31">
        <v>0</v>
      </c>
      <c r="AG5" s="31">
        <v>6.4516129032258067E-5</v>
      </c>
    </row>
    <row r="6" spans="1:33" x14ac:dyDescent="0.3">
      <c r="A6" s="39" t="s">
        <v>812</v>
      </c>
      <c r="B6" s="31">
        <v>7.827</v>
      </c>
      <c r="C6" s="31">
        <v>0</v>
      </c>
      <c r="D6" s="31">
        <v>17.121000000000002</v>
      </c>
      <c r="E6" s="31">
        <v>0</v>
      </c>
      <c r="F6" s="31">
        <v>0</v>
      </c>
      <c r="G6" s="31">
        <v>0</v>
      </c>
      <c r="H6" s="31">
        <v>22.082999999999998</v>
      </c>
      <c r="I6" s="31">
        <v>8.5839999999999996</v>
      </c>
      <c r="J6" s="31">
        <v>0</v>
      </c>
      <c r="K6" s="31">
        <v>14.792</v>
      </c>
      <c r="L6" s="31">
        <v>0</v>
      </c>
      <c r="M6" s="31">
        <v>0</v>
      </c>
      <c r="N6" s="31">
        <v>16.486999999999998</v>
      </c>
      <c r="O6" s="31">
        <v>0</v>
      </c>
      <c r="P6" s="31">
        <v>0</v>
      </c>
      <c r="Q6" s="31">
        <v>24.341999999999999</v>
      </c>
      <c r="R6" s="31">
        <v>8.0649999999999995</v>
      </c>
      <c r="S6" s="31">
        <v>0</v>
      </c>
      <c r="T6" s="31">
        <v>0</v>
      </c>
      <c r="U6" s="31">
        <v>3.29</v>
      </c>
      <c r="V6" s="31">
        <v>7.952</v>
      </c>
      <c r="W6" s="31">
        <v>5.9580000000000002</v>
      </c>
      <c r="X6" s="31">
        <v>8.8699999999999992</v>
      </c>
      <c r="Y6" s="31">
        <v>7.5540000000000003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  <c r="AE6" s="31">
        <v>0</v>
      </c>
      <c r="AF6" s="31">
        <v>9.4960000000000004</v>
      </c>
      <c r="AG6" s="31">
        <v>5.2393870967741938</v>
      </c>
    </row>
    <row r="7" spans="1:33" x14ac:dyDescent="0.3">
      <c r="A7" s="39" t="s">
        <v>70</v>
      </c>
      <c r="B7" s="31">
        <v>0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  <c r="AE7" s="31">
        <v>0</v>
      </c>
      <c r="AF7" s="31">
        <v>0</v>
      </c>
      <c r="AG7" s="31">
        <v>0</v>
      </c>
    </row>
    <row r="8" spans="1:33" x14ac:dyDescent="0.3">
      <c r="A8" s="39" t="s">
        <v>93</v>
      </c>
      <c r="B8" s="31">
        <v>0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</row>
    <row r="9" spans="1:33" x14ac:dyDescent="0.3">
      <c r="A9" s="39" t="s">
        <v>66</v>
      </c>
      <c r="B9" s="31">
        <v>0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  <c r="AE9" s="31">
        <v>0</v>
      </c>
      <c r="AF9" s="31">
        <v>0</v>
      </c>
      <c r="AG9" s="31">
        <v>0</v>
      </c>
    </row>
    <row r="10" spans="1:33" x14ac:dyDescent="0.3">
      <c r="A10" s="39" t="s">
        <v>74</v>
      </c>
      <c r="B10" s="31">
        <v>0</v>
      </c>
      <c r="C10" s="31">
        <v>0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</row>
    <row r="11" spans="1:33" x14ac:dyDescent="0.3">
      <c r="A11" s="39" t="s">
        <v>27</v>
      </c>
      <c r="B11" s="31">
        <v>0</v>
      </c>
      <c r="C11" s="31">
        <v>0</v>
      </c>
      <c r="D11" s="31">
        <v>0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</row>
    <row r="12" spans="1:33" x14ac:dyDescent="0.3">
      <c r="A12" s="39" t="s">
        <v>716</v>
      </c>
      <c r="B12" s="31">
        <v>24.413999999999998</v>
      </c>
      <c r="C12" s="31">
        <v>46.454999999999991</v>
      </c>
      <c r="D12" s="31">
        <v>45.368999999999993</v>
      </c>
      <c r="E12" s="31">
        <v>37.589999999999996</v>
      </c>
      <c r="F12" s="31">
        <v>18.911000000000001</v>
      </c>
      <c r="G12" s="31">
        <v>50.478000000000002</v>
      </c>
      <c r="H12" s="31">
        <v>37.554000000000002</v>
      </c>
      <c r="I12" s="31">
        <v>35.083000000000006</v>
      </c>
      <c r="J12" s="31">
        <v>56.931999999999995</v>
      </c>
      <c r="K12" s="31">
        <v>19.785</v>
      </c>
      <c r="L12" s="31">
        <v>21.834999999999997</v>
      </c>
      <c r="M12" s="31">
        <v>23.939999999999998</v>
      </c>
      <c r="N12" s="31">
        <v>28.893999999999998</v>
      </c>
      <c r="O12" s="31">
        <v>0</v>
      </c>
      <c r="P12" s="31">
        <v>13.755000000000001</v>
      </c>
      <c r="Q12" s="31">
        <v>42.944000000000003</v>
      </c>
      <c r="R12" s="31">
        <v>0</v>
      </c>
      <c r="S12" s="31">
        <v>18.423999999999999</v>
      </c>
      <c r="T12" s="31">
        <v>11.378</v>
      </c>
      <c r="U12" s="31">
        <v>13.407</v>
      </c>
      <c r="V12" s="31">
        <v>32.364999999999995</v>
      </c>
      <c r="W12" s="31">
        <v>39.284000000000006</v>
      </c>
      <c r="X12" s="31">
        <v>33.013000000000005</v>
      </c>
      <c r="Y12" s="31">
        <v>19.587999999999997</v>
      </c>
      <c r="Z12" s="31">
        <v>28.152999999999999</v>
      </c>
      <c r="AA12" s="31">
        <v>20.975000000000001</v>
      </c>
      <c r="AB12" s="31">
        <v>10.177</v>
      </c>
      <c r="AC12" s="31">
        <v>12.894</v>
      </c>
      <c r="AD12" s="31">
        <v>34.795000000000002</v>
      </c>
      <c r="AE12" s="31">
        <v>33.811999999999998</v>
      </c>
      <c r="AF12" s="31">
        <v>33.564999999999998</v>
      </c>
      <c r="AG12" s="31">
        <v>27.282870967741943</v>
      </c>
    </row>
    <row r="13" spans="1:33" x14ac:dyDescent="0.3">
      <c r="A13" s="39" t="s">
        <v>717</v>
      </c>
      <c r="B13" s="31">
        <v>0</v>
      </c>
      <c r="C13" s="31">
        <v>4.95</v>
      </c>
      <c r="D13" s="31">
        <v>15.366999999999999</v>
      </c>
      <c r="E13" s="31">
        <v>9.75</v>
      </c>
      <c r="F13" s="31">
        <v>7.6679999999999993</v>
      </c>
      <c r="G13" s="31">
        <v>5.5960000000000001</v>
      </c>
      <c r="H13" s="31">
        <v>16.571999999999999</v>
      </c>
      <c r="I13" s="31">
        <v>21.841000000000001</v>
      </c>
      <c r="J13" s="31">
        <v>2.7759999999999998</v>
      </c>
      <c r="K13" s="31">
        <v>6.4559999999999995</v>
      </c>
      <c r="L13" s="31">
        <v>9.3420000000000005</v>
      </c>
      <c r="M13" s="31">
        <v>13.049999999999999</v>
      </c>
      <c r="N13" s="31">
        <v>2.8250000000000002</v>
      </c>
      <c r="O13" s="31">
        <v>6.3929999999999998</v>
      </c>
      <c r="P13" s="31">
        <v>6.12</v>
      </c>
      <c r="Q13" s="31">
        <v>5.1820000000000004</v>
      </c>
      <c r="R13" s="31">
        <v>3.048</v>
      </c>
      <c r="S13" s="31">
        <v>9.8670000000000009</v>
      </c>
      <c r="T13" s="31">
        <v>0</v>
      </c>
      <c r="U13" s="31">
        <v>6.5279999999999996</v>
      </c>
      <c r="V13" s="31">
        <v>2.722</v>
      </c>
      <c r="W13" s="31">
        <v>2.8069999999999999</v>
      </c>
      <c r="X13" s="31">
        <v>5.2469999999999999</v>
      </c>
      <c r="Y13" s="31">
        <v>5.4909999999999997</v>
      </c>
      <c r="Z13" s="31">
        <v>2.8260000000000001</v>
      </c>
      <c r="AA13" s="31">
        <v>14.900000000000002</v>
      </c>
      <c r="AB13" s="31">
        <v>5.112000000000001</v>
      </c>
      <c r="AC13" s="31">
        <v>7.1109999999999998</v>
      </c>
      <c r="AD13" s="31">
        <v>5.5090000000000003</v>
      </c>
      <c r="AE13" s="31">
        <v>11.79</v>
      </c>
      <c r="AF13" s="31">
        <v>5.9289999999999994</v>
      </c>
      <c r="AG13" s="31">
        <v>7.1862903225806427</v>
      </c>
    </row>
    <row r="14" spans="1:33" x14ac:dyDescent="0.3">
      <c r="A14" s="39" t="s">
        <v>718</v>
      </c>
      <c r="B14" s="31">
        <v>139.94999999999996</v>
      </c>
      <c r="C14" s="31">
        <v>66.66200000000002</v>
      </c>
      <c r="D14" s="31">
        <v>135.34199999999998</v>
      </c>
      <c r="E14" s="31">
        <v>146.03500000000005</v>
      </c>
      <c r="F14" s="31">
        <v>164.31400000000008</v>
      </c>
      <c r="G14" s="31">
        <v>158.23400000000004</v>
      </c>
      <c r="H14" s="31">
        <v>160.78800000000004</v>
      </c>
      <c r="I14" s="31">
        <v>138.60399999999998</v>
      </c>
      <c r="J14" s="31">
        <v>153.80799999999996</v>
      </c>
      <c r="K14" s="31">
        <v>163.65199999999999</v>
      </c>
      <c r="L14" s="31">
        <v>93.27300000000001</v>
      </c>
      <c r="M14" s="31">
        <v>46.771000000000001</v>
      </c>
      <c r="N14" s="31">
        <v>174.97100000000003</v>
      </c>
      <c r="O14" s="31">
        <v>94.558999999999969</v>
      </c>
      <c r="P14" s="31">
        <v>0</v>
      </c>
      <c r="Q14" s="31">
        <v>58.175000000000011</v>
      </c>
      <c r="R14" s="31">
        <v>88.297999999999988</v>
      </c>
      <c r="S14" s="31">
        <v>135.08000000000001</v>
      </c>
      <c r="T14" s="31">
        <v>165.92499999999995</v>
      </c>
      <c r="U14" s="31">
        <v>201.09400000000008</v>
      </c>
      <c r="V14" s="31">
        <v>107.071</v>
      </c>
      <c r="W14" s="31">
        <v>170.83300000000003</v>
      </c>
      <c r="X14" s="31">
        <v>131.26199999999997</v>
      </c>
      <c r="Y14" s="31">
        <v>156.09300000000005</v>
      </c>
      <c r="Z14" s="31">
        <v>62.061</v>
      </c>
      <c r="AA14" s="31">
        <v>112.45400000000005</v>
      </c>
      <c r="AB14" s="31">
        <v>55.072000000000003</v>
      </c>
      <c r="AC14" s="31">
        <v>123.15300000000002</v>
      </c>
      <c r="AD14" s="31">
        <v>143.126</v>
      </c>
      <c r="AE14" s="31">
        <v>87.576000000000022</v>
      </c>
      <c r="AF14" s="31">
        <v>56.479000000000013</v>
      </c>
      <c r="AG14" s="31">
        <v>119.05532258064518</v>
      </c>
    </row>
    <row r="15" spans="1:33" x14ac:dyDescent="0.3">
      <c r="A15" s="39" t="s">
        <v>719</v>
      </c>
      <c r="B15" s="31">
        <v>83.850999999999999</v>
      </c>
      <c r="C15" s="31">
        <v>51.623999999999995</v>
      </c>
      <c r="D15" s="31">
        <v>53.12299999999999</v>
      </c>
      <c r="E15" s="31">
        <v>54.012999999999998</v>
      </c>
      <c r="F15" s="31">
        <v>33.291000000000004</v>
      </c>
      <c r="G15" s="31">
        <v>76.679000000000002</v>
      </c>
      <c r="H15" s="31">
        <v>91.404000000000011</v>
      </c>
      <c r="I15" s="31">
        <v>76.021000000000015</v>
      </c>
      <c r="J15" s="31">
        <v>83.674999999999997</v>
      </c>
      <c r="K15" s="31">
        <v>127.07</v>
      </c>
      <c r="L15" s="31">
        <v>101.614</v>
      </c>
      <c r="M15" s="31">
        <v>83.094999999999999</v>
      </c>
      <c r="N15" s="31">
        <v>85.729000000000013</v>
      </c>
      <c r="O15" s="31">
        <v>84.637</v>
      </c>
      <c r="P15" s="31">
        <v>93.123999999999995</v>
      </c>
      <c r="Q15" s="31">
        <v>91.426000000000016</v>
      </c>
      <c r="R15" s="31">
        <v>82.459000000000017</v>
      </c>
      <c r="S15" s="31">
        <v>88.668000000000006</v>
      </c>
      <c r="T15" s="31">
        <v>107.41500000000001</v>
      </c>
      <c r="U15" s="31">
        <v>100.86500000000001</v>
      </c>
      <c r="V15" s="31">
        <v>102.91800000000001</v>
      </c>
      <c r="W15" s="31">
        <v>185.71299999999999</v>
      </c>
      <c r="X15" s="31">
        <v>141.92800000000003</v>
      </c>
      <c r="Y15" s="31">
        <v>146.38999999999999</v>
      </c>
      <c r="Z15" s="31">
        <v>182.27800000000002</v>
      </c>
      <c r="AA15" s="31">
        <v>116.14300000000001</v>
      </c>
      <c r="AB15" s="31">
        <v>141.41300000000001</v>
      </c>
      <c r="AC15" s="31">
        <v>150.09700000000001</v>
      </c>
      <c r="AD15" s="31">
        <v>204.70800000000003</v>
      </c>
      <c r="AE15" s="31">
        <v>165.99300000000005</v>
      </c>
      <c r="AF15" s="31">
        <v>202.06899999999999</v>
      </c>
      <c r="AG15" s="31">
        <v>109.33654838709678</v>
      </c>
    </row>
    <row r="16" spans="1:33" x14ac:dyDescent="0.3">
      <c r="A16" s="39" t="s">
        <v>776</v>
      </c>
      <c r="B16" s="31">
        <v>0</v>
      </c>
      <c r="C16" s="31"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  <c r="AC16" s="31">
        <v>0</v>
      </c>
      <c r="AD16" s="31">
        <v>0</v>
      </c>
      <c r="AE16" s="31">
        <v>0</v>
      </c>
      <c r="AF16" s="31">
        <v>0</v>
      </c>
      <c r="AG16" s="31">
        <v>0</v>
      </c>
    </row>
    <row r="17" spans="1:33" x14ac:dyDescent="0.3">
      <c r="A17" s="39" t="s">
        <v>720</v>
      </c>
      <c r="B17" s="31">
        <v>0</v>
      </c>
      <c r="C17" s="31">
        <v>5.4210000000000003</v>
      </c>
      <c r="D17" s="31">
        <v>0</v>
      </c>
      <c r="E17" s="31">
        <v>2.6219999999999999</v>
      </c>
      <c r="F17" s="31">
        <v>3.0070000000000001</v>
      </c>
      <c r="G17" s="31">
        <v>7.0380000000000003</v>
      </c>
      <c r="H17" s="31">
        <v>4.8140000000000001</v>
      </c>
      <c r="I17" s="31">
        <v>2.73</v>
      </c>
      <c r="J17" s="31">
        <v>3.823</v>
      </c>
      <c r="K17" s="31">
        <v>2.7170000000000001</v>
      </c>
      <c r="L17" s="31">
        <v>2.75</v>
      </c>
      <c r="M17" s="31">
        <v>0</v>
      </c>
      <c r="N17" s="31">
        <v>4.2450000000000001</v>
      </c>
      <c r="O17" s="31">
        <v>0</v>
      </c>
      <c r="P17" s="31">
        <v>0</v>
      </c>
      <c r="Q17" s="31">
        <v>0</v>
      </c>
      <c r="R17" s="31">
        <v>3.8180000000000005</v>
      </c>
      <c r="S17" s="31">
        <v>2.718</v>
      </c>
      <c r="T17" s="31">
        <v>2.718</v>
      </c>
      <c r="U17" s="31">
        <v>2.7349999999999999</v>
      </c>
      <c r="V17" s="31">
        <v>0</v>
      </c>
      <c r="W17" s="31">
        <v>0</v>
      </c>
      <c r="X17" s="31">
        <v>0</v>
      </c>
      <c r="Y17" s="31">
        <v>0</v>
      </c>
      <c r="Z17" s="31">
        <v>3.2469999999999994</v>
      </c>
      <c r="AA17" s="31">
        <v>0</v>
      </c>
      <c r="AB17" s="31">
        <v>3.8260000000000005</v>
      </c>
      <c r="AC17" s="31">
        <v>2.7639999999999998</v>
      </c>
      <c r="AD17" s="31">
        <v>5.1950000000000003</v>
      </c>
      <c r="AE17" s="31">
        <v>3.7469999999999999</v>
      </c>
      <c r="AF17" s="31">
        <v>3.0350000000000001</v>
      </c>
      <c r="AG17" s="31">
        <v>2.353870967741936</v>
      </c>
    </row>
    <row r="18" spans="1:33" x14ac:dyDescent="0.3">
      <c r="A18" s="39" t="s">
        <v>722</v>
      </c>
      <c r="B18" s="31">
        <v>8.34</v>
      </c>
      <c r="C18" s="31">
        <v>10.747</v>
      </c>
      <c r="D18" s="31">
        <v>11.548999999999999</v>
      </c>
      <c r="E18" s="31">
        <v>16.987000000000002</v>
      </c>
      <c r="F18" s="31">
        <v>9.2689999999999984</v>
      </c>
      <c r="G18" s="31">
        <v>13.154</v>
      </c>
      <c r="H18" s="31">
        <v>1.89</v>
      </c>
      <c r="I18" s="31">
        <v>12.931999999999999</v>
      </c>
      <c r="J18" s="31">
        <v>12.478000000000002</v>
      </c>
      <c r="K18" s="31">
        <v>8.7419999999999991</v>
      </c>
      <c r="L18" s="31">
        <v>8.2919999999999998</v>
      </c>
      <c r="M18" s="31">
        <v>0</v>
      </c>
      <c r="N18" s="31">
        <v>7.9360000000000008</v>
      </c>
      <c r="O18" s="31">
        <v>5.5380000000000003</v>
      </c>
      <c r="P18" s="31">
        <v>10.097999999999999</v>
      </c>
      <c r="Q18" s="31">
        <v>2.4710000000000001</v>
      </c>
      <c r="R18" s="31">
        <v>9.9550000000000001</v>
      </c>
      <c r="S18" s="31">
        <v>11.978</v>
      </c>
      <c r="T18" s="31">
        <v>7.4909999999999997</v>
      </c>
      <c r="U18" s="31">
        <v>16.399999999999999</v>
      </c>
      <c r="V18" s="31">
        <v>16.141999999999999</v>
      </c>
      <c r="W18" s="31">
        <v>23.507000000000001</v>
      </c>
      <c r="X18" s="31">
        <v>12.156000000000001</v>
      </c>
      <c r="Y18" s="31">
        <v>10.597</v>
      </c>
      <c r="Z18" s="31">
        <v>8.2560000000000002</v>
      </c>
      <c r="AA18" s="31">
        <v>14.375000000000002</v>
      </c>
      <c r="AB18" s="31">
        <v>23.77</v>
      </c>
      <c r="AC18" s="31">
        <v>8.1809999999999992</v>
      </c>
      <c r="AD18" s="31">
        <v>21.664999999999999</v>
      </c>
      <c r="AE18" s="31">
        <v>12.904999999999999</v>
      </c>
      <c r="AF18" s="31">
        <v>1.0960000000000001</v>
      </c>
      <c r="AG18" s="31">
        <v>10.932161290322583</v>
      </c>
    </row>
    <row r="19" spans="1:33" x14ac:dyDescent="0.3">
      <c r="A19" s="39" t="s">
        <v>721</v>
      </c>
      <c r="B19" s="31">
        <v>14.816999999999998</v>
      </c>
      <c r="C19" s="31">
        <v>17.013999999999999</v>
      </c>
      <c r="D19" s="31">
        <v>17.318999999999996</v>
      </c>
      <c r="E19" s="31">
        <v>15.809999999999999</v>
      </c>
      <c r="F19" s="31">
        <v>5.1539999999999999</v>
      </c>
      <c r="G19" s="31">
        <v>8.016</v>
      </c>
      <c r="H19" s="31">
        <v>17.606000000000002</v>
      </c>
      <c r="I19" s="31">
        <v>25.679999999999993</v>
      </c>
      <c r="J19" s="31">
        <v>21.312000000000001</v>
      </c>
      <c r="K19" s="31">
        <v>21.053000000000001</v>
      </c>
      <c r="L19" s="31">
        <v>37.198</v>
      </c>
      <c r="M19" s="31">
        <v>18.186</v>
      </c>
      <c r="N19" s="31">
        <v>16.708000000000002</v>
      </c>
      <c r="O19" s="31">
        <v>10.736000000000001</v>
      </c>
      <c r="P19" s="31">
        <v>20.661999999999999</v>
      </c>
      <c r="Q19" s="31">
        <v>14.278999999999998</v>
      </c>
      <c r="R19" s="31">
        <v>24.295999999999999</v>
      </c>
      <c r="S19" s="31">
        <v>19.78</v>
      </c>
      <c r="T19" s="31">
        <v>19.055000000000003</v>
      </c>
      <c r="U19" s="31">
        <v>18.431999999999999</v>
      </c>
      <c r="V19" s="31">
        <v>26.200999999999997</v>
      </c>
      <c r="W19" s="31">
        <v>14.822000000000001</v>
      </c>
      <c r="X19" s="31">
        <v>29.721999999999998</v>
      </c>
      <c r="Y19" s="31">
        <v>31.164000000000001</v>
      </c>
      <c r="Z19" s="31">
        <v>31.506000000000004</v>
      </c>
      <c r="AA19" s="31">
        <v>17.821999999999999</v>
      </c>
      <c r="AB19" s="31">
        <v>31.384</v>
      </c>
      <c r="AC19" s="31">
        <v>27.744999999999997</v>
      </c>
      <c r="AD19" s="31">
        <v>29.166</v>
      </c>
      <c r="AE19" s="31">
        <v>28.214000000000002</v>
      </c>
      <c r="AF19" s="31">
        <v>21.384999999999998</v>
      </c>
      <c r="AG19" s="31">
        <v>21.040129032258069</v>
      </c>
    </row>
    <row r="20" spans="1:33" x14ac:dyDescent="0.3">
      <c r="A20" s="39" t="s">
        <v>723</v>
      </c>
      <c r="B20" s="31">
        <v>62.116</v>
      </c>
      <c r="C20" s="31">
        <v>69.99499999999999</v>
      </c>
      <c r="D20" s="31">
        <v>59.122</v>
      </c>
      <c r="E20" s="31">
        <v>38.561</v>
      </c>
      <c r="F20" s="31">
        <v>52.851999999999997</v>
      </c>
      <c r="G20" s="31">
        <v>70.822000000000003</v>
      </c>
      <c r="H20" s="31">
        <v>83.656999999999996</v>
      </c>
      <c r="I20" s="31">
        <v>36.094000000000001</v>
      </c>
      <c r="J20" s="31">
        <v>72.906999999999996</v>
      </c>
      <c r="K20" s="31">
        <v>90.733999999999995</v>
      </c>
      <c r="L20" s="31">
        <v>48.133000000000003</v>
      </c>
      <c r="M20" s="31">
        <v>86.361000000000004</v>
      </c>
      <c r="N20" s="31">
        <v>102.13800000000001</v>
      </c>
      <c r="O20" s="31">
        <v>76.478999999999999</v>
      </c>
      <c r="P20" s="31">
        <v>108.386</v>
      </c>
      <c r="Q20" s="31">
        <v>117.22600000000001</v>
      </c>
      <c r="R20" s="31">
        <v>137.756</v>
      </c>
      <c r="S20" s="31">
        <v>102.229</v>
      </c>
      <c r="T20" s="31">
        <v>114.28500000000001</v>
      </c>
      <c r="U20" s="31">
        <v>98.789999999999978</v>
      </c>
      <c r="V20" s="31">
        <v>57.605000000000004</v>
      </c>
      <c r="W20" s="31">
        <v>156.703</v>
      </c>
      <c r="X20" s="31">
        <v>100.70199999999998</v>
      </c>
      <c r="Y20" s="31">
        <v>96.91500000000002</v>
      </c>
      <c r="Z20" s="31">
        <v>90.811000000000007</v>
      </c>
      <c r="AA20" s="31">
        <v>65.460999999999999</v>
      </c>
      <c r="AB20" s="31">
        <v>68.578999999999994</v>
      </c>
      <c r="AC20" s="31">
        <v>99.959000000000003</v>
      </c>
      <c r="AD20" s="31">
        <v>110.25399999999999</v>
      </c>
      <c r="AE20" s="31">
        <v>126.75099999999999</v>
      </c>
      <c r="AF20" s="31">
        <v>112.45299999999999</v>
      </c>
      <c r="AG20" s="31">
        <v>87.575354838709686</v>
      </c>
    </row>
    <row r="21" spans="1:33" x14ac:dyDescent="0.3">
      <c r="A21" s="39" t="s">
        <v>795</v>
      </c>
      <c r="B21" s="31">
        <v>0</v>
      </c>
      <c r="C21" s="31"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0</v>
      </c>
      <c r="AD21" s="31">
        <v>0</v>
      </c>
      <c r="AE21" s="31">
        <v>0</v>
      </c>
      <c r="AF21" s="31">
        <v>0</v>
      </c>
      <c r="AG21" s="31">
        <v>0</v>
      </c>
    </row>
    <row r="22" spans="1:33" x14ac:dyDescent="0.3">
      <c r="A22" s="39" t="s">
        <v>724</v>
      </c>
      <c r="B22" s="31">
        <v>72.450999999999993</v>
      </c>
      <c r="C22" s="31">
        <v>97.243999999999971</v>
      </c>
      <c r="D22" s="31">
        <v>80.512</v>
      </c>
      <c r="E22" s="31">
        <v>112.78299999999999</v>
      </c>
      <c r="F22" s="31">
        <v>91.242999999999981</v>
      </c>
      <c r="G22" s="31">
        <v>82.835000000000022</v>
      </c>
      <c r="H22" s="31">
        <v>96.073999999999984</v>
      </c>
      <c r="I22" s="31">
        <v>83.548999999999992</v>
      </c>
      <c r="J22" s="31">
        <v>86.727000000000004</v>
      </c>
      <c r="K22" s="31">
        <v>93.428999999999974</v>
      </c>
      <c r="L22" s="31">
        <v>100.33000000000001</v>
      </c>
      <c r="M22" s="31">
        <v>70.926000000000016</v>
      </c>
      <c r="N22" s="31">
        <v>71.136999999999986</v>
      </c>
      <c r="O22" s="31">
        <v>71.852000000000004</v>
      </c>
      <c r="P22" s="31">
        <v>70.896999999999991</v>
      </c>
      <c r="Q22" s="31">
        <v>104.172</v>
      </c>
      <c r="R22" s="31">
        <v>66.840999999999994</v>
      </c>
      <c r="S22" s="31">
        <v>108.63799999999999</v>
      </c>
      <c r="T22" s="31">
        <v>84.888000000000019</v>
      </c>
      <c r="U22" s="31">
        <v>79.001999999999981</v>
      </c>
      <c r="V22" s="31">
        <v>88.277999999999992</v>
      </c>
      <c r="W22" s="31">
        <v>74.506</v>
      </c>
      <c r="X22" s="31">
        <v>108.386</v>
      </c>
      <c r="Y22" s="31">
        <v>112.414</v>
      </c>
      <c r="Z22" s="31">
        <v>81.194000000000003</v>
      </c>
      <c r="AA22" s="31">
        <v>69.347999999999999</v>
      </c>
      <c r="AB22" s="31">
        <v>97.13900000000001</v>
      </c>
      <c r="AC22" s="31">
        <v>97.718000000000018</v>
      </c>
      <c r="AD22" s="31">
        <v>80.545000000000002</v>
      </c>
      <c r="AE22" s="31">
        <v>99.305000000000021</v>
      </c>
      <c r="AF22" s="31">
        <v>85.64700000000002</v>
      </c>
      <c r="AG22" s="31">
        <v>87.742258064516108</v>
      </c>
    </row>
    <row r="23" spans="1:33" x14ac:dyDescent="0.3">
      <c r="A23" s="39" t="s">
        <v>725</v>
      </c>
      <c r="B23" s="31">
        <v>87.352999999999994</v>
      </c>
      <c r="C23" s="31">
        <v>64.839999999999989</v>
      </c>
      <c r="D23" s="31">
        <v>86.860000000000014</v>
      </c>
      <c r="E23" s="31">
        <v>67.302000000000007</v>
      </c>
      <c r="F23" s="31">
        <v>81.895999999999987</v>
      </c>
      <c r="G23" s="31">
        <v>86.992000000000004</v>
      </c>
      <c r="H23" s="31">
        <v>69.981999999999999</v>
      </c>
      <c r="I23" s="31">
        <v>77.190999999999988</v>
      </c>
      <c r="J23" s="31">
        <v>85.77600000000001</v>
      </c>
      <c r="K23" s="31">
        <v>76.724000000000004</v>
      </c>
      <c r="L23" s="31">
        <v>64.249000000000009</v>
      </c>
      <c r="M23" s="31">
        <v>79.241</v>
      </c>
      <c r="N23" s="31">
        <v>97.745000000000005</v>
      </c>
      <c r="O23" s="31">
        <v>75.116</v>
      </c>
      <c r="P23" s="31">
        <v>17.164999999999999</v>
      </c>
      <c r="Q23" s="31">
        <v>77.548000000000002</v>
      </c>
      <c r="R23" s="31">
        <v>72.450000000000017</v>
      </c>
      <c r="S23" s="31">
        <v>52.368000000000009</v>
      </c>
      <c r="T23" s="31">
        <v>87.118000000000009</v>
      </c>
      <c r="U23" s="31">
        <v>75.61099999999999</v>
      </c>
      <c r="V23" s="31">
        <v>93.08</v>
      </c>
      <c r="W23" s="31">
        <v>70.405000000000015</v>
      </c>
      <c r="X23" s="31">
        <v>67.971000000000004</v>
      </c>
      <c r="Y23" s="31">
        <v>79.966999999999999</v>
      </c>
      <c r="Z23" s="31">
        <v>91.666999999999987</v>
      </c>
      <c r="AA23" s="31">
        <v>80.554000000000016</v>
      </c>
      <c r="AB23" s="31">
        <v>67.775999999999996</v>
      </c>
      <c r="AC23" s="31">
        <v>88.784000000000006</v>
      </c>
      <c r="AD23" s="31">
        <v>84.117000000000004</v>
      </c>
      <c r="AE23" s="31">
        <v>71.476000000000013</v>
      </c>
      <c r="AF23" s="31">
        <v>77.146000000000001</v>
      </c>
      <c r="AG23" s="31">
        <v>76.015161290322609</v>
      </c>
    </row>
    <row r="24" spans="1:33" x14ac:dyDescent="0.3">
      <c r="A24" s="39" t="s">
        <v>726</v>
      </c>
      <c r="B24" s="31">
        <v>17.259</v>
      </c>
      <c r="C24" s="31">
        <v>37.383000000000003</v>
      </c>
      <c r="D24" s="31">
        <v>18.167999999999999</v>
      </c>
      <c r="E24" s="31">
        <v>43.660000000000004</v>
      </c>
      <c r="F24" s="31">
        <v>37.517000000000003</v>
      </c>
      <c r="G24" s="31">
        <v>45.62</v>
      </c>
      <c r="H24" s="31">
        <v>33.83</v>
      </c>
      <c r="I24" s="31">
        <v>36.947000000000003</v>
      </c>
      <c r="J24" s="31">
        <v>45.192</v>
      </c>
      <c r="K24" s="31">
        <v>38.244</v>
      </c>
      <c r="L24" s="31">
        <v>39.061999999999998</v>
      </c>
      <c r="M24" s="31">
        <v>49.177999999999997</v>
      </c>
      <c r="N24" s="31">
        <v>21.810000000000002</v>
      </c>
      <c r="O24" s="31">
        <v>32.427</v>
      </c>
      <c r="P24" s="31">
        <v>24.091999999999999</v>
      </c>
      <c r="Q24" s="31">
        <v>45.091000000000001</v>
      </c>
      <c r="R24" s="31">
        <v>24.161999999999999</v>
      </c>
      <c r="S24" s="31">
        <v>30.285000000000004</v>
      </c>
      <c r="T24" s="31">
        <v>16.719000000000001</v>
      </c>
      <c r="U24" s="31">
        <v>30.318999999999996</v>
      </c>
      <c r="V24" s="31">
        <v>16.157</v>
      </c>
      <c r="W24" s="31">
        <v>17.216000000000001</v>
      </c>
      <c r="X24" s="31">
        <v>20.773</v>
      </c>
      <c r="Y24" s="31">
        <v>27.22</v>
      </c>
      <c r="Z24" s="31">
        <v>12.265999999999998</v>
      </c>
      <c r="AA24" s="31">
        <v>39.340999999999994</v>
      </c>
      <c r="AB24" s="31">
        <v>32.664000000000001</v>
      </c>
      <c r="AC24" s="31">
        <v>20.924999999999997</v>
      </c>
      <c r="AD24" s="31">
        <v>37.099000000000004</v>
      </c>
      <c r="AE24" s="31">
        <v>31.003</v>
      </c>
      <c r="AF24" s="31">
        <v>13.748000000000001</v>
      </c>
      <c r="AG24" s="31">
        <v>30.173451612903236</v>
      </c>
    </row>
    <row r="25" spans="1:33" x14ac:dyDescent="0.3">
      <c r="A25" s="39" t="s">
        <v>727</v>
      </c>
      <c r="B25" s="31">
        <v>127.14500000000001</v>
      </c>
      <c r="C25" s="31">
        <v>133.27800000000002</v>
      </c>
      <c r="D25" s="31">
        <v>113.634</v>
      </c>
      <c r="E25" s="31">
        <v>151.93799999999999</v>
      </c>
      <c r="F25" s="31">
        <v>96.796999999999997</v>
      </c>
      <c r="G25" s="31">
        <v>137.79800000000003</v>
      </c>
      <c r="H25" s="31">
        <v>111.59800000000001</v>
      </c>
      <c r="I25" s="31">
        <v>98.839000000000013</v>
      </c>
      <c r="J25" s="31">
        <v>118.42399999999999</v>
      </c>
      <c r="K25" s="31">
        <v>99.511999999999986</v>
      </c>
      <c r="L25" s="31">
        <v>135.517</v>
      </c>
      <c r="M25" s="31">
        <v>144.96600000000001</v>
      </c>
      <c r="N25" s="31">
        <v>115.11999999999998</v>
      </c>
      <c r="O25" s="31">
        <v>141.089</v>
      </c>
      <c r="P25" s="31">
        <v>84.888999999999996</v>
      </c>
      <c r="Q25" s="31">
        <v>79.313000000000002</v>
      </c>
      <c r="R25" s="31">
        <v>66.908999999999992</v>
      </c>
      <c r="S25" s="31">
        <v>122.16799999999999</v>
      </c>
      <c r="T25" s="31">
        <v>107.06599999999997</v>
      </c>
      <c r="U25" s="31">
        <v>71.875999999999991</v>
      </c>
      <c r="V25" s="31">
        <v>122.26000000000002</v>
      </c>
      <c r="W25" s="31">
        <v>122.53099999999999</v>
      </c>
      <c r="X25" s="31">
        <v>100.43200000000002</v>
      </c>
      <c r="Y25" s="31">
        <v>39.261000000000003</v>
      </c>
      <c r="Z25" s="31">
        <v>74.637000000000015</v>
      </c>
      <c r="AA25" s="31">
        <v>104.89299999999999</v>
      </c>
      <c r="AB25" s="31">
        <v>68.456000000000003</v>
      </c>
      <c r="AC25" s="31">
        <v>125.17599999999999</v>
      </c>
      <c r="AD25" s="31">
        <v>84.681000000000012</v>
      </c>
      <c r="AE25" s="31">
        <v>71.006999999999991</v>
      </c>
      <c r="AF25" s="31">
        <v>65.992000000000019</v>
      </c>
      <c r="AG25" s="31">
        <v>104.42587096774196</v>
      </c>
    </row>
    <row r="26" spans="1:33" x14ac:dyDescent="0.3">
      <c r="A26" s="39" t="s">
        <v>785</v>
      </c>
      <c r="B26" s="31">
        <v>0</v>
      </c>
      <c r="C26" s="31">
        <v>0</v>
      </c>
      <c r="D26" s="31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0</v>
      </c>
      <c r="W26" s="31">
        <v>0</v>
      </c>
      <c r="X26" s="31">
        <v>0</v>
      </c>
      <c r="Y26" s="31">
        <v>0</v>
      </c>
      <c r="Z26" s="31">
        <v>0</v>
      </c>
      <c r="AA26" s="31">
        <v>0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</row>
    <row r="27" spans="1:33" x14ac:dyDescent="0.3">
      <c r="A27" s="39" t="s">
        <v>728</v>
      </c>
      <c r="B27" s="31">
        <v>60.504999999999995</v>
      </c>
      <c r="C27" s="31">
        <v>88.169000000000011</v>
      </c>
      <c r="D27" s="31">
        <v>92.097999999999985</v>
      </c>
      <c r="E27" s="31">
        <v>52.94</v>
      </c>
      <c r="F27" s="31">
        <v>101.404</v>
      </c>
      <c r="G27" s="31">
        <v>62.759000000000007</v>
      </c>
      <c r="H27" s="31">
        <v>59.298000000000002</v>
      </c>
      <c r="I27" s="31">
        <v>54.537999999999997</v>
      </c>
      <c r="J27" s="31">
        <v>100.84400000000001</v>
      </c>
      <c r="K27" s="31">
        <v>99.031000000000006</v>
      </c>
      <c r="L27" s="31">
        <v>78.043000000000006</v>
      </c>
      <c r="M27" s="31">
        <v>107.46799999999999</v>
      </c>
      <c r="N27" s="31">
        <v>73.602000000000004</v>
      </c>
      <c r="O27" s="31">
        <v>79.488</v>
      </c>
      <c r="P27" s="31">
        <v>66.041000000000011</v>
      </c>
      <c r="Q27" s="31">
        <v>81.628999999999991</v>
      </c>
      <c r="R27" s="31">
        <v>101.52200000000001</v>
      </c>
      <c r="S27" s="31">
        <v>95.082000000000008</v>
      </c>
      <c r="T27" s="31">
        <v>95.589999999999989</v>
      </c>
      <c r="U27" s="31">
        <v>90.678000000000011</v>
      </c>
      <c r="V27" s="31">
        <v>70.51100000000001</v>
      </c>
      <c r="W27" s="31">
        <v>96.960999999999999</v>
      </c>
      <c r="X27" s="31">
        <v>103.79499999999999</v>
      </c>
      <c r="Y27" s="31">
        <v>118.748</v>
      </c>
      <c r="Z27" s="31">
        <v>115.289</v>
      </c>
      <c r="AA27" s="31">
        <v>52.37299999999999</v>
      </c>
      <c r="AB27" s="31">
        <v>73.075999999999993</v>
      </c>
      <c r="AC27" s="31">
        <v>61.639000000000003</v>
      </c>
      <c r="AD27" s="31">
        <v>140.61000000000001</v>
      </c>
      <c r="AE27" s="31">
        <v>89.922999999999988</v>
      </c>
      <c r="AF27" s="31">
        <v>118.209</v>
      </c>
      <c r="AG27" s="31">
        <v>86.511709677419361</v>
      </c>
    </row>
    <row r="28" spans="1:33" x14ac:dyDescent="0.3">
      <c r="A28" s="39" t="s">
        <v>779</v>
      </c>
      <c r="B28" s="31">
        <v>0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  <c r="AC28" s="31">
        <v>0</v>
      </c>
      <c r="AD28" s="31">
        <v>0</v>
      </c>
      <c r="AE28" s="31">
        <v>0</v>
      </c>
      <c r="AF28" s="31">
        <v>0</v>
      </c>
      <c r="AG28" s="31">
        <v>0</v>
      </c>
    </row>
    <row r="29" spans="1:33" x14ac:dyDescent="0.3">
      <c r="A29" s="39" t="s">
        <v>729</v>
      </c>
      <c r="B29" s="31">
        <v>65.248000000000005</v>
      </c>
      <c r="C29" s="31">
        <v>55.866</v>
      </c>
      <c r="D29" s="31">
        <v>40.518999999999998</v>
      </c>
      <c r="E29" s="31">
        <v>95.122</v>
      </c>
      <c r="F29" s="31">
        <v>76.303000000000011</v>
      </c>
      <c r="G29" s="31">
        <v>64.709000000000003</v>
      </c>
      <c r="H29" s="31">
        <v>46.553000000000004</v>
      </c>
      <c r="I29" s="31">
        <v>83.078000000000003</v>
      </c>
      <c r="J29" s="31">
        <v>107.31599999999999</v>
      </c>
      <c r="K29" s="31">
        <v>82.134999999999991</v>
      </c>
      <c r="L29" s="31">
        <v>98.448999999999998</v>
      </c>
      <c r="M29" s="31">
        <v>26.041</v>
      </c>
      <c r="N29" s="31">
        <v>89.147999999999996</v>
      </c>
      <c r="O29" s="31">
        <v>69.954999999999998</v>
      </c>
      <c r="P29" s="31">
        <v>129.85499999999999</v>
      </c>
      <c r="Q29" s="31">
        <v>67.206000000000003</v>
      </c>
      <c r="R29" s="31">
        <v>99.804000000000002</v>
      </c>
      <c r="S29" s="31">
        <v>108.881</v>
      </c>
      <c r="T29" s="31">
        <v>116.22000000000001</v>
      </c>
      <c r="U29" s="31">
        <v>78.802000000000007</v>
      </c>
      <c r="V29" s="31">
        <v>104.91199999999999</v>
      </c>
      <c r="W29" s="31">
        <v>111.12</v>
      </c>
      <c r="X29" s="31">
        <v>98.957999999999998</v>
      </c>
      <c r="Y29" s="31">
        <v>118.491</v>
      </c>
      <c r="Z29" s="31">
        <v>85.778000000000006</v>
      </c>
      <c r="AA29" s="31">
        <v>110.20399999999999</v>
      </c>
      <c r="AB29" s="31">
        <v>97.909000000000006</v>
      </c>
      <c r="AC29" s="31">
        <v>103.678</v>
      </c>
      <c r="AD29" s="31">
        <v>121.14400000000001</v>
      </c>
      <c r="AE29" s="31">
        <v>80.775000000000006</v>
      </c>
      <c r="AF29" s="31">
        <v>113.761</v>
      </c>
      <c r="AG29" s="31">
        <v>88.643225806451625</v>
      </c>
    </row>
    <row r="30" spans="1:33" x14ac:dyDescent="0.3">
      <c r="A30" s="39" t="s">
        <v>730</v>
      </c>
      <c r="B30" s="31">
        <v>410.80900000000003</v>
      </c>
      <c r="C30" s="31">
        <v>385.47399999999999</v>
      </c>
      <c r="D30" s="31">
        <v>343.99599999999992</v>
      </c>
      <c r="E30" s="31">
        <v>343.21400000000017</v>
      </c>
      <c r="F30" s="31">
        <v>375.95399999999995</v>
      </c>
      <c r="G30" s="31">
        <v>384.09500000000008</v>
      </c>
      <c r="H30" s="31">
        <v>315.63899999999995</v>
      </c>
      <c r="I30" s="31">
        <v>388.8420000000001</v>
      </c>
      <c r="J30" s="31">
        <v>421.14499999999998</v>
      </c>
      <c r="K30" s="31">
        <v>383.68899999999996</v>
      </c>
      <c r="L30" s="31">
        <v>431.15600000000006</v>
      </c>
      <c r="M30" s="31">
        <v>376.94400000000013</v>
      </c>
      <c r="N30" s="31">
        <v>422.7290000000001</v>
      </c>
      <c r="O30" s="31">
        <v>323.76700000000017</v>
      </c>
      <c r="P30" s="31">
        <v>368.51499999999993</v>
      </c>
      <c r="Q30" s="31">
        <v>316.54799999999994</v>
      </c>
      <c r="R30" s="31">
        <v>385.8490000000001</v>
      </c>
      <c r="S30" s="31">
        <v>366.08400000000006</v>
      </c>
      <c r="T30" s="31">
        <v>517.37000000000023</v>
      </c>
      <c r="U30" s="31">
        <v>432.35500000000002</v>
      </c>
      <c r="V30" s="31">
        <v>414.64600000000002</v>
      </c>
      <c r="W30" s="31">
        <v>444.74399999999974</v>
      </c>
      <c r="X30" s="31">
        <v>392.39600000000019</v>
      </c>
      <c r="Y30" s="31">
        <v>416.17499999999995</v>
      </c>
      <c r="Z30" s="31">
        <v>345.55399999999997</v>
      </c>
      <c r="AA30" s="31">
        <v>389.017</v>
      </c>
      <c r="AB30" s="31">
        <v>317.16999999999996</v>
      </c>
      <c r="AC30" s="31">
        <v>402.26800000000003</v>
      </c>
      <c r="AD30" s="31">
        <v>471.19200000000012</v>
      </c>
      <c r="AE30" s="31">
        <v>465.56399999999991</v>
      </c>
      <c r="AF30" s="31">
        <v>420.84899999999988</v>
      </c>
      <c r="AG30" s="31">
        <v>392.70158064516136</v>
      </c>
    </row>
    <row r="31" spans="1:33" x14ac:dyDescent="0.3">
      <c r="A31" s="39" t="s">
        <v>731</v>
      </c>
      <c r="B31" s="31">
        <v>647.61299999999983</v>
      </c>
      <c r="C31" s="31">
        <v>604.9129999999999</v>
      </c>
      <c r="D31" s="31">
        <v>604.59200000000021</v>
      </c>
      <c r="E31" s="31">
        <v>559.74099999999942</v>
      </c>
      <c r="F31" s="31">
        <v>562.29300000000012</v>
      </c>
      <c r="G31" s="31">
        <v>327.12200000000001</v>
      </c>
      <c r="H31" s="31">
        <v>143.33799999999999</v>
      </c>
      <c r="I31" s="31">
        <v>474.9679999999999</v>
      </c>
      <c r="J31" s="31">
        <v>436.52900000000005</v>
      </c>
      <c r="K31" s="31">
        <v>483.68099999999998</v>
      </c>
      <c r="L31" s="31">
        <v>517.85199999999986</v>
      </c>
      <c r="M31" s="31">
        <v>565.99699999999996</v>
      </c>
      <c r="N31" s="31">
        <v>364.84899999999993</v>
      </c>
      <c r="O31" s="31">
        <v>184.29900000000004</v>
      </c>
      <c r="P31" s="31">
        <v>607.01600000000008</v>
      </c>
      <c r="Q31" s="31">
        <v>475.58599999999996</v>
      </c>
      <c r="R31" s="31">
        <v>414.99200000000008</v>
      </c>
      <c r="S31" s="31">
        <v>475.78699999999998</v>
      </c>
      <c r="T31" s="31">
        <v>363.57999999999993</v>
      </c>
      <c r="U31" s="31">
        <v>309.54500000000019</v>
      </c>
      <c r="V31" s="31">
        <v>138.803</v>
      </c>
      <c r="W31" s="31">
        <v>395.70900000000012</v>
      </c>
      <c r="X31" s="31">
        <v>412.84300000000002</v>
      </c>
      <c r="Y31" s="31">
        <v>374.11600000000004</v>
      </c>
      <c r="Z31" s="31">
        <v>455.93399999999986</v>
      </c>
      <c r="AA31" s="31">
        <v>467.17399999999992</v>
      </c>
      <c r="AB31" s="31">
        <v>326.63999999999993</v>
      </c>
      <c r="AC31" s="31">
        <v>117.37500000000001</v>
      </c>
      <c r="AD31" s="31">
        <v>395.18599999999998</v>
      </c>
      <c r="AE31" s="31">
        <v>410.61400000000003</v>
      </c>
      <c r="AF31" s="31">
        <v>398.80899999999991</v>
      </c>
      <c r="AG31" s="31">
        <v>419.91922580645155</v>
      </c>
    </row>
    <row r="32" spans="1:33" x14ac:dyDescent="0.3">
      <c r="A32" s="39" t="s">
        <v>778</v>
      </c>
      <c r="B32" s="31">
        <v>0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0</v>
      </c>
      <c r="AE32" s="31">
        <v>0</v>
      </c>
      <c r="AF32" s="31">
        <v>0</v>
      </c>
      <c r="AG32" s="31">
        <v>0</v>
      </c>
    </row>
    <row r="33" spans="1:33" x14ac:dyDescent="0.3">
      <c r="A33" s="39" t="s">
        <v>732</v>
      </c>
      <c r="B33" s="31">
        <v>44.15</v>
      </c>
      <c r="C33" s="31">
        <v>26.137</v>
      </c>
      <c r="D33" s="31">
        <v>53.411000000000001</v>
      </c>
      <c r="E33" s="31">
        <v>42.524999999999999</v>
      </c>
      <c r="F33" s="31">
        <v>57.986000000000004</v>
      </c>
      <c r="G33" s="31">
        <v>51.396000000000001</v>
      </c>
      <c r="H33" s="31">
        <v>44.776000000000003</v>
      </c>
      <c r="I33" s="31">
        <v>35.869999999999997</v>
      </c>
      <c r="J33" s="31">
        <v>39.096000000000004</v>
      </c>
      <c r="K33" s="31">
        <v>28.556000000000001</v>
      </c>
      <c r="L33" s="31">
        <v>28.934999999999999</v>
      </c>
      <c r="M33" s="31">
        <v>19.774999999999999</v>
      </c>
      <c r="N33" s="31">
        <v>43.603000000000002</v>
      </c>
      <c r="O33" s="31">
        <v>33.006</v>
      </c>
      <c r="P33" s="31">
        <v>34.070999999999998</v>
      </c>
      <c r="Q33" s="31">
        <v>11.148999999999999</v>
      </c>
      <c r="R33" s="31">
        <v>23.001000000000001</v>
      </c>
      <c r="S33" s="31">
        <v>23.727</v>
      </c>
      <c r="T33" s="31">
        <v>38.085000000000008</v>
      </c>
      <c r="U33" s="31">
        <v>48.775999999999996</v>
      </c>
      <c r="V33" s="31">
        <v>23.960999999999999</v>
      </c>
      <c r="W33" s="31">
        <v>46.774000000000001</v>
      </c>
      <c r="X33" s="31">
        <v>35.476999999999997</v>
      </c>
      <c r="Y33" s="31">
        <v>36.955000000000005</v>
      </c>
      <c r="Z33" s="31">
        <v>23.953000000000003</v>
      </c>
      <c r="AA33" s="31">
        <v>16.591000000000001</v>
      </c>
      <c r="AB33" s="31">
        <v>25.773000000000003</v>
      </c>
      <c r="AC33" s="31">
        <v>22.246000000000002</v>
      </c>
      <c r="AD33" s="31">
        <v>35.040000000000006</v>
      </c>
      <c r="AE33" s="31">
        <v>51.132000000000005</v>
      </c>
      <c r="AF33" s="31">
        <v>31.291</v>
      </c>
      <c r="AG33" s="31">
        <v>34.749161290322576</v>
      </c>
    </row>
    <row r="34" spans="1:33" x14ac:dyDescent="0.3">
      <c r="A34" s="39" t="s">
        <v>818</v>
      </c>
      <c r="B34" s="31">
        <v>0</v>
      </c>
      <c r="C34" s="31">
        <v>0</v>
      </c>
      <c r="D34" s="31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</row>
    <row r="35" spans="1:33" x14ac:dyDescent="0.3">
      <c r="A35" s="39" t="s">
        <v>733</v>
      </c>
      <c r="B35" s="31">
        <v>10.186999999999999</v>
      </c>
      <c r="C35" s="31">
        <v>0</v>
      </c>
      <c r="D35" s="31">
        <v>0</v>
      </c>
      <c r="E35" s="31">
        <v>0</v>
      </c>
      <c r="F35" s="31">
        <v>0</v>
      </c>
      <c r="G35" s="31">
        <v>10.132999999999999</v>
      </c>
      <c r="H35" s="31">
        <v>0</v>
      </c>
      <c r="I35" s="31">
        <v>12.564</v>
      </c>
      <c r="J35" s="31">
        <v>0</v>
      </c>
      <c r="K35" s="31">
        <v>16.279999999999998</v>
      </c>
      <c r="L35" s="31">
        <v>0</v>
      </c>
      <c r="M35" s="31">
        <v>0</v>
      </c>
      <c r="N35" s="31">
        <v>0</v>
      </c>
      <c r="O35" s="31">
        <v>8.4219999999999988</v>
      </c>
      <c r="P35" s="31">
        <v>0</v>
      </c>
      <c r="Q35" s="31">
        <v>0</v>
      </c>
      <c r="R35" s="31">
        <v>4.4020000000000001</v>
      </c>
      <c r="S35" s="31">
        <v>0</v>
      </c>
      <c r="T35" s="31">
        <v>0</v>
      </c>
      <c r="U35" s="31">
        <v>12.515000000000001</v>
      </c>
      <c r="V35" s="31">
        <v>5.4189999999999996</v>
      </c>
      <c r="W35" s="31">
        <v>5.0549999999999997</v>
      </c>
      <c r="X35" s="31">
        <v>8.8000000000000007</v>
      </c>
      <c r="Y35" s="31">
        <v>0</v>
      </c>
      <c r="Z35" s="31">
        <v>0</v>
      </c>
      <c r="AA35" s="31">
        <v>0</v>
      </c>
      <c r="AB35" s="31">
        <v>10.535</v>
      </c>
      <c r="AC35" s="31">
        <v>1.0940000000000001</v>
      </c>
      <c r="AD35" s="31">
        <v>14.441000000000001</v>
      </c>
      <c r="AE35" s="31">
        <v>5.12</v>
      </c>
      <c r="AF35" s="31">
        <v>10.256</v>
      </c>
      <c r="AG35" s="31">
        <v>4.3620322580645166</v>
      </c>
    </row>
    <row r="36" spans="1:33" x14ac:dyDescent="0.3">
      <c r="A36" s="39" t="s">
        <v>841</v>
      </c>
      <c r="B36" s="31">
        <v>6.73</v>
      </c>
      <c r="C36" s="31">
        <v>4.4089999999999998</v>
      </c>
      <c r="D36" s="31">
        <v>0</v>
      </c>
      <c r="E36" s="31">
        <v>0</v>
      </c>
      <c r="F36" s="31">
        <v>0</v>
      </c>
      <c r="G36" s="31">
        <v>1E-3</v>
      </c>
      <c r="H36" s="31">
        <v>5.641</v>
      </c>
      <c r="I36" s="31">
        <v>0</v>
      </c>
      <c r="J36" s="31">
        <v>6.0869999999999997</v>
      </c>
      <c r="K36" s="31">
        <v>6.4660000000000002</v>
      </c>
      <c r="L36" s="31">
        <v>0</v>
      </c>
      <c r="M36" s="31">
        <v>0</v>
      </c>
      <c r="N36" s="31">
        <v>7.3659999999999997</v>
      </c>
      <c r="O36" s="31">
        <v>0</v>
      </c>
      <c r="P36" s="31">
        <v>4.351</v>
      </c>
      <c r="Q36" s="31">
        <v>4.9669999999999996</v>
      </c>
      <c r="R36" s="31">
        <v>5.8490000000000002</v>
      </c>
      <c r="S36" s="31">
        <v>0</v>
      </c>
      <c r="T36" s="31">
        <v>0</v>
      </c>
      <c r="U36" s="31">
        <v>9.1610000000000014</v>
      </c>
      <c r="V36" s="31">
        <v>0</v>
      </c>
      <c r="W36" s="31">
        <v>12.442</v>
      </c>
      <c r="X36" s="31">
        <v>4.984</v>
      </c>
      <c r="Y36" s="31">
        <v>7.56</v>
      </c>
      <c r="Z36" s="31">
        <v>0</v>
      </c>
      <c r="AA36" s="31">
        <v>0</v>
      </c>
      <c r="AB36" s="31">
        <v>10.984999999999999</v>
      </c>
      <c r="AC36" s="31">
        <v>0</v>
      </c>
      <c r="AD36" s="31">
        <v>0</v>
      </c>
      <c r="AE36" s="31">
        <v>9.3460000000000001</v>
      </c>
      <c r="AF36" s="31">
        <v>0</v>
      </c>
      <c r="AG36" s="31">
        <v>3.4304838709677421</v>
      </c>
    </row>
    <row r="37" spans="1:33" x14ac:dyDescent="0.3">
      <c r="A37" s="39" t="s">
        <v>520</v>
      </c>
      <c r="B37" s="31">
        <v>0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1">
        <v>0</v>
      </c>
      <c r="AE37" s="31">
        <v>0</v>
      </c>
      <c r="AF37" s="31">
        <v>0</v>
      </c>
      <c r="AG37" s="31">
        <v>0</v>
      </c>
    </row>
    <row r="38" spans="1:33" x14ac:dyDescent="0.3">
      <c r="A38" s="39" t="s">
        <v>734</v>
      </c>
      <c r="B38" s="31">
        <v>0</v>
      </c>
      <c r="C38" s="31">
        <v>14.525</v>
      </c>
      <c r="D38" s="31">
        <v>29.549000000000007</v>
      </c>
      <c r="E38" s="31">
        <v>24.570999999999998</v>
      </c>
      <c r="F38" s="31">
        <v>17.615000000000002</v>
      </c>
      <c r="G38" s="31">
        <v>27.867999999999999</v>
      </c>
      <c r="H38" s="31">
        <v>9.9809999999999999</v>
      </c>
      <c r="I38" s="31">
        <v>32.900999999999996</v>
      </c>
      <c r="J38" s="31">
        <v>22.134999999999998</v>
      </c>
      <c r="K38" s="31">
        <v>21.145</v>
      </c>
      <c r="L38" s="31">
        <v>27.343999999999994</v>
      </c>
      <c r="M38" s="31">
        <v>12.027000000000001</v>
      </c>
      <c r="N38" s="31">
        <v>25.363</v>
      </c>
      <c r="O38" s="31">
        <v>18.381999999999998</v>
      </c>
      <c r="P38" s="31">
        <v>17.123000000000001</v>
      </c>
      <c r="Q38" s="31">
        <v>29.905000000000001</v>
      </c>
      <c r="R38" s="31">
        <v>38.515999999999998</v>
      </c>
      <c r="S38" s="31">
        <v>14.127000000000002</v>
      </c>
      <c r="T38" s="31">
        <v>11.464</v>
      </c>
      <c r="U38" s="31">
        <v>2.5840000000000001</v>
      </c>
      <c r="V38" s="31">
        <v>26.701000000000001</v>
      </c>
      <c r="W38" s="31">
        <v>19.814999999999998</v>
      </c>
      <c r="X38" s="31">
        <v>24.856000000000002</v>
      </c>
      <c r="Y38" s="31">
        <v>16.488</v>
      </c>
      <c r="Z38" s="31">
        <v>10.954000000000001</v>
      </c>
      <c r="AA38" s="31">
        <v>10.373999999999999</v>
      </c>
      <c r="AB38" s="31">
        <v>2.7690000000000001</v>
      </c>
      <c r="AC38" s="31">
        <v>0.78200000000000003</v>
      </c>
      <c r="AD38" s="31">
        <v>9.3740000000000006</v>
      </c>
      <c r="AE38" s="31">
        <v>17.815000000000001</v>
      </c>
      <c r="AF38" s="31">
        <v>0</v>
      </c>
      <c r="AG38" s="31">
        <v>17.324290322580648</v>
      </c>
    </row>
    <row r="39" spans="1:33" x14ac:dyDescent="0.3">
      <c r="A39" s="39" t="s">
        <v>807</v>
      </c>
      <c r="B39" s="31">
        <v>0</v>
      </c>
      <c r="C39" s="31">
        <v>0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  <c r="AE39" s="31">
        <v>0</v>
      </c>
      <c r="AF39" s="31">
        <v>0</v>
      </c>
      <c r="AG39" s="31">
        <v>0</v>
      </c>
    </row>
    <row r="40" spans="1:33" x14ac:dyDescent="0.3">
      <c r="A40" s="39" t="s">
        <v>806</v>
      </c>
      <c r="B40" s="31">
        <v>0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1E-3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31">
        <v>3.2258064516129034E-5</v>
      </c>
    </row>
    <row r="41" spans="1:33" x14ac:dyDescent="0.3">
      <c r="A41" s="39" t="s">
        <v>804</v>
      </c>
      <c r="B41" s="31">
        <v>0</v>
      </c>
      <c r="C41" s="31">
        <v>0</v>
      </c>
      <c r="D41" s="31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0</v>
      </c>
      <c r="AE41" s="31">
        <v>0</v>
      </c>
      <c r="AF41" s="31">
        <v>0</v>
      </c>
      <c r="AG41" s="31">
        <v>0</v>
      </c>
    </row>
    <row r="42" spans="1:33" x14ac:dyDescent="0.3">
      <c r="A42" s="39" t="s">
        <v>805</v>
      </c>
      <c r="B42" s="31">
        <v>0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</row>
    <row r="43" spans="1:33" x14ac:dyDescent="0.3">
      <c r="A43" s="39" t="s">
        <v>775</v>
      </c>
      <c r="B43" s="31">
        <v>0</v>
      </c>
      <c r="C43" s="31">
        <v>0</v>
      </c>
      <c r="D43" s="31">
        <v>0</v>
      </c>
      <c r="E43" s="31">
        <v>0</v>
      </c>
      <c r="F43" s="31">
        <v>0</v>
      </c>
      <c r="G43" s="31">
        <v>0</v>
      </c>
      <c r="H43" s="31">
        <v>15.727999999999998</v>
      </c>
      <c r="I43" s="31">
        <v>1.7849999999999999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2.798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13.074</v>
      </c>
      <c r="W43" s="31">
        <v>14.981999999999999</v>
      </c>
      <c r="X43" s="31">
        <v>18.163</v>
      </c>
      <c r="Y43" s="31">
        <v>0</v>
      </c>
      <c r="Z43" s="31">
        <v>11.246</v>
      </c>
      <c r="AA43" s="31">
        <v>15.933</v>
      </c>
      <c r="AB43" s="31">
        <v>0</v>
      </c>
      <c r="AC43" s="31">
        <v>13.132000000000001</v>
      </c>
      <c r="AD43" s="31">
        <v>6.2639999999999993</v>
      </c>
      <c r="AE43" s="31">
        <v>0</v>
      </c>
      <c r="AF43" s="31">
        <v>0</v>
      </c>
      <c r="AG43" s="31">
        <v>3.6485483870967745</v>
      </c>
    </row>
    <row r="44" spans="1:33" x14ac:dyDescent="0.3">
      <c r="A44" s="39" t="s">
        <v>811</v>
      </c>
      <c r="B44" s="31">
        <v>0</v>
      </c>
      <c r="C44" s="31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9.0570000000000004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12.054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31">
        <v>0</v>
      </c>
      <c r="AF44" s="31">
        <v>0</v>
      </c>
      <c r="AG44" s="31">
        <v>0.68100000000000005</v>
      </c>
    </row>
    <row r="45" spans="1:33" x14ac:dyDescent="0.3">
      <c r="A45" s="39" t="s">
        <v>735</v>
      </c>
      <c r="B45" s="31">
        <v>9.0419999999999998</v>
      </c>
      <c r="C45" s="31">
        <v>5.4009999999999998</v>
      </c>
      <c r="D45" s="31">
        <v>7.9249999999999998</v>
      </c>
      <c r="E45" s="31">
        <v>5.9499999999999993</v>
      </c>
      <c r="F45" s="31">
        <v>17.377000000000002</v>
      </c>
      <c r="G45" s="31">
        <v>9.4759999999999991</v>
      </c>
      <c r="H45" s="31">
        <v>7.2040000000000006</v>
      </c>
      <c r="I45" s="31">
        <v>1.3540000000000001</v>
      </c>
      <c r="J45" s="31">
        <v>18.940999999999999</v>
      </c>
      <c r="K45" s="31">
        <v>7.3550000000000004</v>
      </c>
      <c r="L45" s="31">
        <v>2.4820000000000002</v>
      </c>
      <c r="M45" s="31">
        <v>7.4809999999999999</v>
      </c>
      <c r="N45" s="31">
        <v>1.964</v>
      </c>
      <c r="O45" s="31">
        <v>4.4749999999999996</v>
      </c>
      <c r="P45" s="31">
        <v>0</v>
      </c>
      <c r="Q45" s="31">
        <v>19.603000000000002</v>
      </c>
      <c r="R45" s="31">
        <v>5.3529999999999998</v>
      </c>
      <c r="S45" s="31">
        <v>0</v>
      </c>
      <c r="T45" s="31">
        <v>8.7489999999999988</v>
      </c>
      <c r="U45" s="31">
        <v>11.279</v>
      </c>
      <c r="V45" s="31">
        <v>19.036000000000001</v>
      </c>
      <c r="W45" s="31">
        <v>5.3840000000000003</v>
      </c>
      <c r="X45" s="31">
        <v>11.084</v>
      </c>
      <c r="Y45" s="31">
        <v>8.7780000000000005</v>
      </c>
      <c r="Z45" s="31">
        <v>3.758</v>
      </c>
      <c r="AA45" s="31">
        <v>21.143999999999998</v>
      </c>
      <c r="AB45" s="31">
        <v>10.743</v>
      </c>
      <c r="AC45" s="31">
        <v>6.98</v>
      </c>
      <c r="AD45" s="31">
        <v>22.569999999999997</v>
      </c>
      <c r="AE45" s="31">
        <v>5.8559999999999999</v>
      </c>
      <c r="AF45" s="31">
        <v>9.3659999999999997</v>
      </c>
      <c r="AG45" s="31">
        <v>8.9067741935483884</v>
      </c>
    </row>
    <row r="46" spans="1:33" x14ac:dyDescent="0.3">
      <c r="A46" s="39" t="s">
        <v>736</v>
      </c>
      <c r="B46" s="31">
        <v>0</v>
      </c>
      <c r="C46" s="31">
        <v>2.1909999999999998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0.30499999999999999</v>
      </c>
      <c r="J46" s="31">
        <v>1.9930000000000001</v>
      </c>
      <c r="K46" s="31">
        <v>0</v>
      </c>
      <c r="L46" s="31">
        <v>0</v>
      </c>
      <c r="M46" s="31">
        <v>2.2389999999999999</v>
      </c>
      <c r="N46" s="31">
        <v>2.4940000000000002</v>
      </c>
      <c r="O46" s="31">
        <v>0</v>
      </c>
      <c r="P46" s="31">
        <v>0</v>
      </c>
      <c r="Q46" s="31">
        <v>0</v>
      </c>
      <c r="R46" s="31">
        <v>0</v>
      </c>
      <c r="S46" s="31">
        <v>1.9690000000000001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2.4119999999999999</v>
      </c>
      <c r="Z46" s="31">
        <v>0</v>
      </c>
      <c r="AA46" s="31">
        <v>3.8970000000000002</v>
      </c>
      <c r="AB46" s="31">
        <v>0</v>
      </c>
      <c r="AC46" s="31">
        <v>0</v>
      </c>
      <c r="AD46" s="31">
        <v>0</v>
      </c>
      <c r="AE46" s="31">
        <v>1.768</v>
      </c>
      <c r="AF46" s="31">
        <v>0</v>
      </c>
      <c r="AG46" s="31">
        <v>0.62154838709677418</v>
      </c>
    </row>
    <row r="47" spans="1:33" x14ac:dyDescent="0.3">
      <c r="A47" s="39" t="s">
        <v>780</v>
      </c>
      <c r="B47" s="31">
        <v>0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</row>
    <row r="48" spans="1:33" x14ac:dyDescent="0.3">
      <c r="A48" s="39" t="s">
        <v>458</v>
      </c>
      <c r="B48" s="31">
        <v>0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5.8140000000000001</v>
      </c>
      <c r="O48" s="31">
        <v>2.8559999999999999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0.26800000000000002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0.28832258064516131</v>
      </c>
    </row>
    <row r="49" spans="1:33" x14ac:dyDescent="0.3">
      <c r="A49" s="39" t="s">
        <v>777</v>
      </c>
      <c r="B49" s="31">
        <v>0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</row>
    <row r="50" spans="1:33" x14ac:dyDescent="0.3">
      <c r="A50" s="39" t="s">
        <v>782</v>
      </c>
      <c r="B50" s="31">
        <v>0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1.3080000000000001</v>
      </c>
      <c r="I50" s="31">
        <v>9.9000000000000005E-2</v>
      </c>
      <c r="J50" s="31">
        <v>0.93100000000000005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0.57099999999999995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9.3838709677419349E-2</v>
      </c>
    </row>
    <row r="51" spans="1:33" x14ac:dyDescent="0.3">
      <c r="A51" s="39" t="s">
        <v>803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31">
        <v>0</v>
      </c>
      <c r="AF51" s="31">
        <v>0</v>
      </c>
      <c r="AG51" s="31">
        <v>0</v>
      </c>
    </row>
    <row r="52" spans="1:33" x14ac:dyDescent="0.3">
      <c r="A52" s="39" t="s">
        <v>737</v>
      </c>
      <c r="B52" s="31">
        <v>30.853999999999999</v>
      </c>
      <c r="C52" s="31">
        <v>51.214000000000006</v>
      </c>
      <c r="D52" s="31">
        <v>20.846</v>
      </c>
      <c r="E52" s="31">
        <v>12.654</v>
      </c>
      <c r="F52" s="31">
        <v>0</v>
      </c>
      <c r="G52" s="31">
        <v>8.9370000000000012</v>
      </c>
      <c r="H52" s="31">
        <v>27.995000000000001</v>
      </c>
      <c r="I52" s="31">
        <v>29.176000000000002</v>
      </c>
      <c r="J52" s="31">
        <v>8.8420000000000005</v>
      </c>
      <c r="K52" s="31">
        <v>22.188000000000002</v>
      </c>
      <c r="L52" s="31">
        <v>0</v>
      </c>
      <c r="M52" s="31">
        <v>0</v>
      </c>
      <c r="N52" s="31">
        <v>24.579000000000001</v>
      </c>
      <c r="O52" s="31">
        <v>6.63</v>
      </c>
      <c r="P52" s="31">
        <v>24.061</v>
      </c>
      <c r="Q52" s="31">
        <v>5.7949999999999999</v>
      </c>
      <c r="R52" s="31">
        <v>13.058</v>
      </c>
      <c r="S52" s="31">
        <v>0</v>
      </c>
      <c r="T52" s="31">
        <v>2.0750000000000002</v>
      </c>
      <c r="U52" s="31">
        <v>12.71</v>
      </c>
      <c r="V52" s="31">
        <v>12.196</v>
      </c>
      <c r="W52" s="31">
        <v>18.122</v>
      </c>
      <c r="X52" s="31">
        <v>17.07</v>
      </c>
      <c r="Y52" s="31">
        <v>9.577</v>
      </c>
      <c r="Z52" s="31">
        <v>0</v>
      </c>
      <c r="AA52" s="31">
        <v>6.39</v>
      </c>
      <c r="AB52" s="31">
        <v>20.257999999999999</v>
      </c>
      <c r="AC52" s="31">
        <v>15.814000000000002</v>
      </c>
      <c r="AD52" s="31">
        <v>19.795999999999999</v>
      </c>
      <c r="AE52" s="31">
        <v>16.436</v>
      </c>
      <c r="AF52" s="31">
        <v>33.570000000000007</v>
      </c>
      <c r="AG52" s="31">
        <v>15.18848387096774</v>
      </c>
    </row>
    <row r="53" spans="1:33" x14ac:dyDescent="0.3">
      <c r="A53" s="39" t="s">
        <v>781</v>
      </c>
      <c r="B53" s="31">
        <v>0</v>
      </c>
      <c r="C53" s="31">
        <v>0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</row>
    <row r="54" spans="1:33" x14ac:dyDescent="0.3">
      <c r="A54" s="39" t="s">
        <v>738</v>
      </c>
      <c r="B54" s="31">
        <v>13.306999999999999</v>
      </c>
      <c r="C54" s="31">
        <v>1.4330000000000001</v>
      </c>
      <c r="D54" s="31">
        <v>1.651</v>
      </c>
      <c r="E54" s="31">
        <v>9.3670000000000009</v>
      </c>
      <c r="F54" s="31">
        <v>18.067</v>
      </c>
      <c r="G54" s="31">
        <v>6.9759999999999991</v>
      </c>
      <c r="H54" s="31">
        <v>16.132999999999999</v>
      </c>
      <c r="I54" s="31">
        <v>6.9920000000000009</v>
      </c>
      <c r="J54" s="31">
        <v>24.218999999999998</v>
      </c>
      <c r="K54" s="31">
        <v>17.832999999999998</v>
      </c>
      <c r="L54" s="31">
        <v>16.370999999999999</v>
      </c>
      <c r="M54" s="31">
        <v>20.615000000000002</v>
      </c>
      <c r="N54" s="31">
        <v>3.2989999999999999</v>
      </c>
      <c r="O54" s="31">
        <v>15.834</v>
      </c>
      <c r="P54" s="31">
        <v>19.115000000000002</v>
      </c>
      <c r="Q54" s="31">
        <v>6.194</v>
      </c>
      <c r="R54" s="31">
        <v>14.933</v>
      </c>
      <c r="S54" s="31">
        <v>21.3</v>
      </c>
      <c r="T54" s="31">
        <v>13.255000000000001</v>
      </c>
      <c r="U54" s="31">
        <v>5.9470000000000001</v>
      </c>
      <c r="V54" s="31">
        <v>19.709</v>
      </c>
      <c r="W54" s="31">
        <v>18.875</v>
      </c>
      <c r="X54" s="31">
        <v>17.73</v>
      </c>
      <c r="Y54" s="31">
        <v>17.335999999999999</v>
      </c>
      <c r="Z54" s="31">
        <v>8.0389999999999997</v>
      </c>
      <c r="AA54" s="31">
        <v>6.3650000000000002</v>
      </c>
      <c r="AB54" s="31">
        <v>0.95199999999999996</v>
      </c>
      <c r="AC54" s="31">
        <v>9.7279999999999998</v>
      </c>
      <c r="AD54" s="31">
        <v>16.270000000000003</v>
      </c>
      <c r="AE54" s="31">
        <v>22.533000000000001</v>
      </c>
      <c r="AF54" s="31">
        <v>6.4180000000000001</v>
      </c>
      <c r="AG54" s="31">
        <v>12.799870967741937</v>
      </c>
    </row>
    <row r="55" spans="1:33" x14ac:dyDescent="0.3">
      <c r="A55" s="39" t="s">
        <v>808</v>
      </c>
      <c r="B55" s="31">
        <v>0</v>
      </c>
      <c r="C55" s="31">
        <v>0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</v>
      </c>
    </row>
    <row r="56" spans="1:33" x14ac:dyDescent="0.3">
      <c r="A56" s="39" t="s">
        <v>774</v>
      </c>
      <c r="B56" s="31">
        <v>0</v>
      </c>
      <c r="C56" s="31">
        <v>0</v>
      </c>
      <c r="D56" s="31">
        <v>2.645</v>
      </c>
      <c r="E56" s="31">
        <v>0</v>
      </c>
      <c r="F56" s="31">
        <v>0</v>
      </c>
      <c r="G56" s="31">
        <v>0</v>
      </c>
      <c r="H56" s="31">
        <v>0</v>
      </c>
      <c r="I56" s="31">
        <v>3.379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3.3580000000000001</v>
      </c>
      <c r="P56" s="31">
        <v>0</v>
      </c>
      <c r="Q56" s="31">
        <v>0</v>
      </c>
      <c r="R56" s="31">
        <v>0</v>
      </c>
      <c r="S56" s="31">
        <v>0</v>
      </c>
      <c r="T56" s="31">
        <v>1.244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5.0599999999999996</v>
      </c>
      <c r="AC56" s="31">
        <v>0</v>
      </c>
      <c r="AD56" s="31">
        <v>0</v>
      </c>
      <c r="AE56" s="31">
        <v>0</v>
      </c>
      <c r="AF56" s="31">
        <v>0</v>
      </c>
      <c r="AG56" s="31">
        <v>0.50600000000000001</v>
      </c>
    </row>
    <row r="57" spans="1:33" x14ac:dyDescent="0.3">
      <c r="A57" s="39" t="s">
        <v>94</v>
      </c>
      <c r="B57" s="31">
        <v>0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0</v>
      </c>
    </row>
    <row r="58" spans="1:33" x14ac:dyDescent="0.3">
      <c r="A58" s="39" t="s">
        <v>117</v>
      </c>
      <c r="B58" s="31">
        <v>0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</row>
    <row r="59" spans="1:33" x14ac:dyDescent="0.3">
      <c r="A59" s="39" t="s">
        <v>115</v>
      </c>
      <c r="B59" s="31">
        <v>0</v>
      </c>
      <c r="C59" s="31">
        <v>0</v>
      </c>
      <c r="D59" s="31">
        <v>0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31">
        <v>0</v>
      </c>
      <c r="AF59" s="31">
        <v>0</v>
      </c>
      <c r="AG59" s="31">
        <v>0</v>
      </c>
    </row>
    <row r="60" spans="1:33" x14ac:dyDescent="0.3">
      <c r="A60" s="39" t="s">
        <v>122</v>
      </c>
      <c r="B60" s="31">
        <v>0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31">
        <v>0</v>
      </c>
      <c r="AD60" s="31">
        <v>0</v>
      </c>
      <c r="AE60" s="31">
        <v>0</v>
      </c>
      <c r="AF60" s="31">
        <v>0</v>
      </c>
      <c r="AG60" s="31">
        <v>0</v>
      </c>
    </row>
    <row r="61" spans="1:33" x14ac:dyDescent="0.3">
      <c r="A61" s="39" t="s">
        <v>739</v>
      </c>
      <c r="B61" s="31">
        <v>0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9.3660000000000014</v>
      </c>
      <c r="AE61" s="31">
        <v>8.7590000000000003</v>
      </c>
      <c r="AF61" s="31">
        <v>0</v>
      </c>
      <c r="AG61" s="31">
        <v>0.58467741935483875</v>
      </c>
    </row>
    <row r="62" spans="1:33" x14ac:dyDescent="0.3">
      <c r="A62" s="39" t="s">
        <v>740</v>
      </c>
      <c r="B62" s="31">
        <v>132.74699999999999</v>
      </c>
      <c r="C62" s="31">
        <v>142.49199999999996</v>
      </c>
      <c r="D62" s="31">
        <v>184.26200000000006</v>
      </c>
      <c r="E62" s="31">
        <v>205.34199999999996</v>
      </c>
      <c r="F62" s="31">
        <v>195.00399999999996</v>
      </c>
      <c r="G62" s="31">
        <v>190.88400000000001</v>
      </c>
      <c r="H62" s="31">
        <v>172.36399999999998</v>
      </c>
      <c r="I62" s="31">
        <v>197.38300000000007</v>
      </c>
      <c r="J62" s="31">
        <v>189.05399999999997</v>
      </c>
      <c r="K62" s="31">
        <v>179.12000000000006</v>
      </c>
      <c r="L62" s="31">
        <v>176.57400000000001</v>
      </c>
      <c r="M62" s="31">
        <v>150.04299999999995</v>
      </c>
      <c r="N62" s="31">
        <v>184.81399999999994</v>
      </c>
      <c r="O62" s="31">
        <v>135.19300000000001</v>
      </c>
      <c r="P62" s="31">
        <v>115.48399999999998</v>
      </c>
      <c r="Q62" s="31">
        <v>173.61799999999997</v>
      </c>
      <c r="R62" s="31">
        <v>177.93400000000005</v>
      </c>
      <c r="S62" s="31">
        <v>164.53699999999998</v>
      </c>
      <c r="T62" s="31">
        <v>172.03399999999996</v>
      </c>
      <c r="U62" s="31">
        <v>124.41899999999998</v>
      </c>
      <c r="V62" s="31">
        <v>198.00300000000001</v>
      </c>
      <c r="W62" s="31">
        <v>251.23199999999997</v>
      </c>
      <c r="X62" s="31">
        <v>206.35199999999995</v>
      </c>
      <c r="Y62" s="31">
        <v>252.38399999999999</v>
      </c>
      <c r="Z62" s="31">
        <v>172.23699999999999</v>
      </c>
      <c r="AA62" s="31">
        <v>191.66399999999999</v>
      </c>
      <c r="AB62" s="31">
        <v>132.09000000000003</v>
      </c>
      <c r="AC62" s="31">
        <v>180.12700000000001</v>
      </c>
      <c r="AD62" s="31">
        <v>179.71200000000005</v>
      </c>
      <c r="AE62" s="31">
        <v>179.52799999999996</v>
      </c>
      <c r="AF62" s="31">
        <v>163.44000000000003</v>
      </c>
      <c r="AG62" s="31">
        <v>176.45390322580647</v>
      </c>
    </row>
    <row r="63" spans="1:33" x14ac:dyDescent="0.3">
      <c r="A63" s="39" t="s">
        <v>741</v>
      </c>
      <c r="B63" s="31">
        <v>0</v>
      </c>
      <c r="C63" s="31">
        <v>0</v>
      </c>
      <c r="D63" s="31">
        <v>0</v>
      </c>
      <c r="E63" s="31">
        <v>0</v>
      </c>
      <c r="F63" s="31">
        <v>0</v>
      </c>
      <c r="G63" s="31">
        <v>0</v>
      </c>
      <c r="H63" s="31">
        <v>0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31">
        <v>0</v>
      </c>
      <c r="AD63" s="31">
        <v>0</v>
      </c>
      <c r="AE63" s="31">
        <v>0</v>
      </c>
      <c r="AF63" s="31">
        <v>0</v>
      </c>
      <c r="AG63" s="31">
        <v>0</v>
      </c>
    </row>
    <row r="64" spans="1:33" x14ac:dyDescent="0.3">
      <c r="A64" s="39" t="s">
        <v>797</v>
      </c>
      <c r="B64" s="31">
        <v>0</v>
      </c>
      <c r="C64" s="31">
        <v>0</v>
      </c>
      <c r="D64" s="31">
        <v>0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31">
        <v>0</v>
      </c>
      <c r="AF64" s="31">
        <v>0</v>
      </c>
      <c r="AG64" s="31">
        <v>0</v>
      </c>
    </row>
    <row r="65" spans="1:33" x14ac:dyDescent="0.3">
      <c r="A65" s="39" t="s">
        <v>799</v>
      </c>
      <c r="B65" s="31">
        <v>0</v>
      </c>
      <c r="C65" s="31">
        <v>0</v>
      </c>
      <c r="D65" s="31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</v>
      </c>
      <c r="AE65" s="31">
        <v>0</v>
      </c>
      <c r="AF65" s="31">
        <v>0</v>
      </c>
      <c r="AG65" s="31">
        <v>0</v>
      </c>
    </row>
    <row r="66" spans="1:33" x14ac:dyDescent="0.3">
      <c r="A66" s="39" t="s">
        <v>798</v>
      </c>
      <c r="B66" s="31">
        <v>0</v>
      </c>
      <c r="C66" s="31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31">
        <v>0</v>
      </c>
      <c r="AD66" s="31">
        <v>0</v>
      </c>
      <c r="AE66" s="31">
        <v>0</v>
      </c>
      <c r="AF66" s="31">
        <v>0</v>
      </c>
      <c r="AG66" s="31">
        <v>0</v>
      </c>
    </row>
    <row r="67" spans="1:33" x14ac:dyDescent="0.3">
      <c r="A67" s="39" t="s">
        <v>809</v>
      </c>
      <c r="B67" s="31">
        <v>0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</v>
      </c>
      <c r="AD67" s="31">
        <v>0</v>
      </c>
      <c r="AE67" s="31">
        <v>0</v>
      </c>
      <c r="AF67" s="31">
        <v>0</v>
      </c>
      <c r="AG67" s="31">
        <v>0</v>
      </c>
    </row>
    <row r="68" spans="1:33" x14ac:dyDescent="0.3">
      <c r="A68" s="39" t="s">
        <v>810</v>
      </c>
      <c r="B68" s="31">
        <v>0</v>
      </c>
      <c r="C68" s="31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0</v>
      </c>
      <c r="AE68" s="31">
        <v>0</v>
      </c>
      <c r="AF68" s="31">
        <v>0</v>
      </c>
      <c r="AG68" s="31">
        <v>0</v>
      </c>
    </row>
    <row r="69" spans="1:33" x14ac:dyDescent="0.3">
      <c r="A69" s="39" t="s">
        <v>787</v>
      </c>
      <c r="B69" s="31">
        <v>0</v>
      </c>
      <c r="C69" s="31">
        <v>0</v>
      </c>
      <c r="D69" s="31">
        <v>0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  <c r="AC69" s="31">
        <v>0</v>
      </c>
      <c r="AD69" s="31">
        <v>0</v>
      </c>
      <c r="AE69" s="31">
        <v>0</v>
      </c>
      <c r="AF69" s="31">
        <v>0</v>
      </c>
      <c r="AG69" s="31">
        <v>0</v>
      </c>
    </row>
    <row r="70" spans="1:33" x14ac:dyDescent="0.3">
      <c r="A70" s="39" t="s">
        <v>800</v>
      </c>
      <c r="B70" s="31">
        <v>0</v>
      </c>
      <c r="C70" s="31">
        <v>0</v>
      </c>
      <c r="D70" s="31">
        <v>0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</row>
    <row r="71" spans="1:33" x14ac:dyDescent="0.3">
      <c r="A71" s="39" t="s">
        <v>771</v>
      </c>
      <c r="B71" s="31">
        <v>478.44000000000005</v>
      </c>
      <c r="C71" s="31">
        <v>494.68099999999998</v>
      </c>
      <c r="D71" s="31">
        <v>666.6</v>
      </c>
      <c r="E71" s="31">
        <v>385.37</v>
      </c>
      <c r="F71" s="31">
        <v>185.81399999999999</v>
      </c>
      <c r="G71" s="31">
        <v>535.84</v>
      </c>
      <c r="H71" s="31">
        <v>798.95</v>
      </c>
      <c r="I71" s="31">
        <v>829.14400000000001</v>
      </c>
      <c r="J71" s="31">
        <v>906.55099999999993</v>
      </c>
      <c r="K71" s="31">
        <v>731.375</v>
      </c>
      <c r="L71" s="31">
        <v>376.66500000000002</v>
      </c>
      <c r="M71" s="31">
        <v>209.37199999999999</v>
      </c>
      <c r="N71" s="31">
        <v>414.08199999999999</v>
      </c>
      <c r="O71" s="31">
        <v>400.68799999999999</v>
      </c>
      <c r="P71" s="31">
        <v>585.90200000000004</v>
      </c>
      <c r="Q71" s="31">
        <v>665.69599999999991</v>
      </c>
      <c r="R71" s="31">
        <v>661.79899999999998</v>
      </c>
      <c r="S71" s="31">
        <v>353.02699999999993</v>
      </c>
      <c r="T71" s="31">
        <v>264.77</v>
      </c>
      <c r="U71" s="31">
        <v>579.31099999999992</v>
      </c>
      <c r="V71" s="31">
        <v>920.20399999999995</v>
      </c>
      <c r="W71" s="31">
        <v>869.74399999999991</v>
      </c>
      <c r="X71" s="31">
        <v>925.73399999999992</v>
      </c>
      <c r="Y71" s="31">
        <v>770.07500000000005</v>
      </c>
      <c r="Z71" s="31">
        <v>306.19600000000003</v>
      </c>
      <c r="AA71" s="31">
        <v>202.929</v>
      </c>
      <c r="AB71" s="31">
        <v>826.09699999999987</v>
      </c>
      <c r="AC71" s="31">
        <v>845.08799999999997</v>
      </c>
      <c r="AD71" s="31">
        <v>1011.1980000000001</v>
      </c>
      <c r="AE71" s="31">
        <v>869.88999999999987</v>
      </c>
      <c r="AF71" s="31">
        <v>918.03099999999984</v>
      </c>
      <c r="AG71" s="31">
        <v>612.55687096774182</v>
      </c>
    </row>
    <row r="72" spans="1:33" x14ac:dyDescent="0.3">
      <c r="A72" s="39" t="s">
        <v>773</v>
      </c>
      <c r="B72" s="31">
        <v>209.66099999999994</v>
      </c>
      <c r="C72" s="31">
        <v>194.14099999999996</v>
      </c>
      <c r="D72" s="31">
        <v>342.10399999999998</v>
      </c>
      <c r="E72" s="31">
        <v>196.857</v>
      </c>
      <c r="F72" s="31">
        <v>50.115000000000002</v>
      </c>
      <c r="G72" s="31">
        <v>225.73799999999997</v>
      </c>
      <c r="H72" s="31">
        <v>338.25799999999992</v>
      </c>
      <c r="I72" s="31">
        <v>430.07499999999999</v>
      </c>
      <c r="J72" s="31">
        <v>324.36199999999997</v>
      </c>
      <c r="K72" s="31">
        <v>392.7480000000001</v>
      </c>
      <c r="L72" s="31">
        <v>135.99</v>
      </c>
      <c r="M72" s="31">
        <v>81.171999999999997</v>
      </c>
      <c r="N72" s="31">
        <v>238.77300000000002</v>
      </c>
      <c r="O72" s="31">
        <v>224.89699999999996</v>
      </c>
      <c r="P72" s="31">
        <v>240.06800000000007</v>
      </c>
      <c r="Q72" s="31">
        <v>291.58199999999999</v>
      </c>
      <c r="R72" s="31">
        <v>283.45699999999999</v>
      </c>
      <c r="S72" s="31">
        <v>204.61600000000004</v>
      </c>
      <c r="T72" s="31">
        <v>117.664</v>
      </c>
      <c r="U72" s="31">
        <v>329.58500000000009</v>
      </c>
      <c r="V72" s="31">
        <v>338.60999999999996</v>
      </c>
      <c r="W72" s="31">
        <v>322.00700000000001</v>
      </c>
      <c r="X72" s="31">
        <v>373.87900000000008</v>
      </c>
      <c r="Y72" s="31">
        <v>366.09899999999999</v>
      </c>
      <c r="Z72" s="31">
        <v>107.523</v>
      </c>
      <c r="AA72" s="31">
        <v>82.597000000000008</v>
      </c>
      <c r="AB72" s="31">
        <v>274.464</v>
      </c>
      <c r="AC72" s="31">
        <v>440.97699999999992</v>
      </c>
      <c r="AD72" s="31">
        <v>425.67099999999994</v>
      </c>
      <c r="AE72" s="31">
        <v>421.27700000000004</v>
      </c>
      <c r="AF72" s="31">
        <v>369.90999999999997</v>
      </c>
      <c r="AG72" s="31">
        <v>270.1573225806452</v>
      </c>
    </row>
    <row r="73" spans="1:33" x14ac:dyDescent="0.3">
      <c r="A73" s="39" t="s">
        <v>796</v>
      </c>
      <c r="B73" s="31">
        <v>26.402000000000001</v>
      </c>
      <c r="C73" s="31">
        <v>3.6830000000000003</v>
      </c>
      <c r="D73" s="31">
        <v>2.33</v>
      </c>
      <c r="E73" s="31">
        <v>37.841999999999999</v>
      </c>
      <c r="F73" s="31">
        <v>0</v>
      </c>
      <c r="G73" s="31">
        <v>26.454000000000001</v>
      </c>
      <c r="H73" s="31">
        <v>0</v>
      </c>
      <c r="I73" s="31">
        <v>0</v>
      </c>
      <c r="J73" s="31">
        <v>34.895000000000003</v>
      </c>
      <c r="K73" s="31">
        <v>0</v>
      </c>
      <c r="L73" s="31">
        <v>0</v>
      </c>
      <c r="M73" s="31">
        <v>70.766000000000005</v>
      </c>
      <c r="N73" s="31">
        <v>0</v>
      </c>
      <c r="O73" s="31">
        <v>0</v>
      </c>
      <c r="P73" s="31">
        <v>0</v>
      </c>
      <c r="Q73" s="31">
        <v>15.866</v>
      </c>
      <c r="R73" s="31">
        <v>41.094999999999999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34.622999999999998</v>
      </c>
      <c r="AA73" s="31">
        <v>3.4239999999999999</v>
      </c>
      <c r="AB73" s="31">
        <v>0</v>
      </c>
      <c r="AC73" s="31">
        <v>0</v>
      </c>
      <c r="AD73" s="31">
        <v>32.125999999999998</v>
      </c>
      <c r="AE73" s="31">
        <v>0</v>
      </c>
      <c r="AF73" s="31">
        <v>5.798</v>
      </c>
      <c r="AG73" s="31">
        <v>10.816258064516127</v>
      </c>
    </row>
    <row r="74" spans="1:33" x14ac:dyDescent="0.3">
      <c r="A74" s="39" t="s">
        <v>742</v>
      </c>
      <c r="B74" s="31">
        <v>168.59100000000001</v>
      </c>
      <c r="C74" s="31">
        <v>99.105999999999995</v>
      </c>
      <c r="D74" s="31">
        <v>187.25299999999999</v>
      </c>
      <c r="E74" s="31">
        <v>139.22500000000002</v>
      </c>
      <c r="F74" s="31">
        <v>86.260999999999996</v>
      </c>
      <c r="G74" s="31">
        <v>114.73499999999999</v>
      </c>
      <c r="H74" s="31">
        <v>249.51100000000002</v>
      </c>
      <c r="I74" s="31">
        <v>220.78199999999998</v>
      </c>
      <c r="J74" s="31">
        <v>180.94199999999998</v>
      </c>
      <c r="K74" s="31">
        <v>220.02199999999999</v>
      </c>
      <c r="L74" s="31">
        <v>190.50099999999998</v>
      </c>
      <c r="M74" s="31">
        <v>158.94300000000001</v>
      </c>
      <c r="N74" s="31">
        <v>127.22199999999999</v>
      </c>
      <c r="O74" s="31">
        <v>148.45099999999999</v>
      </c>
      <c r="P74" s="31">
        <v>190.38300000000001</v>
      </c>
      <c r="Q74" s="31">
        <v>188.82900000000001</v>
      </c>
      <c r="R74" s="31">
        <v>237.01599999999996</v>
      </c>
      <c r="S74" s="31">
        <v>275.95500000000004</v>
      </c>
      <c r="T74" s="31">
        <v>118.184</v>
      </c>
      <c r="U74" s="31">
        <v>132.82300000000001</v>
      </c>
      <c r="V74" s="31">
        <v>216.26399999999998</v>
      </c>
      <c r="W74" s="31">
        <v>147.80700000000002</v>
      </c>
      <c r="X74" s="31">
        <v>259.90800000000002</v>
      </c>
      <c r="Y74" s="31">
        <v>190.095</v>
      </c>
      <c r="Z74" s="31">
        <v>338.77899999999994</v>
      </c>
      <c r="AA74" s="31">
        <v>75.39200000000001</v>
      </c>
      <c r="AB74" s="31">
        <v>135.73499999999999</v>
      </c>
      <c r="AC74" s="31">
        <v>146.137</v>
      </c>
      <c r="AD74" s="31">
        <v>128.06700000000001</v>
      </c>
      <c r="AE74" s="31">
        <v>248.577</v>
      </c>
      <c r="AF74" s="31">
        <v>83.836000000000013</v>
      </c>
      <c r="AG74" s="31">
        <v>174.36554838709677</v>
      </c>
    </row>
    <row r="75" spans="1:33" x14ac:dyDescent="0.3">
      <c r="A75" s="39" t="s">
        <v>813</v>
      </c>
      <c r="B75" s="31">
        <v>33.341999999999999</v>
      </c>
      <c r="C75" s="31">
        <v>53.248999999999995</v>
      </c>
      <c r="D75" s="31">
        <v>46.501000000000005</v>
      </c>
      <c r="E75" s="31">
        <v>32.741999999999997</v>
      </c>
      <c r="F75" s="31">
        <v>44.446000000000005</v>
      </c>
      <c r="G75" s="31">
        <v>40.311</v>
      </c>
      <c r="H75" s="31">
        <v>29.601000000000006</v>
      </c>
      <c r="I75" s="31">
        <v>42.527999999999999</v>
      </c>
      <c r="J75" s="31">
        <v>54.753999999999998</v>
      </c>
      <c r="K75" s="31">
        <v>46.674000000000007</v>
      </c>
      <c r="L75" s="31">
        <v>24.323</v>
      </c>
      <c r="M75" s="31">
        <v>24.145</v>
      </c>
      <c r="N75" s="31">
        <v>38.575000000000003</v>
      </c>
      <c r="O75" s="31">
        <v>34.816000000000003</v>
      </c>
      <c r="P75" s="31">
        <v>28.43</v>
      </c>
      <c r="Q75" s="31">
        <v>31.317</v>
      </c>
      <c r="R75" s="31">
        <v>43.506</v>
      </c>
      <c r="S75" s="31">
        <v>70.238</v>
      </c>
      <c r="T75" s="31">
        <v>56.029999999999994</v>
      </c>
      <c r="U75" s="31">
        <v>44.595000000000006</v>
      </c>
      <c r="V75" s="31">
        <v>76.52</v>
      </c>
      <c r="W75" s="31">
        <v>45.352999999999994</v>
      </c>
      <c r="X75" s="31">
        <v>46.982999999999997</v>
      </c>
      <c r="Y75" s="31">
        <v>74.121999999999986</v>
      </c>
      <c r="Z75" s="31">
        <v>71.441999999999993</v>
      </c>
      <c r="AA75" s="31">
        <v>57.826000000000008</v>
      </c>
      <c r="AB75" s="31">
        <v>85.76700000000001</v>
      </c>
      <c r="AC75" s="31">
        <v>42.718999999999994</v>
      </c>
      <c r="AD75" s="31">
        <v>77.304999999999993</v>
      </c>
      <c r="AE75" s="31">
        <v>105.11400000000002</v>
      </c>
      <c r="AF75" s="31">
        <v>98.61999999999999</v>
      </c>
      <c r="AG75" s="31">
        <v>51.673999999999992</v>
      </c>
    </row>
    <row r="76" spans="1:33" x14ac:dyDescent="0.3">
      <c r="A76" s="39" t="s">
        <v>743</v>
      </c>
      <c r="B76" s="31">
        <v>3.698</v>
      </c>
      <c r="C76" s="31">
        <v>4.7370000000000001</v>
      </c>
      <c r="D76" s="31">
        <v>3.7160000000000002</v>
      </c>
      <c r="E76" s="31">
        <v>4.1710000000000003</v>
      </c>
      <c r="F76" s="31">
        <v>2.3860000000000001</v>
      </c>
      <c r="G76" s="31">
        <v>11.963000000000001</v>
      </c>
      <c r="H76" s="31">
        <v>13.949000000000002</v>
      </c>
      <c r="I76" s="31">
        <v>2.7639999999999998</v>
      </c>
      <c r="J76" s="31">
        <v>5.44</v>
      </c>
      <c r="K76" s="31">
        <v>4.3549999999999995</v>
      </c>
      <c r="L76" s="31">
        <v>0</v>
      </c>
      <c r="M76" s="31">
        <v>6.0049999999999999</v>
      </c>
      <c r="N76" s="31">
        <v>7.0760000000000005</v>
      </c>
      <c r="O76" s="31">
        <v>2.2589999999999999</v>
      </c>
      <c r="P76" s="31">
        <v>3.2450000000000001</v>
      </c>
      <c r="Q76" s="31">
        <v>1.9379999999999999</v>
      </c>
      <c r="R76" s="31">
        <v>2.1779999999999999</v>
      </c>
      <c r="S76" s="31">
        <v>3.3540000000000001</v>
      </c>
      <c r="T76" s="31">
        <v>3.5419999999999998</v>
      </c>
      <c r="U76" s="31">
        <v>4.4989999999999997</v>
      </c>
      <c r="V76" s="31">
        <v>3.6509999999999998</v>
      </c>
      <c r="W76" s="31">
        <v>6.798</v>
      </c>
      <c r="X76" s="31">
        <v>2.0430000000000001</v>
      </c>
      <c r="Y76" s="31">
        <v>3.5569999999999999</v>
      </c>
      <c r="Z76" s="31">
        <v>4.3520000000000003</v>
      </c>
      <c r="AA76" s="31">
        <v>1.474</v>
      </c>
      <c r="AB76" s="31">
        <v>3.661</v>
      </c>
      <c r="AC76" s="31">
        <v>4.6310000000000002</v>
      </c>
      <c r="AD76" s="31">
        <v>3.84</v>
      </c>
      <c r="AE76" s="31">
        <v>4.3479999999999999</v>
      </c>
      <c r="AF76" s="31">
        <v>7.4750000000000005</v>
      </c>
      <c r="AG76" s="31">
        <v>4.4227419354838711</v>
      </c>
    </row>
    <row r="77" spans="1:33" x14ac:dyDescent="0.3">
      <c r="A77" s="39" t="s">
        <v>802</v>
      </c>
      <c r="B77" s="31">
        <v>0</v>
      </c>
      <c r="C77" s="31">
        <v>11.429</v>
      </c>
      <c r="D77" s="31">
        <v>0</v>
      </c>
      <c r="E77" s="31">
        <v>44.758000000000003</v>
      </c>
      <c r="F77" s="31">
        <v>11.756</v>
      </c>
      <c r="G77" s="31">
        <v>0</v>
      </c>
      <c r="H77" s="31">
        <v>0</v>
      </c>
      <c r="I77" s="31">
        <v>0</v>
      </c>
      <c r="J77" s="31">
        <v>0</v>
      </c>
      <c r="K77" s="31">
        <v>19.916</v>
      </c>
      <c r="L77" s="31">
        <v>19.736999999999998</v>
      </c>
      <c r="M77" s="31">
        <v>0</v>
      </c>
      <c r="N77" s="31">
        <v>0</v>
      </c>
      <c r="O77" s="31">
        <v>48.269999999999996</v>
      </c>
      <c r="P77" s="31">
        <v>4.6379999999999999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31.988</v>
      </c>
      <c r="X77" s="31">
        <v>29.164999999999999</v>
      </c>
      <c r="Y77" s="31">
        <v>0</v>
      </c>
      <c r="Z77" s="31">
        <v>0</v>
      </c>
      <c r="AA77" s="31">
        <v>0</v>
      </c>
      <c r="AB77" s="31">
        <v>0</v>
      </c>
      <c r="AC77" s="31">
        <v>37.517000000000003</v>
      </c>
      <c r="AD77" s="31">
        <v>0</v>
      </c>
      <c r="AE77" s="31">
        <v>12.744</v>
      </c>
      <c r="AF77" s="31">
        <v>0</v>
      </c>
      <c r="AG77" s="31">
        <v>8.7715483870967752</v>
      </c>
    </row>
    <row r="78" spans="1:33" x14ac:dyDescent="0.3">
      <c r="A78" s="39" t="s">
        <v>817</v>
      </c>
      <c r="B78" s="31">
        <v>0</v>
      </c>
      <c r="C78" s="31">
        <v>0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0</v>
      </c>
      <c r="AC78" s="31">
        <v>0</v>
      </c>
      <c r="AD78" s="31">
        <v>0</v>
      </c>
      <c r="AE78" s="31">
        <v>0</v>
      </c>
      <c r="AF78" s="31">
        <v>0</v>
      </c>
      <c r="AG78" s="31">
        <v>0</v>
      </c>
    </row>
    <row r="79" spans="1:33" x14ac:dyDescent="0.3">
      <c r="A79" s="39" t="s">
        <v>744</v>
      </c>
      <c r="B79" s="31">
        <v>0</v>
      </c>
      <c r="C79" s="31">
        <v>0</v>
      </c>
      <c r="D79" s="31">
        <v>0</v>
      </c>
      <c r="E79" s="31">
        <v>0</v>
      </c>
      <c r="F79" s="31">
        <v>0</v>
      </c>
      <c r="G79" s="31">
        <v>0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0.8819999999999999</v>
      </c>
      <c r="R79" s="31">
        <v>0</v>
      </c>
      <c r="S79" s="31">
        <v>0</v>
      </c>
      <c r="T79" s="31">
        <v>0</v>
      </c>
      <c r="U79" s="31">
        <v>0</v>
      </c>
      <c r="V79" s="31">
        <v>4.8019999999999996</v>
      </c>
      <c r="W79" s="31">
        <v>5.4820000000000002</v>
      </c>
      <c r="X79" s="31">
        <v>0</v>
      </c>
      <c r="Y79" s="31">
        <v>0</v>
      </c>
      <c r="Z79" s="31">
        <v>1E-3</v>
      </c>
      <c r="AA79" s="31">
        <v>0</v>
      </c>
      <c r="AB79" s="31">
        <v>0</v>
      </c>
      <c r="AC79" s="31">
        <v>0</v>
      </c>
      <c r="AD79" s="31">
        <v>0</v>
      </c>
      <c r="AE79" s="31">
        <v>0</v>
      </c>
      <c r="AF79" s="31">
        <v>0</v>
      </c>
      <c r="AG79" s="31">
        <v>0.3602258064516129</v>
      </c>
    </row>
    <row r="80" spans="1:33" x14ac:dyDescent="0.3">
      <c r="A80" s="39" t="s">
        <v>790</v>
      </c>
      <c r="B80" s="31">
        <v>0</v>
      </c>
      <c r="C80" s="31">
        <v>0</v>
      </c>
      <c r="D80" s="31">
        <v>0</v>
      </c>
      <c r="E80" s="31">
        <v>0</v>
      </c>
      <c r="F80" s="31">
        <v>0</v>
      </c>
      <c r="G80" s="31">
        <v>0</v>
      </c>
      <c r="H80" s="31">
        <v>0</v>
      </c>
      <c r="I80" s="31">
        <v>0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0</v>
      </c>
      <c r="Q80" s="31">
        <v>0</v>
      </c>
      <c r="R80" s="31">
        <v>18.380000000000003</v>
      </c>
      <c r="S80" s="31">
        <v>0</v>
      </c>
      <c r="T80" s="31">
        <v>0</v>
      </c>
      <c r="U80" s="31">
        <v>0</v>
      </c>
      <c r="V80" s="31">
        <v>0</v>
      </c>
      <c r="W80" s="31">
        <v>0</v>
      </c>
      <c r="X80" s="31">
        <v>0</v>
      </c>
      <c r="Y80" s="31">
        <v>0</v>
      </c>
      <c r="Z80" s="31">
        <v>0</v>
      </c>
      <c r="AA80" s="31">
        <v>0</v>
      </c>
      <c r="AB80" s="31">
        <v>0</v>
      </c>
      <c r="AC80" s="31">
        <v>18.222000000000001</v>
      </c>
      <c r="AD80" s="31">
        <v>0</v>
      </c>
      <c r="AE80" s="31">
        <v>35.515999999999998</v>
      </c>
      <c r="AF80" s="31">
        <v>0</v>
      </c>
      <c r="AG80" s="31">
        <v>2.3263870967741935</v>
      </c>
    </row>
    <row r="81" spans="1:33" x14ac:dyDescent="0.3">
      <c r="A81" s="39" t="s">
        <v>789</v>
      </c>
      <c r="B81" s="31">
        <v>0</v>
      </c>
      <c r="C81" s="31">
        <v>0</v>
      </c>
      <c r="D81" s="31">
        <v>0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0.24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0</v>
      </c>
      <c r="AE81" s="31">
        <v>0</v>
      </c>
      <c r="AF81" s="31">
        <v>16.13</v>
      </c>
      <c r="AG81" s="31">
        <v>0.52806451612903216</v>
      </c>
    </row>
    <row r="82" spans="1:33" x14ac:dyDescent="0.3">
      <c r="A82" s="39" t="s">
        <v>843</v>
      </c>
      <c r="B82" s="31">
        <v>0</v>
      </c>
      <c r="C82" s="31">
        <v>0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14.318999999999999</v>
      </c>
      <c r="J82" s="31">
        <v>0</v>
      </c>
      <c r="K82" s="31">
        <v>0.06</v>
      </c>
      <c r="L82" s="31">
        <v>0.14000000000000001</v>
      </c>
      <c r="M82" s="31">
        <v>0</v>
      </c>
      <c r="N82" s="31">
        <v>4.21</v>
      </c>
      <c r="O82" s="31">
        <v>0</v>
      </c>
      <c r="P82" s="31">
        <v>0</v>
      </c>
      <c r="Q82" s="31">
        <v>0</v>
      </c>
      <c r="R82" s="31">
        <v>2.02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31">
        <v>8.1</v>
      </c>
      <c r="AD82" s="31">
        <v>0</v>
      </c>
      <c r="AE82" s="31">
        <v>0</v>
      </c>
      <c r="AF82" s="31">
        <v>0</v>
      </c>
      <c r="AG82" s="31">
        <v>0.93061290322580636</v>
      </c>
    </row>
    <row r="83" spans="1:33" x14ac:dyDescent="0.3">
      <c r="A83" s="39" t="s">
        <v>783</v>
      </c>
      <c r="B83" s="31">
        <v>0</v>
      </c>
      <c r="C83" s="31">
        <v>0</v>
      </c>
      <c r="D83" s="31">
        <v>0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1">
        <v>0</v>
      </c>
      <c r="AB83" s="31">
        <v>0</v>
      </c>
      <c r="AC83" s="31">
        <v>0</v>
      </c>
      <c r="AD83" s="31">
        <v>0</v>
      </c>
      <c r="AE83" s="31">
        <v>0</v>
      </c>
      <c r="AF83" s="31">
        <v>0</v>
      </c>
      <c r="AG83" s="31">
        <v>0</v>
      </c>
    </row>
    <row r="84" spans="1:33" x14ac:dyDescent="0.3">
      <c r="A84" s="39" t="s">
        <v>788</v>
      </c>
      <c r="B84" s="31">
        <v>0</v>
      </c>
      <c r="C84" s="31">
        <v>0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8.09</v>
      </c>
      <c r="AC84" s="31">
        <v>0</v>
      </c>
      <c r="AD84" s="31">
        <v>0</v>
      </c>
      <c r="AE84" s="31">
        <v>0</v>
      </c>
      <c r="AF84" s="31">
        <v>0</v>
      </c>
      <c r="AG84" s="31">
        <v>0.26096774193548389</v>
      </c>
    </row>
    <row r="85" spans="1:33" x14ac:dyDescent="0.3">
      <c r="A85" s="39" t="s">
        <v>792</v>
      </c>
      <c r="B85" s="31">
        <v>0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2.4500000000000002</v>
      </c>
      <c r="M85" s="31">
        <v>0</v>
      </c>
      <c r="N85" s="31">
        <v>0</v>
      </c>
      <c r="O85" s="31">
        <v>6.48</v>
      </c>
      <c r="P85" s="31">
        <v>0</v>
      </c>
      <c r="Q85" s="31">
        <v>4.5999999999999996</v>
      </c>
      <c r="R85" s="31">
        <v>7.7999999999999989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31">
        <v>0</v>
      </c>
      <c r="AD85" s="31">
        <v>0</v>
      </c>
      <c r="AE85" s="31">
        <v>25.55</v>
      </c>
      <c r="AF85" s="31">
        <v>0</v>
      </c>
      <c r="AG85" s="31">
        <v>1.512258064516129</v>
      </c>
    </row>
    <row r="86" spans="1:33" x14ac:dyDescent="0.3">
      <c r="A86" s="39" t="s">
        <v>824</v>
      </c>
      <c r="B86" s="31">
        <v>0</v>
      </c>
      <c r="C86" s="31">
        <v>0</v>
      </c>
      <c r="D86" s="31">
        <v>0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0</v>
      </c>
      <c r="Z86" s="31">
        <v>0</v>
      </c>
      <c r="AA86" s="31">
        <v>0</v>
      </c>
      <c r="AB86" s="31">
        <v>0</v>
      </c>
      <c r="AC86" s="31">
        <v>0</v>
      </c>
      <c r="AD86" s="31">
        <v>0</v>
      </c>
      <c r="AE86" s="31">
        <v>0</v>
      </c>
      <c r="AF86" s="31">
        <v>0</v>
      </c>
      <c r="AG86" s="31">
        <v>0</v>
      </c>
    </row>
    <row r="87" spans="1:33" x14ac:dyDescent="0.3">
      <c r="A87" s="39" t="s">
        <v>784</v>
      </c>
      <c r="B87" s="31">
        <v>0</v>
      </c>
      <c r="C87" s="31">
        <v>0</v>
      </c>
      <c r="D87" s="31">
        <v>0</v>
      </c>
      <c r="E87" s="31">
        <v>0</v>
      </c>
      <c r="F87" s="31">
        <v>0</v>
      </c>
      <c r="G87" s="31">
        <v>0</v>
      </c>
      <c r="H87" s="31">
        <v>0</v>
      </c>
      <c r="I87" s="31">
        <v>0</v>
      </c>
      <c r="J87" s="31">
        <v>7.4209999999999994</v>
      </c>
      <c r="K87" s="31">
        <v>0</v>
      </c>
      <c r="L87" s="31">
        <v>0</v>
      </c>
      <c r="M87" s="31">
        <v>6.9560000000000004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31">
        <v>0</v>
      </c>
      <c r="AD87" s="31">
        <v>0</v>
      </c>
      <c r="AE87" s="31">
        <v>0</v>
      </c>
      <c r="AF87" s="31">
        <v>0</v>
      </c>
      <c r="AG87" s="31">
        <v>0.46377419354838706</v>
      </c>
    </row>
    <row r="88" spans="1:33" x14ac:dyDescent="0.3">
      <c r="A88" s="39" t="s">
        <v>815</v>
      </c>
      <c r="B88" s="31">
        <v>0</v>
      </c>
      <c r="C88" s="31">
        <v>0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0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</row>
    <row r="89" spans="1:33" x14ac:dyDescent="0.3">
      <c r="A89" s="39" t="s">
        <v>830</v>
      </c>
      <c r="B89" s="31">
        <v>0</v>
      </c>
      <c r="C89" s="31">
        <v>0</v>
      </c>
      <c r="D89" s="31">
        <v>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1.268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0</v>
      </c>
      <c r="V89" s="31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0</v>
      </c>
      <c r="AC89" s="31">
        <v>0</v>
      </c>
      <c r="AD89" s="31">
        <v>0</v>
      </c>
      <c r="AE89" s="31">
        <v>0</v>
      </c>
      <c r="AF89" s="31">
        <v>0</v>
      </c>
      <c r="AG89" s="31">
        <v>4.0903225806451615E-2</v>
      </c>
    </row>
    <row r="90" spans="1:33" x14ac:dyDescent="0.3">
      <c r="A90" s="39" t="s">
        <v>772</v>
      </c>
      <c r="B90" s="31">
        <v>0</v>
      </c>
      <c r="C90" s="31">
        <v>0</v>
      </c>
      <c r="D90" s="31">
        <v>3.2199999999999998</v>
      </c>
      <c r="E90" s="31">
        <v>0</v>
      </c>
      <c r="F90" s="31">
        <v>1.1830000000000001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0</v>
      </c>
      <c r="Z90" s="31">
        <v>0</v>
      </c>
      <c r="AA90" s="31">
        <v>0</v>
      </c>
      <c r="AB90" s="31">
        <v>0</v>
      </c>
      <c r="AC90" s="31">
        <v>0</v>
      </c>
      <c r="AD90" s="31">
        <v>0</v>
      </c>
      <c r="AE90" s="31">
        <v>0.05</v>
      </c>
      <c r="AF90" s="31">
        <v>0</v>
      </c>
      <c r="AG90" s="31">
        <v>0.14364516129032256</v>
      </c>
    </row>
    <row r="91" spans="1:33" x14ac:dyDescent="0.3">
      <c r="A91" s="39" t="s">
        <v>801</v>
      </c>
      <c r="B91" s="31">
        <v>0</v>
      </c>
      <c r="C91" s="31">
        <v>0</v>
      </c>
      <c r="D91" s="31">
        <v>0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31">
        <v>0</v>
      </c>
      <c r="AD91" s="31">
        <v>0</v>
      </c>
      <c r="AE91" s="31">
        <v>0</v>
      </c>
      <c r="AF91" s="31">
        <v>0</v>
      </c>
      <c r="AG91" s="31">
        <v>0</v>
      </c>
    </row>
    <row r="92" spans="1:33" x14ac:dyDescent="0.3">
      <c r="A92" s="39" t="s">
        <v>834</v>
      </c>
      <c r="B92" s="31">
        <v>0</v>
      </c>
      <c r="C92" s="31">
        <v>0</v>
      </c>
      <c r="D92" s="31">
        <v>0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31">
        <v>0</v>
      </c>
      <c r="P92" s="31">
        <v>0</v>
      </c>
      <c r="Q92" s="31">
        <v>0</v>
      </c>
      <c r="R92" s="31">
        <v>0</v>
      </c>
      <c r="S92" s="31">
        <v>0</v>
      </c>
      <c r="T92" s="31">
        <v>0</v>
      </c>
      <c r="U92" s="31">
        <v>0</v>
      </c>
      <c r="V92" s="31">
        <v>0</v>
      </c>
      <c r="W92" s="31">
        <v>0</v>
      </c>
      <c r="X92" s="31">
        <v>0</v>
      </c>
      <c r="Y92" s="31">
        <v>0</v>
      </c>
      <c r="Z92" s="31">
        <v>0</v>
      </c>
      <c r="AA92" s="31">
        <v>0</v>
      </c>
      <c r="AB92" s="31">
        <v>0</v>
      </c>
      <c r="AC92" s="31">
        <v>0</v>
      </c>
      <c r="AD92" s="31">
        <v>0</v>
      </c>
      <c r="AE92" s="31">
        <v>0</v>
      </c>
      <c r="AF92" s="31">
        <v>0</v>
      </c>
      <c r="AG92" s="31">
        <v>0</v>
      </c>
    </row>
    <row r="93" spans="1:33" x14ac:dyDescent="0.3">
      <c r="A93" s="39" t="s">
        <v>794</v>
      </c>
      <c r="B93" s="31">
        <v>0</v>
      </c>
      <c r="C93" s="31">
        <v>0</v>
      </c>
      <c r="D93" s="31">
        <v>0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31">
        <v>0</v>
      </c>
      <c r="AD93" s="31">
        <v>0</v>
      </c>
      <c r="AE93" s="31">
        <v>0</v>
      </c>
      <c r="AF93" s="31">
        <v>0</v>
      </c>
      <c r="AG93" s="31">
        <v>0</v>
      </c>
    </row>
    <row r="94" spans="1:33" x14ac:dyDescent="0.3">
      <c r="A94" s="39" t="s">
        <v>791</v>
      </c>
      <c r="B94" s="31">
        <v>0</v>
      </c>
      <c r="C94" s="31">
        <v>0</v>
      </c>
      <c r="D94" s="31">
        <v>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0.01</v>
      </c>
      <c r="K94" s="31">
        <v>0</v>
      </c>
      <c r="L94" s="31">
        <v>0</v>
      </c>
      <c r="M94" s="31">
        <v>0</v>
      </c>
      <c r="N94" s="31">
        <v>0</v>
      </c>
      <c r="O94" s="31">
        <v>0</v>
      </c>
      <c r="P94" s="31">
        <v>0.56900000000000006</v>
      </c>
      <c r="Q94" s="31">
        <v>10.01</v>
      </c>
      <c r="R94" s="31">
        <v>0</v>
      </c>
      <c r="S94" s="31">
        <v>0</v>
      </c>
      <c r="T94" s="31">
        <v>0</v>
      </c>
      <c r="U94" s="31">
        <v>0</v>
      </c>
      <c r="V94" s="31">
        <v>0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31">
        <v>0</v>
      </c>
      <c r="AD94" s="31">
        <v>0</v>
      </c>
      <c r="AE94" s="31">
        <v>0</v>
      </c>
      <c r="AF94" s="31">
        <v>0</v>
      </c>
      <c r="AG94" s="31">
        <v>0.34158064516129033</v>
      </c>
    </row>
    <row r="95" spans="1:33" x14ac:dyDescent="0.3">
      <c r="A95" s="39" t="s">
        <v>793</v>
      </c>
      <c r="B95" s="31">
        <v>0</v>
      </c>
      <c r="C95" s="31">
        <v>0</v>
      </c>
      <c r="D95" s="31">
        <v>0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31">
        <v>0</v>
      </c>
      <c r="AD95" s="31">
        <v>0</v>
      </c>
      <c r="AE95" s="31">
        <v>0</v>
      </c>
      <c r="AF95" s="31">
        <v>0</v>
      </c>
      <c r="AG95" s="31">
        <v>0</v>
      </c>
    </row>
    <row r="96" spans="1:33" x14ac:dyDescent="0.3">
      <c r="A96" s="39" t="s">
        <v>745</v>
      </c>
      <c r="B96" s="31">
        <v>103.00700000000001</v>
      </c>
      <c r="C96" s="31">
        <v>45.223000000000006</v>
      </c>
      <c r="D96" s="31">
        <v>73.332000000000008</v>
      </c>
      <c r="E96" s="31">
        <v>134.28399999999999</v>
      </c>
      <c r="F96" s="31">
        <v>66.87299999999999</v>
      </c>
      <c r="G96" s="31">
        <v>118.46900000000001</v>
      </c>
      <c r="H96" s="31">
        <v>126.70000000000002</v>
      </c>
      <c r="I96" s="31">
        <v>58.077999999999996</v>
      </c>
      <c r="J96" s="31">
        <v>103.99700000000001</v>
      </c>
      <c r="K96" s="31">
        <v>98.159999999999982</v>
      </c>
      <c r="L96" s="31">
        <v>123.71800000000002</v>
      </c>
      <c r="M96" s="31">
        <v>145.79799999999997</v>
      </c>
      <c r="N96" s="31">
        <v>96.092999999999989</v>
      </c>
      <c r="O96" s="31">
        <v>105.95700000000001</v>
      </c>
      <c r="P96" s="31">
        <v>102.15299999999999</v>
      </c>
      <c r="Q96" s="31">
        <v>103.634</v>
      </c>
      <c r="R96" s="31">
        <v>168.91499999999999</v>
      </c>
      <c r="S96" s="31">
        <v>78.928000000000011</v>
      </c>
      <c r="T96" s="31">
        <v>127.495</v>
      </c>
      <c r="U96" s="31">
        <v>79.094999999999999</v>
      </c>
      <c r="V96" s="31">
        <v>96.07</v>
      </c>
      <c r="W96" s="31">
        <v>113.98600000000002</v>
      </c>
      <c r="X96" s="31">
        <v>94.272999999999996</v>
      </c>
      <c r="Y96" s="31">
        <v>92.214999999999989</v>
      </c>
      <c r="Z96" s="31">
        <v>77.550999999999988</v>
      </c>
      <c r="AA96" s="31">
        <v>110.628</v>
      </c>
      <c r="AB96" s="31">
        <v>91.956000000000003</v>
      </c>
      <c r="AC96" s="31">
        <v>35.763999999999996</v>
      </c>
      <c r="AD96" s="31">
        <v>65.055999999999997</v>
      </c>
      <c r="AE96" s="31">
        <v>108.246</v>
      </c>
      <c r="AF96" s="31">
        <v>58.553000000000004</v>
      </c>
      <c r="AG96" s="31">
        <v>96.909903225806474</v>
      </c>
    </row>
    <row r="97" spans="1:33" x14ac:dyDescent="0.3">
      <c r="A97" s="39" t="s">
        <v>746</v>
      </c>
      <c r="B97" s="31">
        <v>23.619</v>
      </c>
      <c r="C97" s="31">
        <v>27.281000000000002</v>
      </c>
      <c r="D97" s="31">
        <v>16.170000000000002</v>
      </c>
      <c r="E97" s="31">
        <v>12.983000000000001</v>
      </c>
      <c r="F97" s="31">
        <v>36.816000000000003</v>
      </c>
      <c r="G97" s="31">
        <v>11.452</v>
      </c>
      <c r="H97" s="31">
        <v>27.925999999999998</v>
      </c>
      <c r="I97" s="31">
        <v>18.641999999999999</v>
      </c>
      <c r="J97" s="31">
        <v>17.87</v>
      </c>
      <c r="K97" s="31">
        <v>24.780999999999999</v>
      </c>
      <c r="L97" s="31">
        <v>21.536999999999999</v>
      </c>
      <c r="M97" s="31">
        <v>12.955000000000002</v>
      </c>
      <c r="N97" s="31">
        <v>29.381999999999998</v>
      </c>
      <c r="O97" s="31">
        <v>10.788</v>
      </c>
      <c r="P97" s="31">
        <v>13.512</v>
      </c>
      <c r="Q97" s="31">
        <v>18.624000000000002</v>
      </c>
      <c r="R97" s="31">
        <v>47.01</v>
      </c>
      <c r="S97" s="31">
        <v>26.074000000000005</v>
      </c>
      <c r="T97" s="31">
        <v>23.85</v>
      </c>
      <c r="U97" s="31">
        <v>22.932000000000002</v>
      </c>
      <c r="V97" s="31">
        <v>19.103000000000002</v>
      </c>
      <c r="W97" s="31">
        <v>22.048000000000002</v>
      </c>
      <c r="X97" s="31">
        <v>13.822000000000001</v>
      </c>
      <c r="Y97" s="31">
        <v>23.893000000000001</v>
      </c>
      <c r="Z97" s="31">
        <v>34.184999999999995</v>
      </c>
      <c r="AA97" s="31">
        <v>20.152000000000001</v>
      </c>
      <c r="AB97" s="31">
        <v>24.462</v>
      </c>
      <c r="AC97" s="31">
        <v>32.738</v>
      </c>
      <c r="AD97" s="31">
        <v>28.716000000000001</v>
      </c>
      <c r="AE97" s="31">
        <v>15.664999999999999</v>
      </c>
      <c r="AF97" s="31">
        <v>6.4480000000000004</v>
      </c>
      <c r="AG97" s="31">
        <v>22.110838709677424</v>
      </c>
    </row>
    <row r="98" spans="1:33" x14ac:dyDescent="0.3">
      <c r="A98" s="39" t="s">
        <v>786</v>
      </c>
      <c r="B98" s="31">
        <v>0</v>
      </c>
      <c r="C98" s="31">
        <v>0</v>
      </c>
      <c r="D98" s="31">
        <v>0</v>
      </c>
      <c r="E98" s="31">
        <v>2.746</v>
      </c>
      <c r="F98" s="31">
        <v>6.0000000000000001E-3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2.6150000000000002</v>
      </c>
      <c r="R98" s="31">
        <v>8.9819999999999993</v>
      </c>
      <c r="S98" s="31">
        <v>8.5640000000000001</v>
      </c>
      <c r="T98" s="31">
        <v>15.818000000000001</v>
      </c>
      <c r="U98" s="31">
        <v>24.64</v>
      </c>
      <c r="V98" s="31">
        <v>6.6</v>
      </c>
      <c r="W98" s="31">
        <v>22.998000000000001</v>
      </c>
      <c r="X98" s="31">
        <v>10.102</v>
      </c>
      <c r="Y98" s="31">
        <v>23.796999999999997</v>
      </c>
      <c r="Z98" s="31">
        <v>11.397000000000002</v>
      </c>
      <c r="AA98" s="31">
        <v>15.879999999999999</v>
      </c>
      <c r="AB98" s="31">
        <v>20.686</v>
      </c>
      <c r="AC98" s="31">
        <v>19.78</v>
      </c>
      <c r="AD98" s="31">
        <v>17.928000000000001</v>
      </c>
      <c r="AE98" s="31">
        <v>14.055999999999999</v>
      </c>
      <c r="AF98" s="31">
        <v>13.242000000000001</v>
      </c>
      <c r="AG98" s="31">
        <v>7.7366774193548391</v>
      </c>
    </row>
    <row r="99" spans="1:33" x14ac:dyDescent="0.3">
      <c r="A99" s="39" t="s">
        <v>747</v>
      </c>
      <c r="B99" s="31">
        <v>218.01999999999998</v>
      </c>
      <c r="C99" s="31">
        <v>246.71700000000004</v>
      </c>
      <c r="D99" s="31">
        <v>233.85899999999998</v>
      </c>
      <c r="E99" s="31">
        <v>266.786</v>
      </c>
      <c r="F99" s="31">
        <v>229.05399999999997</v>
      </c>
      <c r="G99" s="31">
        <v>296.81999999999994</v>
      </c>
      <c r="H99" s="31">
        <v>240.75200000000001</v>
      </c>
      <c r="I99" s="31">
        <v>289.31799999999998</v>
      </c>
      <c r="J99" s="31">
        <v>233.41599999999997</v>
      </c>
      <c r="K99" s="31">
        <v>302.30500000000001</v>
      </c>
      <c r="L99" s="31">
        <v>275.35400000000004</v>
      </c>
      <c r="M99" s="31">
        <v>217.76299999999998</v>
      </c>
      <c r="N99" s="31">
        <v>243.809</v>
      </c>
      <c r="O99" s="31">
        <v>191.78699999999998</v>
      </c>
      <c r="P99" s="31">
        <v>192.08999999999997</v>
      </c>
      <c r="Q99" s="31">
        <v>276.173</v>
      </c>
      <c r="R99" s="31">
        <v>307.87900000000008</v>
      </c>
      <c r="S99" s="31">
        <v>268.58099999999996</v>
      </c>
      <c r="T99" s="31">
        <v>276.31200000000001</v>
      </c>
      <c r="U99" s="31">
        <v>245.26499999999999</v>
      </c>
      <c r="V99" s="31">
        <v>266.40500000000003</v>
      </c>
      <c r="W99" s="31">
        <v>278.96499999999997</v>
      </c>
      <c r="X99" s="31">
        <v>241.77500000000001</v>
      </c>
      <c r="Y99" s="31">
        <v>212.834</v>
      </c>
      <c r="Z99" s="31">
        <v>261.56499999999994</v>
      </c>
      <c r="AA99" s="31">
        <v>226.53300000000002</v>
      </c>
      <c r="AB99" s="31">
        <v>239.05599999999998</v>
      </c>
      <c r="AC99" s="31">
        <v>166.68599999999998</v>
      </c>
      <c r="AD99" s="31">
        <v>213.75899999999999</v>
      </c>
      <c r="AE99" s="31">
        <v>290.21099999999996</v>
      </c>
      <c r="AF99" s="31">
        <v>345.54599999999994</v>
      </c>
      <c r="AG99" s="31">
        <v>251.46435483870971</v>
      </c>
    </row>
    <row r="100" spans="1:33" x14ac:dyDescent="0.3">
      <c r="A100" s="39" t="s">
        <v>748</v>
      </c>
      <c r="B100" s="31">
        <v>38.042999999999999</v>
      </c>
      <c r="C100" s="31">
        <v>87.667000000000016</v>
      </c>
      <c r="D100" s="31">
        <v>107.60899999999999</v>
      </c>
      <c r="E100" s="31">
        <v>65.012</v>
      </c>
      <c r="F100" s="31">
        <v>118.73499999999999</v>
      </c>
      <c r="G100" s="31">
        <v>69.424999999999997</v>
      </c>
      <c r="H100" s="31">
        <v>123.31700000000001</v>
      </c>
      <c r="I100" s="31">
        <v>92.438000000000017</v>
      </c>
      <c r="J100" s="31">
        <v>92.675000000000011</v>
      </c>
      <c r="K100" s="31">
        <v>106.00900000000001</v>
      </c>
      <c r="L100" s="31">
        <v>87.738000000000014</v>
      </c>
      <c r="M100" s="31">
        <v>101.42699999999999</v>
      </c>
      <c r="N100" s="31">
        <v>76.521000000000001</v>
      </c>
      <c r="O100" s="31">
        <v>62.959000000000003</v>
      </c>
      <c r="P100" s="31">
        <v>24.89</v>
      </c>
      <c r="Q100" s="31">
        <v>70.992999999999995</v>
      </c>
      <c r="R100" s="31">
        <v>91.328000000000003</v>
      </c>
      <c r="S100" s="31">
        <v>90.495000000000005</v>
      </c>
      <c r="T100" s="31">
        <v>62.550999999999995</v>
      </c>
      <c r="U100" s="31">
        <v>120.57699999999997</v>
      </c>
      <c r="V100" s="31">
        <v>105.48400000000001</v>
      </c>
      <c r="W100" s="31">
        <v>68.657000000000011</v>
      </c>
      <c r="X100" s="31">
        <v>117.39600000000002</v>
      </c>
      <c r="Y100" s="31">
        <v>108.38299999999998</v>
      </c>
      <c r="Z100" s="31">
        <v>109.70600000000002</v>
      </c>
      <c r="AA100" s="31">
        <v>75.097999999999985</v>
      </c>
      <c r="AB100" s="31">
        <v>118.66800000000001</v>
      </c>
      <c r="AC100" s="31">
        <v>116.06699999999996</v>
      </c>
      <c r="AD100" s="31">
        <v>93.516000000000005</v>
      </c>
      <c r="AE100" s="31">
        <v>125.87400000000001</v>
      </c>
      <c r="AF100" s="31">
        <v>89.542000000000002</v>
      </c>
      <c r="AG100" s="31">
        <v>90.92903225806451</v>
      </c>
    </row>
    <row r="101" spans="1:33" x14ac:dyDescent="0.3">
      <c r="A101" s="39" t="s">
        <v>749</v>
      </c>
      <c r="B101" s="31">
        <v>154.77000000000001</v>
      </c>
      <c r="C101" s="31">
        <v>73.609000000000009</v>
      </c>
      <c r="D101" s="31">
        <v>123.44599999999998</v>
      </c>
      <c r="E101" s="31">
        <v>83.724000000000018</v>
      </c>
      <c r="F101" s="31">
        <v>87.861000000000018</v>
      </c>
      <c r="G101" s="31">
        <v>108.63300000000001</v>
      </c>
      <c r="H101" s="31">
        <v>122.76099999999998</v>
      </c>
      <c r="I101" s="31">
        <v>127.092</v>
      </c>
      <c r="J101" s="31">
        <v>103.544</v>
      </c>
      <c r="K101" s="31">
        <v>95.027999999999992</v>
      </c>
      <c r="L101" s="31">
        <v>101.849</v>
      </c>
      <c r="M101" s="31">
        <v>81.850999999999999</v>
      </c>
      <c r="N101" s="31">
        <v>93.964999999999989</v>
      </c>
      <c r="O101" s="31">
        <v>68.118000000000009</v>
      </c>
      <c r="P101" s="31">
        <v>0</v>
      </c>
      <c r="Q101" s="31">
        <v>45.785000000000011</v>
      </c>
      <c r="R101" s="31">
        <v>76.850999999999985</v>
      </c>
      <c r="S101" s="31">
        <v>128.92300000000003</v>
      </c>
      <c r="T101" s="31">
        <v>75.22</v>
      </c>
      <c r="U101" s="31">
        <v>90.387000000000015</v>
      </c>
      <c r="V101" s="31">
        <v>77.940000000000012</v>
      </c>
      <c r="W101" s="31">
        <v>130.13999999999999</v>
      </c>
      <c r="X101" s="31">
        <v>97.231999999999985</v>
      </c>
      <c r="Y101" s="31">
        <v>108.17100000000002</v>
      </c>
      <c r="Z101" s="31">
        <v>95.49799999999999</v>
      </c>
      <c r="AA101" s="31">
        <v>78.135999999999996</v>
      </c>
      <c r="AB101" s="31">
        <v>120.88999999999999</v>
      </c>
      <c r="AC101" s="31">
        <v>116.05499999999998</v>
      </c>
      <c r="AD101" s="31">
        <v>115.58599999999996</v>
      </c>
      <c r="AE101" s="31">
        <v>85.522999999999996</v>
      </c>
      <c r="AF101" s="31">
        <v>86.52600000000001</v>
      </c>
      <c r="AG101" s="31">
        <v>95.326258064516082</v>
      </c>
    </row>
    <row r="102" spans="1:33" x14ac:dyDescent="0.3">
      <c r="A102" s="39" t="s">
        <v>816</v>
      </c>
      <c r="B102" s="31">
        <v>0</v>
      </c>
      <c r="C102" s="31">
        <v>0</v>
      </c>
      <c r="D102" s="31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0</v>
      </c>
      <c r="U102" s="31">
        <v>0</v>
      </c>
      <c r="V102" s="31">
        <v>0</v>
      </c>
      <c r="W102" s="31">
        <v>0</v>
      </c>
      <c r="X102" s="31">
        <v>0</v>
      </c>
      <c r="Y102" s="31">
        <v>0</v>
      </c>
      <c r="Z102" s="31">
        <v>0</v>
      </c>
      <c r="AA102" s="31">
        <v>0</v>
      </c>
      <c r="AB102" s="31">
        <v>0</v>
      </c>
      <c r="AC102" s="31">
        <v>0</v>
      </c>
      <c r="AD102" s="31">
        <v>0</v>
      </c>
      <c r="AE102" s="31">
        <v>0</v>
      </c>
      <c r="AF102" s="31">
        <v>0</v>
      </c>
      <c r="AG102" s="31">
        <v>0</v>
      </c>
    </row>
    <row r="103" spans="1:33" x14ac:dyDescent="0.3">
      <c r="A103" s="39" t="s">
        <v>750</v>
      </c>
      <c r="B103" s="31">
        <v>36.522999999999996</v>
      </c>
      <c r="C103" s="31">
        <v>62.141000000000005</v>
      </c>
      <c r="D103" s="31">
        <v>50.417999999999999</v>
      </c>
      <c r="E103" s="31">
        <v>49.994</v>
      </c>
      <c r="F103" s="31">
        <v>52.509</v>
      </c>
      <c r="G103" s="31">
        <v>55.114999999999995</v>
      </c>
      <c r="H103" s="31">
        <v>26.724999999999998</v>
      </c>
      <c r="I103" s="31">
        <v>55.328999999999994</v>
      </c>
      <c r="J103" s="31">
        <v>44.994000000000007</v>
      </c>
      <c r="K103" s="31">
        <v>45.878</v>
      </c>
      <c r="L103" s="31">
        <v>46.367999999999995</v>
      </c>
      <c r="M103" s="31">
        <v>57.057999999999993</v>
      </c>
      <c r="N103" s="31">
        <v>42.672999999999995</v>
      </c>
      <c r="O103" s="31">
        <v>50.01</v>
      </c>
      <c r="P103" s="31">
        <v>40.508000000000003</v>
      </c>
      <c r="Q103" s="31">
        <v>46.464000000000006</v>
      </c>
      <c r="R103" s="31">
        <v>62.199999999999996</v>
      </c>
      <c r="S103" s="31">
        <v>58.288999999999987</v>
      </c>
      <c r="T103" s="31">
        <v>57.776000000000003</v>
      </c>
      <c r="U103" s="31">
        <v>57.158000000000001</v>
      </c>
      <c r="V103" s="31">
        <v>50.757000000000005</v>
      </c>
      <c r="W103" s="31">
        <v>56.802</v>
      </c>
      <c r="X103" s="31">
        <v>56.706000000000003</v>
      </c>
      <c r="Y103" s="31">
        <v>56.000999999999991</v>
      </c>
      <c r="Z103" s="31">
        <v>50.135999999999996</v>
      </c>
      <c r="AA103" s="31">
        <v>43.287999999999997</v>
      </c>
      <c r="AB103" s="31">
        <v>44.369</v>
      </c>
      <c r="AC103" s="31">
        <v>48.62</v>
      </c>
      <c r="AD103" s="31">
        <v>58.564999999999998</v>
      </c>
      <c r="AE103" s="31">
        <v>43.419999999999995</v>
      </c>
      <c r="AF103" s="31">
        <v>46.78</v>
      </c>
      <c r="AG103" s="31">
        <v>50.115290322580641</v>
      </c>
    </row>
    <row r="104" spans="1:33" x14ac:dyDescent="0.3">
      <c r="A104" s="39" t="s">
        <v>751</v>
      </c>
      <c r="B104" s="31">
        <v>178.42699999999994</v>
      </c>
      <c r="C104" s="31">
        <v>133.97</v>
      </c>
      <c r="D104" s="31">
        <v>121.41600000000001</v>
      </c>
      <c r="E104" s="31">
        <v>162.99</v>
      </c>
      <c r="F104" s="31">
        <v>143.74</v>
      </c>
      <c r="G104" s="31">
        <v>109.91500000000001</v>
      </c>
      <c r="H104" s="31">
        <v>140.35500000000002</v>
      </c>
      <c r="I104" s="31">
        <v>165.62400000000002</v>
      </c>
      <c r="J104" s="31">
        <v>147.91900000000004</v>
      </c>
      <c r="K104" s="31">
        <v>159.76099999999997</v>
      </c>
      <c r="L104" s="31">
        <v>149.78600000000003</v>
      </c>
      <c r="M104" s="31">
        <v>121.11300000000001</v>
      </c>
      <c r="N104" s="31">
        <v>140.66199999999998</v>
      </c>
      <c r="O104" s="31">
        <v>135.625</v>
      </c>
      <c r="P104" s="31">
        <v>123.202</v>
      </c>
      <c r="Q104" s="31">
        <v>146.74600000000001</v>
      </c>
      <c r="R104" s="31">
        <v>102.631</v>
      </c>
      <c r="S104" s="31">
        <v>112.38699999999997</v>
      </c>
      <c r="T104" s="31">
        <v>146.50200000000001</v>
      </c>
      <c r="U104" s="31">
        <v>163.22000000000003</v>
      </c>
      <c r="V104" s="31">
        <v>151.79600000000002</v>
      </c>
      <c r="W104" s="31">
        <v>119.29</v>
      </c>
      <c r="X104" s="31">
        <v>155.82899999999998</v>
      </c>
      <c r="Y104" s="31">
        <v>148.249</v>
      </c>
      <c r="Z104" s="31">
        <v>181.64099999999999</v>
      </c>
      <c r="AA104" s="31">
        <v>144.03</v>
      </c>
      <c r="AB104" s="31">
        <v>121.209</v>
      </c>
      <c r="AC104" s="31">
        <v>166.673</v>
      </c>
      <c r="AD104" s="31">
        <v>150.90599999999998</v>
      </c>
      <c r="AE104" s="31">
        <v>161.85</v>
      </c>
      <c r="AF104" s="31">
        <v>173.01300000000003</v>
      </c>
      <c r="AG104" s="31">
        <v>144.53151612903227</v>
      </c>
    </row>
    <row r="105" spans="1:33" x14ac:dyDescent="0.3">
      <c r="A105" s="39" t="s">
        <v>752</v>
      </c>
      <c r="B105" s="31">
        <v>25.95</v>
      </c>
      <c r="C105" s="31">
        <v>15.837</v>
      </c>
      <c r="D105" s="31">
        <v>29.909000000000002</v>
      </c>
      <c r="E105" s="31">
        <v>8.2579999999999991</v>
      </c>
      <c r="F105" s="31">
        <v>15.738000000000003</v>
      </c>
      <c r="G105" s="31">
        <v>21.632999999999999</v>
      </c>
      <c r="H105" s="31">
        <v>23.933</v>
      </c>
      <c r="I105" s="31">
        <v>17.544</v>
      </c>
      <c r="J105" s="31">
        <v>23.662999999999997</v>
      </c>
      <c r="K105" s="31">
        <v>19.954000000000001</v>
      </c>
      <c r="L105" s="31">
        <v>16.826999999999998</v>
      </c>
      <c r="M105" s="31">
        <v>24.459</v>
      </c>
      <c r="N105" s="31">
        <v>13.96</v>
      </c>
      <c r="O105" s="31">
        <v>15.347999999999999</v>
      </c>
      <c r="P105" s="31">
        <v>38.686999999999998</v>
      </c>
      <c r="Q105" s="31">
        <v>28.036000000000001</v>
      </c>
      <c r="R105" s="31">
        <v>26.988</v>
      </c>
      <c r="S105" s="31">
        <v>23.001000000000001</v>
      </c>
      <c r="T105" s="31">
        <v>17.019000000000002</v>
      </c>
      <c r="U105" s="31">
        <v>13.567</v>
      </c>
      <c r="V105" s="31">
        <v>11.603000000000002</v>
      </c>
      <c r="W105" s="31">
        <v>35.569999999999993</v>
      </c>
      <c r="X105" s="31">
        <v>19.840999999999998</v>
      </c>
      <c r="Y105" s="31">
        <v>11.253</v>
      </c>
      <c r="Z105" s="31">
        <v>22.571000000000002</v>
      </c>
      <c r="AA105" s="31">
        <v>13.362000000000002</v>
      </c>
      <c r="AB105" s="31">
        <v>17.338999999999999</v>
      </c>
      <c r="AC105" s="31">
        <v>18.091000000000001</v>
      </c>
      <c r="AD105" s="31">
        <v>13.823</v>
      </c>
      <c r="AE105" s="31">
        <v>24.588000000000001</v>
      </c>
      <c r="AF105" s="31">
        <v>20.840000000000003</v>
      </c>
      <c r="AG105" s="31">
        <v>20.296516129032256</v>
      </c>
    </row>
    <row r="106" spans="1:33" x14ac:dyDescent="0.3">
      <c r="A106" s="39" t="s">
        <v>753</v>
      </c>
      <c r="B106" s="31">
        <v>20.826999999999998</v>
      </c>
      <c r="C106" s="31">
        <v>72.046999999999997</v>
      </c>
      <c r="D106" s="31">
        <v>63.585999999999991</v>
      </c>
      <c r="E106" s="31">
        <v>26.423000000000002</v>
      </c>
      <c r="F106" s="31">
        <v>33.104000000000006</v>
      </c>
      <c r="G106" s="31">
        <v>25.635000000000005</v>
      </c>
      <c r="H106" s="31">
        <v>42.916000000000004</v>
      </c>
      <c r="I106" s="31">
        <v>33.96</v>
      </c>
      <c r="J106" s="31">
        <v>33.96</v>
      </c>
      <c r="K106" s="31">
        <v>24.566000000000003</v>
      </c>
      <c r="L106" s="31">
        <v>39.241999999999997</v>
      </c>
      <c r="M106" s="31">
        <v>20.795000000000002</v>
      </c>
      <c r="N106" s="31">
        <v>32.286000000000001</v>
      </c>
      <c r="O106" s="31">
        <v>2.7919999999999998</v>
      </c>
      <c r="P106" s="31">
        <v>30.170000000000005</v>
      </c>
      <c r="Q106" s="31">
        <v>31.683000000000003</v>
      </c>
      <c r="R106" s="31">
        <v>52.219000000000008</v>
      </c>
      <c r="S106" s="31">
        <v>46.343000000000004</v>
      </c>
      <c r="T106" s="31">
        <v>27.308000000000003</v>
      </c>
      <c r="U106" s="31">
        <v>42.518000000000001</v>
      </c>
      <c r="V106" s="31">
        <v>42.723999999999997</v>
      </c>
      <c r="W106" s="31">
        <v>45.027999999999999</v>
      </c>
      <c r="X106" s="31">
        <v>63.667999999999992</v>
      </c>
      <c r="Y106" s="31">
        <v>29.776</v>
      </c>
      <c r="Z106" s="31">
        <v>31.132999999999999</v>
      </c>
      <c r="AA106" s="31">
        <v>32.723999999999997</v>
      </c>
      <c r="AB106" s="31">
        <v>50.055</v>
      </c>
      <c r="AC106" s="31">
        <v>38.732999999999997</v>
      </c>
      <c r="AD106" s="31">
        <v>56.230000000000004</v>
      </c>
      <c r="AE106" s="31">
        <v>72.095999999999989</v>
      </c>
      <c r="AF106" s="31">
        <v>76.114999999999995</v>
      </c>
      <c r="AG106" s="31">
        <v>40.021354838709684</v>
      </c>
    </row>
    <row r="107" spans="1:33" x14ac:dyDescent="0.3">
      <c r="A107" s="39" t="s">
        <v>754</v>
      </c>
      <c r="B107" s="31">
        <v>67.094999999999999</v>
      </c>
      <c r="C107" s="31">
        <v>31.927</v>
      </c>
      <c r="D107" s="31">
        <v>75.289999999999992</v>
      </c>
      <c r="E107" s="31">
        <v>45.928999999999995</v>
      </c>
      <c r="F107" s="31">
        <v>62.88300000000001</v>
      </c>
      <c r="G107" s="31">
        <v>52.201000000000001</v>
      </c>
      <c r="H107" s="31">
        <v>43.943999999999996</v>
      </c>
      <c r="I107" s="31">
        <v>60.770999999999994</v>
      </c>
      <c r="J107" s="31">
        <v>40.100999999999999</v>
      </c>
      <c r="K107" s="31">
        <v>25.762</v>
      </c>
      <c r="L107" s="31">
        <v>63.274999999999991</v>
      </c>
      <c r="M107" s="31">
        <v>56.650000000000006</v>
      </c>
      <c r="N107" s="31">
        <v>48.268999999999991</v>
      </c>
      <c r="O107" s="31">
        <v>32.087000000000003</v>
      </c>
      <c r="P107" s="31">
        <v>0</v>
      </c>
      <c r="Q107" s="31">
        <v>40.522999999999996</v>
      </c>
      <c r="R107" s="31">
        <v>51.844000000000001</v>
      </c>
      <c r="S107" s="31">
        <v>48.43</v>
      </c>
      <c r="T107" s="31">
        <v>44.050999999999995</v>
      </c>
      <c r="U107" s="31">
        <v>36.855999999999995</v>
      </c>
      <c r="V107" s="31">
        <v>43.173999999999999</v>
      </c>
      <c r="W107" s="31">
        <v>37.207000000000001</v>
      </c>
      <c r="X107" s="31">
        <v>46.322000000000003</v>
      </c>
      <c r="Y107" s="31">
        <v>41.533999999999999</v>
      </c>
      <c r="Z107" s="31">
        <v>49.504999999999995</v>
      </c>
      <c r="AA107" s="31">
        <v>37.296999999999997</v>
      </c>
      <c r="AB107" s="31">
        <v>75.138999999999996</v>
      </c>
      <c r="AC107" s="31">
        <v>59.218000000000004</v>
      </c>
      <c r="AD107" s="31">
        <v>48.04399999999999</v>
      </c>
      <c r="AE107" s="31">
        <v>38.758000000000003</v>
      </c>
      <c r="AF107" s="31">
        <v>37.884999999999998</v>
      </c>
      <c r="AG107" s="31">
        <v>46.515193548387103</v>
      </c>
    </row>
    <row r="108" spans="1:33" x14ac:dyDescent="0.3">
      <c r="A108" s="39" t="s">
        <v>755</v>
      </c>
      <c r="B108" s="31">
        <v>197.13700000000003</v>
      </c>
      <c r="C108" s="31">
        <v>108.09500000000001</v>
      </c>
      <c r="D108" s="31">
        <v>122.85600000000001</v>
      </c>
      <c r="E108" s="31">
        <v>196.17600000000002</v>
      </c>
      <c r="F108" s="31">
        <v>177.36600000000001</v>
      </c>
      <c r="G108" s="31">
        <v>156.78199999999998</v>
      </c>
      <c r="H108" s="31">
        <v>170.65100000000001</v>
      </c>
      <c r="I108" s="31">
        <v>137.81500000000003</v>
      </c>
      <c r="J108" s="31">
        <v>162.86100000000005</v>
      </c>
      <c r="K108" s="31">
        <v>143.58600000000004</v>
      </c>
      <c r="L108" s="31">
        <v>146.74600000000004</v>
      </c>
      <c r="M108" s="31">
        <v>86.798999999999978</v>
      </c>
      <c r="N108" s="31">
        <v>134.96699999999996</v>
      </c>
      <c r="O108" s="31">
        <v>82.435000000000002</v>
      </c>
      <c r="P108" s="31">
        <v>137.98900000000003</v>
      </c>
      <c r="Q108" s="31">
        <v>127.94199999999999</v>
      </c>
      <c r="R108" s="31">
        <v>131.97899999999998</v>
      </c>
      <c r="S108" s="31">
        <v>191.69699999999997</v>
      </c>
      <c r="T108" s="31">
        <v>164.24099999999999</v>
      </c>
      <c r="U108" s="31">
        <v>191.35999999999999</v>
      </c>
      <c r="V108" s="31">
        <v>156.441</v>
      </c>
      <c r="W108" s="31">
        <v>180.00399999999999</v>
      </c>
      <c r="X108" s="31">
        <v>158.70600000000007</v>
      </c>
      <c r="Y108" s="31">
        <v>184.30600000000001</v>
      </c>
      <c r="Z108" s="31">
        <v>130.47800000000004</v>
      </c>
      <c r="AA108" s="31">
        <v>181.83099999999999</v>
      </c>
      <c r="AB108" s="31">
        <v>148.529</v>
      </c>
      <c r="AC108" s="31">
        <v>127.62799999999999</v>
      </c>
      <c r="AD108" s="31">
        <v>174.19300000000001</v>
      </c>
      <c r="AE108" s="31">
        <v>113.22999999999999</v>
      </c>
      <c r="AF108" s="31">
        <v>209.89800000000002</v>
      </c>
      <c r="AG108" s="31">
        <v>152.73303225806453</v>
      </c>
    </row>
    <row r="109" spans="1:33" x14ac:dyDescent="0.3">
      <c r="A109" s="39" t="s">
        <v>756</v>
      </c>
      <c r="B109" s="31">
        <v>28.384999999999998</v>
      </c>
      <c r="C109" s="31">
        <v>39.191999999999993</v>
      </c>
      <c r="D109" s="31">
        <v>25.824000000000002</v>
      </c>
      <c r="E109" s="31">
        <v>54.144000000000005</v>
      </c>
      <c r="F109" s="31">
        <v>37.919999999999995</v>
      </c>
      <c r="G109" s="31">
        <v>45.356999999999999</v>
      </c>
      <c r="H109" s="31">
        <v>53.326999999999984</v>
      </c>
      <c r="I109" s="31">
        <v>50.143000000000008</v>
      </c>
      <c r="J109" s="31">
        <v>40.108999999999995</v>
      </c>
      <c r="K109" s="31">
        <v>31.062000000000001</v>
      </c>
      <c r="L109" s="31">
        <v>33.736000000000004</v>
      </c>
      <c r="M109" s="31">
        <v>31.902999999999999</v>
      </c>
      <c r="N109" s="31">
        <v>24.483999999999998</v>
      </c>
      <c r="O109" s="31">
        <v>28.709000000000003</v>
      </c>
      <c r="P109" s="31">
        <v>27.080000000000002</v>
      </c>
      <c r="Q109" s="31">
        <v>41.180000000000007</v>
      </c>
      <c r="R109" s="31">
        <v>34.155000000000008</v>
      </c>
      <c r="S109" s="31">
        <v>46.762</v>
      </c>
      <c r="T109" s="31">
        <v>20.448999999999998</v>
      </c>
      <c r="U109" s="31">
        <v>52.697999999999993</v>
      </c>
      <c r="V109" s="31">
        <v>30.511000000000003</v>
      </c>
      <c r="W109" s="31">
        <v>29.481000000000002</v>
      </c>
      <c r="X109" s="31">
        <v>37.373000000000005</v>
      </c>
      <c r="Y109" s="31">
        <v>41.815999999999995</v>
      </c>
      <c r="Z109" s="31">
        <v>30.43</v>
      </c>
      <c r="AA109" s="31">
        <v>61.382999999999996</v>
      </c>
      <c r="AB109" s="31">
        <v>41.666999999999994</v>
      </c>
      <c r="AC109" s="31">
        <v>30.351999999999997</v>
      </c>
      <c r="AD109" s="31">
        <v>37.46</v>
      </c>
      <c r="AE109" s="31">
        <v>44.959999999999994</v>
      </c>
      <c r="AF109" s="31">
        <v>26.936</v>
      </c>
      <c r="AG109" s="31">
        <v>37.386709677419354</v>
      </c>
    </row>
    <row r="110" spans="1:33" x14ac:dyDescent="0.3">
      <c r="A110" s="39" t="s">
        <v>757</v>
      </c>
      <c r="B110" s="31">
        <v>184.31399999999999</v>
      </c>
      <c r="C110" s="31">
        <v>181.35900000000004</v>
      </c>
      <c r="D110" s="31">
        <v>238.953</v>
      </c>
      <c r="E110" s="31">
        <v>213.29200000000006</v>
      </c>
      <c r="F110" s="31">
        <v>188.87900000000005</v>
      </c>
      <c r="G110" s="31">
        <v>222.65899999999996</v>
      </c>
      <c r="H110" s="31">
        <v>225.97400000000005</v>
      </c>
      <c r="I110" s="31">
        <v>222.91799999999998</v>
      </c>
      <c r="J110" s="31">
        <v>198.74799999999996</v>
      </c>
      <c r="K110" s="31">
        <v>199.02000000000007</v>
      </c>
      <c r="L110" s="31">
        <v>160.25199999999998</v>
      </c>
      <c r="M110" s="31">
        <v>169.15200000000002</v>
      </c>
      <c r="N110" s="31">
        <v>212.846</v>
      </c>
      <c r="O110" s="31">
        <v>148.11699999999996</v>
      </c>
      <c r="P110" s="31">
        <v>216.25700000000003</v>
      </c>
      <c r="Q110" s="31">
        <v>123.41400000000002</v>
      </c>
      <c r="R110" s="31">
        <v>154.15800000000002</v>
      </c>
      <c r="S110" s="31">
        <v>215.88499999999996</v>
      </c>
      <c r="T110" s="31">
        <v>228.06599999999997</v>
      </c>
      <c r="U110" s="31">
        <v>188.54999999999998</v>
      </c>
      <c r="V110" s="31">
        <v>220.01700000000008</v>
      </c>
      <c r="W110" s="31">
        <v>224.58900000000003</v>
      </c>
      <c r="X110" s="31">
        <v>194.63800000000001</v>
      </c>
      <c r="Y110" s="31">
        <v>208.85200000000003</v>
      </c>
      <c r="Z110" s="31">
        <v>196.00600000000003</v>
      </c>
      <c r="AA110" s="31">
        <v>160.303</v>
      </c>
      <c r="AB110" s="31">
        <v>150.47800000000001</v>
      </c>
      <c r="AC110" s="31">
        <v>182.91899999999995</v>
      </c>
      <c r="AD110" s="31">
        <v>222.63499999999999</v>
      </c>
      <c r="AE110" s="31">
        <v>201.51300000000001</v>
      </c>
      <c r="AF110" s="31">
        <v>226.15699999999998</v>
      </c>
      <c r="AG110" s="31">
        <v>196.15870967741935</v>
      </c>
    </row>
    <row r="111" spans="1:33" x14ac:dyDescent="0.3">
      <c r="A111" s="39" t="s">
        <v>758</v>
      </c>
      <c r="B111" s="31">
        <v>138.79800000000003</v>
      </c>
      <c r="C111" s="31">
        <v>140.82399999999998</v>
      </c>
      <c r="D111" s="31">
        <v>126.03300000000002</v>
      </c>
      <c r="E111" s="31">
        <v>175.09100000000001</v>
      </c>
      <c r="F111" s="31">
        <v>175.25600000000003</v>
      </c>
      <c r="G111" s="31">
        <v>181.44600000000003</v>
      </c>
      <c r="H111" s="31">
        <v>138.70700000000002</v>
      </c>
      <c r="I111" s="31">
        <v>141.57699999999997</v>
      </c>
      <c r="J111" s="31">
        <v>179.81799999999998</v>
      </c>
      <c r="K111" s="31">
        <v>149.834</v>
      </c>
      <c r="L111" s="31">
        <v>146.06700000000004</v>
      </c>
      <c r="M111" s="31">
        <v>137.64599999999999</v>
      </c>
      <c r="N111" s="31">
        <v>119.50900000000001</v>
      </c>
      <c r="O111" s="31">
        <v>141.36600000000001</v>
      </c>
      <c r="P111" s="31">
        <v>112.127</v>
      </c>
      <c r="Q111" s="31">
        <v>99.192999999999998</v>
      </c>
      <c r="R111" s="31">
        <v>134.72299999999996</v>
      </c>
      <c r="S111" s="31">
        <v>96.042999999999964</v>
      </c>
      <c r="T111" s="31">
        <v>141.89699999999999</v>
      </c>
      <c r="U111" s="31">
        <v>157.82899999999998</v>
      </c>
      <c r="V111" s="31">
        <v>149.90899999999996</v>
      </c>
      <c r="W111" s="31">
        <v>134.44399999999999</v>
      </c>
      <c r="X111" s="31">
        <v>186.70399999999998</v>
      </c>
      <c r="Y111" s="31">
        <v>156.42300000000006</v>
      </c>
      <c r="Z111" s="31">
        <v>166.76799999999994</v>
      </c>
      <c r="AA111" s="31">
        <v>206.00399999999999</v>
      </c>
      <c r="AB111" s="31">
        <v>149.73400000000001</v>
      </c>
      <c r="AC111" s="31">
        <v>155.09400000000002</v>
      </c>
      <c r="AD111" s="31">
        <v>146.77299999999994</v>
      </c>
      <c r="AE111" s="31">
        <v>147.46600000000001</v>
      </c>
      <c r="AF111" s="31">
        <v>136.29399999999998</v>
      </c>
      <c r="AG111" s="31">
        <v>147.39990322580647</v>
      </c>
    </row>
    <row r="112" spans="1:33" x14ac:dyDescent="0.3">
      <c r="A112" s="39" t="s">
        <v>759</v>
      </c>
      <c r="B112" s="31">
        <v>22.479999999999997</v>
      </c>
      <c r="C112" s="31">
        <v>14.017999999999997</v>
      </c>
      <c r="D112" s="31">
        <v>33.71</v>
      </c>
      <c r="E112" s="31">
        <v>23.087</v>
      </c>
      <c r="F112" s="31">
        <v>28.459999999999994</v>
      </c>
      <c r="G112" s="31">
        <v>27.508000000000003</v>
      </c>
      <c r="H112" s="31">
        <v>14.956999999999999</v>
      </c>
      <c r="I112" s="31">
        <v>26.705000000000002</v>
      </c>
      <c r="J112" s="31">
        <v>36.326000000000001</v>
      </c>
      <c r="K112" s="31">
        <v>26.114999999999998</v>
      </c>
      <c r="L112" s="31">
        <v>16.244999999999997</v>
      </c>
      <c r="M112" s="31">
        <v>17.898000000000003</v>
      </c>
      <c r="N112" s="31">
        <v>43.561999999999998</v>
      </c>
      <c r="O112" s="31">
        <v>26.516000000000002</v>
      </c>
      <c r="P112" s="31">
        <v>34.573</v>
      </c>
      <c r="Q112" s="31">
        <v>10.93</v>
      </c>
      <c r="R112" s="31">
        <v>25.871999999999996</v>
      </c>
      <c r="S112" s="31">
        <v>36.32</v>
      </c>
      <c r="T112" s="31">
        <v>32.74</v>
      </c>
      <c r="U112" s="31">
        <v>14.398</v>
      </c>
      <c r="V112" s="31">
        <v>23.084</v>
      </c>
      <c r="W112" s="31">
        <v>60.191000000000003</v>
      </c>
      <c r="X112" s="31">
        <v>56.409000000000006</v>
      </c>
      <c r="Y112" s="31">
        <v>58.12</v>
      </c>
      <c r="Z112" s="31">
        <v>36.81</v>
      </c>
      <c r="AA112" s="31">
        <v>50.738</v>
      </c>
      <c r="AB112" s="31">
        <v>46.704999999999991</v>
      </c>
      <c r="AC112" s="31">
        <v>66.970999999999989</v>
      </c>
      <c r="AD112" s="31">
        <v>58.121000000000009</v>
      </c>
      <c r="AE112" s="31">
        <v>41.064</v>
      </c>
      <c r="AF112" s="31">
        <v>83.902000000000001</v>
      </c>
      <c r="AG112" s="31">
        <v>35.307580645161295</v>
      </c>
    </row>
    <row r="113" spans="1:33" x14ac:dyDescent="0.3">
      <c r="A113" s="39" t="s">
        <v>760</v>
      </c>
      <c r="B113" s="31">
        <v>34.646000000000001</v>
      </c>
      <c r="C113" s="31">
        <v>163.92099999999999</v>
      </c>
      <c r="D113" s="31">
        <v>126.964</v>
      </c>
      <c r="E113" s="31">
        <v>135.75299999999999</v>
      </c>
      <c r="F113" s="31">
        <v>165.10599999999997</v>
      </c>
      <c r="G113" s="31">
        <v>96.382999999999996</v>
      </c>
      <c r="H113" s="31">
        <v>139.19199999999998</v>
      </c>
      <c r="I113" s="31">
        <v>112.245</v>
      </c>
      <c r="J113" s="31">
        <v>109.11499999999999</v>
      </c>
      <c r="K113" s="31">
        <v>117.836</v>
      </c>
      <c r="L113" s="31">
        <v>91.846000000000004</v>
      </c>
      <c r="M113" s="31">
        <v>90.448999999999998</v>
      </c>
      <c r="N113" s="31">
        <v>133.53199999999998</v>
      </c>
      <c r="O113" s="31">
        <v>51.187000000000005</v>
      </c>
      <c r="P113" s="31">
        <v>107.26600000000002</v>
      </c>
      <c r="Q113" s="31">
        <v>85.540999999999997</v>
      </c>
      <c r="R113" s="31">
        <v>107.71900000000001</v>
      </c>
      <c r="S113" s="31">
        <v>95.907000000000011</v>
      </c>
      <c r="T113" s="31">
        <v>125.038</v>
      </c>
      <c r="U113" s="31">
        <v>152.40799999999999</v>
      </c>
      <c r="V113" s="31">
        <v>134.99700000000001</v>
      </c>
      <c r="W113" s="31">
        <v>158.44299999999998</v>
      </c>
      <c r="X113" s="31">
        <v>181.36800000000002</v>
      </c>
      <c r="Y113" s="31">
        <v>161.59</v>
      </c>
      <c r="Z113" s="31">
        <v>137.155</v>
      </c>
      <c r="AA113" s="31">
        <v>207.26499999999996</v>
      </c>
      <c r="AB113" s="31">
        <v>131.405</v>
      </c>
      <c r="AC113" s="31">
        <v>148.62</v>
      </c>
      <c r="AD113" s="31">
        <v>108.23400000000001</v>
      </c>
      <c r="AE113" s="31">
        <v>190.74200000000002</v>
      </c>
      <c r="AF113" s="31">
        <v>193.60900000000004</v>
      </c>
      <c r="AG113" s="31">
        <v>128.88651612903226</v>
      </c>
    </row>
    <row r="114" spans="1:33" x14ac:dyDescent="0.3">
      <c r="A114" s="39" t="s">
        <v>761</v>
      </c>
      <c r="B114" s="31">
        <v>869.64899999999989</v>
      </c>
      <c r="C114" s="31">
        <v>698.44399999999962</v>
      </c>
      <c r="D114" s="31">
        <v>880.2660000000003</v>
      </c>
      <c r="E114" s="31">
        <v>808.17799999999977</v>
      </c>
      <c r="F114" s="31">
        <v>779.94899999999984</v>
      </c>
      <c r="G114" s="31">
        <v>907.14400000000001</v>
      </c>
      <c r="H114" s="31">
        <v>817.04</v>
      </c>
      <c r="I114" s="31">
        <v>977.53800000000012</v>
      </c>
      <c r="J114" s="31">
        <v>1018.843</v>
      </c>
      <c r="K114" s="31">
        <v>934.26700000000017</v>
      </c>
      <c r="L114" s="31">
        <v>920.19199999999978</v>
      </c>
      <c r="M114" s="31">
        <v>882.89800000000014</v>
      </c>
      <c r="N114" s="31">
        <v>737.45299999999997</v>
      </c>
      <c r="O114" s="31">
        <v>573.18400000000008</v>
      </c>
      <c r="P114" s="31">
        <v>560.28600000000017</v>
      </c>
      <c r="Q114" s="31">
        <v>595.14599999999996</v>
      </c>
      <c r="R114" s="31">
        <v>732.25200000000018</v>
      </c>
      <c r="S114" s="31">
        <v>768.57900000000018</v>
      </c>
      <c r="T114" s="31">
        <v>760.47200000000032</v>
      </c>
      <c r="U114" s="31">
        <v>843.08600000000035</v>
      </c>
      <c r="V114" s="31">
        <v>631.91600000000028</v>
      </c>
      <c r="W114" s="31">
        <v>864.52499999999986</v>
      </c>
      <c r="X114" s="31">
        <v>703.51900000000023</v>
      </c>
      <c r="Y114" s="31">
        <v>769.8720000000003</v>
      </c>
      <c r="Z114" s="31">
        <v>963.41300000000024</v>
      </c>
      <c r="AA114" s="31">
        <v>800.67899999999986</v>
      </c>
      <c r="AB114" s="31">
        <v>848.53400000000033</v>
      </c>
      <c r="AC114" s="31">
        <v>839.53800000000001</v>
      </c>
      <c r="AD114" s="31">
        <v>662.25199999999984</v>
      </c>
      <c r="AE114" s="31">
        <v>797.60400000000027</v>
      </c>
      <c r="AF114" s="31">
        <v>958.99499999999978</v>
      </c>
      <c r="AG114" s="31">
        <v>803.4100967741939</v>
      </c>
    </row>
    <row r="115" spans="1:33" x14ac:dyDescent="0.3">
      <c r="A115" s="39" t="s">
        <v>762</v>
      </c>
      <c r="B115" s="31">
        <v>168.37599999999995</v>
      </c>
      <c r="C115" s="31">
        <v>80.819000000000003</v>
      </c>
      <c r="D115" s="31">
        <v>229.84200000000001</v>
      </c>
      <c r="E115" s="31">
        <v>213.24499999999998</v>
      </c>
      <c r="F115" s="31">
        <v>175.51300000000001</v>
      </c>
      <c r="G115" s="31">
        <v>103.33099999999999</v>
      </c>
      <c r="H115" s="31">
        <v>198.90299999999999</v>
      </c>
      <c r="I115" s="31">
        <v>177.22700000000003</v>
      </c>
      <c r="J115" s="31">
        <v>172.79300000000003</v>
      </c>
      <c r="K115" s="31">
        <v>83.073999999999998</v>
      </c>
      <c r="L115" s="31">
        <v>143.84199999999996</v>
      </c>
      <c r="M115" s="31">
        <v>147.84300000000002</v>
      </c>
      <c r="N115" s="31">
        <v>56.003</v>
      </c>
      <c r="O115" s="31">
        <v>85.045000000000016</v>
      </c>
      <c r="P115" s="31">
        <v>23.064</v>
      </c>
      <c r="Q115" s="31">
        <v>91.981000000000023</v>
      </c>
      <c r="R115" s="31">
        <v>114.45399999999999</v>
      </c>
      <c r="S115" s="31">
        <v>139.05700000000002</v>
      </c>
      <c r="T115" s="31">
        <v>95.356000000000009</v>
      </c>
      <c r="U115" s="31">
        <v>60.091999999999999</v>
      </c>
      <c r="V115" s="31">
        <v>146.99199999999999</v>
      </c>
      <c r="W115" s="31">
        <v>159.32300000000001</v>
      </c>
      <c r="X115" s="31">
        <v>170.04699999999997</v>
      </c>
      <c r="Y115" s="31">
        <v>159.46600000000001</v>
      </c>
      <c r="Z115" s="31">
        <v>168.62499999999997</v>
      </c>
      <c r="AA115" s="31">
        <v>135.529</v>
      </c>
      <c r="AB115" s="31">
        <v>80.619</v>
      </c>
      <c r="AC115" s="31">
        <v>137.01700000000002</v>
      </c>
      <c r="AD115" s="31">
        <v>146.89000000000001</v>
      </c>
      <c r="AE115" s="31">
        <v>117.61999999999999</v>
      </c>
      <c r="AF115" s="31">
        <v>158.40100000000001</v>
      </c>
      <c r="AG115" s="31">
        <v>133.56093548387096</v>
      </c>
    </row>
    <row r="116" spans="1:33" x14ac:dyDescent="0.3">
      <c r="A116" s="39" t="s">
        <v>763</v>
      </c>
      <c r="B116" s="31">
        <v>24.795000000000002</v>
      </c>
      <c r="C116" s="31">
        <v>22.016999999999999</v>
      </c>
      <c r="D116" s="31">
        <v>20.056999999999999</v>
      </c>
      <c r="E116" s="31">
        <v>10.090999999999999</v>
      </c>
      <c r="F116" s="31">
        <v>38.543999999999997</v>
      </c>
      <c r="G116" s="31">
        <v>15.421999999999999</v>
      </c>
      <c r="H116" s="31">
        <v>57.877000000000002</v>
      </c>
      <c r="I116" s="31">
        <v>51.216999999999999</v>
      </c>
      <c r="J116" s="31">
        <v>66.836000000000013</v>
      </c>
      <c r="K116" s="31">
        <v>35.379000000000005</v>
      </c>
      <c r="L116" s="31">
        <v>43.723000000000006</v>
      </c>
      <c r="M116" s="31">
        <v>58.073999999999998</v>
      </c>
      <c r="N116" s="31">
        <v>40.040000000000006</v>
      </c>
      <c r="O116" s="31">
        <v>79.075000000000017</v>
      </c>
      <c r="P116" s="31">
        <v>18.314999999999998</v>
      </c>
      <c r="Q116" s="31">
        <v>23.703999999999997</v>
      </c>
      <c r="R116" s="31">
        <v>29.388000000000002</v>
      </c>
      <c r="S116" s="31">
        <v>15.818</v>
      </c>
      <c r="T116" s="31">
        <v>27.985999999999997</v>
      </c>
      <c r="U116" s="31">
        <v>37.998000000000005</v>
      </c>
      <c r="V116" s="31">
        <v>49.595000000000013</v>
      </c>
      <c r="W116" s="31">
        <v>46.429000000000002</v>
      </c>
      <c r="X116" s="31">
        <v>47.421999999999997</v>
      </c>
      <c r="Y116" s="31">
        <v>43.275999999999996</v>
      </c>
      <c r="Z116" s="31">
        <v>72.69</v>
      </c>
      <c r="AA116" s="31">
        <v>41.182000000000002</v>
      </c>
      <c r="AB116" s="31">
        <v>44.279999999999994</v>
      </c>
      <c r="AC116" s="31">
        <v>56.298999999999985</v>
      </c>
      <c r="AD116" s="31">
        <v>37.361000000000004</v>
      </c>
      <c r="AE116" s="31">
        <v>57.670999999999999</v>
      </c>
      <c r="AF116" s="31">
        <v>49.86</v>
      </c>
      <c r="AG116" s="31">
        <v>40.723258064516131</v>
      </c>
    </row>
    <row r="117" spans="1:33" x14ac:dyDescent="0.3">
      <c r="A117" s="39" t="s">
        <v>764</v>
      </c>
      <c r="B117" s="31">
        <v>326.05200000000002</v>
      </c>
      <c r="C117" s="31">
        <v>345.09999999999997</v>
      </c>
      <c r="D117" s="31">
        <v>311.94200000000006</v>
      </c>
      <c r="E117" s="31">
        <v>353.49900000000002</v>
      </c>
      <c r="F117" s="31">
        <v>318.20199999999983</v>
      </c>
      <c r="G117" s="31">
        <v>370.82299999999998</v>
      </c>
      <c r="H117" s="31">
        <v>393.95399999999989</v>
      </c>
      <c r="I117" s="31">
        <v>328.71299999999997</v>
      </c>
      <c r="J117" s="31">
        <v>382.44400000000002</v>
      </c>
      <c r="K117" s="31">
        <v>304.88799999999992</v>
      </c>
      <c r="L117" s="31">
        <v>445.78099999999995</v>
      </c>
      <c r="M117" s="31">
        <v>454.89500000000004</v>
      </c>
      <c r="N117" s="31">
        <v>518.851</v>
      </c>
      <c r="O117" s="31">
        <v>238.39000000000001</v>
      </c>
      <c r="P117" s="31">
        <v>350.15299999999985</v>
      </c>
      <c r="Q117" s="31">
        <v>347.84999999999991</v>
      </c>
      <c r="R117" s="31">
        <v>390.94399999999996</v>
      </c>
      <c r="S117" s="31">
        <v>303.678</v>
      </c>
      <c r="T117" s="31">
        <v>433.28299999999984</v>
      </c>
      <c r="U117" s="31">
        <v>312.5150000000001</v>
      </c>
      <c r="V117" s="31">
        <v>418.52199999999993</v>
      </c>
      <c r="W117" s="31">
        <v>332.04100000000005</v>
      </c>
      <c r="X117" s="31">
        <v>346.43000000000006</v>
      </c>
      <c r="Y117" s="31">
        <v>328.125</v>
      </c>
      <c r="Z117" s="31">
        <v>313.53800000000012</v>
      </c>
      <c r="AA117" s="31">
        <v>348.43799999999999</v>
      </c>
      <c r="AB117" s="31">
        <v>319.99900000000002</v>
      </c>
      <c r="AC117" s="31">
        <v>237.67299999999994</v>
      </c>
      <c r="AD117" s="31">
        <v>36.262</v>
      </c>
      <c r="AE117" s="31">
        <v>213.19099999999997</v>
      </c>
      <c r="AF117" s="31">
        <v>352.35800000000012</v>
      </c>
      <c r="AG117" s="31">
        <v>338.01722580645168</v>
      </c>
    </row>
    <row r="118" spans="1:33" x14ac:dyDescent="0.3">
      <c r="A118" s="39" t="s">
        <v>765</v>
      </c>
      <c r="B118" s="31">
        <v>14.430999999999999</v>
      </c>
      <c r="C118" s="31">
        <v>34.742000000000004</v>
      </c>
      <c r="D118" s="31">
        <v>21.887</v>
      </c>
      <c r="E118" s="31">
        <v>27.987000000000002</v>
      </c>
      <c r="F118" s="31">
        <v>32.112000000000002</v>
      </c>
      <c r="G118" s="31">
        <v>27.090000000000003</v>
      </c>
      <c r="H118" s="31">
        <v>28.152999999999999</v>
      </c>
      <c r="I118" s="31">
        <v>25.381</v>
      </c>
      <c r="J118" s="31">
        <v>26.07</v>
      </c>
      <c r="K118" s="31">
        <v>4.5510000000000002</v>
      </c>
      <c r="L118" s="31">
        <v>40.696000000000005</v>
      </c>
      <c r="M118" s="31">
        <v>18.734999999999999</v>
      </c>
      <c r="N118" s="31">
        <v>36.602000000000004</v>
      </c>
      <c r="O118" s="31">
        <v>12.57</v>
      </c>
      <c r="P118" s="31">
        <v>1.6949999999999998</v>
      </c>
      <c r="Q118" s="31">
        <v>28.174000000000003</v>
      </c>
      <c r="R118" s="31">
        <v>29.86</v>
      </c>
      <c r="S118" s="31">
        <v>32.881999999999998</v>
      </c>
      <c r="T118" s="31">
        <v>37.805000000000007</v>
      </c>
      <c r="U118" s="31">
        <v>23.937000000000001</v>
      </c>
      <c r="V118" s="31">
        <v>27.110000000000003</v>
      </c>
      <c r="W118" s="31">
        <v>29.317</v>
      </c>
      <c r="X118" s="31">
        <v>15.918000000000001</v>
      </c>
      <c r="Y118" s="31">
        <v>31.014000000000003</v>
      </c>
      <c r="Z118" s="31">
        <v>34.433999999999997</v>
      </c>
      <c r="AA118" s="31">
        <v>30.838999999999999</v>
      </c>
      <c r="AB118" s="31">
        <v>26.323999999999998</v>
      </c>
      <c r="AC118" s="31">
        <v>31.848999999999997</v>
      </c>
      <c r="AD118" s="31">
        <v>21.443000000000001</v>
      </c>
      <c r="AE118" s="31">
        <v>45</v>
      </c>
      <c r="AF118" s="31">
        <v>17.222999999999999</v>
      </c>
      <c r="AG118" s="31">
        <v>26.317129032258062</v>
      </c>
    </row>
    <row r="119" spans="1:33" x14ac:dyDescent="0.3">
      <c r="A119" s="39" t="s">
        <v>766</v>
      </c>
      <c r="B119" s="31">
        <v>62.911000000000008</v>
      </c>
      <c r="C119" s="31">
        <v>81.221999999999994</v>
      </c>
      <c r="D119" s="31">
        <v>66.390999999999991</v>
      </c>
      <c r="E119" s="31">
        <v>85.775000000000006</v>
      </c>
      <c r="F119" s="31">
        <v>72.77000000000001</v>
      </c>
      <c r="G119" s="31">
        <v>65.36999999999999</v>
      </c>
      <c r="H119" s="31">
        <v>93.049000000000007</v>
      </c>
      <c r="I119" s="31">
        <v>68.096999999999994</v>
      </c>
      <c r="J119" s="31">
        <v>87.153999999999996</v>
      </c>
      <c r="K119" s="31">
        <v>58.071000000000005</v>
      </c>
      <c r="L119" s="31">
        <v>72.539000000000001</v>
      </c>
      <c r="M119" s="31">
        <v>81.706999999999994</v>
      </c>
      <c r="N119" s="31">
        <v>59.792999999999999</v>
      </c>
      <c r="O119" s="31">
        <v>19.929000000000002</v>
      </c>
      <c r="P119" s="31">
        <v>3.01</v>
      </c>
      <c r="Q119" s="31">
        <v>23.687000000000001</v>
      </c>
      <c r="R119" s="31">
        <v>107.89499999999998</v>
      </c>
      <c r="S119" s="31">
        <v>35.316000000000003</v>
      </c>
      <c r="T119" s="31">
        <v>75.868000000000009</v>
      </c>
      <c r="U119" s="31">
        <v>46.629000000000005</v>
      </c>
      <c r="V119" s="31">
        <v>125.30100000000002</v>
      </c>
      <c r="W119" s="31">
        <v>76.025000000000006</v>
      </c>
      <c r="X119" s="31">
        <v>158.15899999999999</v>
      </c>
      <c r="Y119" s="31">
        <v>96.118999999999986</v>
      </c>
      <c r="Z119" s="31">
        <v>148.77300000000002</v>
      </c>
      <c r="AA119" s="31">
        <v>112.139</v>
      </c>
      <c r="AB119" s="31">
        <v>101.42999999999999</v>
      </c>
      <c r="AC119" s="31">
        <v>83.307000000000002</v>
      </c>
      <c r="AD119" s="31">
        <v>102.39200000000001</v>
      </c>
      <c r="AE119" s="31">
        <v>111.033</v>
      </c>
      <c r="AF119" s="31">
        <v>131.50099999999995</v>
      </c>
      <c r="AG119" s="31">
        <v>81.076193548387053</v>
      </c>
    </row>
    <row r="120" spans="1:33" x14ac:dyDescent="0.3">
      <c r="A120" s="39" t="s">
        <v>767</v>
      </c>
      <c r="B120" s="31">
        <v>150.54599999999999</v>
      </c>
      <c r="C120" s="31">
        <v>143.71299999999999</v>
      </c>
      <c r="D120" s="31">
        <v>177.65899999999999</v>
      </c>
      <c r="E120" s="31">
        <v>214.066</v>
      </c>
      <c r="F120" s="31">
        <v>147.59800000000004</v>
      </c>
      <c r="G120" s="31">
        <v>174.465</v>
      </c>
      <c r="H120" s="31">
        <v>160.65199999999999</v>
      </c>
      <c r="I120" s="31">
        <v>182.94500000000002</v>
      </c>
      <c r="J120" s="31">
        <v>124.26500000000003</v>
      </c>
      <c r="K120" s="31">
        <v>122.349</v>
      </c>
      <c r="L120" s="31">
        <v>149.25700000000001</v>
      </c>
      <c r="M120" s="31">
        <v>160.34800000000001</v>
      </c>
      <c r="N120" s="31">
        <v>110.50699999999999</v>
      </c>
      <c r="O120" s="31">
        <v>121.38399999999999</v>
      </c>
      <c r="P120" s="31">
        <v>111.50299999999999</v>
      </c>
      <c r="Q120" s="31">
        <v>116.32899999999999</v>
      </c>
      <c r="R120" s="31">
        <v>102.93</v>
      </c>
      <c r="S120" s="31">
        <v>141.065</v>
      </c>
      <c r="T120" s="31">
        <v>117.18</v>
      </c>
      <c r="U120" s="31">
        <v>122.431</v>
      </c>
      <c r="V120" s="31">
        <v>136.37400000000002</v>
      </c>
      <c r="W120" s="31">
        <v>150.726</v>
      </c>
      <c r="X120" s="31">
        <v>178.91200000000006</v>
      </c>
      <c r="Y120" s="31">
        <v>122.521</v>
      </c>
      <c r="Z120" s="31">
        <v>134.22200000000001</v>
      </c>
      <c r="AA120" s="31">
        <v>136.47199999999998</v>
      </c>
      <c r="AB120" s="31">
        <v>102.84100000000004</v>
      </c>
      <c r="AC120" s="31">
        <v>139.88499999999996</v>
      </c>
      <c r="AD120" s="31">
        <v>127.10399999999998</v>
      </c>
      <c r="AE120" s="31">
        <v>115.81699999999999</v>
      </c>
      <c r="AF120" s="31">
        <v>108.92699999999998</v>
      </c>
      <c r="AG120" s="31">
        <v>138.87074193548386</v>
      </c>
    </row>
    <row r="121" spans="1:33" x14ac:dyDescent="0.3">
      <c r="A121" s="39" t="s">
        <v>714</v>
      </c>
      <c r="B121" s="31">
        <v>53.324000000000005</v>
      </c>
      <c r="C121" s="31">
        <v>64.528000000000006</v>
      </c>
      <c r="D121" s="31">
        <v>58.514000000000003</v>
      </c>
      <c r="E121" s="31">
        <v>84.314999999999984</v>
      </c>
      <c r="F121" s="31">
        <v>44.251000000000005</v>
      </c>
      <c r="G121" s="31">
        <v>85.147000000000006</v>
      </c>
      <c r="H121" s="31">
        <v>69.74799999999999</v>
      </c>
      <c r="I121" s="31">
        <v>59.269999999999996</v>
      </c>
      <c r="J121" s="31">
        <v>75.757999999999981</v>
      </c>
      <c r="K121" s="31">
        <v>74.941000000000003</v>
      </c>
      <c r="L121" s="31">
        <v>66.168000000000006</v>
      </c>
      <c r="M121" s="31">
        <v>83.02</v>
      </c>
      <c r="N121" s="31">
        <v>79.268999999999991</v>
      </c>
      <c r="O121" s="31">
        <v>58.898999999999994</v>
      </c>
      <c r="P121" s="31">
        <v>67.813000000000017</v>
      </c>
      <c r="Q121" s="31">
        <v>72.868000000000009</v>
      </c>
      <c r="R121" s="31">
        <v>85.445000000000007</v>
      </c>
      <c r="S121" s="31">
        <v>58.222000000000008</v>
      </c>
      <c r="T121" s="31">
        <v>71.786999999999992</v>
      </c>
      <c r="U121" s="31">
        <v>72.055999999999997</v>
      </c>
      <c r="V121" s="31">
        <v>50.060999999999993</v>
      </c>
      <c r="W121" s="31">
        <v>51.171999999999997</v>
      </c>
      <c r="X121" s="31">
        <v>92.534999999999997</v>
      </c>
      <c r="Y121" s="31">
        <v>67.36699999999999</v>
      </c>
      <c r="Z121" s="31">
        <v>79.304999999999993</v>
      </c>
      <c r="AA121" s="31">
        <v>65.360000000000014</v>
      </c>
      <c r="AB121" s="31">
        <v>75.748000000000005</v>
      </c>
      <c r="AC121" s="31">
        <v>62.917999999999985</v>
      </c>
      <c r="AD121" s="31">
        <v>72.534999999999997</v>
      </c>
      <c r="AE121" s="31">
        <v>69.067999999999998</v>
      </c>
      <c r="AF121" s="31">
        <v>70.421999999999997</v>
      </c>
      <c r="AG121" s="31">
        <v>69.09141935483872</v>
      </c>
    </row>
    <row r="122" spans="1:33" x14ac:dyDescent="0.3">
      <c r="A122" s="39" t="s">
        <v>768</v>
      </c>
      <c r="B122" s="31">
        <v>66.688000000000002</v>
      </c>
      <c r="C122" s="31">
        <v>74.155000000000015</v>
      </c>
      <c r="D122" s="31">
        <v>63.232999999999997</v>
      </c>
      <c r="E122" s="31">
        <v>87.85199999999999</v>
      </c>
      <c r="F122" s="31">
        <v>68.431999999999988</v>
      </c>
      <c r="G122" s="31">
        <v>77.864000000000004</v>
      </c>
      <c r="H122" s="31">
        <v>86.51600000000002</v>
      </c>
      <c r="I122" s="31">
        <v>68.194000000000003</v>
      </c>
      <c r="J122" s="31">
        <v>76.463999999999999</v>
      </c>
      <c r="K122" s="31">
        <v>71.60299999999998</v>
      </c>
      <c r="L122" s="31">
        <v>92.15</v>
      </c>
      <c r="M122" s="31">
        <v>66.450999999999993</v>
      </c>
      <c r="N122" s="31">
        <v>38.185000000000002</v>
      </c>
      <c r="O122" s="31">
        <v>38.324000000000012</v>
      </c>
      <c r="P122" s="31">
        <v>50.674999999999997</v>
      </c>
      <c r="Q122" s="31">
        <v>75.962999999999994</v>
      </c>
      <c r="R122" s="31">
        <v>73.38000000000001</v>
      </c>
      <c r="S122" s="31">
        <v>82.959000000000003</v>
      </c>
      <c r="T122" s="31">
        <v>61.972999999999999</v>
      </c>
      <c r="U122" s="31">
        <v>84.084000000000003</v>
      </c>
      <c r="V122" s="31">
        <v>84.734000000000009</v>
      </c>
      <c r="W122" s="31">
        <v>64.224999999999994</v>
      </c>
      <c r="X122" s="31">
        <v>72.514000000000024</v>
      </c>
      <c r="Y122" s="31">
        <v>77.075000000000017</v>
      </c>
      <c r="Z122" s="31">
        <v>81.215999999999994</v>
      </c>
      <c r="AA122" s="31">
        <v>73.05</v>
      </c>
      <c r="AB122" s="31">
        <v>80.594000000000008</v>
      </c>
      <c r="AC122" s="31">
        <v>75.589000000000013</v>
      </c>
      <c r="AD122" s="31">
        <v>63.132000000000005</v>
      </c>
      <c r="AE122" s="31">
        <v>74.984999999999985</v>
      </c>
      <c r="AF122" s="31">
        <v>71.301999999999992</v>
      </c>
      <c r="AG122" s="31">
        <v>71.727774193548399</v>
      </c>
    </row>
    <row r="123" spans="1:33" x14ac:dyDescent="0.3">
      <c r="A123" s="39" t="s">
        <v>769</v>
      </c>
      <c r="B123" s="31">
        <v>103.73500000000001</v>
      </c>
      <c r="C123" s="31">
        <v>104.395</v>
      </c>
      <c r="D123" s="31">
        <v>84.684999999999988</v>
      </c>
      <c r="E123" s="31">
        <v>92.733000000000004</v>
      </c>
      <c r="F123" s="31">
        <v>97.363</v>
      </c>
      <c r="G123" s="31">
        <v>86.989000000000004</v>
      </c>
      <c r="H123" s="31">
        <v>78.730999999999995</v>
      </c>
      <c r="I123" s="31">
        <v>89.813999999999993</v>
      </c>
      <c r="J123" s="31">
        <v>90.649000000000015</v>
      </c>
      <c r="K123" s="31">
        <v>61.768999999999998</v>
      </c>
      <c r="L123" s="31">
        <v>44.144999999999996</v>
      </c>
      <c r="M123" s="31">
        <v>86.967999999999989</v>
      </c>
      <c r="N123" s="31">
        <v>51.425000000000004</v>
      </c>
      <c r="O123" s="31">
        <v>70.344000000000008</v>
      </c>
      <c r="P123" s="31">
        <v>41.698</v>
      </c>
      <c r="Q123" s="31">
        <v>64.837000000000003</v>
      </c>
      <c r="R123" s="31">
        <v>58.64800000000001</v>
      </c>
      <c r="S123" s="31">
        <v>57.259999999999991</v>
      </c>
      <c r="T123" s="31">
        <v>67.361000000000004</v>
      </c>
      <c r="U123" s="31">
        <v>46.105000000000004</v>
      </c>
      <c r="V123" s="31">
        <v>43.597000000000001</v>
      </c>
      <c r="W123" s="31">
        <v>67.029999999999987</v>
      </c>
      <c r="X123" s="31">
        <v>50.672999999999995</v>
      </c>
      <c r="Y123" s="31">
        <v>68.358999999999995</v>
      </c>
      <c r="Z123" s="31">
        <v>85.242999999999995</v>
      </c>
      <c r="AA123" s="31">
        <v>65.42</v>
      </c>
      <c r="AB123" s="31">
        <v>59.338999999999992</v>
      </c>
      <c r="AC123" s="31">
        <v>44.858999999999995</v>
      </c>
      <c r="AD123" s="31">
        <v>66.435000000000002</v>
      </c>
      <c r="AE123" s="31">
        <v>84.719000000000008</v>
      </c>
      <c r="AF123" s="31">
        <v>39.844000000000001</v>
      </c>
      <c r="AG123" s="31">
        <v>69.52167741935483</v>
      </c>
    </row>
    <row r="124" spans="1:33" x14ac:dyDescent="0.3">
      <c r="A124" s="39" t="s">
        <v>770</v>
      </c>
      <c r="B124" s="31">
        <v>205.81799999999998</v>
      </c>
      <c r="C124" s="31">
        <v>157.54300000000001</v>
      </c>
      <c r="D124" s="31">
        <v>205.76700000000002</v>
      </c>
      <c r="E124" s="31">
        <v>217.00300000000001</v>
      </c>
      <c r="F124" s="31">
        <v>208.79400000000001</v>
      </c>
      <c r="G124" s="31">
        <v>168.23600000000002</v>
      </c>
      <c r="H124" s="31">
        <v>201.84899999999999</v>
      </c>
      <c r="I124" s="31">
        <v>241.62400000000002</v>
      </c>
      <c r="J124" s="31">
        <v>178.89999999999998</v>
      </c>
      <c r="K124" s="31">
        <v>200.97100000000003</v>
      </c>
      <c r="L124" s="31">
        <v>198.04800000000003</v>
      </c>
      <c r="M124" s="31">
        <v>193.62100000000004</v>
      </c>
      <c r="N124" s="31">
        <v>152.62800000000001</v>
      </c>
      <c r="O124" s="31">
        <v>176.20299999999997</v>
      </c>
      <c r="P124" s="31">
        <v>3.1</v>
      </c>
      <c r="Q124" s="31">
        <v>125.02600000000002</v>
      </c>
      <c r="R124" s="31">
        <v>150.50700000000003</v>
      </c>
      <c r="S124" s="31">
        <v>198.79500000000007</v>
      </c>
      <c r="T124" s="31">
        <v>198.38800000000001</v>
      </c>
      <c r="U124" s="31">
        <v>154.98100000000005</v>
      </c>
      <c r="V124" s="31">
        <v>225.67800000000005</v>
      </c>
      <c r="W124" s="31">
        <v>153.34400000000005</v>
      </c>
      <c r="X124" s="31">
        <v>129.87800000000004</v>
      </c>
      <c r="Y124" s="31">
        <v>195.53199999999998</v>
      </c>
      <c r="Z124" s="31">
        <v>150.26599999999996</v>
      </c>
      <c r="AA124" s="31">
        <v>195.20000000000002</v>
      </c>
      <c r="AB124" s="31">
        <v>190.96400000000006</v>
      </c>
      <c r="AC124" s="31">
        <v>154.03400000000002</v>
      </c>
      <c r="AD124" s="31">
        <v>183.74700000000001</v>
      </c>
      <c r="AE124" s="31">
        <v>181.08200000000002</v>
      </c>
      <c r="AF124" s="31">
        <v>185.178</v>
      </c>
      <c r="AG124" s="31">
        <v>176.86145161290327</v>
      </c>
    </row>
    <row r="125" spans="1:33" x14ac:dyDescent="0.3">
      <c r="A125" s="39" t="s">
        <v>477</v>
      </c>
      <c r="B125" s="31">
        <v>0</v>
      </c>
      <c r="C125" s="31">
        <v>0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31">
        <v>0</v>
      </c>
      <c r="AD125" s="31">
        <v>0</v>
      </c>
      <c r="AE125" s="31">
        <v>0</v>
      </c>
      <c r="AF125" s="31">
        <v>0</v>
      </c>
      <c r="AG125" s="31">
        <v>0</v>
      </c>
    </row>
    <row r="126" spans="1:33" x14ac:dyDescent="0.3">
      <c r="A126" s="26" t="s">
        <v>856</v>
      </c>
      <c r="B126" s="31"/>
      <c r="C126" s="31">
        <v>4.9489999999999998</v>
      </c>
      <c r="D126" s="31">
        <v>0</v>
      </c>
      <c r="E126" s="31">
        <v>0</v>
      </c>
      <c r="F126" s="31">
        <v>0</v>
      </c>
      <c r="G126" s="31">
        <v>16.725000000000001</v>
      </c>
      <c r="H126" s="31">
        <v>0</v>
      </c>
      <c r="I126" s="31">
        <v>36.525000000000006</v>
      </c>
      <c r="J126" s="31">
        <v>0</v>
      </c>
      <c r="K126" s="31">
        <v>8.7000000000000011</v>
      </c>
      <c r="L126" s="31">
        <v>0</v>
      </c>
      <c r="M126" s="31">
        <v>0</v>
      </c>
      <c r="N126" s="31">
        <v>0</v>
      </c>
      <c r="O126" s="31">
        <v>0</v>
      </c>
      <c r="P126" s="31">
        <v>0</v>
      </c>
      <c r="Q126" s="31">
        <v>18.5</v>
      </c>
      <c r="R126" s="31">
        <v>0</v>
      </c>
      <c r="S126" s="31">
        <v>0</v>
      </c>
      <c r="T126" s="31">
        <v>0</v>
      </c>
      <c r="U126" s="31">
        <v>0</v>
      </c>
      <c r="V126" s="31">
        <v>18.625</v>
      </c>
      <c r="W126" s="31">
        <v>0</v>
      </c>
      <c r="X126" s="31">
        <v>0</v>
      </c>
      <c r="Y126" s="31">
        <v>0</v>
      </c>
      <c r="Z126" s="31">
        <v>0</v>
      </c>
      <c r="AA126" s="31">
        <v>0</v>
      </c>
      <c r="AB126" s="31">
        <v>0</v>
      </c>
      <c r="AC126" s="31">
        <v>0</v>
      </c>
      <c r="AD126" s="31">
        <v>0</v>
      </c>
      <c r="AE126" s="31">
        <v>0</v>
      </c>
      <c r="AF126" s="31">
        <v>0</v>
      </c>
      <c r="AG126" s="31">
        <v>3.4674666666666667</v>
      </c>
    </row>
    <row r="127" spans="1:33" x14ac:dyDescent="0.3">
      <c r="A127" s="26" t="s">
        <v>863</v>
      </c>
      <c r="B127" s="31"/>
      <c r="C127" s="31"/>
      <c r="D127" s="31"/>
      <c r="E127" s="31"/>
      <c r="F127" s="31"/>
      <c r="G127" s="31">
        <v>10.528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31">
        <v>0</v>
      </c>
      <c r="AD127" s="31">
        <v>0</v>
      </c>
      <c r="AE127" s="31">
        <v>0</v>
      </c>
      <c r="AF127" s="31">
        <v>0</v>
      </c>
      <c r="AG127" s="31">
        <v>0.40492307692307694</v>
      </c>
    </row>
    <row r="128" spans="1:33" x14ac:dyDescent="0.3">
      <c r="A128" s="26" t="s">
        <v>867</v>
      </c>
      <c r="B128" s="31"/>
      <c r="C128" s="31"/>
      <c r="D128" s="31"/>
      <c r="E128" s="31"/>
      <c r="F128" s="31"/>
      <c r="G128" s="31"/>
      <c r="H128" s="31">
        <v>1.1399999999999999</v>
      </c>
      <c r="I128" s="31">
        <v>2.7100000000000004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0</v>
      </c>
      <c r="V128" s="31">
        <v>0</v>
      </c>
      <c r="W128" s="31">
        <v>0</v>
      </c>
      <c r="X128" s="31">
        <v>0</v>
      </c>
      <c r="Y128" s="31">
        <v>0</v>
      </c>
      <c r="Z128" s="31">
        <v>0</v>
      </c>
      <c r="AA128" s="31">
        <v>0</v>
      </c>
      <c r="AB128" s="31">
        <v>1.9400000000000002</v>
      </c>
      <c r="AC128" s="31">
        <v>0</v>
      </c>
      <c r="AD128" s="31">
        <v>0</v>
      </c>
      <c r="AE128" s="31">
        <v>0</v>
      </c>
      <c r="AF128" s="31">
        <v>0</v>
      </c>
      <c r="AG128" s="31">
        <v>0.23160000000000003</v>
      </c>
    </row>
    <row r="129" spans="1:33" x14ac:dyDescent="0.3">
      <c r="A129" s="26" t="s">
        <v>871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>
        <v>4.0000000000000001E-3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2.2509999999999999</v>
      </c>
      <c r="R129" s="31">
        <v>0</v>
      </c>
      <c r="S129" s="31">
        <v>1.367</v>
      </c>
      <c r="T129" s="31">
        <v>0</v>
      </c>
      <c r="U129" s="31">
        <v>0</v>
      </c>
      <c r="V129" s="31">
        <v>2.008</v>
      </c>
      <c r="W129" s="31">
        <v>0</v>
      </c>
      <c r="X129" s="31">
        <v>0</v>
      </c>
      <c r="Y129" s="31">
        <v>3.2789999999999999</v>
      </c>
      <c r="Z129" s="31">
        <v>0</v>
      </c>
      <c r="AA129" s="31">
        <v>0</v>
      </c>
      <c r="AB129" s="31">
        <v>2.5169999999999999</v>
      </c>
      <c r="AC129" s="31">
        <v>0</v>
      </c>
      <c r="AD129" s="31">
        <v>0</v>
      </c>
      <c r="AE129" s="31">
        <v>0</v>
      </c>
      <c r="AF129" s="31">
        <v>0</v>
      </c>
      <c r="AG129" s="31">
        <v>0.51936363636363625</v>
      </c>
    </row>
    <row r="130" spans="1:33" x14ac:dyDescent="0.3">
      <c r="A130" s="26" t="s">
        <v>886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>
        <v>0</v>
      </c>
      <c r="V130" s="31">
        <v>0</v>
      </c>
      <c r="W130" s="31">
        <v>0</v>
      </c>
      <c r="X130" s="31">
        <v>0</v>
      </c>
      <c r="Y130" s="31">
        <v>0</v>
      </c>
      <c r="Z130" s="31">
        <v>0</v>
      </c>
      <c r="AA130" s="31">
        <v>0</v>
      </c>
      <c r="AB130" s="31">
        <v>0</v>
      </c>
      <c r="AC130" s="31">
        <v>0</v>
      </c>
      <c r="AD130" s="31">
        <v>0</v>
      </c>
      <c r="AE130" s="31">
        <v>0</v>
      </c>
      <c r="AF130" s="31">
        <v>0</v>
      </c>
      <c r="AG130" s="31">
        <v>0</v>
      </c>
    </row>
    <row r="131" spans="1:33" x14ac:dyDescent="0.3">
      <c r="A131" s="26" t="s">
        <v>883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>
        <v>0</v>
      </c>
      <c r="V131" s="31">
        <v>2.63</v>
      </c>
      <c r="W131" s="31">
        <v>0</v>
      </c>
      <c r="X131" s="31">
        <v>0</v>
      </c>
      <c r="Y131" s="31">
        <v>0</v>
      </c>
      <c r="Z131" s="31">
        <v>0</v>
      </c>
      <c r="AA131" s="31">
        <v>0</v>
      </c>
      <c r="AB131" s="31">
        <v>0</v>
      </c>
      <c r="AC131" s="31">
        <v>0</v>
      </c>
      <c r="AD131" s="31">
        <v>0</v>
      </c>
      <c r="AE131" s="31">
        <v>0</v>
      </c>
      <c r="AF131" s="31">
        <v>0</v>
      </c>
      <c r="AG131" s="31">
        <v>0.21916666666666665</v>
      </c>
    </row>
    <row r="132" spans="1:33" x14ac:dyDescent="0.3">
      <c r="A132" s="26" t="s">
        <v>893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>
        <v>10.978999999999999</v>
      </c>
      <c r="Z132" s="31">
        <v>0</v>
      </c>
      <c r="AA132" s="31">
        <v>0</v>
      </c>
      <c r="AB132" s="31">
        <v>6.99</v>
      </c>
      <c r="AC132" s="31">
        <v>15.22</v>
      </c>
      <c r="AD132" s="31">
        <v>0</v>
      </c>
      <c r="AE132" s="31">
        <v>0</v>
      </c>
      <c r="AF132" s="31">
        <v>0</v>
      </c>
      <c r="AG132" s="31">
        <v>4.148625</v>
      </c>
    </row>
    <row r="133" spans="1:33" x14ac:dyDescent="0.3">
      <c r="A133" s="26" t="s">
        <v>896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>
        <v>7.7290000000000001</v>
      </c>
      <c r="AA133" s="31">
        <v>0</v>
      </c>
      <c r="AB133" s="31">
        <v>0</v>
      </c>
      <c r="AC133" s="31">
        <v>0</v>
      </c>
      <c r="AD133" s="31">
        <v>0</v>
      </c>
      <c r="AE133" s="31">
        <v>0</v>
      </c>
      <c r="AF133" s="31">
        <v>0</v>
      </c>
      <c r="AG133" s="31">
        <v>1.1041428571428571</v>
      </c>
    </row>
    <row r="134" spans="1:33" x14ac:dyDescent="0.3">
      <c r="A134" s="39" t="s">
        <v>83</v>
      </c>
      <c r="B134" s="31">
        <v>6515.2149999999983</v>
      </c>
      <c r="C134" s="31">
        <v>6104.3179999999993</v>
      </c>
      <c r="D134" s="31">
        <v>6976.3220000000001</v>
      </c>
      <c r="E134" s="31">
        <v>6740.8579999999993</v>
      </c>
      <c r="F134" s="31">
        <v>6009.7169999999987</v>
      </c>
      <c r="G134" s="31">
        <v>6551.2260000000006</v>
      </c>
      <c r="H134" s="31">
        <v>6893.8280000000013</v>
      </c>
      <c r="I134" s="31">
        <v>7436.3949999999977</v>
      </c>
      <c r="J134" s="31">
        <v>7504.628999999999</v>
      </c>
      <c r="K134" s="31">
        <v>7055.7639999999992</v>
      </c>
      <c r="L134" s="31">
        <v>6527.0029999999979</v>
      </c>
      <c r="M134" s="31">
        <v>6079.036000000001</v>
      </c>
      <c r="N134" s="31">
        <v>6192.5829999999996</v>
      </c>
      <c r="O134" s="31">
        <v>4977.5</v>
      </c>
      <c r="P134" s="31">
        <v>5322.6690000000008</v>
      </c>
      <c r="Q134" s="31">
        <v>5950.8809999999994</v>
      </c>
      <c r="R134" s="31">
        <v>6631.6769999999997</v>
      </c>
      <c r="S134" s="31">
        <v>6288.5139999999983</v>
      </c>
      <c r="T134" s="31">
        <v>6157.7060000000001</v>
      </c>
      <c r="U134" s="31">
        <v>6405.8759999999975</v>
      </c>
      <c r="V134" s="31">
        <v>6829.5310000000009</v>
      </c>
      <c r="W134" s="31">
        <v>7466.6789999999992</v>
      </c>
      <c r="X134" s="31">
        <v>7461.1469999999981</v>
      </c>
      <c r="Y134" s="31">
        <v>7156.0869999999986</v>
      </c>
      <c r="Z134" s="31">
        <v>6626.5500000000011</v>
      </c>
      <c r="AA134" s="31">
        <v>6039.9939999999997</v>
      </c>
      <c r="AB134" s="31">
        <v>6507.6079999999984</v>
      </c>
      <c r="AC134" s="31">
        <v>6650.9579999999987</v>
      </c>
      <c r="AD134" s="31">
        <v>7089.13</v>
      </c>
      <c r="AE134" s="31">
        <v>7418.8660000000009</v>
      </c>
      <c r="AF134" s="31">
        <v>7469.105999999997</v>
      </c>
      <c r="AG134" s="31">
        <v>6618.5487395166665</v>
      </c>
    </row>
    <row r="147" spans="1:32" x14ac:dyDescent="0.3">
      <c r="A147" s="106" t="s">
        <v>542</v>
      </c>
      <c r="B147" s="10" t="s">
        <v>855</v>
      </c>
      <c r="C147" s="10" t="s">
        <v>858</v>
      </c>
      <c r="D147" s="10" t="s">
        <v>859</v>
      </c>
      <c r="E147" s="10" t="s">
        <v>860</v>
      </c>
      <c r="F147" s="10" t="s">
        <v>861</v>
      </c>
      <c r="G147" s="10" t="s">
        <v>865</v>
      </c>
      <c r="H147" s="10" t="s">
        <v>868</v>
      </c>
      <c r="I147" s="10" t="s">
        <v>869</v>
      </c>
      <c r="J147" s="10" t="s">
        <v>870</v>
      </c>
      <c r="K147" s="10" t="s">
        <v>872</v>
      </c>
      <c r="L147" s="10" t="s">
        <v>873</v>
      </c>
      <c r="M147" s="10" t="s">
        <v>874</v>
      </c>
      <c r="N147" s="10" t="s">
        <v>875</v>
      </c>
      <c r="O147" s="10" t="s">
        <v>876</v>
      </c>
      <c r="P147" s="10" t="s">
        <v>877</v>
      </c>
      <c r="Q147" s="10" t="s">
        <v>878</v>
      </c>
      <c r="R147" s="10" t="s">
        <v>879</v>
      </c>
      <c r="S147" s="10" t="s">
        <v>880</v>
      </c>
      <c r="T147" s="10" t="s">
        <v>881</v>
      </c>
      <c r="U147" s="10" t="s">
        <v>888</v>
      </c>
      <c r="V147" s="10" t="s">
        <v>889</v>
      </c>
      <c r="W147" s="10" t="s">
        <v>890</v>
      </c>
      <c r="X147" s="10" t="s">
        <v>891</v>
      </c>
      <c r="Y147" s="10" t="s">
        <v>894</v>
      </c>
      <c r="Z147" s="10" t="s">
        <v>897</v>
      </c>
      <c r="AA147" s="10" t="s">
        <v>898</v>
      </c>
      <c r="AB147" s="10" t="s">
        <v>899</v>
      </c>
      <c r="AC147" s="10" t="s">
        <v>900</v>
      </c>
      <c r="AD147" s="10" t="s">
        <v>901</v>
      </c>
      <c r="AE147" s="10" t="s">
        <v>902</v>
      </c>
      <c r="AF147" s="10" t="s">
        <v>903</v>
      </c>
    </row>
    <row r="148" spans="1:32" x14ac:dyDescent="0.3">
      <c r="A148" s="10" t="s">
        <v>589</v>
      </c>
      <c r="B148" s="10">
        <v>1866.021</v>
      </c>
      <c r="C148" s="10">
        <v>1766.1719999999998</v>
      </c>
      <c r="D148" s="10">
        <v>1770.9810000000002</v>
      </c>
      <c r="E148" s="10">
        <v>1790.5929999999996</v>
      </c>
      <c r="F148" s="10">
        <v>1775.8590000000002</v>
      </c>
      <c r="G148" s="10">
        <v>1633.3430000000001</v>
      </c>
      <c r="H148" s="10">
        <v>1335.373</v>
      </c>
      <c r="I148" s="10">
        <v>1682.8069999999998</v>
      </c>
      <c r="J148" s="10">
        <v>1848.76</v>
      </c>
      <c r="K148" s="10">
        <v>1825.21</v>
      </c>
      <c r="L148" s="10">
        <v>1816.0299999999997</v>
      </c>
      <c r="M148" s="10">
        <v>1711.9390000000003</v>
      </c>
      <c r="N148" s="10">
        <v>1723.1890000000001</v>
      </c>
      <c r="O148" s="10">
        <v>1289.3410000000003</v>
      </c>
      <c r="P148" s="10">
        <v>1654.6859999999999</v>
      </c>
      <c r="Q148" s="10">
        <v>1589.9449999999997</v>
      </c>
      <c r="R148" s="10">
        <v>1605.1600000000003</v>
      </c>
      <c r="S148" s="10">
        <v>1771.7639999999999</v>
      </c>
      <c r="T148" s="10">
        <v>1854.9030000000002</v>
      </c>
      <c r="U148" s="10">
        <v>1675.2150000000001</v>
      </c>
      <c r="V148" s="10">
        <v>1417.6320000000001</v>
      </c>
      <c r="W148" s="10">
        <v>1973.635</v>
      </c>
      <c r="X148" s="10">
        <v>1795.0610000000004</v>
      </c>
      <c r="Y148" s="10">
        <v>1789.5849999999998</v>
      </c>
      <c r="Z148" s="10">
        <v>1695.4099999999999</v>
      </c>
      <c r="AA148" s="10">
        <v>1691.6249999999998</v>
      </c>
      <c r="AB148" s="10">
        <v>1445.9360000000001</v>
      </c>
      <c r="AC148" s="10">
        <v>1471.713</v>
      </c>
      <c r="AD148" s="10">
        <v>2004.0320000000002</v>
      </c>
      <c r="AE148" s="10">
        <v>1841.587</v>
      </c>
      <c r="AF148" s="10">
        <v>1761.4629999999997</v>
      </c>
    </row>
    <row r="149" spans="1:32" x14ac:dyDescent="0.3">
      <c r="A149" s="10" t="s">
        <v>273</v>
      </c>
      <c r="B149" s="10">
        <v>3528.0890000000004</v>
      </c>
      <c r="C149" s="10">
        <v>3276.4739999999993</v>
      </c>
      <c r="D149" s="10">
        <v>3719.9490000000005</v>
      </c>
      <c r="E149" s="10">
        <v>3853.1680000000001</v>
      </c>
      <c r="F149" s="10">
        <v>3591.675999999999</v>
      </c>
      <c r="G149" s="10">
        <v>3690.3999999999992</v>
      </c>
      <c r="H149" s="10">
        <v>3823.7599999999998</v>
      </c>
      <c r="I149" s="10">
        <v>3885.1680000000001</v>
      </c>
      <c r="J149" s="10">
        <v>3887.2619999999997</v>
      </c>
      <c r="K149" s="10">
        <v>3533.1599999999989</v>
      </c>
      <c r="L149" s="10">
        <v>3720.0970000000002</v>
      </c>
      <c r="M149" s="10">
        <v>3604.8820000000005</v>
      </c>
      <c r="N149" s="10">
        <v>3358.3899999999994</v>
      </c>
      <c r="O149" s="10">
        <v>2628.8490000000002</v>
      </c>
      <c r="P149" s="10">
        <v>2430.7039999999997</v>
      </c>
      <c r="Q149" s="10">
        <v>2877.7339999999995</v>
      </c>
      <c r="R149" s="10">
        <v>3457.6520000000005</v>
      </c>
      <c r="S149" s="10">
        <v>3450.4240000000004</v>
      </c>
      <c r="T149" s="10">
        <v>3541.0899999999992</v>
      </c>
      <c r="U149" s="10">
        <v>3460.9510000000005</v>
      </c>
      <c r="V149" s="10">
        <v>3583.9120000000007</v>
      </c>
      <c r="W149" s="10">
        <v>3735.3049999999994</v>
      </c>
      <c r="X149" s="10">
        <v>3720.101000000001</v>
      </c>
      <c r="Y149" s="10">
        <v>3676.1680000000001</v>
      </c>
      <c r="Z149" s="10">
        <v>3891.5170000000003</v>
      </c>
      <c r="AA149" s="10">
        <v>3693.0799999999995</v>
      </c>
      <c r="AB149" s="10">
        <v>3582.5020000000004</v>
      </c>
      <c r="AC149" s="10">
        <v>3402.9579999999992</v>
      </c>
      <c r="AD149" s="10">
        <v>3177.6869999999999</v>
      </c>
      <c r="AE149" s="10">
        <v>3658.288</v>
      </c>
      <c r="AF149" s="10">
        <v>4067.4690000000005</v>
      </c>
    </row>
    <row r="150" spans="1:32" x14ac:dyDescent="0.3">
      <c r="A150" s="10" t="s">
        <v>160</v>
      </c>
      <c r="B150" s="10">
        <v>1056.4650000000001</v>
      </c>
      <c r="C150" s="10">
        <v>993.50799999999981</v>
      </c>
      <c r="D150" s="10">
        <v>1436.855</v>
      </c>
      <c r="E150" s="10">
        <v>1078.4929999999999</v>
      </c>
      <c r="F150" s="10">
        <v>624.80499999999995</v>
      </c>
      <c r="G150" s="10">
        <v>1182.2109999999998</v>
      </c>
      <c r="H150" s="10">
        <v>1654.7360000000003</v>
      </c>
      <c r="I150" s="10">
        <v>1774.6489999999999</v>
      </c>
      <c r="J150" s="10">
        <v>1731.8129999999996</v>
      </c>
      <c r="K150" s="10">
        <v>1621.6090000000002</v>
      </c>
      <c r="L150" s="10">
        <v>988.39300000000014</v>
      </c>
      <c r="M150" s="10">
        <v>743.43799999999999</v>
      </c>
      <c r="N150" s="10">
        <v>1052.3</v>
      </c>
      <c r="O150" s="10">
        <v>1033.569</v>
      </c>
      <c r="P150" s="10">
        <v>1206.069</v>
      </c>
      <c r="Q150" s="10">
        <v>1407.7439999999997</v>
      </c>
      <c r="R150" s="10">
        <v>1532.1380000000001</v>
      </c>
      <c r="S150" s="10">
        <v>1062.9899999999998</v>
      </c>
      <c r="T150" s="10">
        <v>749.64499999999998</v>
      </c>
      <c r="U150" s="10">
        <v>1220.184</v>
      </c>
      <c r="V150" s="10">
        <v>1749.6770000000001</v>
      </c>
      <c r="W150" s="10">
        <v>1695.7960000000003</v>
      </c>
      <c r="X150" s="10">
        <v>1864.9599999999998</v>
      </c>
      <c r="Y150" s="10">
        <v>1650.9059999999997</v>
      </c>
      <c r="Z150" s="10">
        <v>1024.6179999999997</v>
      </c>
      <c r="AA150" s="10">
        <v>607.92499999999995</v>
      </c>
      <c r="AB150" s="10">
        <v>1419.0719999999999</v>
      </c>
      <c r="AC150" s="10">
        <v>1739.2669999999998</v>
      </c>
      <c r="AD150" s="10">
        <v>1844.34</v>
      </c>
      <c r="AE150" s="10">
        <v>1880.4649999999997</v>
      </c>
      <c r="AF150" s="10">
        <v>1577.4859999999999</v>
      </c>
    </row>
    <row r="151" spans="1:32" x14ac:dyDescent="0.3">
      <c r="A151" s="10" t="s">
        <v>590</v>
      </c>
      <c r="B151" s="10">
        <v>64.64</v>
      </c>
      <c r="C151" s="10">
        <v>68.164000000000016</v>
      </c>
      <c r="D151" s="10">
        <v>48.537000000000006</v>
      </c>
      <c r="E151" s="10">
        <v>18.603999999999999</v>
      </c>
      <c r="F151" s="10">
        <v>17.377000000000002</v>
      </c>
      <c r="G151" s="10">
        <v>45.271999999999998</v>
      </c>
      <c r="H151" s="10">
        <v>79.959000000000003</v>
      </c>
      <c r="I151" s="10">
        <v>93.771000000000015</v>
      </c>
      <c r="J151" s="10">
        <v>36.793999999999997</v>
      </c>
      <c r="K151" s="10">
        <v>75.784999999999997</v>
      </c>
      <c r="L151" s="10">
        <v>2.4830000000000001</v>
      </c>
      <c r="M151" s="10">
        <v>18.777000000000001</v>
      </c>
      <c r="N151" s="10">
        <v>58.704000000000001</v>
      </c>
      <c r="O151" s="10">
        <v>25.741</v>
      </c>
      <c r="P151" s="10">
        <v>31.21</v>
      </c>
      <c r="Q151" s="10">
        <v>75.457999999999998</v>
      </c>
      <c r="R151" s="10">
        <v>36.727000000000004</v>
      </c>
      <c r="S151" s="10">
        <v>3.3360000000000003</v>
      </c>
      <c r="T151" s="10">
        <v>12.067999999999998</v>
      </c>
      <c r="U151" s="10">
        <v>49.526000000000003</v>
      </c>
      <c r="V151" s="10">
        <v>78.31</v>
      </c>
      <c r="W151" s="10">
        <v>61.942999999999998</v>
      </c>
      <c r="X151" s="10">
        <v>81.025000000000006</v>
      </c>
      <c r="Y151" s="10">
        <v>39.428000000000004</v>
      </c>
      <c r="Z151" s="10">
        <v>15.005000000000001</v>
      </c>
      <c r="AA151" s="10">
        <v>47.363999999999997</v>
      </c>
      <c r="AB151" s="10">
        <v>60.097999999999999</v>
      </c>
      <c r="AC151" s="10">
        <v>37.020000000000003</v>
      </c>
      <c r="AD151" s="10">
        <v>63.070999999999998</v>
      </c>
      <c r="AE151" s="10">
        <v>38.525999999999996</v>
      </c>
      <c r="AF151" s="10">
        <v>62.688000000000009</v>
      </c>
    </row>
    <row r="152" spans="1:32" x14ac:dyDescent="0.3">
      <c r="A152" s="10" t="s">
        <v>83</v>
      </c>
      <c r="B152" s="10">
        <v>6515.2150000000011</v>
      </c>
      <c r="C152" s="10">
        <v>6104.3179999999984</v>
      </c>
      <c r="D152" s="10">
        <v>6976.3220000000001</v>
      </c>
      <c r="E152" s="10">
        <v>6740.8579999999993</v>
      </c>
      <c r="F152" s="10">
        <v>6009.7169999999996</v>
      </c>
      <c r="G152" s="10">
        <v>6551.2259999999997</v>
      </c>
      <c r="H152" s="10">
        <v>6893.8280000000004</v>
      </c>
      <c r="I152" s="10">
        <v>7436.3949999999995</v>
      </c>
      <c r="J152" s="10">
        <v>7504.628999999999</v>
      </c>
      <c r="K152" s="10">
        <v>7055.7639999999992</v>
      </c>
      <c r="L152" s="10">
        <v>6527.0030000000006</v>
      </c>
      <c r="M152" s="10">
        <v>6079.036000000001</v>
      </c>
      <c r="N152" s="10">
        <v>6192.5829999999996</v>
      </c>
      <c r="O152" s="10">
        <v>4977.5</v>
      </c>
      <c r="P152" s="10">
        <v>5322.668999999999</v>
      </c>
      <c r="Q152" s="10">
        <v>5950.8809999999985</v>
      </c>
      <c r="R152" s="10">
        <v>6631.6770000000006</v>
      </c>
      <c r="S152" s="10">
        <v>6288.5140000000001</v>
      </c>
      <c r="T152" s="10">
        <v>6157.7059999999992</v>
      </c>
      <c r="U152" s="10">
        <v>6405.8760000000011</v>
      </c>
      <c r="V152" s="10">
        <v>6829.5310000000018</v>
      </c>
      <c r="W152" s="10">
        <v>7466.6790000000001</v>
      </c>
      <c r="X152" s="10">
        <v>7461.1470000000008</v>
      </c>
      <c r="Y152" s="10">
        <v>7156.0869999999995</v>
      </c>
      <c r="Z152" s="10">
        <v>6626.5499999999993</v>
      </c>
      <c r="AA152" s="10">
        <v>6039.9939999999988</v>
      </c>
      <c r="AB152" s="10">
        <v>6507.6080000000002</v>
      </c>
      <c r="AC152" s="10">
        <v>6650.9579999999996</v>
      </c>
      <c r="AD152" s="10">
        <v>7089.13</v>
      </c>
      <c r="AE152" s="10">
        <v>7418.866</v>
      </c>
      <c r="AF152" s="10">
        <v>7469.1060000000007</v>
      </c>
    </row>
  </sheetData>
  <pageMargins left="0.7" right="0.7" top="0.75" bottom="0.75" header="0.3" footer="0.3"/>
  <pageSetup paperSize="9" orientation="portrait" r:id="rId3"/>
  <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S166"/>
  <sheetViews>
    <sheetView zoomScale="86" zoomScaleNormal="86" workbookViewId="0">
      <pane xSplit="10" topLeftCell="K1" activePane="topRight" state="frozen"/>
      <selection activeCell="G150" sqref="G150"/>
      <selection pane="topRight" activeCell="K153" sqref="K153:K159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customWidth="1"/>
    <col min="4" max="4" width="56.33203125" customWidth="1"/>
    <col min="5" max="5" width="15.5546875" customWidth="1"/>
    <col min="6" max="6" width="12.6640625" bestFit="1" customWidth="1"/>
    <col min="7" max="7" width="9.33203125" customWidth="1"/>
    <col min="8" max="8" width="10.6640625" bestFit="1" customWidth="1"/>
    <col min="9" max="9" width="10.6640625" customWidth="1"/>
    <col min="10" max="10" width="8.88671875" bestFit="1" customWidth="1"/>
    <col min="11" max="11" width="8.88671875" customWidth="1"/>
    <col min="12" max="12" width="21" bestFit="1" customWidth="1"/>
    <col min="13" max="13" width="12.33203125" style="28" customWidth="1"/>
    <col min="14" max="14" width="12" style="27" customWidth="1"/>
    <col min="15" max="15" width="12.44140625" style="28" customWidth="1"/>
    <col min="16" max="16" width="12.33203125" customWidth="1"/>
    <col min="17" max="17" width="12.5546875" customWidth="1"/>
    <col min="18" max="18" width="13.109375" customWidth="1"/>
    <col min="19" max="19" width="15" bestFit="1" customWidth="1"/>
    <col min="20" max="20" width="12.88671875" customWidth="1"/>
    <col min="21" max="21" width="17.109375" bestFit="1" customWidth="1"/>
    <col min="22" max="23" width="15" bestFit="1" customWidth="1"/>
    <col min="24" max="24" width="17.109375" bestFit="1" customWidth="1"/>
    <col min="25" max="25" width="13.44140625" customWidth="1"/>
    <col min="26" max="26" width="12.33203125" customWidth="1"/>
    <col min="27" max="27" width="11.5546875" customWidth="1"/>
    <col min="28" max="28" width="14.44140625" customWidth="1"/>
    <col min="29" max="29" width="13.6640625" customWidth="1"/>
    <col min="30" max="30" width="12.88671875" customWidth="1"/>
    <col min="31" max="31" width="13" customWidth="1"/>
    <col min="32" max="32" width="11.88671875" customWidth="1"/>
    <col min="33" max="33" width="12.44140625" customWidth="1"/>
    <col min="34" max="34" width="12.109375" customWidth="1"/>
    <col min="35" max="35" width="11.6640625" customWidth="1"/>
    <col min="36" max="36" width="12.5546875" customWidth="1"/>
    <col min="37" max="37" width="15" bestFit="1" customWidth="1"/>
    <col min="38" max="38" width="13.33203125" customWidth="1"/>
    <col min="39" max="39" width="11.88671875" customWidth="1"/>
    <col min="40" max="40" width="13.33203125" customWidth="1"/>
    <col min="41" max="41" width="13" customWidth="1"/>
    <col min="42" max="43" width="14.33203125" customWidth="1"/>
    <col min="44" max="44" width="9.33203125" bestFit="1" customWidth="1"/>
    <col min="45" max="45" width="13.88671875" customWidth="1"/>
  </cols>
  <sheetData>
    <row r="1" spans="1:45" ht="30.75" customHeight="1" x14ac:dyDescent="0.3">
      <c r="A1" s="13" t="s">
        <v>0</v>
      </c>
      <c r="B1" s="14" t="s">
        <v>1</v>
      </c>
      <c r="C1" s="14" t="s">
        <v>599</v>
      </c>
      <c r="D1" s="14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4"/>
      <c r="J1" s="13" t="s">
        <v>7</v>
      </c>
      <c r="K1" s="13"/>
      <c r="L1" s="13" t="s">
        <v>158</v>
      </c>
      <c r="M1" s="99">
        <v>45658</v>
      </c>
      <c r="N1" s="99">
        <v>45659</v>
      </c>
      <c r="O1" s="99">
        <v>45660</v>
      </c>
      <c r="P1" s="99">
        <v>45661</v>
      </c>
      <c r="Q1" s="99">
        <v>45662</v>
      </c>
      <c r="R1" s="99">
        <v>45663</v>
      </c>
      <c r="S1" s="99">
        <v>45664</v>
      </c>
      <c r="T1" s="99">
        <v>45665</v>
      </c>
      <c r="U1" s="99">
        <v>45666</v>
      </c>
      <c r="V1" s="99">
        <v>45667</v>
      </c>
      <c r="W1" s="99">
        <v>45668</v>
      </c>
      <c r="X1" s="99">
        <v>45669</v>
      </c>
      <c r="Y1" s="99">
        <v>45670</v>
      </c>
      <c r="Z1" s="99">
        <v>45671</v>
      </c>
      <c r="AA1" s="99">
        <v>45672</v>
      </c>
      <c r="AB1" s="99">
        <v>45673</v>
      </c>
      <c r="AC1" s="99">
        <v>45674</v>
      </c>
      <c r="AD1" s="99">
        <v>45675</v>
      </c>
      <c r="AE1" s="99">
        <v>45676</v>
      </c>
      <c r="AF1" s="99">
        <v>45677</v>
      </c>
      <c r="AG1" s="99">
        <v>45678</v>
      </c>
      <c r="AH1" s="99">
        <v>45679</v>
      </c>
      <c r="AI1" s="99">
        <v>45680</v>
      </c>
      <c r="AJ1" s="99">
        <v>45681</v>
      </c>
      <c r="AK1" s="99">
        <v>45682</v>
      </c>
      <c r="AL1" s="99">
        <v>45683</v>
      </c>
      <c r="AM1" s="99">
        <v>45684</v>
      </c>
      <c r="AN1" s="99">
        <v>45685</v>
      </c>
      <c r="AO1" s="99">
        <v>45686</v>
      </c>
      <c r="AP1" s="99">
        <v>45687</v>
      </c>
      <c r="AQ1" s="99">
        <v>45688</v>
      </c>
      <c r="AR1" s="13" t="s">
        <v>8</v>
      </c>
      <c r="AS1" s="12" t="s">
        <v>154</v>
      </c>
    </row>
    <row r="2" spans="1:45" x14ac:dyDescent="0.3">
      <c r="A2" s="5">
        <v>1</v>
      </c>
      <c r="B2" s="6" t="s">
        <v>9</v>
      </c>
      <c r="C2" s="10" t="s">
        <v>600</v>
      </c>
      <c r="D2" s="39" t="s">
        <v>739</v>
      </c>
      <c r="E2" s="6" t="s">
        <v>11</v>
      </c>
      <c r="F2" s="6" t="s">
        <v>12</v>
      </c>
      <c r="G2" s="6" t="s">
        <v>13</v>
      </c>
      <c r="H2" s="6" t="s">
        <v>35</v>
      </c>
      <c r="I2" s="6" t="str">
        <f>LEFT(G2,4)</f>
        <v xml:space="preserve">3.3 </v>
      </c>
      <c r="J2" s="5">
        <v>6</v>
      </c>
      <c r="K2" s="5">
        <f>J2*I2</f>
        <v>19.799999999999997</v>
      </c>
      <c r="L2" s="67" t="s">
        <v>160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v>9.3660000000000014</v>
      </c>
      <c r="AP2" s="46">
        <v>8.7590000000000003</v>
      </c>
      <c r="AQ2" s="46">
        <v>0</v>
      </c>
      <c r="AR2" s="46">
        <f t="shared" ref="AR2:AR33" si="0">AVERAGE(M2:AQ2)</f>
        <v>0.58467741935483875</v>
      </c>
      <c r="AS2" s="7">
        <f t="shared" ref="AS2:AS33" si="1">AR2/J2</f>
        <v>9.7446236559139796E-2</v>
      </c>
    </row>
    <row r="3" spans="1:45" x14ac:dyDescent="0.3">
      <c r="A3" s="5">
        <v>2</v>
      </c>
      <c r="B3" s="6" t="s">
        <v>9</v>
      </c>
      <c r="C3" s="10" t="s">
        <v>601</v>
      </c>
      <c r="D3" s="39" t="s">
        <v>740</v>
      </c>
      <c r="E3" s="6" t="s">
        <v>11</v>
      </c>
      <c r="F3" s="6" t="s">
        <v>12</v>
      </c>
      <c r="G3" s="6" t="s">
        <v>13</v>
      </c>
      <c r="H3" s="6" t="s">
        <v>35</v>
      </c>
      <c r="I3" s="6" t="str">
        <f t="shared" ref="I3:I66" si="2">LEFT(G3,4)</f>
        <v xml:space="preserve">3.3 </v>
      </c>
      <c r="J3" s="5">
        <v>9</v>
      </c>
      <c r="K3" s="5">
        <f>J3*I3</f>
        <v>29.7</v>
      </c>
      <c r="L3" s="67" t="s">
        <v>160</v>
      </c>
      <c r="M3" s="10">
        <v>132.74699999999999</v>
      </c>
      <c r="N3" s="46">
        <v>142.49199999999996</v>
      </c>
      <c r="O3" s="46">
        <v>184.26200000000006</v>
      </c>
      <c r="P3" s="46">
        <v>205.34199999999996</v>
      </c>
      <c r="Q3" s="46">
        <v>195.00399999999996</v>
      </c>
      <c r="R3" s="46">
        <v>190.88400000000001</v>
      </c>
      <c r="S3" s="46">
        <v>172.36399999999998</v>
      </c>
      <c r="T3" s="46">
        <v>197.38300000000007</v>
      </c>
      <c r="U3" s="46">
        <v>189.05399999999997</v>
      </c>
      <c r="V3" s="46">
        <v>179.12000000000006</v>
      </c>
      <c r="W3" s="46">
        <v>176.57400000000001</v>
      </c>
      <c r="X3" s="46">
        <v>150.04299999999995</v>
      </c>
      <c r="Y3" s="46">
        <v>184.81399999999994</v>
      </c>
      <c r="Z3" s="46">
        <v>135.19300000000001</v>
      </c>
      <c r="AA3" s="46">
        <v>115.48399999999998</v>
      </c>
      <c r="AB3" s="46">
        <v>173.61799999999997</v>
      </c>
      <c r="AC3" s="46">
        <v>177.93400000000005</v>
      </c>
      <c r="AD3" s="46">
        <v>164.53699999999998</v>
      </c>
      <c r="AE3" s="46">
        <v>172.03399999999996</v>
      </c>
      <c r="AF3" s="46">
        <v>124.41899999999998</v>
      </c>
      <c r="AG3" s="46">
        <v>198.00300000000001</v>
      </c>
      <c r="AH3" s="46">
        <v>251.23199999999997</v>
      </c>
      <c r="AI3" s="46">
        <v>206.35199999999995</v>
      </c>
      <c r="AJ3" s="46">
        <v>252.38399999999999</v>
      </c>
      <c r="AK3" s="46">
        <v>172.23699999999999</v>
      </c>
      <c r="AL3" s="46">
        <v>191.66399999999999</v>
      </c>
      <c r="AM3" s="46">
        <v>132.09000000000003</v>
      </c>
      <c r="AN3" s="46">
        <v>180.12700000000001</v>
      </c>
      <c r="AO3" s="46">
        <v>179.71200000000005</v>
      </c>
      <c r="AP3" s="46">
        <v>179.52799999999996</v>
      </c>
      <c r="AQ3" s="46">
        <v>163.44000000000003</v>
      </c>
      <c r="AR3" s="46">
        <f t="shared" si="0"/>
        <v>176.45390322580647</v>
      </c>
      <c r="AS3" s="7">
        <f t="shared" si="1"/>
        <v>19.605989247311829</v>
      </c>
    </row>
    <row r="4" spans="1:45" x14ac:dyDescent="0.3">
      <c r="A4" s="5">
        <v>3</v>
      </c>
      <c r="B4" s="6" t="s">
        <v>9</v>
      </c>
      <c r="C4" s="10" t="s">
        <v>602</v>
      </c>
      <c r="D4" s="39" t="s">
        <v>741</v>
      </c>
      <c r="E4" s="6" t="s">
        <v>11</v>
      </c>
      <c r="F4" s="6" t="s">
        <v>12</v>
      </c>
      <c r="G4" s="6" t="s">
        <v>13</v>
      </c>
      <c r="H4" s="6" t="s">
        <v>35</v>
      </c>
      <c r="I4" s="6" t="str">
        <f t="shared" si="2"/>
        <v xml:space="preserve">3.3 </v>
      </c>
      <c r="J4" s="5">
        <v>3</v>
      </c>
      <c r="K4" s="5">
        <f>J4*I4</f>
        <v>9.8999999999999986</v>
      </c>
      <c r="L4" s="67" t="s">
        <v>160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v>0</v>
      </c>
      <c r="AQ4" s="46">
        <v>0</v>
      </c>
      <c r="AR4" s="46">
        <f t="shared" si="0"/>
        <v>0</v>
      </c>
      <c r="AS4" s="7">
        <f t="shared" si="1"/>
        <v>0</v>
      </c>
    </row>
    <row r="5" spans="1:45" ht="15" customHeight="1" x14ac:dyDescent="0.3">
      <c r="A5" s="5">
        <v>4</v>
      </c>
      <c r="B5" s="6" t="s">
        <v>9</v>
      </c>
      <c r="C5" s="5" t="s">
        <v>603</v>
      </c>
      <c r="D5" s="39" t="s">
        <v>729</v>
      </c>
      <c r="E5" s="6" t="s">
        <v>30</v>
      </c>
      <c r="F5" s="6" t="s">
        <v>12</v>
      </c>
      <c r="G5" s="6" t="s">
        <v>13</v>
      </c>
      <c r="H5" s="6" t="s">
        <v>35</v>
      </c>
      <c r="I5" s="6" t="str">
        <f t="shared" si="2"/>
        <v xml:space="preserve">3.3 </v>
      </c>
      <c r="J5" s="5">
        <v>8</v>
      </c>
      <c r="K5" s="5">
        <f>J5*I5</f>
        <v>26.4</v>
      </c>
      <c r="L5" s="94" t="s">
        <v>589</v>
      </c>
      <c r="M5" s="10">
        <v>65.248000000000005</v>
      </c>
      <c r="N5" s="46">
        <v>55.866</v>
      </c>
      <c r="O5" s="46">
        <v>40.518999999999998</v>
      </c>
      <c r="P5" s="46">
        <v>95.122</v>
      </c>
      <c r="Q5" s="46">
        <v>76.303000000000011</v>
      </c>
      <c r="R5" s="46">
        <v>64.709000000000003</v>
      </c>
      <c r="S5" s="46">
        <v>46.553000000000004</v>
      </c>
      <c r="T5" s="46">
        <v>83.078000000000003</v>
      </c>
      <c r="U5" s="46">
        <v>107.31599999999999</v>
      </c>
      <c r="V5" s="46">
        <v>82.134999999999991</v>
      </c>
      <c r="W5" s="46">
        <v>98.448999999999998</v>
      </c>
      <c r="X5" s="46">
        <v>26.041</v>
      </c>
      <c r="Y5" s="46">
        <v>89.147999999999996</v>
      </c>
      <c r="Z5" s="46">
        <v>69.954999999999998</v>
      </c>
      <c r="AA5" s="46">
        <v>129.85499999999999</v>
      </c>
      <c r="AB5" s="46">
        <v>67.206000000000003</v>
      </c>
      <c r="AC5" s="46">
        <v>99.804000000000002</v>
      </c>
      <c r="AD5" s="46">
        <v>108.881</v>
      </c>
      <c r="AE5" s="46">
        <v>116.22000000000001</v>
      </c>
      <c r="AF5" s="46">
        <v>78.802000000000007</v>
      </c>
      <c r="AG5" s="46">
        <v>104.91199999999999</v>
      </c>
      <c r="AH5" s="46">
        <v>111.12</v>
      </c>
      <c r="AI5" s="46">
        <v>98.957999999999998</v>
      </c>
      <c r="AJ5" s="46">
        <v>118.491</v>
      </c>
      <c r="AK5" s="46">
        <v>85.778000000000006</v>
      </c>
      <c r="AL5" s="46">
        <v>110.20399999999999</v>
      </c>
      <c r="AM5" s="46">
        <v>97.909000000000006</v>
      </c>
      <c r="AN5" s="46">
        <v>103.678</v>
      </c>
      <c r="AO5" s="46">
        <v>121.14400000000001</v>
      </c>
      <c r="AP5" s="46">
        <v>80.775000000000006</v>
      </c>
      <c r="AQ5" s="46">
        <v>113.761</v>
      </c>
      <c r="AR5" s="46">
        <f t="shared" si="0"/>
        <v>88.643225806451625</v>
      </c>
      <c r="AS5" s="7">
        <f t="shared" si="1"/>
        <v>11.080403225806453</v>
      </c>
    </row>
    <row r="6" spans="1:45" ht="15" customHeight="1" x14ac:dyDescent="0.3">
      <c r="A6" s="5">
        <v>5</v>
      </c>
      <c r="B6" s="6" t="s">
        <v>9</v>
      </c>
      <c r="C6" s="10" t="s">
        <v>604</v>
      </c>
      <c r="D6" s="39" t="s">
        <v>761</v>
      </c>
      <c r="E6" s="6" t="s">
        <v>128</v>
      </c>
      <c r="F6" s="6" t="s">
        <v>12</v>
      </c>
      <c r="G6" s="6" t="s">
        <v>13</v>
      </c>
      <c r="H6" s="6" t="s">
        <v>35</v>
      </c>
      <c r="I6" s="6" t="str">
        <f t="shared" si="2"/>
        <v xml:space="preserve">3.3 </v>
      </c>
      <c r="J6" s="5">
        <v>29</v>
      </c>
      <c r="K6" s="5">
        <f>J6*I6</f>
        <v>95.699999999999989</v>
      </c>
      <c r="L6" s="94" t="s">
        <v>273</v>
      </c>
      <c r="M6" s="10">
        <v>869.64899999999989</v>
      </c>
      <c r="N6" s="46">
        <v>698.44399999999962</v>
      </c>
      <c r="O6" s="46">
        <v>880.2660000000003</v>
      </c>
      <c r="P6" s="46">
        <v>808.17799999999977</v>
      </c>
      <c r="Q6" s="46">
        <v>779.94899999999984</v>
      </c>
      <c r="R6" s="46">
        <v>907.14400000000001</v>
      </c>
      <c r="S6" s="46">
        <v>817.04</v>
      </c>
      <c r="T6" s="46">
        <v>977.53800000000012</v>
      </c>
      <c r="U6" s="46">
        <v>1018.843</v>
      </c>
      <c r="V6" s="46">
        <v>934.26700000000017</v>
      </c>
      <c r="W6" s="46">
        <v>920.19199999999978</v>
      </c>
      <c r="X6" s="46">
        <v>882.89800000000014</v>
      </c>
      <c r="Y6" s="46">
        <v>737.45299999999997</v>
      </c>
      <c r="Z6" s="46">
        <v>573.18400000000008</v>
      </c>
      <c r="AA6" s="46">
        <v>560.28600000000017</v>
      </c>
      <c r="AB6" s="46">
        <v>595.14599999999996</v>
      </c>
      <c r="AC6" s="46">
        <v>732.25200000000018</v>
      </c>
      <c r="AD6" s="46">
        <v>768.57900000000018</v>
      </c>
      <c r="AE6" s="46">
        <v>758.61200000000031</v>
      </c>
      <c r="AF6" s="46">
        <v>836.68600000000038</v>
      </c>
      <c r="AG6" s="46">
        <v>631.91600000000028</v>
      </c>
      <c r="AH6" s="46">
        <v>864.52499999999986</v>
      </c>
      <c r="AI6" s="46">
        <v>703.51900000000023</v>
      </c>
      <c r="AJ6" s="46">
        <v>769.8720000000003</v>
      </c>
      <c r="AK6" s="46">
        <v>882.39300000000026</v>
      </c>
      <c r="AL6" s="46">
        <v>742.58899999999983</v>
      </c>
      <c r="AM6" s="46">
        <v>830.04400000000032</v>
      </c>
      <c r="AN6" s="46">
        <v>836.57799999999997</v>
      </c>
      <c r="AO6" s="46">
        <v>662.25199999999984</v>
      </c>
      <c r="AP6" s="46">
        <v>770.72400000000027</v>
      </c>
      <c r="AQ6" s="46">
        <v>912.36499999999978</v>
      </c>
      <c r="AR6" s="46">
        <f t="shared" si="0"/>
        <v>795.5930000000003</v>
      </c>
      <c r="AS6" s="7">
        <f t="shared" si="1"/>
        <v>27.434241379310354</v>
      </c>
    </row>
    <row r="7" spans="1:45" x14ac:dyDescent="0.3">
      <c r="A7" s="5">
        <v>6</v>
      </c>
      <c r="B7" s="6" t="s">
        <v>9</v>
      </c>
      <c r="C7" s="10" t="s">
        <v>604</v>
      </c>
      <c r="D7" s="39" t="s">
        <v>761</v>
      </c>
      <c r="E7" s="6" t="s">
        <v>128</v>
      </c>
      <c r="F7" s="6" t="s">
        <v>12</v>
      </c>
      <c r="G7" s="6" t="s">
        <v>274</v>
      </c>
      <c r="H7" s="6" t="s">
        <v>80</v>
      </c>
      <c r="I7" s="6" t="str">
        <f t="shared" si="2"/>
        <v>3 kW</v>
      </c>
      <c r="J7" s="5">
        <v>1</v>
      </c>
      <c r="K7" s="5">
        <f>J7*3</f>
        <v>3</v>
      </c>
      <c r="L7" s="94" t="s">
        <v>273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v>0</v>
      </c>
      <c r="AP7" s="46">
        <v>0</v>
      </c>
      <c r="AQ7" s="46">
        <v>0</v>
      </c>
      <c r="AR7" s="46">
        <f t="shared" si="0"/>
        <v>0</v>
      </c>
      <c r="AS7" s="7">
        <f t="shared" si="1"/>
        <v>0</v>
      </c>
    </row>
    <row r="8" spans="1:45" x14ac:dyDescent="0.3">
      <c r="A8" s="5">
        <v>7</v>
      </c>
      <c r="B8" s="6" t="s">
        <v>9</v>
      </c>
      <c r="C8" s="10" t="s">
        <v>604</v>
      </c>
      <c r="D8" s="39" t="s">
        <v>761</v>
      </c>
      <c r="E8" s="6" t="s">
        <v>128</v>
      </c>
      <c r="F8" s="6" t="s">
        <v>12</v>
      </c>
      <c r="G8" s="6" t="s">
        <v>124</v>
      </c>
      <c r="H8" s="6" t="s">
        <v>80</v>
      </c>
      <c r="I8" s="6" t="str">
        <f t="shared" si="2"/>
        <v>12kW</v>
      </c>
      <c r="J8" s="5">
        <v>8</v>
      </c>
      <c r="K8" s="5">
        <f>J8*12</f>
        <v>96</v>
      </c>
      <c r="L8" s="94" t="s">
        <v>273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1.8599999999999999</v>
      </c>
      <c r="AF8" s="46">
        <v>6.4</v>
      </c>
      <c r="AG8" s="46">
        <v>0</v>
      </c>
      <c r="AH8" s="46">
        <v>0</v>
      </c>
      <c r="AI8" s="46">
        <v>0</v>
      </c>
      <c r="AJ8" s="46">
        <v>0</v>
      </c>
      <c r="AK8" s="46">
        <v>81.02</v>
      </c>
      <c r="AL8" s="46">
        <v>58.09</v>
      </c>
      <c r="AM8" s="46">
        <v>18.489999999999998</v>
      </c>
      <c r="AN8" s="46">
        <v>2.96</v>
      </c>
      <c r="AO8" s="46">
        <v>0</v>
      </c>
      <c r="AP8" s="46">
        <v>26.880000000000003</v>
      </c>
      <c r="AQ8" s="46">
        <v>46.63000000000001</v>
      </c>
      <c r="AR8" s="46">
        <f t="shared" si="0"/>
        <v>7.8170967741935495</v>
      </c>
      <c r="AS8" s="7">
        <f t="shared" si="1"/>
        <v>0.97713709677419369</v>
      </c>
    </row>
    <row r="9" spans="1:45" x14ac:dyDescent="0.3">
      <c r="A9" s="5">
        <v>8</v>
      </c>
      <c r="B9" s="6" t="s">
        <v>9</v>
      </c>
      <c r="C9" s="10" t="s">
        <v>605</v>
      </c>
      <c r="D9" s="39" t="s">
        <v>750</v>
      </c>
      <c r="E9" s="6" t="s">
        <v>128</v>
      </c>
      <c r="F9" s="6" t="s">
        <v>12</v>
      </c>
      <c r="G9" s="6" t="s">
        <v>13</v>
      </c>
      <c r="H9" s="6" t="s">
        <v>35</v>
      </c>
      <c r="I9" s="6" t="str">
        <f t="shared" si="2"/>
        <v xml:space="preserve">3.3 </v>
      </c>
      <c r="J9" s="5">
        <v>6</v>
      </c>
      <c r="K9" s="5">
        <f>J9*I9</f>
        <v>19.799999999999997</v>
      </c>
      <c r="L9" s="94" t="s">
        <v>273</v>
      </c>
      <c r="M9" s="10">
        <v>36.522999999999996</v>
      </c>
      <c r="N9" s="46">
        <v>62.141000000000005</v>
      </c>
      <c r="O9" s="46">
        <v>50.417999999999999</v>
      </c>
      <c r="P9" s="46">
        <v>49.994</v>
      </c>
      <c r="Q9" s="46">
        <v>52.509</v>
      </c>
      <c r="R9" s="46">
        <v>55.114999999999995</v>
      </c>
      <c r="S9" s="46">
        <v>26.724999999999998</v>
      </c>
      <c r="T9" s="46">
        <v>55.328999999999994</v>
      </c>
      <c r="U9" s="46">
        <v>44.994000000000007</v>
      </c>
      <c r="V9" s="46">
        <v>45.878</v>
      </c>
      <c r="W9" s="46">
        <v>46.367999999999995</v>
      </c>
      <c r="X9" s="46">
        <v>57.057999999999993</v>
      </c>
      <c r="Y9" s="46">
        <v>42.672999999999995</v>
      </c>
      <c r="Z9" s="46">
        <v>50.01</v>
      </c>
      <c r="AA9" s="46">
        <v>40.508000000000003</v>
      </c>
      <c r="AB9" s="46">
        <v>46.464000000000006</v>
      </c>
      <c r="AC9" s="46">
        <v>62.199999999999996</v>
      </c>
      <c r="AD9" s="46">
        <v>58.288999999999987</v>
      </c>
      <c r="AE9" s="46">
        <v>57.776000000000003</v>
      </c>
      <c r="AF9" s="46">
        <v>57.158000000000001</v>
      </c>
      <c r="AG9" s="46">
        <v>50.757000000000005</v>
      </c>
      <c r="AH9" s="46">
        <v>56.802</v>
      </c>
      <c r="AI9" s="46">
        <v>56.706000000000003</v>
      </c>
      <c r="AJ9" s="46">
        <v>56.000999999999991</v>
      </c>
      <c r="AK9" s="46">
        <v>50.135999999999996</v>
      </c>
      <c r="AL9" s="46">
        <v>43.287999999999997</v>
      </c>
      <c r="AM9" s="46">
        <v>44.369</v>
      </c>
      <c r="AN9" s="46">
        <v>48.62</v>
      </c>
      <c r="AO9" s="46">
        <v>58.564999999999998</v>
      </c>
      <c r="AP9" s="46">
        <v>43.419999999999995</v>
      </c>
      <c r="AQ9" s="46">
        <v>46.78</v>
      </c>
      <c r="AR9" s="46">
        <f t="shared" si="0"/>
        <v>50.115290322580641</v>
      </c>
      <c r="AS9" s="7">
        <f t="shared" si="1"/>
        <v>8.3525483870967729</v>
      </c>
    </row>
    <row r="10" spans="1:45" x14ac:dyDescent="0.3">
      <c r="A10" s="5">
        <v>9</v>
      </c>
      <c r="B10" s="6" t="s">
        <v>9</v>
      </c>
      <c r="C10" s="10" t="s">
        <v>606</v>
      </c>
      <c r="D10" s="39" t="s">
        <v>728</v>
      </c>
      <c r="E10" s="6" t="s">
        <v>30</v>
      </c>
      <c r="F10" s="6" t="s">
        <v>12</v>
      </c>
      <c r="G10" s="6" t="s">
        <v>13</v>
      </c>
      <c r="H10" s="6" t="s">
        <v>35</v>
      </c>
      <c r="I10" s="6" t="str">
        <f t="shared" si="2"/>
        <v xml:space="preserve">3.3 </v>
      </c>
      <c r="J10" s="5">
        <v>3</v>
      </c>
      <c r="K10" s="5">
        <f>J10*I10</f>
        <v>9.8999999999999986</v>
      </c>
      <c r="L10" s="94" t="s">
        <v>589</v>
      </c>
      <c r="M10" s="10">
        <v>60.504999999999995</v>
      </c>
      <c r="N10" s="46">
        <v>88.169000000000011</v>
      </c>
      <c r="O10" s="46">
        <v>92.097999999999985</v>
      </c>
      <c r="P10" s="46">
        <v>52.94</v>
      </c>
      <c r="Q10" s="46">
        <v>101.404</v>
      </c>
      <c r="R10" s="46">
        <v>62.759000000000007</v>
      </c>
      <c r="S10" s="46">
        <v>59.298000000000002</v>
      </c>
      <c r="T10" s="46">
        <v>54.537999999999997</v>
      </c>
      <c r="U10" s="46">
        <v>100.84400000000001</v>
      </c>
      <c r="V10" s="46">
        <v>99.031000000000006</v>
      </c>
      <c r="W10" s="46">
        <v>78.043000000000006</v>
      </c>
      <c r="X10" s="46">
        <v>107.46799999999999</v>
      </c>
      <c r="Y10" s="46">
        <v>73.602000000000004</v>
      </c>
      <c r="Z10" s="46">
        <v>79.488</v>
      </c>
      <c r="AA10" s="46">
        <v>66.041000000000011</v>
      </c>
      <c r="AB10" s="46">
        <v>81.628999999999991</v>
      </c>
      <c r="AC10" s="46">
        <v>101.52200000000001</v>
      </c>
      <c r="AD10" s="46">
        <v>95.082000000000008</v>
      </c>
      <c r="AE10" s="46">
        <v>95.589999999999989</v>
      </c>
      <c r="AF10" s="46">
        <v>90.678000000000011</v>
      </c>
      <c r="AG10" s="46">
        <v>70.51100000000001</v>
      </c>
      <c r="AH10" s="46">
        <v>96.960999999999999</v>
      </c>
      <c r="AI10" s="46">
        <v>103.79499999999999</v>
      </c>
      <c r="AJ10" s="46">
        <v>118.748</v>
      </c>
      <c r="AK10" s="46">
        <v>115.289</v>
      </c>
      <c r="AL10" s="46">
        <v>52.37299999999999</v>
      </c>
      <c r="AM10" s="46">
        <v>73.075999999999993</v>
      </c>
      <c r="AN10" s="46">
        <v>61.639000000000003</v>
      </c>
      <c r="AO10" s="46">
        <v>140.61000000000001</v>
      </c>
      <c r="AP10" s="46">
        <v>89.922999999999988</v>
      </c>
      <c r="AQ10" s="46">
        <v>118.209</v>
      </c>
      <c r="AR10" s="46">
        <f t="shared" si="0"/>
        <v>86.511709677419361</v>
      </c>
      <c r="AS10" s="7">
        <f t="shared" si="1"/>
        <v>28.837236559139786</v>
      </c>
    </row>
    <row r="11" spans="1:45" x14ac:dyDescent="0.3">
      <c r="A11" s="5">
        <v>10</v>
      </c>
      <c r="B11" s="6" t="s">
        <v>9</v>
      </c>
      <c r="C11" s="10" t="s">
        <v>607</v>
      </c>
      <c r="D11" s="39" t="s">
        <v>774</v>
      </c>
      <c r="E11" s="6" t="s">
        <v>128</v>
      </c>
      <c r="F11" s="6" t="s">
        <v>19</v>
      </c>
      <c r="G11" s="6" t="s">
        <v>13</v>
      </c>
      <c r="H11" s="6" t="s">
        <v>35</v>
      </c>
      <c r="I11" s="6" t="str">
        <f t="shared" si="2"/>
        <v xml:space="preserve">3.3 </v>
      </c>
      <c r="J11" s="5">
        <v>1</v>
      </c>
      <c r="K11" s="5">
        <f>J11*I11</f>
        <v>3.3</v>
      </c>
      <c r="L11" s="12" t="s">
        <v>590</v>
      </c>
      <c r="M11" s="46">
        <v>0</v>
      </c>
      <c r="N11" s="46">
        <v>0</v>
      </c>
      <c r="O11" s="46">
        <v>2.645</v>
      </c>
      <c r="P11" s="46">
        <v>0</v>
      </c>
      <c r="Q11" s="46">
        <v>0</v>
      </c>
      <c r="R11" s="46">
        <v>0</v>
      </c>
      <c r="S11" s="46">
        <v>0</v>
      </c>
      <c r="T11" s="46">
        <v>3.379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3.3580000000000001</v>
      </c>
      <c r="AA11" s="46">
        <v>0</v>
      </c>
      <c r="AB11" s="46">
        <v>0</v>
      </c>
      <c r="AC11" s="46">
        <v>0</v>
      </c>
      <c r="AD11" s="46">
        <v>0</v>
      </c>
      <c r="AE11" s="46">
        <v>1.244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5.0599999999999996</v>
      </c>
      <c r="AN11" s="46">
        <v>0</v>
      </c>
      <c r="AO11" s="46">
        <v>0</v>
      </c>
      <c r="AP11" s="46">
        <v>0</v>
      </c>
      <c r="AQ11" s="46">
        <v>0</v>
      </c>
      <c r="AR11" s="46">
        <f t="shared" si="0"/>
        <v>0.50600000000000001</v>
      </c>
      <c r="AS11" s="7">
        <f t="shared" si="1"/>
        <v>0.50600000000000001</v>
      </c>
    </row>
    <row r="12" spans="1:45" x14ac:dyDescent="0.3">
      <c r="A12" s="5">
        <v>11</v>
      </c>
      <c r="B12" s="6" t="s">
        <v>9</v>
      </c>
      <c r="C12" s="10" t="s">
        <v>608</v>
      </c>
      <c r="D12" s="39" t="s">
        <v>772</v>
      </c>
      <c r="E12" s="6" t="s">
        <v>128</v>
      </c>
      <c r="F12" s="6" t="s">
        <v>12</v>
      </c>
      <c r="G12" s="6" t="s">
        <v>40</v>
      </c>
      <c r="H12" s="6" t="s">
        <v>35</v>
      </c>
      <c r="I12" s="6" t="str">
        <f t="shared" si="2"/>
        <v xml:space="preserve">7.4 </v>
      </c>
      <c r="J12" s="5">
        <v>2</v>
      </c>
      <c r="K12" s="5">
        <f>J12*I12</f>
        <v>14.8</v>
      </c>
      <c r="L12" s="67" t="s">
        <v>160</v>
      </c>
      <c r="M12" s="46">
        <v>0</v>
      </c>
      <c r="N12" s="46">
        <v>0</v>
      </c>
      <c r="O12" s="46">
        <v>3.2199999999999998</v>
      </c>
      <c r="P12" s="46">
        <v>0</v>
      </c>
      <c r="Q12" s="46">
        <v>1.1830000000000001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0</v>
      </c>
      <c r="AL12" s="46">
        <v>0</v>
      </c>
      <c r="AM12" s="46">
        <v>0</v>
      </c>
      <c r="AN12" s="46">
        <v>0</v>
      </c>
      <c r="AO12" s="46">
        <v>0</v>
      </c>
      <c r="AP12" s="46">
        <v>0</v>
      </c>
      <c r="AQ12" s="46">
        <v>0</v>
      </c>
      <c r="AR12" s="46">
        <f t="shared" si="0"/>
        <v>0.14203225806451611</v>
      </c>
      <c r="AS12" s="7">
        <f t="shared" si="1"/>
        <v>7.1016129032258055E-2</v>
      </c>
    </row>
    <row r="13" spans="1:45" x14ac:dyDescent="0.3">
      <c r="A13" s="5">
        <v>12</v>
      </c>
      <c r="B13" s="6" t="s">
        <v>9</v>
      </c>
      <c r="C13" s="10" t="s">
        <v>608</v>
      </c>
      <c r="D13" s="39" t="s">
        <v>772</v>
      </c>
      <c r="E13" s="6" t="s">
        <v>128</v>
      </c>
      <c r="F13" s="6" t="s">
        <v>12</v>
      </c>
      <c r="G13" s="6" t="s">
        <v>255</v>
      </c>
      <c r="H13" s="6" t="s">
        <v>80</v>
      </c>
      <c r="I13" s="6" t="str">
        <f t="shared" si="2"/>
        <v>15 k</v>
      </c>
      <c r="J13" s="5">
        <v>2</v>
      </c>
      <c r="K13" s="5"/>
      <c r="L13" s="67" t="s">
        <v>160</v>
      </c>
      <c r="M13" s="46">
        <v>0</v>
      </c>
      <c r="N13" s="46">
        <v>0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0</v>
      </c>
      <c r="AL13" s="46">
        <v>0</v>
      </c>
      <c r="AM13" s="46">
        <v>0</v>
      </c>
      <c r="AN13" s="46">
        <v>0</v>
      </c>
      <c r="AO13" s="46">
        <v>0</v>
      </c>
      <c r="AP13" s="46">
        <v>0.05</v>
      </c>
      <c r="AQ13" s="46">
        <v>0</v>
      </c>
      <c r="AR13" s="46">
        <f t="shared" si="0"/>
        <v>1.6129032258064516E-3</v>
      </c>
      <c r="AS13" s="7">
        <f t="shared" si="1"/>
        <v>8.0645161290322581E-4</v>
      </c>
    </row>
    <row r="14" spans="1:45" x14ac:dyDescent="0.3">
      <c r="A14" s="5">
        <v>13</v>
      </c>
      <c r="B14" s="6" t="s">
        <v>9</v>
      </c>
      <c r="C14" s="10" t="s">
        <v>609</v>
      </c>
      <c r="D14" s="39" t="s">
        <v>745</v>
      </c>
      <c r="E14" s="6" t="s">
        <v>128</v>
      </c>
      <c r="F14" s="6" t="s">
        <v>12</v>
      </c>
      <c r="G14" s="6" t="s">
        <v>13</v>
      </c>
      <c r="H14" s="6" t="s">
        <v>35</v>
      </c>
      <c r="I14" s="6" t="str">
        <f t="shared" si="2"/>
        <v xml:space="preserve">3.3 </v>
      </c>
      <c r="J14" s="5">
        <v>7</v>
      </c>
      <c r="K14" s="5">
        <f>J14*I14</f>
        <v>23.099999999999998</v>
      </c>
      <c r="L14" s="94" t="s">
        <v>273</v>
      </c>
      <c r="M14" s="10">
        <v>103.00700000000001</v>
      </c>
      <c r="N14" s="46">
        <v>45.223000000000006</v>
      </c>
      <c r="O14" s="46">
        <v>73.332000000000008</v>
      </c>
      <c r="P14" s="46">
        <v>134.28399999999999</v>
      </c>
      <c r="Q14" s="46">
        <v>66.87299999999999</v>
      </c>
      <c r="R14" s="46">
        <v>118.46900000000001</v>
      </c>
      <c r="S14" s="46">
        <v>126.70000000000002</v>
      </c>
      <c r="T14" s="46">
        <v>58.077999999999996</v>
      </c>
      <c r="U14" s="46">
        <v>103.99700000000001</v>
      </c>
      <c r="V14" s="46">
        <v>98.159999999999982</v>
      </c>
      <c r="W14" s="46">
        <v>123.71800000000002</v>
      </c>
      <c r="X14" s="46">
        <v>145.79799999999997</v>
      </c>
      <c r="Y14" s="46">
        <v>96.092999999999989</v>
      </c>
      <c r="Z14" s="46">
        <v>105.95700000000001</v>
      </c>
      <c r="AA14" s="46">
        <v>102.15299999999999</v>
      </c>
      <c r="AB14" s="46">
        <v>103.634</v>
      </c>
      <c r="AC14" s="46">
        <v>168.91499999999999</v>
      </c>
      <c r="AD14" s="46">
        <v>78.928000000000011</v>
      </c>
      <c r="AE14" s="46">
        <v>127.495</v>
      </c>
      <c r="AF14" s="46">
        <v>79.094999999999999</v>
      </c>
      <c r="AG14" s="46">
        <v>96.07</v>
      </c>
      <c r="AH14" s="46">
        <v>113.98600000000002</v>
      </c>
      <c r="AI14" s="46">
        <v>94.272999999999996</v>
      </c>
      <c r="AJ14" s="46">
        <v>92.214999999999989</v>
      </c>
      <c r="AK14" s="46">
        <v>77.550999999999988</v>
      </c>
      <c r="AL14" s="46">
        <v>110.628</v>
      </c>
      <c r="AM14" s="46">
        <v>91.956000000000003</v>
      </c>
      <c r="AN14" s="46">
        <v>35.763999999999996</v>
      </c>
      <c r="AO14" s="46">
        <v>65.055999999999997</v>
      </c>
      <c r="AP14" s="46">
        <v>108.246</v>
      </c>
      <c r="AQ14" s="46">
        <v>58.553000000000004</v>
      </c>
      <c r="AR14" s="46">
        <f t="shared" si="0"/>
        <v>96.909903225806474</v>
      </c>
      <c r="AS14" s="7">
        <f t="shared" si="1"/>
        <v>13.844271889400925</v>
      </c>
    </row>
    <row r="15" spans="1:45" x14ac:dyDescent="0.3">
      <c r="A15" s="5">
        <v>14</v>
      </c>
      <c r="B15" s="6" t="s">
        <v>9</v>
      </c>
      <c r="C15" s="10" t="s">
        <v>609</v>
      </c>
      <c r="D15" s="39" t="s">
        <v>745</v>
      </c>
      <c r="E15" s="6" t="s">
        <v>128</v>
      </c>
      <c r="F15" s="6" t="s">
        <v>12</v>
      </c>
      <c r="G15" s="6" t="s">
        <v>124</v>
      </c>
      <c r="H15" s="6" t="s">
        <v>80</v>
      </c>
      <c r="I15" s="6" t="str">
        <f t="shared" si="2"/>
        <v>12kW</v>
      </c>
      <c r="J15" s="5">
        <v>1</v>
      </c>
      <c r="K15" s="5">
        <f>J15*12</f>
        <v>12</v>
      </c>
      <c r="L15" s="94" t="s">
        <v>273</v>
      </c>
      <c r="M15" s="46">
        <v>0</v>
      </c>
      <c r="N15" s="46">
        <v>0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0</v>
      </c>
      <c r="AD15" s="46">
        <v>0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0</v>
      </c>
      <c r="AL15" s="46">
        <v>0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f t="shared" si="0"/>
        <v>0</v>
      </c>
      <c r="AS15" s="7">
        <f t="shared" si="1"/>
        <v>0</v>
      </c>
    </row>
    <row r="16" spans="1:45" x14ac:dyDescent="0.3">
      <c r="A16" s="5">
        <v>15</v>
      </c>
      <c r="B16" s="6" t="s">
        <v>9</v>
      </c>
      <c r="C16" s="10" t="s">
        <v>610</v>
      </c>
      <c r="D16" s="39" t="s">
        <v>746</v>
      </c>
      <c r="E16" s="6" t="s">
        <v>128</v>
      </c>
      <c r="F16" s="6" t="s">
        <v>12</v>
      </c>
      <c r="G16" s="6" t="s">
        <v>13</v>
      </c>
      <c r="H16" s="6" t="s">
        <v>35</v>
      </c>
      <c r="I16" s="6" t="str">
        <f t="shared" si="2"/>
        <v xml:space="preserve">3.3 </v>
      </c>
      <c r="J16" s="5">
        <v>4</v>
      </c>
      <c r="K16" s="5">
        <f>J16*I16</f>
        <v>13.2</v>
      </c>
      <c r="L16" s="67" t="s">
        <v>160</v>
      </c>
      <c r="M16" s="10">
        <v>23.619</v>
      </c>
      <c r="N16" s="46">
        <v>27.281000000000002</v>
      </c>
      <c r="O16" s="46">
        <v>16.170000000000002</v>
      </c>
      <c r="P16" s="46">
        <v>12.983000000000001</v>
      </c>
      <c r="Q16" s="46">
        <v>36.816000000000003</v>
      </c>
      <c r="R16" s="46">
        <v>11.452</v>
      </c>
      <c r="S16" s="46">
        <v>27.925999999999998</v>
      </c>
      <c r="T16" s="46">
        <v>18.641999999999999</v>
      </c>
      <c r="U16" s="46">
        <v>17.87</v>
      </c>
      <c r="V16" s="46">
        <v>24.780999999999999</v>
      </c>
      <c r="W16" s="46">
        <v>21.536999999999999</v>
      </c>
      <c r="X16" s="46">
        <v>12.955000000000002</v>
      </c>
      <c r="Y16" s="46">
        <v>29.381999999999998</v>
      </c>
      <c r="Z16" s="46">
        <v>10.788</v>
      </c>
      <c r="AA16" s="46">
        <v>13.512</v>
      </c>
      <c r="AB16" s="46">
        <v>18.624000000000002</v>
      </c>
      <c r="AC16" s="46">
        <v>47.01</v>
      </c>
      <c r="AD16" s="46">
        <v>26.074000000000005</v>
      </c>
      <c r="AE16" s="46">
        <v>23.85</v>
      </c>
      <c r="AF16" s="46">
        <v>22.932000000000002</v>
      </c>
      <c r="AG16" s="46">
        <v>19.103000000000002</v>
      </c>
      <c r="AH16" s="46">
        <v>22.048000000000002</v>
      </c>
      <c r="AI16" s="46">
        <v>13.822000000000001</v>
      </c>
      <c r="AJ16" s="46">
        <v>23.893000000000001</v>
      </c>
      <c r="AK16" s="46">
        <v>34.184999999999995</v>
      </c>
      <c r="AL16" s="46">
        <v>20.152000000000001</v>
      </c>
      <c r="AM16" s="46">
        <v>24.462</v>
      </c>
      <c r="AN16" s="46">
        <v>32.738</v>
      </c>
      <c r="AO16" s="46">
        <v>28.716000000000001</v>
      </c>
      <c r="AP16" s="46">
        <v>15.664999999999999</v>
      </c>
      <c r="AQ16" s="46">
        <v>6.4480000000000004</v>
      </c>
      <c r="AR16" s="46">
        <f t="shared" si="0"/>
        <v>22.110838709677424</v>
      </c>
      <c r="AS16" s="7">
        <f t="shared" si="1"/>
        <v>5.5277096774193559</v>
      </c>
    </row>
    <row r="17" spans="1:45" x14ac:dyDescent="0.3">
      <c r="A17" s="5">
        <v>16</v>
      </c>
      <c r="B17" s="6" t="s">
        <v>9</v>
      </c>
      <c r="C17" s="10" t="s">
        <v>610</v>
      </c>
      <c r="D17" s="39" t="s">
        <v>746</v>
      </c>
      <c r="E17" s="6" t="s">
        <v>128</v>
      </c>
      <c r="F17" s="6" t="s">
        <v>12</v>
      </c>
      <c r="G17" s="6" t="s">
        <v>40</v>
      </c>
      <c r="H17" s="6" t="s">
        <v>35</v>
      </c>
      <c r="I17" s="6" t="str">
        <f t="shared" si="2"/>
        <v xml:space="preserve">7.4 </v>
      </c>
      <c r="J17" s="5">
        <v>1</v>
      </c>
      <c r="K17" s="5">
        <f>J17*I17</f>
        <v>7.4</v>
      </c>
      <c r="L17" s="67" t="s">
        <v>160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5">
        <v>0</v>
      </c>
      <c r="X17" s="45">
        <v>0</v>
      </c>
      <c r="Y17" s="45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>
        <v>0</v>
      </c>
      <c r="AP17" s="46">
        <v>0</v>
      </c>
      <c r="AQ17" s="46">
        <v>0</v>
      </c>
      <c r="AR17" s="46">
        <f t="shared" si="0"/>
        <v>0</v>
      </c>
      <c r="AS17" s="7">
        <f t="shared" si="1"/>
        <v>0</v>
      </c>
    </row>
    <row r="18" spans="1:45" x14ac:dyDescent="0.3">
      <c r="A18" s="5">
        <v>17</v>
      </c>
      <c r="B18" s="6" t="s">
        <v>9</v>
      </c>
      <c r="C18" s="10" t="s">
        <v>611</v>
      </c>
      <c r="D18" s="39" t="s">
        <v>747</v>
      </c>
      <c r="E18" s="6" t="s">
        <v>128</v>
      </c>
      <c r="F18" s="6" t="s">
        <v>12</v>
      </c>
      <c r="G18" s="6" t="s">
        <v>13</v>
      </c>
      <c r="H18" s="6" t="s">
        <v>35</v>
      </c>
      <c r="I18" s="6" t="str">
        <f t="shared" si="2"/>
        <v xml:space="preserve">3.3 </v>
      </c>
      <c r="J18" s="5">
        <v>19</v>
      </c>
      <c r="K18" s="5">
        <f>J18*I18</f>
        <v>62.699999999999996</v>
      </c>
      <c r="L18" s="94" t="s">
        <v>273</v>
      </c>
      <c r="M18" s="10">
        <v>156.36999999999998</v>
      </c>
      <c r="N18" s="46">
        <v>178.23700000000002</v>
      </c>
      <c r="O18" s="46">
        <v>171.90899999999999</v>
      </c>
      <c r="P18" s="46">
        <v>162.85599999999999</v>
      </c>
      <c r="Q18" s="46">
        <v>169.83399999999997</v>
      </c>
      <c r="R18" s="46">
        <v>204.46999999999991</v>
      </c>
      <c r="S18" s="46">
        <v>171.18199999999999</v>
      </c>
      <c r="T18" s="46">
        <v>204.19699999999997</v>
      </c>
      <c r="U18" s="46">
        <v>233.41599999999997</v>
      </c>
      <c r="V18" s="46">
        <v>302.30500000000001</v>
      </c>
      <c r="W18" s="46">
        <v>275.35400000000004</v>
      </c>
      <c r="X18" s="46">
        <v>217.76299999999998</v>
      </c>
      <c r="Y18" s="46">
        <v>243.809</v>
      </c>
      <c r="Z18" s="46">
        <v>191.78699999999998</v>
      </c>
      <c r="AA18" s="46">
        <v>192.08999999999997</v>
      </c>
      <c r="AB18" s="46">
        <v>276.173</v>
      </c>
      <c r="AC18" s="46">
        <v>307.87900000000008</v>
      </c>
      <c r="AD18" s="46">
        <v>261.63199999999995</v>
      </c>
      <c r="AE18" s="46">
        <v>189.27200000000005</v>
      </c>
      <c r="AF18" s="46">
        <v>186.13499999999996</v>
      </c>
      <c r="AG18" s="46">
        <v>205.61500000000001</v>
      </c>
      <c r="AH18" s="46">
        <v>268.22499999999997</v>
      </c>
      <c r="AI18" s="46">
        <v>213.685</v>
      </c>
      <c r="AJ18" s="46">
        <v>178.70400000000001</v>
      </c>
      <c r="AK18" s="46">
        <v>182.15499999999997</v>
      </c>
      <c r="AL18" s="46">
        <v>158.01400000000001</v>
      </c>
      <c r="AM18" s="46">
        <v>227.42599999999999</v>
      </c>
      <c r="AN18" s="46">
        <v>166.68599999999998</v>
      </c>
      <c r="AO18" s="46">
        <v>191.82899999999998</v>
      </c>
      <c r="AP18" s="46">
        <v>244.75999999999996</v>
      </c>
      <c r="AQ18" s="46">
        <v>257.85599999999994</v>
      </c>
      <c r="AR18" s="46">
        <f t="shared" si="0"/>
        <v>212.63306451612905</v>
      </c>
      <c r="AS18" s="7">
        <f t="shared" si="1"/>
        <v>11.191213921901529</v>
      </c>
    </row>
    <row r="19" spans="1:45" x14ac:dyDescent="0.3">
      <c r="A19" s="5">
        <v>18</v>
      </c>
      <c r="B19" s="6" t="s">
        <v>9</v>
      </c>
      <c r="C19" s="10" t="s">
        <v>611</v>
      </c>
      <c r="D19" s="39" t="s">
        <v>747</v>
      </c>
      <c r="E19" s="6" t="s">
        <v>128</v>
      </c>
      <c r="F19" s="6" t="s">
        <v>12</v>
      </c>
      <c r="G19" s="6" t="s">
        <v>516</v>
      </c>
      <c r="H19" s="6" t="s">
        <v>80</v>
      </c>
      <c r="I19" s="6" t="str">
        <f t="shared" si="2"/>
        <v>15kw</v>
      </c>
      <c r="J19" s="5">
        <v>1</v>
      </c>
      <c r="K19" s="5"/>
      <c r="L19" s="94" t="s">
        <v>273</v>
      </c>
      <c r="M19" s="10">
        <v>61.65</v>
      </c>
      <c r="N19" s="46">
        <v>68.48</v>
      </c>
      <c r="O19" s="46">
        <v>61.95</v>
      </c>
      <c r="P19" s="46">
        <v>103.92999999999999</v>
      </c>
      <c r="Q19" s="46">
        <v>59.22</v>
      </c>
      <c r="R19" s="46">
        <v>92.350000000000009</v>
      </c>
      <c r="S19" s="46">
        <v>69.570000000000007</v>
      </c>
      <c r="T19" s="46">
        <v>85.121000000000009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6.9489999999999998</v>
      </c>
      <c r="AE19" s="46">
        <v>87.039999999999992</v>
      </c>
      <c r="AF19" s="46">
        <v>59.13000000000001</v>
      </c>
      <c r="AG19" s="46">
        <v>60.79</v>
      </c>
      <c r="AH19" s="46">
        <v>10.74</v>
      </c>
      <c r="AI19" s="46">
        <v>28.09</v>
      </c>
      <c r="AJ19" s="46">
        <v>34.130000000000003</v>
      </c>
      <c r="AK19" s="46">
        <v>79.41</v>
      </c>
      <c r="AL19" s="46">
        <v>68.518999999999991</v>
      </c>
      <c r="AM19" s="46">
        <v>11.63</v>
      </c>
      <c r="AN19" s="46">
        <v>0</v>
      </c>
      <c r="AO19" s="46">
        <v>21.93</v>
      </c>
      <c r="AP19" s="46">
        <v>45.451000000000001</v>
      </c>
      <c r="AQ19" s="46">
        <v>87.689999999999969</v>
      </c>
      <c r="AR19" s="46">
        <f t="shared" si="0"/>
        <v>38.831290322580649</v>
      </c>
      <c r="AS19" s="7">
        <f t="shared" si="1"/>
        <v>38.831290322580649</v>
      </c>
    </row>
    <row r="20" spans="1:45" x14ac:dyDescent="0.3">
      <c r="A20" s="5">
        <v>19</v>
      </c>
      <c r="B20" s="6" t="s">
        <v>9</v>
      </c>
      <c r="C20" s="10" t="s">
        <v>612</v>
      </c>
      <c r="D20" s="39" t="s">
        <v>755</v>
      </c>
      <c r="E20" s="6" t="s">
        <v>128</v>
      </c>
      <c r="F20" s="6" t="s">
        <v>12</v>
      </c>
      <c r="G20" s="6" t="s">
        <v>13</v>
      </c>
      <c r="H20" s="6" t="s">
        <v>35</v>
      </c>
      <c r="I20" s="6" t="str">
        <f t="shared" si="2"/>
        <v xml:space="preserve">3.3 </v>
      </c>
      <c r="J20" s="5">
        <v>8</v>
      </c>
      <c r="K20" s="5">
        <f>J20*I20</f>
        <v>26.4</v>
      </c>
      <c r="L20" s="94" t="s">
        <v>273</v>
      </c>
      <c r="M20" s="10">
        <v>197.13700000000003</v>
      </c>
      <c r="N20" s="46">
        <v>108.09500000000001</v>
      </c>
      <c r="O20" s="46">
        <v>122.85600000000001</v>
      </c>
      <c r="P20" s="46">
        <v>196.17600000000002</v>
      </c>
      <c r="Q20" s="46">
        <v>177.36600000000001</v>
      </c>
      <c r="R20" s="46">
        <v>156.78199999999998</v>
      </c>
      <c r="S20" s="46">
        <v>170.65100000000001</v>
      </c>
      <c r="T20" s="46">
        <v>137.81500000000003</v>
      </c>
      <c r="U20" s="46">
        <v>162.86100000000005</v>
      </c>
      <c r="V20" s="46">
        <v>143.58600000000004</v>
      </c>
      <c r="W20" s="46">
        <v>146.74600000000004</v>
      </c>
      <c r="X20" s="46">
        <v>86.798999999999978</v>
      </c>
      <c r="Y20" s="46">
        <v>134.96699999999996</v>
      </c>
      <c r="Z20" s="46">
        <v>82.435000000000002</v>
      </c>
      <c r="AA20" s="46">
        <v>137.98900000000003</v>
      </c>
      <c r="AB20" s="46">
        <v>127.94199999999999</v>
      </c>
      <c r="AC20" s="46">
        <v>131.97899999999998</v>
      </c>
      <c r="AD20" s="46">
        <v>191.69699999999997</v>
      </c>
      <c r="AE20" s="46">
        <v>164.24099999999999</v>
      </c>
      <c r="AF20" s="46">
        <v>191.35999999999999</v>
      </c>
      <c r="AG20" s="46">
        <v>156.441</v>
      </c>
      <c r="AH20" s="46">
        <v>180.00399999999999</v>
      </c>
      <c r="AI20" s="46">
        <v>158.70600000000007</v>
      </c>
      <c r="AJ20" s="46">
        <v>184.30600000000001</v>
      </c>
      <c r="AK20" s="46">
        <v>130.47800000000004</v>
      </c>
      <c r="AL20" s="46">
        <v>181.83099999999999</v>
      </c>
      <c r="AM20" s="46">
        <v>148.529</v>
      </c>
      <c r="AN20" s="46">
        <v>127.62799999999999</v>
      </c>
      <c r="AO20" s="46">
        <v>174.19300000000001</v>
      </c>
      <c r="AP20" s="46">
        <v>113.22999999999999</v>
      </c>
      <c r="AQ20" s="46">
        <v>209.89800000000002</v>
      </c>
      <c r="AR20" s="46">
        <f t="shared" si="0"/>
        <v>152.73303225806453</v>
      </c>
      <c r="AS20" s="7">
        <f t="shared" si="1"/>
        <v>19.091629032258066</v>
      </c>
    </row>
    <row r="21" spans="1:45" x14ac:dyDescent="0.3">
      <c r="A21" s="5">
        <v>20</v>
      </c>
      <c r="B21" s="6" t="s">
        <v>9</v>
      </c>
      <c r="C21" s="10" t="s">
        <v>612</v>
      </c>
      <c r="D21" s="39" t="s">
        <v>771</v>
      </c>
      <c r="E21" s="6" t="s">
        <v>128</v>
      </c>
      <c r="F21" s="6" t="s">
        <v>12</v>
      </c>
      <c r="G21" s="6" t="s">
        <v>40</v>
      </c>
      <c r="H21" s="6" t="s">
        <v>35</v>
      </c>
      <c r="I21" s="6" t="str">
        <f t="shared" si="2"/>
        <v xml:space="preserve">7.4 </v>
      </c>
      <c r="J21" s="5">
        <v>1</v>
      </c>
      <c r="K21" s="5">
        <f>J21*I21</f>
        <v>7.4</v>
      </c>
      <c r="L21" s="67" t="s">
        <v>160</v>
      </c>
      <c r="M21" s="46">
        <v>0</v>
      </c>
      <c r="N21" s="46">
        <v>0</v>
      </c>
      <c r="O21" s="46">
        <v>0</v>
      </c>
      <c r="P21" s="46">
        <v>33.033000000000001</v>
      </c>
      <c r="Q21" s="46">
        <v>14.148999999999999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v>0</v>
      </c>
      <c r="AQ21" s="46">
        <v>0</v>
      </c>
      <c r="AR21" s="46">
        <f t="shared" si="0"/>
        <v>1.522</v>
      </c>
      <c r="AS21" s="7">
        <f t="shared" si="1"/>
        <v>1.522</v>
      </c>
    </row>
    <row r="22" spans="1:45" x14ac:dyDescent="0.3">
      <c r="A22" s="5">
        <v>21</v>
      </c>
      <c r="B22" s="6" t="s">
        <v>9</v>
      </c>
      <c r="C22" s="10" t="s">
        <v>612</v>
      </c>
      <c r="D22" s="39" t="s">
        <v>771</v>
      </c>
      <c r="E22" s="6" t="s">
        <v>128</v>
      </c>
      <c r="F22" s="6" t="s">
        <v>12</v>
      </c>
      <c r="G22" s="6" t="s">
        <v>95</v>
      </c>
      <c r="H22" s="6" t="s">
        <v>80</v>
      </c>
      <c r="I22" s="6" t="str">
        <f t="shared" si="2"/>
        <v>12 k</v>
      </c>
      <c r="J22" s="5">
        <v>1</v>
      </c>
      <c r="K22" s="5">
        <f>J22*12</f>
        <v>12</v>
      </c>
      <c r="L22" s="67" t="s">
        <v>160</v>
      </c>
      <c r="M22" s="46">
        <v>0</v>
      </c>
      <c r="N22" s="46">
        <v>0</v>
      </c>
      <c r="O22" s="46">
        <v>0</v>
      </c>
      <c r="P22" s="46">
        <v>10.11</v>
      </c>
      <c r="Q22" s="46">
        <v>0</v>
      </c>
      <c r="R22" s="46">
        <v>7.77</v>
      </c>
      <c r="S22" s="46">
        <v>2.88</v>
      </c>
      <c r="T22" s="46">
        <v>7.85</v>
      </c>
      <c r="U22" s="46">
        <v>0</v>
      </c>
      <c r="V22" s="46">
        <v>0</v>
      </c>
      <c r="W22" s="46">
        <v>6.35</v>
      </c>
      <c r="X22" s="46">
        <v>10.89</v>
      </c>
      <c r="Y22" s="46">
        <v>0</v>
      </c>
      <c r="Z22" s="46">
        <v>0</v>
      </c>
      <c r="AA22" s="46">
        <v>0</v>
      </c>
      <c r="AB22" s="46">
        <v>12.559999999999999</v>
      </c>
      <c r="AC22" s="46">
        <v>25.049999999999997</v>
      </c>
      <c r="AD22" s="46">
        <v>14.16</v>
      </c>
      <c r="AE22" s="46">
        <v>14.98</v>
      </c>
      <c r="AF22" s="46">
        <v>15.14</v>
      </c>
      <c r="AG22" s="46">
        <v>0</v>
      </c>
      <c r="AH22" s="46">
        <v>12.350000000000001</v>
      </c>
      <c r="AI22" s="46">
        <v>17.259999999999998</v>
      </c>
      <c r="AJ22" s="46">
        <v>10.92</v>
      </c>
      <c r="AK22" s="46">
        <v>8.1999999999999993</v>
      </c>
      <c r="AL22" s="46">
        <v>28.869999999999997</v>
      </c>
      <c r="AM22" s="46">
        <v>28.05</v>
      </c>
      <c r="AN22" s="46">
        <v>7.69</v>
      </c>
      <c r="AO22" s="46">
        <v>14.43</v>
      </c>
      <c r="AP22" s="46">
        <v>11.07</v>
      </c>
      <c r="AQ22" s="46">
        <v>0</v>
      </c>
      <c r="AR22" s="46">
        <f t="shared" si="0"/>
        <v>8.5993548387096777</v>
      </c>
      <c r="AS22" s="7">
        <f t="shared" si="1"/>
        <v>8.5993548387096777</v>
      </c>
    </row>
    <row r="23" spans="1:45" x14ac:dyDescent="0.3">
      <c r="A23" s="5">
        <v>22</v>
      </c>
      <c r="B23" s="6" t="s">
        <v>9</v>
      </c>
      <c r="C23" s="10" t="s">
        <v>612</v>
      </c>
      <c r="D23" s="39" t="s">
        <v>771</v>
      </c>
      <c r="E23" s="6" t="s">
        <v>128</v>
      </c>
      <c r="F23" s="6" t="s">
        <v>12</v>
      </c>
      <c r="G23" s="6" t="s">
        <v>309</v>
      </c>
      <c r="H23" s="6" t="s">
        <v>80</v>
      </c>
      <c r="I23" s="6" t="str">
        <f t="shared" si="2"/>
        <v>15 k</v>
      </c>
      <c r="J23" s="5">
        <v>1</v>
      </c>
      <c r="K23" s="5"/>
      <c r="L23" s="67" t="s">
        <v>160</v>
      </c>
      <c r="M23" s="10">
        <v>12.7</v>
      </c>
      <c r="N23" s="46">
        <v>45.331000000000003</v>
      </c>
      <c r="O23" s="46">
        <v>30.740000000000002</v>
      </c>
      <c r="P23" s="46">
        <v>1.88</v>
      </c>
      <c r="Q23" s="46">
        <v>4.43</v>
      </c>
      <c r="R23" s="46">
        <v>51.53</v>
      </c>
      <c r="S23" s="46">
        <v>42.44</v>
      </c>
      <c r="T23" s="46">
        <v>30.21</v>
      </c>
      <c r="U23" s="46">
        <v>59.371000000000002</v>
      </c>
      <c r="V23" s="46">
        <v>37.17</v>
      </c>
      <c r="W23" s="46">
        <v>0</v>
      </c>
      <c r="X23" s="46">
        <v>10.66</v>
      </c>
      <c r="Y23" s="46">
        <v>10.51</v>
      </c>
      <c r="Z23" s="46">
        <v>15.728999999999999</v>
      </c>
      <c r="AA23" s="46">
        <v>16.361000000000001</v>
      </c>
      <c r="AB23" s="46">
        <v>24.04</v>
      </c>
      <c r="AC23" s="46">
        <v>21.978999999999999</v>
      </c>
      <c r="AD23" s="46">
        <v>0</v>
      </c>
      <c r="AE23" s="46">
        <v>0</v>
      </c>
      <c r="AF23" s="46">
        <v>38.85</v>
      </c>
      <c r="AG23" s="46">
        <v>43.879999999999995</v>
      </c>
      <c r="AH23" s="46">
        <v>39.64</v>
      </c>
      <c r="AI23" s="46">
        <v>55.798999999999999</v>
      </c>
      <c r="AJ23" s="46">
        <v>29.850000000000005</v>
      </c>
      <c r="AK23" s="46">
        <v>16.170000000000002</v>
      </c>
      <c r="AL23" s="46">
        <v>0</v>
      </c>
      <c r="AM23" s="46">
        <v>20.72</v>
      </c>
      <c r="AN23" s="46">
        <v>34.729999999999997</v>
      </c>
      <c r="AO23" s="46">
        <v>42.51</v>
      </c>
      <c r="AP23" s="46">
        <v>49.15</v>
      </c>
      <c r="AQ23" s="46">
        <v>41.030999999999999</v>
      </c>
      <c r="AR23" s="46">
        <f t="shared" si="0"/>
        <v>26.690677419354838</v>
      </c>
      <c r="AS23" s="7">
        <f t="shared" si="1"/>
        <v>26.690677419354838</v>
      </c>
    </row>
    <row r="24" spans="1:45" x14ac:dyDescent="0.3">
      <c r="A24" s="5">
        <v>23</v>
      </c>
      <c r="B24" s="6" t="s">
        <v>9</v>
      </c>
      <c r="C24" s="10" t="s">
        <v>612</v>
      </c>
      <c r="D24" s="39" t="s">
        <v>771</v>
      </c>
      <c r="E24" s="6" t="s">
        <v>128</v>
      </c>
      <c r="F24" s="6" t="s">
        <v>12</v>
      </c>
      <c r="G24" s="6" t="s">
        <v>290</v>
      </c>
      <c r="H24" s="6" t="s">
        <v>80</v>
      </c>
      <c r="I24" s="6" t="str">
        <f t="shared" si="2"/>
        <v>60 k</v>
      </c>
      <c r="J24" s="5">
        <v>1</v>
      </c>
      <c r="K24" s="5"/>
      <c r="L24" s="67" t="s">
        <v>160</v>
      </c>
      <c r="M24" s="10">
        <v>227.75</v>
      </c>
      <c r="N24" s="46">
        <v>169.2</v>
      </c>
      <c r="O24" s="46">
        <v>356.70000000000005</v>
      </c>
      <c r="P24" s="46">
        <v>228.47699999999998</v>
      </c>
      <c r="Q24" s="46">
        <v>32.325000000000003</v>
      </c>
      <c r="R24" s="46">
        <v>222.05</v>
      </c>
      <c r="S24" s="46">
        <v>302.10000000000002</v>
      </c>
      <c r="T24" s="46">
        <v>471.72399999999999</v>
      </c>
      <c r="U24" s="46">
        <v>392.99999999999994</v>
      </c>
      <c r="V24" s="46">
        <v>313.07499999999999</v>
      </c>
      <c r="W24" s="46">
        <v>160.72499999999999</v>
      </c>
      <c r="X24" s="46">
        <v>99.871999999999986</v>
      </c>
      <c r="Y24" s="46">
        <v>192.80199999999999</v>
      </c>
      <c r="Z24" s="46">
        <v>215.999</v>
      </c>
      <c r="AA24" s="46">
        <v>315.70100000000008</v>
      </c>
      <c r="AB24" s="46">
        <v>346.72599999999994</v>
      </c>
      <c r="AC24" s="46">
        <v>320.40000000000003</v>
      </c>
      <c r="AD24" s="46">
        <v>184.22699999999995</v>
      </c>
      <c r="AE24" s="46">
        <v>169.65</v>
      </c>
      <c r="AF24" s="46">
        <v>226.20099999999991</v>
      </c>
      <c r="AG24" s="46">
        <v>477.17399999999992</v>
      </c>
      <c r="AH24" s="46">
        <v>401.524</v>
      </c>
      <c r="AI24" s="46">
        <v>446.52499999999992</v>
      </c>
      <c r="AJ24" s="46">
        <v>405.42500000000001</v>
      </c>
      <c r="AK24" s="46">
        <v>138.42600000000002</v>
      </c>
      <c r="AL24" s="46">
        <v>146.84899999999999</v>
      </c>
      <c r="AM24" s="46">
        <v>418.92699999999996</v>
      </c>
      <c r="AN24" s="46">
        <v>398.27799999999991</v>
      </c>
      <c r="AO24" s="46">
        <v>486.07800000000003</v>
      </c>
      <c r="AP24" s="46">
        <v>395.5</v>
      </c>
      <c r="AQ24" s="46">
        <v>444.0499999999999</v>
      </c>
      <c r="AR24" s="46">
        <f t="shared" si="0"/>
        <v>293.78903225806448</v>
      </c>
      <c r="AS24" s="7">
        <f t="shared" si="1"/>
        <v>293.78903225806448</v>
      </c>
    </row>
    <row r="25" spans="1:45" x14ac:dyDescent="0.3">
      <c r="A25" s="5">
        <v>24</v>
      </c>
      <c r="B25" s="6" t="s">
        <v>9</v>
      </c>
      <c r="C25" s="10" t="s">
        <v>612</v>
      </c>
      <c r="D25" s="39" t="s">
        <v>771</v>
      </c>
      <c r="E25" s="6" t="s">
        <v>128</v>
      </c>
      <c r="F25" s="6" t="s">
        <v>12</v>
      </c>
      <c r="G25" s="6" t="s">
        <v>409</v>
      </c>
      <c r="H25" s="6" t="s">
        <v>80</v>
      </c>
      <c r="I25" s="6" t="str">
        <f t="shared" si="2"/>
        <v xml:space="preserve">120 </v>
      </c>
      <c r="J25" s="5">
        <v>1</v>
      </c>
      <c r="K25" s="5">
        <f>J25*I25</f>
        <v>120</v>
      </c>
      <c r="L25" s="67" t="s">
        <v>160</v>
      </c>
      <c r="M25" s="10">
        <v>237.99000000000004</v>
      </c>
      <c r="N25" s="46">
        <v>280.14999999999998</v>
      </c>
      <c r="O25" s="46">
        <v>279.15999999999997</v>
      </c>
      <c r="P25" s="46">
        <v>111.87</v>
      </c>
      <c r="Q25" s="46">
        <v>134.91</v>
      </c>
      <c r="R25" s="46">
        <v>254.49</v>
      </c>
      <c r="S25" s="46">
        <v>451.53</v>
      </c>
      <c r="T25" s="46">
        <v>319.35999999999996</v>
      </c>
      <c r="U25" s="46">
        <v>454.17999999999995</v>
      </c>
      <c r="V25" s="46">
        <v>381.13</v>
      </c>
      <c r="W25" s="46">
        <v>209.59000000000003</v>
      </c>
      <c r="X25" s="46">
        <v>87.95</v>
      </c>
      <c r="Y25" s="46">
        <v>210.77</v>
      </c>
      <c r="Z25" s="46">
        <v>168.96</v>
      </c>
      <c r="AA25" s="46">
        <v>253.83999999999997</v>
      </c>
      <c r="AB25" s="46">
        <v>282.37</v>
      </c>
      <c r="AC25" s="46">
        <v>294.36999999999995</v>
      </c>
      <c r="AD25" s="46">
        <v>154.64000000000001</v>
      </c>
      <c r="AE25" s="46">
        <v>80.139999999999986</v>
      </c>
      <c r="AF25" s="46">
        <v>299.12</v>
      </c>
      <c r="AG25" s="46">
        <v>399.15000000000003</v>
      </c>
      <c r="AH25" s="46">
        <v>416.22999999999996</v>
      </c>
      <c r="AI25" s="46">
        <v>406.15000000000003</v>
      </c>
      <c r="AJ25" s="46">
        <v>323.88</v>
      </c>
      <c r="AK25" s="46">
        <v>143.4</v>
      </c>
      <c r="AL25" s="46">
        <v>27.21</v>
      </c>
      <c r="AM25" s="46">
        <v>358.39999999999992</v>
      </c>
      <c r="AN25" s="46">
        <v>404.39000000000004</v>
      </c>
      <c r="AO25" s="46">
        <v>468.18</v>
      </c>
      <c r="AP25" s="46">
        <v>414.1699999999999</v>
      </c>
      <c r="AQ25" s="46">
        <v>432.94999999999993</v>
      </c>
      <c r="AR25" s="46">
        <f t="shared" si="0"/>
        <v>281.95580645161289</v>
      </c>
      <c r="AS25" s="7">
        <f t="shared" si="1"/>
        <v>281.95580645161289</v>
      </c>
    </row>
    <row r="26" spans="1:45" x14ac:dyDescent="0.3">
      <c r="A26" s="5">
        <v>25</v>
      </c>
      <c r="B26" s="6" t="s">
        <v>9</v>
      </c>
      <c r="C26" s="10" t="s">
        <v>614</v>
      </c>
      <c r="D26" s="39" t="s">
        <v>760</v>
      </c>
      <c r="E26" s="6" t="s">
        <v>128</v>
      </c>
      <c r="F26" s="6" t="s">
        <v>12</v>
      </c>
      <c r="G26" s="6" t="s">
        <v>13</v>
      </c>
      <c r="H26" s="6" t="s">
        <v>35</v>
      </c>
      <c r="I26" s="6" t="str">
        <f t="shared" si="2"/>
        <v xml:space="preserve">3.3 </v>
      </c>
      <c r="J26" s="5">
        <v>7</v>
      </c>
      <c r="K26" s="5">
        <f>J26*I26</f>
        <v>23.099999999999998</v>
      </c>
      <c r="L26" s="94" t="s">
        <v>273</v>
      </c>
      <c r="M26" s="10">
        <v>34.646000000000001</v>
      </c>
      <c r="N26" s="46">
        <v>163.92099999999999</v>
      </c>
      <c r="O26" s="46">
        <v>126.964</v>
      </c>
      <c r="P26" s="46">
        <v>135.75299999999999</v>
      </c>
      <c r="Q26" s="46">
        <v>165.10599999999997</v>
      </c>
      <c r="R26" s="46">
        <v>96.382999999999996</v>
      </c>
      <c r="S26" s="46">
        <v>139.19199999999998</v>
      </c>
      <c r="T26" s="46">
        <v>112.245</v>
      </c>
      <c r="U26" s="46">
        <v>109.11499999999999</v>
      </c>
      <c r="V26" s="46">
        <v>117.836</v>
      </c>
      <c r="W26" s="46">
        <v>91.846000000000004</v>
      </c>
      <c r="X26" s="46">
        <v>90.448999999999998</v>
      </c>
      <c r="Y26" s="46">
        <v>133.53199999999998</v>
      </c>
      <c r="Z26" s="46">
        <v>51.187000000000005</v>
      </c>
      <c r="AA26" s="46">
        <v>107.26600000000002</v>
      </c>
      <c r="AB26" s="46">
        <v>85.540999999999997</v>
      </c>
      <c r="AC26" s="46">
        <v>107.71900000000001</v>
      </c>
      <c r="AD26" s="46">
        <v>95.907000000000011</v>
      </c>
      <c r="AE26" s="46">
        <v>125.038</v>
      </c>
      <c r="AF26" s="46">
        <v>152.40799999999999</v>
      </c>
      <c r="AG26" s="46">
        <v>134.99700000000001</v>
      </c>
      <c r="AH26" s="46">
        <v>158.44299999999998</v>
      </c>
      <c r="AI26" s="46">
        <v>181.36800000000002</v>
      </c>
      <c r="AJ26" s="46">
        <v>161.59</v>
      </c>
      <c r="AK26" s="46">
        <v>137.155</v>
      </c>
      <c r="AL26" s="46">
        <v>207.26499999999996</v>
      </c>
      <c r="AM26" s="46">
        <v>131.405</v>
      </c>
      <c r="AN26" s="46">
        <v>148.62</v>
      </c>
      <c r="AO26" s="46">
        <v>108.23400000000001</v>
      </c>
      <c r="AP26" s="46">
        <v>190.74200000000002</v>
      </c>
      <c r="AQ26" s="46">
        <v>193.60900000000004</v>
      </c>
      <c r="AR26" s="46">
        <f t="shared" si="0"/>
        <v>128.88651612903226</v>
      </c>
      <c r="AS26" s="7">
        <f t="shared" si="1"/>
        <v>18.412359447004608</v>
      </c>
    </row>
    <row r="27" spans="1:45" x14ac:dyDescent="0.3">
      <c r="A27" s="5">
        <v>26</v>
      </c>
      <c r="B27" s="6" t="s">
        <v>9</v>
      </c>
      <c r="C27" s="10" t="s">
        <v>613</v>
      </c>
      <c r="D27" s="39" t="s">
        <v>742</v>
      </c>
      <c r="E27" s="6" t="s">
        <v>128</v>
      </c>
      <c r="F27" s="6" t="s">
        <v>12</v>
      </c>
      <c r="G27" s="6" t="s">
        <v>13</v>
      </c>
      <c r="H27" s="6" t="s">
        <v>35</v>
      </c>
      <c r="I27" s="6" t="str">
        <f t="shared" si="2"/>
        <v xml:space="preserve">3.3 </v>
      </c>
      <c r="J27" s="5">
        <v>1</v>
      </c>
      <c r="K27" s="5">
        <f>J27*I27</f>
        <v>3.3</v>
      </c>
      <c r="L27" s="67" t="s">
        <v>160</v>
      </c>
      <c r="M27" s="10">
        <v>7.2910000000000004</v>
      </c>
      <c r="N27" s="46">
        <v>1.2329999999999999</v>
      </c>
      <c r="O27" s="46">
        <v>13.481999999999999</v>
      </c>
      <c r="P27" s="46">
        <v>13.291</v>
      </c>
      <c r="Q27" s="46">
        <v>1.4609999999999999</v>
      </c>
      <c r="R27" s="46">
        <v>12.169</v>
      </c>
      <c r="S27" s="46">
        <v>14.670999999999999</v>
      </c>
      <c r="T27" s="46">
        <v>10.559000000000001</v>
      </c>
      <c r="U27" s="46">
        <v>8.5239999999999991</v>
      </c>
      <c r="V27" s="46">
        <v>6.8380000000000001</v>
      </c>
      <c r="W27" s="46">
        <v>2.726</v>
      </c>
      <c r="X27" s="46">
        <v>11.540000000000001</v>
      </c>
      <c r="Y27" s="46">
        <v>6.7559999999999993</v>
      </c>
      <c r="Z27" s="46">
        <v>3.9129999999999994</v>
      </c>
      <c r="AA27" s="46">
        <v>6.4640000000000004</v>
      </c>
      <c r="AB27" s="46">
        <v>13.444000000000001</v>
      </c>
      <c r="AC27" s="46">
        <v>13.063000000000001</v>
      </c>
      <c r="AD27" s="46">
        <v>14.88</v>
      </c>
      <c r="AE27" s="46">
        <v>10.952999999999999</v>
      </c>
      <c r="AF27" s="46">
        <v>8.7129999999999992</v>
      </c>
      <c r="AG27" s="46">
        <v>7.3239999999999998</v>
      </c>
      <c r="AH27" s="46">
        <v>1.3330000000000002</v>
      </c>
      <c r="AI27" s="46">
        <v>5.0939999999999994</v>
      </c>
      <c r="AJ27" s="46">
        <v>2.3090000000000002</v>
      </c>
      <c r="AK27" s="46">
        <v>9.6079999999999988</v>
      </c>
      <c r="AL27" s="46">
        <v>0</v>
      </c>
      <c r="AM27" s="46">
        <v>2.532</v>
      </c>
      <c r="AN27" s="46">
        <v>7.7679999999999998</v>
      </c>
      <c r="AO27" s="46">
        <v>11.036000000000001</v>
      </c>
      <c r="AP27" s="46">
        <v>5.835</v>
      </c>
      <c r="AQ27" s="46">
        <v>10.114000000000001</v>
      </c>
      <c r="AR27" s="46">
        <f t="shared" si="0"/>
        <v>7.9007741935483873</v>
      </c>
      <c r="AS27" s="7">
        <f t="shared" si="1"/>
        <v>7.9007741935483873</v>
      </c>
    </row>
    <row r="28" spans="1:45" x14ac:dyDescent="0.3">
      <c r="A28" s="5">
        <v>27</v>
      </c>
      <c r="B28" s="6" t="s">
        <v>9</v>
      </c>
      <c r="C28" s="10" t="s">
        <v>613</v>
      </c>
      <c r="D28" s="39" t="s">
        <v>742</v>
      </c>
      <c r="E28" s="6" t="s">
        <v>128</v>
      </c>
      <c r="F28" s="6" t="s">
        <v>12</v>
      </c>
      <c r="G28" s="6" t="s">
        <v>40</v>
      </c>
      <c r="H28" s="6" t="s">
        <v>35</v>
      </c>
      <c r="I28" s="6" t="str">
        <f t="shared" si="2"/>
        <v xml:space="preserve">7.4 </v>
      </c>
      <c r="J28" s="5">
        <v>1</v>
      </c>
      <c r="K28" s="5">
        <f>J28*I28</f>
        <v>7.4</v>
      </c>
      <c r="L28" s="67" t="s">
        <v>160</v>
      </c>
      <c r="M28" s="10">
        <v>3.6309999999999998</v>
      </c>
      <c r="N28" s="46">
        <v>3.5750000000000002</v>
      </c>
      <c r="O28" s="46">
        <v>0</v>
      </c>
      <c r="P28" s="46">
        <v>0</v>
      </c>
      <c r="Q28" s="46">
        <v>0</v>
      </c>
      <c r="R28" s="46">
        <v>1.6419999999999999</v>
      </c>
      <c r="S28" s="46">
        <v>46.704000000000001</v>
      </c>
      <c r="T28" s="46">
        <v>18.003</v>
      </c>
      <c r="U28" s="46">
        <v>23.933999999999997</v>
      </c>
      <c r="V28" s="46">
        <v>25.531999999999996</v>
      </c>
      <c r="W28" s="46">
        <v>13.48</v>
      </c>
      <c r="X28" s="46">
        <v>0</v>
      </c>
      <c r="Y28" s="46">
        <v>26.629000000000001</v>
      </c>
      <c r="Z28" s="46">
        <v>13.783999999999999</v>
      </c>
      <c r="AA28" s="46">
        <v>38.525000000000006</v>
      </c>
      <c r="AB28" s="46">
        <v>12.877000000000001</v>
      </c>
      <c r="AC28" s="46">
        <v>22.718999999999998</v>
      </c>
      <c r="AD28" s="46">
        <v>19.841999999999999</v>
      </c>
      <c r="AE28" s="46">
        <v>0</v>
      </c>
      <c r="AF28" s="46">
        <v>1.595</v>
      </c>
      <c r="AG28" s="46">
        <v>48.076999999999991</v>
      </c>
      <c r="AH28" s="46">
        <v>13.248000000000001</v>
      </c>
      <c r="AI28" s="46">
        <v>27.934999999999999</v>
      </c>
      <c r="AJ28" s="46">
        <v>0.57099999999999995</v>
      </c>
      <c r="AK28" s="46">
        <v>1.0449999999999999</v>
      </c>
      <c r="AL28" s="46">
        <v>9.0370000000000008</v>
      </c>
      <c r="AM28" s="46">
        <v>4.3650000000000002</v>
      </c>
      <c r="AN28" s="46">
        <v>37.741</v>
      </c>
      <c r="AO28" s="46">
        <v>0</v>
      </c>
      <c r="AP28" s="46">
        <v>0.84499999999999997</v>
      </c>
      <c r="AQ28" s="46">
        <v>30.631</v>
      </c>
      <c r="AR28" s="46">
        <f t="shared" si="0"/>
        <v>14.386032258064519</v>
      </c>
      <c r="AS28" s="7">
        <f t="shared" si="1"/>
        <v>14.386032258064519</v>
      </c>
    </row>
    <row r="29" spans="1:45" x14ac:dyDescent="0.3">
      <c r="A29" s="5">
        <v>28</v>
      </c>
      <c r="B29" s="6" t="s">
        <v>9</v>
      </c>
      <c r="C29" s="10" t="s">
        <v>613</v>
      </c>
      <c r="D29" s="39" t="s">
        <v>742</v>
      </c>
      <c r="E29" s="6" t="s">
        <v>128</v>
      </c>
      <c r="F29" s="6" t="s">
        <v>12</v>
      </c>
      <c r="G29" s="6" t="s">
        <v>124</v>
      </c>
      <c r="H29" s="6" t="s">
        <v>80</v>
      </c>
      <c r="I29" s="6" t="str">
        <f t="shared" si="2"/>
        <v>12kW</v>
      </c>
      <c r="J29" s="5">
        <v>1</v>
      </c>
      <c r="K29" s="5">
        <f>J29*12</f>
        <v>12</v>
      </c>
      <c r="L29" s="67" t="s">
        <v>160</v>
      </c>
      <c r="M29" s="10">
        <v>22.849999999999998</v>
      </c>
      <c r="N29" s="46">
        <v>16.86</v>
      </c>
      <c r="O29" s="46">
        <v>44.89</v>
      </c>
      <c r="P29" s="46">
        <v>19.829999999999998</v>
      </c>
      <c r="Q29" s="46">
        <v>0</v>
      </c>
      <c r="R29" s="46">
        <v>0</v>
      </c>
      <c r="S29" s="46">
        <v>16.12</v>
      </c>
      <c r="T29" s="46">
        <v>33.480000000000004</v>
      </c>
      <c r="U29" s="46">
        <v>25.8</v>
      </c>
      <c r="V29" s="46">
        <v>30.57</v>
      </c>
      <c r="W29" s="46">
        <v>32.770000000000003</v>
      </c>
      <c r="X29" s="46">
        <v>51.89</v>
      </c>
      <c r="Y29" s="46">
        <v>8.6999999999999993</v>
      </c>
      <c r="Z29" s="46">
        <v>0</v>
      </c>
      <c r="AA29" s="46">
        <v>0</v>
      </c>
      <c r="AB29" s="46">
        <v>33.269999999999996</v>
      </c>
      <c r="AC29" s="46">
        <v>52.759999999999991</v>
      </c>
      <c r="AD29" s="46">
        <v>48.600999999999999</v>
      </c>
      <c r="AE29" s="46">
        <v>8.82</v>
      </c>
      <c r="AF29" s="46">
        <v>0</v>
      </c>
      <c r="AG29" s="46">
        <v>32.059999999999995</v>
      </c>
      <c r="AH29" s="46">
        <v>0.02</v>
      </c>
      <c r="AI29" s="46">
        <v>32.03</v>
      </c>
      <c r="AJ29" s="46">
        <v>61.25</v>
      </c>
      <c r="AK29" s="46">
        <v>26.29</v>
      </c>
      <c r="AL29" s="46">
        <v>0</v>
      </c>
      <c r="AM29" s="46">
        <v>0</v>
      </c>
      <c r="AN29" s="46">
        <v>16.099999999999998</v>
      </c>
      <c r="AO29" s="46">
        <v>31.360000000000003</v>
      </c>
      <c r="AP29" s="46">
        <v>0.04</v>
      </c>
      <c r="AQ29" s="46">
        <v>0</v>
      </c>
      <c r="AR29" s="46">
        <f t="shared" si="0"/>
        <v>20.850354838709674</v>
      </c>
      <c r="AS29" s="7">
        <f t="shared" si="1"/>
        <v>20.850354838709674</v>
      </c>
    </row>
    <row r="30" spans="1:45" x14ac:dyDescent="0.3">
      <c r="A30" s="5">
        <v>29</v>
      </c>
      <c r="B30" s="6" t="s">
        <v>9</v>
      </c>
      <c r="C30" s="10" t="s">
        <v>613</v>
      </c>
      <c r="D30" s="39" t="s">
        <v>742</v>
      </c>
      <c r="E30" s="6" t="s">
        <v>128</v>
      </c>
      <c r="F30" s="6" t="s">
        <v>12</v>
      </c>
      <c r="G30" s="6" t="s">
        <v>251</v>
      </c>
      <c r="H30" s="6" t="s">
        <v>80</v>
      </c>
      <c r="I30" s="6" t="str">
        <f t="shared" si="2"/>
        <v>25 k</v>
      </c>
      <c r="J30" s="5">
        <v>2</v>
      </c>
      <c r="K30" s="5"/>
      <c r="L30" s="67" t="s">
        <v>160</v>
      </c>
      <c r="M30" s="10">
        <v>134.81900000000002</v>
      </c>
      <c r="N30" s="46">
        <v>77.438000000000002</v>
      </c>
      <c r="O30" s="46">
        <v>128.881</v>
      </c>
      <c r="P30" s="46">
        <v>106.10400000000001</v>
      </c>
      <c r="Q30" s="46">
        <v>84.8</v>
      </c>
      <c r="R30" s="46">
        <v>100.92399999999999</v>
      </c>
      <c r="S30" s="46">
        <v>172.01600000000002</v>
      </c>
      <c r="T30" s="46">
        <v>158.73999999999998</v>
      </c>
      <c r="U30" s="46">
        <v>122.68399999999998</v>
      </c>
      <c r="V30" s="46">
        <v>157.08199999999999</v>
      </c>
      <c r="W30" s="46">
        <v>141.52499999999998</v>
      </c>
      <c r="X30" s="46">
        <v>95.513000000000005</v>
      </c>
      <c r="Y30" s="46">
        <v>85.137</v>
      </c>
      <c r="Z30" s="46">
        <v>130.75399999999999</v>
      </c>
      <c r="AA30" s="46">
        <v>145.39400000000001</v>
      </c>
      <c r="AB30" s="46">
        <v>129.238</v>
      </c>
      <c r="AC30" s="46">
        <v>148.47399999999999</v>
      </c>
      <c r="AD30" s="46">
        <v>192.63200000000001</v>
      </c>
      <c r="AE30" s="46">
        <v>98.411000000000001</v>
      </c>
      <c r="AF30" s="46">
        <v>122.515</v>
      </c>
      <c r="AG30" s="46">
        <v>128.803</v>
      </c>
      <c r="AH30" s="46">
        <v>133.20600000000002</v>
      </c>
      <c r="AI30" s="46">
        <v>194.84900000000005</v>
      </c>
      <c r="AJ30" s="46">
        <v>125.965</v>
      </c>
      <c r="AK30" s="46">
        <v>301.83599999999996</v>
      </c>
      <c r="AL30" s="46">
        <v>66.355000000000004</v>
      </c>
      <c r="AM30" s="46">
        <v>128.83799999999999</v>
      </c>
      <c r="AN30" s="46">
        <v>84.528000000000006</v>
      </c>
      <c r="AO30" s="46">
        <v>85.670999999999992</v>
      </c>
      <c r="AP30" s="46">
        <v>241.857</v>
      </c>
      <c r="AQ30" s="46">
        <v>43.091000000000001</v>
      </c>
      <c r="AR30" s="46">
        <f t="shared" si="0"/>
        <v>131.22838709677418</v>
      </c>
      <c r="AS30" s="7">
        <f t="shared" si="1"/>
        <v>65.614193548387092</v>
      </c>
    </row>
    <row r="31" spans="1:45" x14ac:dyDescent="0.3">
      <c r="A31" s="5">
        <v>30</v>
      </c>
      <c r="B31" s="6" t="s">
        <v>9</v>
      </c>
      <c r="C31" s="10" t="s">
        <v>615</v>
      </c>
      <c r="D31" s="39" t="s">
        <v>770</v>
      </c>
      <c r="E31" s="6" t="s">
        <v>128</v>
      </c>
      <c r="F31" s="6" t="s">
        <v>12</v>
      </c>
      <c r="G31" s="6" t="s">
        <v>13</v>
      </c>
      <c r="H31" s="6" t="s">
        <v>35</v>
      </c>
      <c r="I31" s="6" t="str">
        <f t="shared" si="2"/>
        <v xml:space="preserve">3.3 </v>
      </c>
      <c r="J31" s="5">
        <v>9</v>
      </c>
      <c r="K31" s="5">
        <f t="shared" ref="K31:K36" si="3">J31*I31</f>
        <v>29.7</v>
      </c>
      <c r="L31" s="94" t="s">
        <v>273</v>
      </c>
      <c r="M31" s="10">
        <v>195.75799999999998</v>
      </c>
      <c r="N31" s="46">
        <v>126.71300000000001</v>
      </c>
      <c r="O31" s="46">
        <v>180.13700000000003</v>
      </c>
      <c r="P31" s="46">
        <v>196.52300000000002</v>
      </c>
      <c r="Q31" s="46">
        <v>179.09400000000002</v>
      </c>
      <c r="R31" s="46">
        <v>152.52600000000001</v>
      </c>
      <c r="S31" s="46">
        <v>183.32899999999998</v>
      </c>
      <c r="T31" s="46">
        <v>209.67400000000001</v>
      </c>
      <c r="U31" s="46">
        <v>154.97999999999999</v>
      </c>
      <c r="V31" s="46">
        <v>183.73100000000002</v>
      </c>
      <c r="W31" s="46">
        <v>192.79800000000003</v>
      </c>
      <c r="X31" s="46">
        <v>186.44100000000003</v>
      </c>
      <c r="Y31" s="46">
        <v>151.24800000000002</v>
      </c>
      <c r="Z31" s="46">
        <v>176.20299999999997</v>
      </c>
      <c r="AA31" s="46">
        <v>3.1</v>
      </c>
      <c r="AB31" s="46">
        <v>125.02600000000002</v>
      </c>
      <c r="AC31" s="46">
        <v>148.40700000000004</v>
      </c>
      <c r="AD31" s="46">
        <v>195.05500000000006</v>
      </c>
      <c r="AE31" s="46">
        <v>189.21800000000002</v>
      </c>
      <c r="AF31" s="46">
        <v>154.98100000000005</v>
      </c>
      <c r="AG31" s="46">
        <v>225.67800000000005</v>
      </c>
      <c r="AH31" s="46">
        <v>147.72400000000005</v>
      </c>
      <c r="AI31" s="46">
        <v>124.43800000000003</v>
      </c>
      <c r="AJ31" s="46">
        <v>192.41199999999998</v>
      </c>
      <c r="AK31" s="46">
        <v>140.44599999999997</v>
      </c>
      <c r="AL31" s="46">
        <v>183.52</v>
      </c>
      <c r="AM31" s="46">
        <v>185.33400000000006</v>
      </c>
      <c r="AN31" s="46">
        <v>151.50400000000002</v>
      </c>
      <c r="AO31" s="46">
        <v>177.89700000000002</v>
      </c>
      <c r="AP31" s="46">
        <v>175.96200000000002</v>
      </c>
      <c r="AQ31" s="46">
        <v>180.27799999999999</v>
      </c>
      <c r="AR31" s="46">
        <f t="shared" si="0"/>
        <v>166.77854838709681</v>
      </c>
      <c r="AS31" s="7">
        <f t="shared" si="1"/>
        <v>18.530949820788535</v>
      </c>
    </row>
    <row r="32" spans="1:45" ht="14.25" customHeight="1" x14ac:dyDescent="0.3">
      <c r="A32" s="5">
        <v>31</v>
      </c>
      <c r="B32" s="6" t="s">
        <v>9</v>
      </c>
      <c r="C32" s="10" t="s">
        <v>615</v>
      </c>
      <c r="D32" s="39" t="s">
        <v>770</v>
      </c>
      <c r="E32" s="6" t="s">
        <v>128</v>
      </c>
      <c r="F32" s="6" t="s">
        <v>12</v>
      </c>
      <c r="G32" s="6" t="s">
        <v>309</v>
      </c>
      <c r="H32" s="6" t="s">
        <v>80</v>
      </c>
      <c r="I32" s="6" t="str">
        <f t="shared" si="2"/>
        <v>15 k</v>
      </c>
      <c r="J32" s="5">
        <v>1</v>
      </c>
      <c r="K32" s="5" t="e">
        <f t="shared" si="3"/>
        <v>#VALUE!</v>
      </c>
      <c r="L32" s="94" t="s">
        <v>273</v>
      </c>
      <c r="M32" s="10">
        <v>10.059999999999999</v>
      </c>
      <c r="N32" s="46">
        <v>30.83</v>
      </c>
      <c r="O32" s="46">
        <v>25.63</v>
      </c>
      <c r="P32" s="46">
        <v>20.48</v>
      </c>
      <c r="Q32" s="46">
        <v>29.7</v>
      </c>
      <c r="R32" s="46">
        <v>15.71</v>
      </c>
      <c r="S32" s="46">
        <v>18.52</v>
      </c>
      <c r="T32" s="46">
        <v>31.950000000000003</v>
      </c>
      <c r="U32" s="46">
        <v>23.92</v>
      </c>
      <c r="V32" s="46">
        <v>17.239999999999998</v>
      </c>
      <c r="W32" s="46">
        <v>5.25</v>
      </c>
      <c r="X32" s="46">
        <v>7.18</v>
      </c>
      <c r="Y32" s="46">
        <v>1.38</v>
      </c>
      <c r="Z32" s="46">
        <v>0</v>
      </c>
      <c r="AA32" s="46">
        <v>0</v>
      </c>
      <c r="AB32" s="46">
        <v>0</v>
      </c>
      <c r="AC32" s="46">
        <v>2.0999999999999996</v>
      </c>
      <c r="AD32" s="46">
        <v>3.74</v>
      </c>
      <c r="AE32" s="46">
        <v>9.17</v>
      </c>
      <c r="AF32" s="46">
        <v>0</v>
      </c>
      <c r="AG32" s="46">
        <v>0</v>
      </c>
      <c r="AH32" s="46">
        <v>5.62</v>
      </c>
      <c r="AI32" s="46">
        <v>5.4399999999999995</v>
      </c>
      <c r="AJ32" s="46">
        <v>3.1199999999999997</v>
      </c>
      <c r="AK32" s="46">
        <v>9.82</v>
      </c>
      <c r="AL32" s="46">
        <v>11.68</v>
      </c>
      <c r="AM32" s="46">
        <v>5.63</v>
      </c>
      <c r="AN32" s="46">
        <v>2.5299999999999998</v>
      </c>
      <c r="AO32" s="46">
        <v>5.85</v>
      </c>
      <c r="AP32" s="46">
        <v>5.12</v>
      </c>
      <c r="AQ32" s="46">
        <v>4.9000000000000004</v>
      </c>
      <c r="AR32" s="46">
        <f t="shared" si="0"/>
        <v>10.082903225806451</v>
      </c>
      <c r="AS32" s="7">
        <f t="shared" si="1"/>
        <v>10.082903225806451</v>
      </c>
    </row>
    <row r="33" spans="1:45" x14ac:dyDescent="0.3">
      <c r="A33" s="5">
        <v>32</v>
      </c>
      <c r="B33" s="6" t="s">
        <v>9</v>
      </c>
      <c r="C33" s="10" t="s">
        <v>616</v>
      </c>
      <c r="D33" s="39" t="s">
        <v>748</v>
      </c>
      <c r="E33" s="6" t="s">
        <v>128</v>
      </c>
      <c r="F33" s="6" t="s">
        <v>12</v>
      </c>
      <c r="G33" s="6" t="s">
        <v>13</v>
      </c>
      <c r="H33" s="6" t="s">
        <v>35</v>
      </c>
      <c r="I33" s="6" t="str">
        <f t="shared" si="2"/>
        <v xml:space="preserve">3.3 </v>
      </c>
      <c r="J33" s="5">
        <v>8</v>
      </c>
      <c r="K33" s="5">
        <f t="shared" si="3"/>
        <v>26.4</v>
      </c>
      <c r="L33" s="94" t="s">
        <v>273</v>
      </c>
      <c r="M33" s="10">
        <v>38.042999999999999</v>
      </c>
      <c r="N33" s="46">
        <v>87.667000000000016</v>
      </c>
      <c r="O33" s="46">
        <v>107.60899999999999</v>
      </c>
      <c r="P33" s="46">
        <v>65.012</v>
      </c>
      <c r="Q33" s="46">
        <v>118.73499999999999</v>
      </c>
      <c r="R33" s="46">
        <v>69.424999999999997</v>
      </c>
      <c r="S33" s="46">
        <v>123.31700000000001</v>
      </c>
      <c r="T33" s="46">
        <v>92.438000000000017</v>
      </c>
      <c r="U33" s="46">
        <v>92.675000000000011</v>
      </c>
      <c r="V33" s="46">
        <v>106.00900000000001</v>
      </c>
      <c r="W33" s="46">
        <v>87.738000000000014</v>
      </c>
      <c r="X33" s="46">
        <v>101.42699999999999</v>
      </c>
      <c r="Y33" s="46">
        <v>76.521000000000001</v>
      </c>
      <c r="Z33" s="46">
        <v>62.959000000000003</v>
      </c>
      <c r="AA33" s="46">
        <v>24.89</v>
      </c>
      <c r="AB33" s="46">
        <v>70.992999999999995</v>
      </c>
      <c r="AC33" s="46">
        <v>91.328000000000003</v>
      </c>
      <c r="AD33" s="46">
        <v>90.495000000000005</v>
      </c>
      <c r="AE33" s="46">
        <v>62.550999999999995</v>
      </c>
      <c r="AF33" s="46">
        <v>120.57699999999997</v>
      </c>
      <c r="AG33" s="46">
        <v>105.48400000000001</v>
      </c>
      <c r="AH33" s="46">
        <v>68.657000000000011</v>
      </c>
      <c r="AI33" s="46">
        <v>117.39600000000002</v>
      </c>
      <c r="AJ33" s="46">
        <v>108.38299999999998</v>
      </c>
      <c r="AK33" s="46">
        <v>109.70600000000002</v>
      </c>
      <c r="AL33" s="46">
        <v>75.097999999999985</v>
      </c>
      <c r="AM33" s="46">
        <v>118.66800000000001</v>
      </c>
      <c r="AN33" s="46">
        <v>116.06699999999996</v>
      </c>
      <c r="AO33" s="46">
        <v>93.516000000000005</v>
      </c>
      <c r="AP33" s="46">
        <v>125.87400000000001</v>
      </c>
      <c r="AQ33" s="46">
        <v>89.542000000000002</v>
      </c>
      <c r="AR33" s="46">
        <f t="shared" si="0"/>
        <v>90.92903225806451</v>
      </c>
      <c r="AS33" s="7">
        <f t="shared" si="1"/>
        <v>11.366129032258064</v>
      </c>
    </row>
    <row r="34" spans="1:45" ht="13.5" customHeight="1" x14ac:dyDescent="0.3">
      <c r="A34" s="5">
        <v>33</v>
      </c>
      <c r="B34" s="6" t="s">
        <v>9</v>
      </c>
      <c r="C34" s="10" t="s">
        <v>616</v>
      </c>
      <c r="D34" s="39" t="s">
        <v>748</v>
      </c>
      <c r="E34" s="6" t="s">
        <v>128</v>
      </c>
      <c r="F34" s="6" t="s">
        <v>12</v>
      </c>
      <c r="G34" s="6" t="s">
        <v>40</v>
      </c>
      <c r="H34" s="6" t="s">
        <v>35</v>
      </c>
      <c r="I34" s="6" t="str">
        <f t="shared" si="2"/>
        <v xml:space="preserve">7.4 </v>
      </c>
      <c r="J34" s="5">
        <v>2</v>
      </c>
      <c r="K34" s="5">
        <f t="shared" si="3"/>
        <v>14.8</v>
      </c>
      <c r="L34" s="94" t="s">
        <v>273</v>
      </c>
      <c r="M34" s="46">
        <v>0</v>
      </c>
      <c r="N34" s="46">
        <v>0</v>
      </c>
      <c r="O34" s="46">
        <v>0</v>
      </c>
      <c r="P34" s="46">
        <v>0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>
        <v>0</v>
      </c>
      <c r="AO34" s="46">
        <v>0</v>
      </c>
      <c r="AP34" s="46">
        <v>0</v>
      </c>
      <c r="AQ34" s="46">
        <v>0</v>
      </c>
      <c r="AR34" s="46">
        <f t="shared" ref="AR34:AR65" si="4">AVERAGE(M34:AQ34)</f>
        <v>0</v>
      </c>
      <c r="AS34" s="7">
        <f t="shared" ref="AS34:AS65" si="5">AR34/J34</f>
        <v>0</v>
      </c>
    </row>
    <row r="35" spans="1:45" ht="15.75" customHeight="1" x14ac:dyDescent="0.3">
      <c r="A35" s="5">
        <v>34</v>
      </c>
      <c r="B35" s="6" t="s">
        <v>9</v>
      </c>
      <c r="C35" s="10" t="s">
        <v>617</v>
      </c>
      <c r="D35" s="39" t="s">
        <v>722</v>
      </c>
      <c r="E35" s="6" t="s">
        <v>128</v>
      </c>
      <c r="F35" s="6" t="s">
        <v>12</v>
      </c>
      <c r="G35" s="6" t="s">
        <v>13</v>
      </c>
      <c r="H35" s="6" t="s">
        <v>35</v>
      </c>
      <c r="I35" s="6" t="str">
        <f t="shared" si="2"/>
        <v xml:space="preserve">3.3 </v>
      </c>
      <c r="J35" s="5">
        <v>2</v>
      </c>
      <c r="K35" s="5">
        <f t="shared" si="3"/>
        <v>6.6</v>
      </c>
      <c r="L35" s="12" t="s">
        <v>589</v>
      </c>
      <c r="M35" s="10">
        <v>8.34</v>
      </c>
      <c r="N35" s="46">
        <v>10.747</v>
      </c>
      <c r="O35" s="46">
        <v>11.548999999999999</v>
      </c>
      <c r="P35" s="46">
        <v>16.987000000000002</v>
      </c>
      <c r="Q35" s="46">
        <v>9.2689999999999984</v>
      </c>
      <c r="R35" s="46">
        <v>13.154</v>
      </c>
      <c r="S35" s="46">
        <v>1.89</v>
      </c>
      <c r="T35" s="46">
        <v>12.931999999999999</v>
      </c>
      <c r="U35" s="46">
        <v>12.478000000000002</v>
      </c>
      <c r="V35" s="46">
        <v>8.7419999999999991</v>
      </c>
      <c r="W35" s="46">
        <v>8.2919999999999998</v>
      </c>
      <c r="X35" s="46">
        <v>0</v>
      </c>
      <c r="Y35" s="46">
        <v>7.9360000000000008</v>
      </c>
      <c r="Z35" s="46">
        <v>5.5380000000000003</v>
      </c>
      <c r="AA35" s="46">
        <v>10.097999999999999</v>
      </c>
      <c r="AB35" s="46">
        <v>2.4710000000000001</v>
      </c>
      <c r="AC35" s="46">
        <v>9.9550000000000001</v>
      </c>
      <c r="AD35" s="46">
        <v>11.978</v>
      </c>
      <c r="AE35" s="46">
        <v>7.4909999999999997</v>
      </c>
      <c r="AF35" s="46">
        <v>16.399999999999999</v>
      </c>
      <c r="AG35" s="46">
        <v>16.141999999999999</v>
      </c>
      <c r="AH35" s="46">
        <v>23.507000000000001</v>
      </c>
      <c r="AI35" s="46">
        <v>12.156000000000001</v>
      </c>
      <c r="AJ35" s="46">
        <v>10.597</v>
      </c>
      <c r="AK35" s="46">
        <v>8.2560000000000002</v>
      </c>
      <c r="AL35" s="46">
        <v>14.375000000000002</v>
      </c>
      <c r="AM35" s="46">
        <v>23.77</v>
      </c>
      <c r="AN35" s="46">
        <v>8.1809999999999992</v>
      </c>
      <c r="AO35" s="46">
        <v>21.664999999999999</v>
      </c>
      <c r="AP35" s="46">
        <v>12.904999999999999</v>
      </c>
      <c r="AQ35" s="46">
        <v>1.0960000000000001</v>
      </c>
      <c r="AR35" s="46">
        <f t="shared" si="4"/>
        <v>10.932161290322583</v>
      </c>
      <c r="AS35" s="7">
        <f t="shared" si="5"/>
        <v>5.4660806451612913</v>
      </c>
    </row>
    <row r="36" spans="1:45" x14ac:dyDescent="0.3">
      <c r="A36" s="5">
        <v>35</v>
      </c>
      <c r="B36" s="6" t="s">
        <v>9</v>
      </c>
      <c r="C36" s="10" t="s">
        <v>618</v>
      </c>
      <c r="D36" s="39" t="s">
        <v>762</v>
      </c>
      <c r="E36" s="6" t="s">
        <v>128</v>
      </c>
      <c r="F36" s="6" t="s">
        <v>12</v>
      </c>
      <c r="G36" s="6" t="s">
        <v>13</v>
      </c>
      <c r="H36" s="6" t="s">
        <v>35</v>
      </c>
      <c r="I36" s="6" t="str">
        <f t="shared" si="2"/>
        <v xml:space="preserve">3.3 </v>
      </c>
      <c r="J36" s="5">
        <v>11</v>
      </c>
      <c r="K36" s="5">
        <f t="shared" si="3"/>
        <v>36.299999999999997</v>
      </c>
      <c r="L36" s="94" t="s">
        <v>273</v>
      </c>
      <c r="M36" s="10">
        <v>168.37599999999995</v>
      </c>
      <c r="N36" s="46">
        <v>80.819000000000003</v>
      </c>
      <c r="O36" s="46">
        <v>229.84200000000001</v>
      </c>
      <c r="P36" s="46">
        <v>213.24499999999998</v>
      </c>
      <c r="Q36" s="46">
        <v>175.51300000000001</v>
      </c>
      <c r="R36" s="46">
        <v>103.33099999999999</v>
      </c>
      <c r="S36" s="46">
        <v>198.90299999999999</v>
      </c>
      <c r="T36" s="46">
        <v>177.22700000000003</v>
      </c>
      <c r="U36" s="46">
        <v>172.79300000000003</v>
      </c>
      <c r="V36" s="46">
        <v>83.073999999999998</v>
      </c>
      <c r="W36" s="46">
        <v>143.84199999999996</v>
      </c>
      <c r="X36" s="46">
        <v>147.84300000000002</v>
      </c>
      <c r="Y36" s="46">
        <v>56.003</v>
      </c>
      <c r="Z36" s="46">
        <v>85.045000000000016</v>
      </c>
      <c r="AA36" s="46">
        <v>23.064</v>
      </c>
      <c r="AB36" s="46">
        <v>91.981000000000023</v>
      </c>
      <c r="AC36" s="46">
        <v>114.45399999999999</v>
      </c>
      <c r="AD36" s="46">
        <v>139.05700000000002</v>
      </c>
      <c r="AE36" s="46">
        <v>95.356000000000009</v>
      </c>
      <c r="AF36" s="46">
        <v>60.091999999999999</v>
      </c>
      <c r="AG36" s="46">
        <v>146.99199999999999</v>
      </c>
      <c r="AH36" s="46">
        <v>159.32300000000001</v>
      </c>
      <c r="AI36" s="46">
        <v>170.04699999999997</v>
      </c>
      <c r="AJ36" s="46">
        <v>159.46600000000001</v>
      </c>
      <c r="AK36" s="46">
        <v>168.62499999999997</v>
      </c>
      <c r="AL36" s="46">
        <v>135.529</v>
      </c>
      <c r="AM36" s="46">
        <v>80.619</v>
      </c>
      <c r="AN36" s="46">
        <v>137.01700000000002</v>
      </c>
      <c r="AO36" s="46">
        <v>146.89000000000001</v>
      </c>
      <c r="AP36" s="46">
        <v>117.61999999999999</v>
      </c>
      <c r="AQ36" s="46">
        <v>158.40100000000001</v>
      </c>
      <c r="AR36" s="46">
        <f t="shared" si="4"/>
        <v>133.56093548387096</v>
      </c>
      <c r="AS36" s="7">
        <f t="shared" si="5"/>
        <v>12.141903225806452</v>
      </c>
    </row>
    <row r="37" spans="1:45" x14ac:dyDescent="0.3">
      <c r="A37" s="5">
        <v>36</v>
      </c>
      <c r="B37" s="6" t="s">
        <v>9</v>
      </c>
      <c r="C37" s="10" t="s">
        <v>618</v>
      </c>
      <c r="D37" s="39" t="s">
        <v>762</v>
      </c>
      <c r="E37" s="6" t="s">
        <v>128</v>
      </c>
      <c r="F37" s="6" t="s">
        <v>12</v>
      </c>
      <c r="G37" s="6" t="s">
        <v>124</v>
      </c>
      <c r="H37" s="6" t="s">
        <v>80</v>
      </c>
      <c r="I37" s="6" t="str">
        <f t="shared" si="2"/>
        <v>12kW</v>
      </c>
      <c r="J37" s="5">
        <v>1</v>
      </c>
      <c r="K37" s="5">
        <f>J37*12</f>
        <v>12</v>
      </c>
      <c r="L37" s="94" t="s">
        <v>273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>
        <f t="shared" si="4"/>
        <v>0</v>
      </c>
      <c r="AS37" s="7">
        <f t="shared" si="5"/>
        <v>0</v>
      </c>
    </row>
    <row r="38" spans="1:45" x14ac:dyDescent="0.3">
      <c r="A38" s="5">
        <v>37</v>
      </c>
      <c r="B38" s="6" t="s">
        <v>9</v>
      </c>
      <c r="C38" s="10" t="s">
        <v>619</v>
      </c>
      <c r="D38" s="39" t="s">
        <v>736</v>
      </c>
      <c r="E38" s="6" t="s">
        <v>128</v>
      </c>
      <c r="F38" s="6" t="s">
        <v>12</v>
      </c>
      <c r="G38" s="6" t="s">
        <v>13</v>
      </c>
      <c r="H38" s="6" t="s">
        <v>35</v>
      </c>
      <c r="I38" s="6" t="str">
        <f t="shared" si="2"/>
        <v xml:space="preserve">3.3 </v>
      </c>
      <c r="J38" s="5">
        <v>1</v>
      </c>
      <c r="K38" s="5">
        <f>J38*I38</f>
        <v>3.3</v>
      </c>
      <c r="L38" s="12" t="s">
        <v>590</v>
      </c>
      <c r="M38" s="46">
        <v>0</v>
      </c>
      <c r="N38" s="46">
        <v>2.1909999999999998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0.30499999999999999</v>
      </c>
      <c r="U38" s="46">
        <v>1.9930000000000001</v>
      </c>
      <c r="V38" s="46">
        <v>0</v>
      </c>
      <c r="W38" s="46">
        <v>0</v>
      </c>
      <c r="X38" s="46">
        <v>2.2389999999999999</v>
      </c>
      <c r="Y38" s="46">
        <v>2.4940000000000002</v>
      </c>
      <c r="Z38" s="46">
        <v>0</v>
      </c>
      <c r="AA38" s="46">
        <v>0</v>
      </c>
      <c r="AB38" s="46">
        <v>0</v>
      </c>
      <c r="AC38" s="46">
        <v>0</v>
      </c>
      <c r="AD38" s="46">
        <v>1.9690000000000001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2.4119999999999999</v>
      </c>
      <c r="AK38" s="46">
        <v>0</v>
      </c>
      <c r="AL38" s="46">
        <v>3.8970000000000002</v>
      </c>
      <c r="AM38" s="46">
        <v>0</v>
      </c>
      <c r="AN38" s="46">
        <v>0</v>
      </c>
      <c r="AO38" s="46">
        <v>0</v>
      </c>
      <c r="AP38" s="46">
        <v>1.768</v>
      </c>
      <c r="AQ38" s="46">
        <v>0</v>
      </c>
      <c r="AR38" s="46">
        <f t="shared" si="4"/>
        <v>0.62154838709677418</v>
      </c>
      <c r="AS38" s="7">
        <f t="shared" si="5"/>
        <v>0.62154838709677418</v>
      </c>
    </row>
    <row r="39" spans="1:45" x14ac:dyDescent="0.3">
      <c r="A39" s="5">
        <v>38</v>
      </c>
      <c r="B39" s="6" t="s">
        <v>9</v>
      </c>
      <c r="C39" s="10" t="s">
        <v>620</v>
      </c>
      <c r="D39" s="39" t="s">
        <v>768</v>
      </c>
      <c r="E39" s="6" t="s">
        <v>128</v>
      </c>
      <c r="F39" s="6" t="s">
        <v>12</v>
      </c>
      <c r="G39" s="6" t="s">
        <v>13</v>
      </c>
      <c r="H39" s="6" t="s">
        <v>35</v>
      </c>
      <c r="I39" s="6" t="str">
        <f t="shared" si="2"/>
        <v xml:space="preserve">3.3 </v>
      </c>
      <c r="J39" s="5">
        <v>6</v>
      </c>
      <c r="K39" s="5">
        <f>J39*I39</f>
        <v>19.799999999999997</v>
      </c>
      <c r="L39" s="94" t="s">
        <v>273</v>
      </c>
      <c r="M39" s="10">
        <v>66.688000000000002</v>
      </c>
      <c r="N39" s="46">
        <v>74.155000000000015</v>
      </c>
      <c r="O39" s="46">
        <v>63.232999999999997</v>
      </c>
      <c r="P39" s="46">
        <v>87.85199999999999</v>
      </c>
      <c r="Q39" s="46">
        <v>68.431999999999988</v>
      </c>
      <c r="R39" s="46">
        <v>77.864000000000004</v>
      </c>
      <c r="S39" s="46">
        <v>86.51600000000002</v>
      </c>
      <c r="T39" s="46">
        <v>68.194000000000003</v>
      </c>
      <c r="U39" s="46">
        <v>76.463999999999999</v>
      </c>
      <c r="V39" s="46">
        <v>71.60299999999998</v>
      </c>
      <c r="W39" s="46">
        <v>92.15</v>
      </c>
      <c r="X39" s="46">
        <v>66.450999999999993</v>
      </c>
      <c r="Y39" s="46">
        <v>38.185000000000002</v>
      </c>
      <c r="Z39" s="46">
        <v>38.324000000000012</v>
      </c>
      <c r="AA39" s="46">
        <v>50.674999999999997</v>
      </c>
      <c r="AB39" s="46">
        <v>75.962999999999994</v>
      </c>
      <c r="AC39" s="46">
        <v>73.38000000000001</v>
      </c>
      <c r="AD39" s="46">
        <v>82.959000000000003</v>
      </c>
      <c r="AE39" s="46">
        <v>61.972999999999999</v>
      </c>
      <c r="AF39" s="46">
        <v>84.084000000000003</v>
      </c>
      <c r="AG39" s="46">
        <v>84.734000000000009</v>
      </c>
      <c r="AH39" s="46">
        <v>64.224999999999994</v>
      </c>
      <c r="AI39" s="46">
        <v>72.514000000000024</v>
      </c>
      <c r="AJ39" s="46">
        <v>77.075000000000017</v>
      </c>
      <c r="AK39" s="46">
        <v>81.215999999999994</v>
      </c>
      <c r="AL39" s="46">
        <v>73.05</v>
      </c>
      <c r="AM39" s="46">
        <v>80.594000000000008</v>
      </c>
      <c r="AN39" s="46">
        <v>75.589000000000013</v>
      </c>
      <c r="AO39" s="46">
        <v>63.132000000000005</v>
      </c>
      <c r="AP39" s="46">
        <v>74.984999999999985</v>
      </c>
      <c r="AQ39" s="46">
        <v>71.301999999999992</v>
      </c>
      <c r="AR39" s="46">
        <f t="shared" si="4"/>
        <v>71.727774193548399</v>
      </c>
      <c r="AS39" s="7">
        <f t="shared" si="5"/>
        <v>11.954629032258067</v>
      </c>
    </row>
    <row r="40" spans="1:45" x14ac:dyDescent="0.3">
      <c r="A40" s="5">
        <v>39</v>
      </c>
      <c r="B40" s="6" t="s">
        <v>9</v>
      </c>
      <c r="C40" s="10" t="s">
        <v>621</v>
      </c>
      <c r="D40" s="39" t="s">
        <v>766</v>
      </c>
      <c r="E40" s="6" t="s">
        <v>128</v>
      </c>
      <c r="F40" s="6" t="s">
        <v>12</v>
      </c>
      <c r="G40" s="6" t="s">
        <v>13</v>
      </c>
      <c r="H40" s="6" t="s">
        <v>35</v>
      </c>
      <c r="I40" s="6" t="str">
        <f t="shared" si="2"/>
        <v xml:space="preserve">3.3 </v>
      </c>
      <c r="J40" s="5">
        <v>13</v>
      </c>
      <c r="K40" s="5">
        <f>J40*I40</f>
        <v>42.9</v>
      </c>
      <c r="L40" s="94" t="s">
        <v>273</v>
      </c>
      <c r="M40" s="10">
        <v>62.911000000000008</v>
      </c>
      <c r="N40" s="46">
        <v>81.221999999999994</v>
      </c>
      <c r="O40" s="46">
        <v>66.390999999999991</v>
      </c>
      <c r="P40" s="46">
        <v>85.775000000000006</v>
      </c>
      <c r="Q40" s="46">
        <v>72.77000000000001</v>
      </c>
      <c r="R40" s="46">
        <v>65.36999999999999</v>
      </c>
      <c r="S40" s="46">
        <v>93.049000000000007</v>
      </c>
      <c r="T40" s="46">
        <v>68.096999999999994</v>
      </c>
      <c r="U40" s="46">
        <v>87.153999999999996</v>
      </c>
      <c r="V40" s="46">
        <v>58.071000000000005</v>
      </c>
      <c r="W40" s="46">
        <v>72.539000000000001</v>
      </c>
      <c r="X40" s="46">
        <v>81.706999999999994</v>
      </c>
      <c r="Y40" s="46">
        <v>59.792999999999999</v>
      </c>
      <c r="Z40" s="46">
        <v>19.929000000000002</v>
      </c>
      <c r="AA40" s="46">
        <v>3.01</v>
      </c>
      <c r="AB40" s="46">
        <v>23.687000000000001</v>
      </c>
      <c r="AC40" s="46">
        <v>107.89499999999998</v>
      </c>
      <c r="AD40" s="46">
        <v>35.316000000000003</v>
      </c>
      <c r="AE40" s="46">
        <v>75.868000000000009</v>
      </c>
      <c r="AF40" s="46">
        <v>46.629000000000005</v>
      </c>
      <c r="AG40" s="46">
        <v>125.30100000000002</v>
      </c>
      <c r="AH40" s="46">
        <v>76.025000000000006</v>
      </c>
      <c r="AI40" s="46">
        <v>158.15899999999999</v>
      </c>
      <c r="AJ40" s="46">
        <v>96.118999999999986</v>
      </c>
      <c r="AK40" s="46">
        <v>148.77300000000002</v>
      </c>
      <c r="AL40" s="46">
        <v>112.139</v>
      </c>
      <c r="AM40" s="46">
        <v>101.42999999999999</v>
      </c>
      <c r="AN40" s="46">
        <v>83.307000000000002</v>
      </c>
      <c r="AO40" s="46">
        <v>102.39200000000001</v>
      </c>
      <c r="AP40" s="46">
        <v>111.033</v>
      </c>
      <c r="AQ40" s="46">
        <v>131.50099999999995</v>
      </c>
      <c r="AR40" s="46">
        <f t="shared" si="4"/>
        <v>81.076193548387053</v>
      </c>
      <c r="AS40" s="7">
        <f t="shared" si="5"/>
        <v>6.2366302729528504</v>
      </c>
    </row>
    <row r="41" spans="1:45" x14ac:dyDescent="0.3">
      <c r="A41" s="5">
        <v>40</v>
      </c>
      <c r="B41" s="6" t="s">
        <v>9</v>
      </c>
      <c r="C41" s="10" t="s">
        <v>622</v>
      </c>
      <c r="D41" s="39" t="s">
        <v>775</v>
      </c>
      <c r="E41" s="6" t="s">
        <v>128</v>
      </c>
      <c r="F41" s="6" t="s">
        <v>12</v>
      </c>
      <c r="G41" s="6" t="s">
        <v>353</v>
      </c>
      <c r="H41" s="6" t="s">
        <v>35</v>
      </c>
      <c r="I41" s="6" t="str">
        <f t="shared" si="2"/>
        <v>22 k</v>
      </c>
      <c r="J41" s="5">
        <v>1</v>
      </c>
      <c r="K41" s="5" t="e">
        <f>J41*I41</f>
        <v>#VALUE!</v>
      </c>
      <c r="L41" s="12" t="s">
        <v>590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15.727999999999998</v>
      </c>
      <c r="T41" s="46">
        <v>1.7849999999999999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2.798</v>
      </c>
      <c r="AB41" s="46">
        <v>0</v>
      </c>
      <c r="AC41" s="46">
        <v>0</v>
      </c>
      <c r="AD41" s="46">
        <v>0</v>
      </c>
      <c r="AE41" s="46">
        <v>0</v>
      </c>
      <c r="AF41" s="46">
        <v>0</v>
      </c>
      <c r="AG41" s="46">
        <v>13.074</v>
      </c>
      <c r="AH41" s="46">
        <v>14.981999999999999</v>
      </c>
      <c r="AI41" s="46">
        <v>18.163</v>
      </c>
      <c r="AJ41" s="46">
        <v>0</v>
      </c>
      <c r="AK41" s="46">
        <v>11.246</v>
      </c>
      <c r="AL41" s="46">
        <v>15.933</v>
      </c>
      <c r="AM41" s="46">
        <v>0</v>
      </c>
      <c r="AN41" s="46">
        <v>13.132000000000001</v>
      </c>
      <c r="AO41" s="46">
        <v>6.2639999999999993</v>
      </c>
      <c r="AP41" s="46">
        <v>0</v>
      </c>
      <c r="AQ41" s="46">
        <v>0</v>
      </c>
      <c r="AR41" s="46">
        <f t="shared" si="4"/>
        <v>3.6485483870967745</v>
      </c>
      <c r="AS41" s="7">
        <f t="shared" si="5"/>
        <v>3.6485483870967745</v>
      </c>
    </row>
    <row r="42" spans="1:45" x14ac:dyDescent="0.3">
      <c r="A42" s="5">
        <v>41</v>
      </c>
      <c r="B42" s="6" t="s">
        <v>9</v>
      </c>
      <c r="C42" s="10" t="s">
        <v>623</v>
      </c>
      <c r="D42" s="39" t="s">
        <v>752</v>
      </c>
      <c r="E42" s="6" t="s">
        <v>128</v>
      </c>
      <c r="F42" s="6" t="s">
        <v>12</v>
      </c>
      <c r="G42" s="6" t="s">
        <v>13</v>
      </c>
      <c r="H42" s="6" t="s">
        <v>35</v>
      </c>
      <c r="I42" s="6" t="str">
        <f t="shared" si="2"/>
        <v xml:space="preserve">3.3 </v>
      </c>
      <c r="J42" s="5">
        <v>5</v>
      </c>
      <c r="K42" s="5">
        <f t="shared" ref="K42:K52" si="6">J42*I42</f>
        <v>16.5</v>
      </c>
      <c r="L42" s="94" t="s">
        <v>273</v>
      </c>
      <c r="M42" s="10">
        <v>25.95</v>
      </c>
      <c r="N42" s="46">
        <v>15.837</v>
      </c>
      <c r="O42" s="46">
        <v>29.909000000000002</v>
      </c>
      <c r="P42" s="46">
        <v>8.2579999999999991</v>
      </c>
      <c r="Q42" s="46">
        <v>15.738000000000003</v>
      </c>
      <c r="R42" s="46">
        <v>21.632999999999999</v>
      </c>
      <c r="S42" s="46">
        <v>23.933</v>
      </c>
      <c r="T42" s="46">
        <v>17.544</v>
      </c>
      <c r="U42" s="46">
        <v>23.662999999999997</v>
      </c>
      <c r="V42" s="46">
        <v>19.954000000000001</v>
      </c>
      <c r="W42" s="46">
        <v>16.826999999999998</v>
      </c>
      <c r="X42" s="46">
        <v>24.459</v>
      </c>
      <c r="Y42" s="46">
        <v>13.96</v>
      </c>
      <c r="Z42" s="46">
        <v>15.347999999999999</v>
      </c>
      <c r="AA42" s="46">
        <v>38.686999999999998</v>
      </c>
      <c r="AB42" s="46">
        <v>28.036000000000001</v>
      </c>
      <c r="AC42" s="46">
        <v>26.988</v>
      </c>
      <c r="AD42" s="46">
        <v>23.001000000000001</v>
      </c>
      <c r="AE42" s="46">
        <v>17.019000000000002</v>
      </c>
      <c r="AF42" s="46">
        <v>13.567</v>
      </c>
      <c r="AG42" s="46">
        <v>11.603000000000002</v>
      </c>
      <c r="AH42" s="46">
        <v>35.569999999999993</v>
      </c>
      <c r="AI42" s="46">
        <v>19.840999999999998</v>
      </c>
      <c r="AJ42" s="46">
        <v>11.253</v>
      </c>
      <c r="AK42" s="46">
        <v>22.571000000000002</v>
      </c>
      <c r="AL42" s="46">
        <v>13.362000000000002</v>
      </c>
      <c r="AM42" s="46">
        <v>17.338999999999999</v>
      </c>
      <c r="AN42" s="46">
        <v>18.091000000000001</v>
      </c>
      <c r="AO42" s="46">
        <v>13.823</v>
      </c>
      <c r="AP42" s="46">
        <v>24.588000000000001</v>
      </c>
      <c r="AQ42" s="46">
        <v>20.840000000000003</v>
      </c>
      <c r="AR42" s="46">
        <f t="shared" si="4"/>
        <v>20.296516129032256</v>
      </c>
      <c r="AS42" s="7">
        <f t="shared" si="5"/>
        <v>4.0593032258064508</v>
      </c>
    </row>
    <row r="43" spans="1:45" x14ac:dyDescent="0.3">
      <c r="A43" s="5">
        <v>42</v>
      </c>
      <c r="B43" s="6" t="s">
        <v>9</v>
      </c>
      <c r="C43" s="10" t="s">
        <v>624</v>
      </c>
      <c r="D43" s="39" t="s">
        <v>776</v>
      </c>
      <c r="E43" s="6" t="s">
        <v>30</v>
      </c>
      <c r="F43" s="6" t="s">
        <v>12</v>
      </c>
      <c r="G43" s="6" t="s">
        <v>13</v>
      </c>
      <c r="H43" s="6" t="s">
        <v>35</v>
      </c>
      <c r="I43" s="6" t="str">
        <f t="shared" si="2"/>
        <v xml:space="preserve">3.3 </v>
      </c>
      <c r="J43" s="5">
        <v>1</v>
      </c>
      <c r="K43" s="5">
        <f t="shared" si="6"/>
        <v>3.3</v>
      </c>
      <c r="L43" s="12" t="s">
        <v>589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f t="shared" si="4"/>
        <v>0</v>
      </c>
      <c r="AS43" s="7">
        <f t="shared" si="5"/>
        <v>0</v>
      </c>
    </row>
    <row r="44" spans="1:45" x14ac:dyDescent="0.3">
      <c r="A44" s="5">
        <v>43</v>
      </c>
      <c r="B44" s="6" t="s">
        <v>9</v>
      </c>
      <c r="C44" s="10" t="s">
        <v>625</v>
      </c>
      <c r="D44" s="39" t="s">
        <v>777</v>
      </c>
      <c r="E44" s="6" t="s">
        <v>128</v>
      </c>
      <c r="F44" s="6" t="s">
        <v>12</v>
      </c>
      <c r="G44" s="6" t="s">
        <v>13</v>
      </c>
      <c r="H44" s="6" t="s">
        <v>35</v>
      </c>
      <c r="I44" s="6" t="str">
        <f t="shared" si="2"/>
        <v xml:space="preserve">3.3 </v>
      </c>
      <c r="J44" s="5">
        <v>1</v>
      </c>
      <c r="K44" s="5">
        <f t="shared" si="6"/>
        <v>3.3</v>
      </c>
      <c r="L44" s="12" t="s">
        <v>590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f t="shared" si="4"/>
        <v>0</v>
      </c>
      <c r="AS44" s="7">
        <f t="shared" si="5"/>
        <v>0</v>
      </c>
    </row>
    <row r="45" spans="1:45" x14ac:dyDescent="0.3">
      <c r="A45" s="5">
        <v>44</v>
      </c>
      <c r="B45" s="6" t="s">
        <v>9</v>
      </c>
      <c r="C45" s="10" t="s">
        <v>626</v>
      </c>
      <c r="D45" s="39" t="s">
        <v>778</v>
      </c>
      <c r="E45" s="6" t="s">
        <v>30</v>
      </c>
      <c r="F45" s="6" t="s">
        <v>12</v>
      </c>
      <c r="G45" s="6" t="s">
        <v>13</v>
      </c>
      <c r="H45" s="6" t="s">
        <v>35</v>
      </c>
      <c r="I45" s="6" t="str">
        <f t="shared" si="2"/>
        <v xml:space="preserve">3.3 </v>
      </c>
      <c r="J45" s="5">
        <v>1</v>
      </c>
      <c r="K45" s="5">
        <f t="shared" si="6"/>
        <v>3.3</v>
      </c>
      <c r="L45" s="12" t="s">
        <v>589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v>0</v>
      </c>
      <c r="AP45" s="46">
        <v>0</v>
      </c>
      <c r="AQ45" s="46">
        <v>0</v>
      </c>
      <c r="AR45" s="46">
        <f t="shared" si="4"/>
        <v>0</v>
      </c>
      <c r="AS45" s="7">
        <f t="shared" si="5"/>
        <v>0</v>
      </c>
    </row>
    <row r="46" spans="1:45" x14ac:dyDescent="0.3">
      <c r="A46" s="5">
        <v>45</v>
      </c>
      <c r="B46" s="6" t="s">
        <v>9</v>
      </c>
      <c r="C46" s="10" t="s">
        <v>627</v>
      </c>
      <c r="D46" s="39" t="s">
        <v>779</v>
      </c>
      <c r="E46" s="6" t="s">
        <v>30</v>
      </c>
      <c r="F46" s="6" t="s">
        <v>12</v>
      </c>
      <c r="G46" s="6" t="s">
        <v>13</v>
      </c>
      <c r="H46" s="6" t="s">
        <v>35</v>
      </c>
      <c r="I46" s="6" t="str">
        <f t="shared" si="2"/>
        <v xml:space="preserve">3.3 </v>
      </c>
      <c r="J46" s="5">
        <v>1</v>
      </c>
      <c r="K46" s="5">
        <f t="shared" si="6"/>
        <v>3.3</v>
      </c>
      <c r="L46" s="12" t="s">
        <v>589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v>0</v>
      </c>
      <c r="AP46" s="46">
        <v>0</v>
      </c>
      <c r="AQ46" s="46">
        <v>0</v>
      </c>
      <c r="AR46" s="46">
        <f t="shared" si="4"/>
        <v>0</v>
      </c>
      <c r="AS46" s="7">
        <f t="shared" si="5"/>
        <v>0</v>
      </c>
    </row>
    <row r="47" spans="1:45" ht="13.5" customHeight="1" x14ac:dyDescent="0.3">
      <c r="A47" s="5">
        <v>46</v>
      </c>
      <c r="B47" s="6" t="s">
        <v>9</v>
      </c>
      <c r="C47" s="10" t="s">
        <v>628</v>
      </c>
      <c r="D47" s="39" t="s">
        <v>773</v>
      </c>
      <c r="E47" s="6" t="s">
        <v>128</v>
      </c>
      <c r="F47" s="6" t="s">
        <v>12</v>
      </c>
      <c r="G47" s="6" t="s">
        <v>441</v>
      </c>
      <c r="H47" s="6" t="s">
        <v>80</v>
      </c>
      <c r="I47" s="6" t="str">
        <f t="shared" si="2"/>
        <v>25 k</v>
      </c>
      <c r="J47" s="5">
        <v>2</v>
      </c>
      <c r="K47" s="5" t="e">
        <f t="shared" si="6"/>
        <v>#VALUE!</v>
      </c>
      <c r="L47" s="67" t="s">
        <v>160</v>
      </c>
      <c r="M47" s="10">
        <v>209.66099999999994</v>
      </c>
      <c r="N47" s="46">
        <v>194.14099999999996</v>
      </c>
      <c r="O47" s="46">
        <v>342.10399999999998</v>
      </c>
      <c r="P47" s="46">
        <v>196.857</v>
      </c>
      <c r="Q47" s="46">
        <v>50.115000000000002</v>
      </c>
      <c r="R47" s="46">
        <v>225.73799999999997</v>
      </c>
      <c r="S47" s="46">
        <v>338.25799999999992</v>
      </c>
      <c r="T47" s="46">
        <v>430.07499999999999</v>
      </c>
      <c r="U47" s="46">
        <v>324.36199999999997</v>
      </c>
      <c r="V47" s="46">
        <v>392.7480000000001</v>
      </c>
      <c r="W47" s="46">
        <v>135.99</v>
      </c>
      <c r="X47" s="46">
        <v>81.171999999999997</v>
      </c>
      <c r="Y47" s="46">
        <v>238.77300000000002</v>
      </c>
      <c r="Z47" s="46">
        <v>224.89699999999996</v>
      </c>
      <c r="AA47" s="46">
        <v>240.06800000000007</v>
      </c>
      <c r="AB47" s="46">
        <v>291.58199999999999</v>
      </c>
      <c r="AC47" s="46">
        <v>283.45699999999999</v>
      </c>
      <c r="AD47" s="46">
        <v>204.61600000000004</v>
      </c>
      <c r="AE47" s="46">
        <v>117.664</v>
      </c>
      <c r="AF47" s="46">
        <v>329.58500000000009</v>
      </c>
      <c r="AG47" s="46">
        <v>338.60999999999996</v>
      </c>
      <c r="AH47" s="46">
        <v>322.00700000000001</v>
      </c>
      <c r="AI47" s="46">
        <v>373.87900000000008</v>
      </c>
      <c r="AJ47" s="46">
        <v>366.09899999999999</v>
      </c>
      <c r="AK47" s="46">
        <v>107.523</v>
      </c>
      <c r="AL47" s="46">
        <v>82.597000000000008</v>
      </c>
      <c r="AM47" s="46">
        <v>274.464</v>
      </c>
      <c r="AN47" s="46">
        <v>440.97699999999992</v>
      </c>
      <c r="AO47" s="46">
        <v>425.67099999999994</v>
      </c>
      <c r="AP47" s="46">
        <v>421.27700000000004</v>
      </c>
      <c r="AQ47" s="46">
        <v>369.90999999999997</v>
      </c>
      <c r="AR47" s="46">
        <f t="shared" si="4"/>
        <v>270.1573225806452</v>
      </c>
      <c r="AS47" s="7">
        <f t="shared" si="5"/>
        <v>135.0786612903226</v>
      </c>
    </row>
    <row r="48" spans="1:45" ht="16.5" customHeight="1" x14ac:dyDescent="0.3">
      <c r="A48" s="5">
        <v>47</v>
      </c>
      <c r="B48" s="6" t="s">
        <v>9</v>
      </c>
      <c r="C48" s="10" t="s">
        <v>629</v>
      </c>
      <c r="D48" s="39" t="s">
        <v>735</v>
      </c>
      <c r="E48" s="6" t="s">
        <v>128</v>
      </c>
      <c r="F48" s="6" t="s">
        <v>12</v>
      </c>
      <c r="G48" s="6" t="s">
        <v>13</v>
      </c>
      <c r="H48" s="6" t="s">
        <v>35</v>
      </c>
      <c r="I48" s="6" t="str">
        <f t="shared" si="2"/>
        <v xml:space="preserve">3.3 </v>
      </c>
      <c r="J48" s="5">
        <v>5</v>
      </c>
      <c r="K48" s="5">
        <f t="shared" si="6"/>
        <v>16.5</v>
      </c>
      <c r="L48" s="12" t="s">
        <v>590</v>
      </c>
      <c r="M48" s="10">
        <v>9.0419999999999998</v>
      </c>
      <c r="N48" s="46">
        <v>5.4009999999999998</v>
      </c>
      <c r="O48" s="46">
        <v>7.9249999999999998</v>
      </c>
      <c r="P48" s="46">
        <v>5.9499999999999993</v>
      </c>
      <c r="Q48" s="46">
        <v>17.377000000000002</v>
      </c>
      <c r="R48" s="46">
        <v>9.4759999999999991</v>
      </c>
      <c r="S48" s="46">
        <v>7.2040000000000006</v>
      </c>
      <c r="T48" s="46">
        <v>1.3540000000000001</v>
      </c>
      <c r="U48" s="46">
        <v>18.940999999999999</v>
      </c>
      <c r="V48" s="46">
        <v>7.3550000000000004</v>
      </c>
      <c r="W48" s="46">
        <v>2.4820000000000002</v>
      </c>
      <c r="X48" s="46">
        <v>7.4809999999999999</v>
      </c>
      <c r="Y48" s="46">
        <v>1.964</v>
      </c>
      <c r="Z48" s="46">
        <v>4.4749999999999996</v>
      </c>
      <c r="AA48" s="46">
        <v>0</v>
      </c>
      <c r="AB48" s="46">
        <v>19.603000000000002</v>
      </c>
      <c r="AC48" s="46">
        <v>5.3529999999999998</v>
      </c>
      <c r="AD48" s="46">
        <v>0</v>
      </c>
      <c r="AE48" s="46">
        <v>8.7489999999999988</v>
      </c>
      <c r="AF48" s="46">
        <v>11.279</v>
      </c>
      <c r="AG48" s="46">
        <v>19.036000000000001</v>
      </c>
      <c r="AH48" s="46">
        <v>5.3840000000000003</v>
      </c>
      <c r="AI48" s="46">
        <v>11.084</v>
      </c>
      <c r="AJ48" s="46">
        <v>8.7780000000000005</v>
      </c>
      <c r="AK48" s="46">
        <v>3.758</v>
      </c>
      <c r="AL48" s="46">
        <v>21.143999999999998</v>
      </c>
      <c r="AM48" s="46">
        <v>10.743</v>
      </c>
      <c r="AN48" s="46">
        <v>6.98</v>
      </c>
      <c r="AO48" s="46">
        <v>22.569999999999997</v>
      </c>
      <c r="AP48" s="46">
        <v>5.8559999999999999</v>
      </c>
      <c r="AQ48" s="46">
        <v>9.3659999999999997</v>
      </c>
      <c r="AR48" s="46">
        <f t="shared" si="4"/>
        <v>8.9067741935483884</v>
      </c>
      <c r="AS48" s="7">
        <f t="shared" si="5"/>
        <v>1.7813548387096776</v>
      </c>
    </row>
    <row r="49" spans="1:45" x14ac:dyDescent="0.3">
      <c r="A49" s="5">
        <v>48</v>
      </c>
      <c r="B49" s="6" t="s">
        <v>9</v>
      </c>
      <c r="C49" s="10" t="s">
        <v>630</v>
      </c>
      <c r="D49" s="39" t="s">
        <v>780</v>
      </c>
      <c r="E49" s="6" t="s">
        <v>128</v>
      </c>
      <c r="F49" s="6" t="s">
        <v>12</v>
      </c>
      <c r="G49" s="6" t="s">
        <v>13</v>
      </c>
      <c r="H49" s="6" t="s">
        <v>35</v>
      </c>
      <c r="I49" s="6" t="str">
        <f t="shared" si="2"/>
        <v xml:space="preserve">3.3 </v>
      </c>
      <c r="J49" s="5">
        <v>2</v>
      </c>
      <c r="K49" s="5">
        <f t="shared" si="6"/>
        <v>6.6</v>
      </c>
      <c r="L49" s="12" t="s">
        <v>590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v>0</v>
      </c>
      <c r="AP49" s="46">
        <v>0</v>
      </c>
      <c r="AQ49" s="46">
        <v>0</v>
      </c>
      <c r="AR49" s="46">
        <f t="shared" si="4"/>
        <v>0</v>
      </c>
      <c r="AS49" s="7">
        <f t="shared" si="5"/>
        <v>0</v>
      </c>
    </row>
    <row r="50" spans="1:45" x14ac:dyDescent="0.3">
      <c r="A50" s="5">
        <v>49</v>
      </c>
      <c r="B50" s="6" t="s">
        <v>9</v>
      </c>
      <c r="C50" s="10" t="s">
        <v>630</v>
      </c>
      <c r="D50" s="39" t="s">
        <v>780</v>
      </c>
      <c r="E50" s="6" t="s">
        <v>128</v>
      </c>
      <c r="F50" s="6" t="s">
        <v>12</v>
      </c>
      <c r="G50" s="6" t="s">
        <v>353</v>
      </c>
      <c r="H50" s="6" t="s">
        <v>35</v>
      </c>
      <c r="I50" s="6" t="str">
        <f t="shared" si="2"/>
        <v>22 k</v>
      </c>
      <c r="J50" s="5">
        <v>2</v>
      </c>
      <c r="K50" s="5" t="e">
        <f t="shared" si="6"/>
        <v>#VALUE!</v>
      </c>
      <c r="L50" s="12" t="s">
        <v>590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0</v>
      </c>
      <c r="AP50" s="46">
        <v>0</v>
      </c>
      <c r="AQ50" s="46">
        <v>0</v>
      </c>
      <c r="AR50" s="46">
        <f t="shared" si="4"/>
        <v>0</v>
      </c>
      <c r="AS50" s="7">
        <f t="shared" si="5"/>
        <v>0</v>
      </c>
    </row>
    <row r="51" spans="1:45" x14ac:dyDescent="0.3">
      <c r="A51" s="5">
        <v>50</v>
      </c>
      <c r="B51" s="6" t="s">
        <v>9</v>
      </c>
      <c r="C51" s="10" t="s">
        <v>631</v>
      </c>
      <c r="D51" s="39" t="s">
        <v>743</v>
      </c>
      <c r="E51" s="6" t="s">
        <v>128</v>
      </c>
      <c r="F51" s="6" t="s">
        <v>12</v>
      </c>
      <c r="G51" s="6" t="s">
        <v>13</v>
      </c>
      <c r="H51" s="6" t="s">
        <v>35</v>
      </c>
      <c r="I51" s="6" t="str">
        <f t="shared" si="2"/>
        <v xml:space="preserve">3.3 </v>
      </c>
      <c r="J51" s="5">
        <v>1</v>
      </c>
      <c r="K51" s="5">
        <f t="shared" si="6"/>
        <v>3.3</v>
      </c>
      <c r="L51" s="67" t="s">
        <v>160</v>
      </c>
      <c r="M51" s="10">
        <v>3.698</v>
      </c>
      <c r="N51" s="46">
        <v>4.7370000000000001</v>
      </c>
      <c r="O51" s="46">
        <v>3.7160000000000002</v>
      </c>
      <c r="P51" s="46">
        <v>4.1710000000000003</v>
      </c>
      <c r="Q51" s="46">
        <v>2.3860000000000001</v>
      </c>
      <c r="R51" s="46">
        <v>4.4180000000000001</v>
      </c>
      <c r="S51" s="46">
        <v>3.6019999999999999</v>
      </c>
      <c r="T51" s="46">
        <v>2.7639999999999998</v>
      </c>
      <c r="U51" s="46">
        <v>5.44</v>
      </c>
      <c r="V51" s="46">
        <v>4.3549999999999995</v>
      </c>
      <c r="W51" s="46">
        <v>0</v>
      </c>
      <c r="X51" s="46">
        <v>6.0049999999999999</v>
      </c>
      <c r="Y51" s="46">
        <v>4.2450000000000001</v>
      </c>
      <c r="Z51" s="46">
        <v>2.2589999999999999</v>
      </c>
      <c r="AA51" s="46">
        <v>3.2450000000000001</v>
      </c>
      <c r="AB51" s="46">
        <v>1.9379999999999999</v>
      </c>
      <c r="AC51" s="46">
        <v>2.1779999999999999</v>
      </c>
      <c r="AD51" s="46">
        <v>3.3540000000000001</v>
      </c>
      <c r="AE51" s="46">
        <v>3.5419999999999998</v>
      </c>
      <c r="AF51" s="46">
        <v>4.4989999999999997</v>
      </c>
      <c r="AG51" s="46">
        <v>3.6509999999999998</v>
      </c>
      <c r="AH51" s="46">
        <v>6.798</v>
      </c>
      <c r="AI51" s="46">
        <v>2.0430000000000001</v>
      </c>
      <c r="AJ51" s="46">
        <v>3.5569999999999999</v>
      </c>
      <c r="AK51" s="46">
        <v>4.3520000000000003</v>
      </c>
      <c r="AL51" s="46">
        <v>1.474</v>
      </c>
      <c r="AM51" s="46">
        <v>3.661</v>
      </c>
      <c r="AN51" s="46">
        <v>4.1829999999999998</v>
      </c>
      <c r="AO51" s="46">
        <v>3.84</v>
      </c>
      <c r="AP51" s="46">
        <v>4.3479999999999999</v>
      </c>
      <c r="AQ51" s="46">
        <v>2.8940000000000001</v>
      </c>
      <c r="AR51" s="46">
        <f t="shared" si="4"/>
        <v>3.5920322580645161</v>
      </c>
      <c r="AS51" s="7">
        <f t="shared" si="5"/>
        <v>3.5920322580645161</v>
      </c>
    </row>
    <row r="52" spans="1:45" x14ac:dyDescent="0.3">
      <c r="A52" s="5">
        <v>51</v>
      </c>
      <c r="B52" s="6" t="s">
        <v>9</v>
      </c>
      <c r="C52" s="10" t="s">
        <v>631</v>
      </c>
      <c r="D52" s="39" t="s">
        <v>743</v>
      </c>
      <c r="E52" s="6" t="s">
        <v>128</v>
      </c>
      <c r="F52" s="6" t="s">
        <v>12</v>
      </c>
      <c r="G52" s="6" t="s">
        <v>135</v>
      </c>
      <c r="H52" s="6" t="s">
        <v>35</v>
      </c>
      <c r="I52" s="6" t="str">
        <f t="shared" si="2"/>
        <v xml:space="preserve">7.4 </v>
      </c>
      <c r="J52" s="5">
        <v>1</v>
      </c>
      <c r="K52" s="5">
        <f t="shared" si="6"/>
        <v>7.4</v>
      </c>
      <c r="L52" s="67" t="s">
        <v>160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7.5449999999999999</v>
      </c>
      <c r="S52" s="46">
        <v>10.347000000000001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2.831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>
        <v>0.44800000000000001</v>
      </c>
      <c r="AO52" s="46">
        <v>0</v>
      </c>
      <c r="AP52" s="46">
        <v>0</v>
      </c>
      <c r="AQ52" s="46">
        <v>4.5810000000000004</v>
      </c>
      <c r="AR52" s="46">
        <f t="shared" si="4"/>
        <v>0.83070967741935486</v>
      </c>
      <c r="AS52" s="7">
        <f t="shared" si="5"/>
        <v>0.83070967741935486</v>
      </c>
    </row>
    <row r="53" spans="1:45" x14ac:dyDescent="0.3">
      <c r="A53" s="5">
        <v>52</v>
      </c>
      <c r="B53" s="6" t="s">
        <v>9</v>
      </c>
      <c r="C53" s="10" t="s">
        <v>631</v>
      </c>
      <c r="D53" s="39" t="s">
        <v>743</v>
      </c>
      <c r="E53" s="6" t="s">
        <v>128</v>
      </c>
      <c r="F53" s="6" t="s">
        <v>12</v>
      </c>
      <c r="G53" s="6" t="s">
        <v>124</v>
      </c>
      <c r="H53" s="6" t="s">
        <v>80</v>
      </c>
      <c r="I53" s="6" t="str">
        <f t="shared" si="2"/>
        <v>12kW</v>
      </c>
      <c r="J53" s="5">
        <v>1</v>
      </c>
      <c r="K53" s="5">
        <f>J53*12</f>
        <v>12</v>
      </c>
      <c r="L53" s="67" t="s">
        <v>160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v>0</v>
      </c>
      <c r="AP53" s="46">
        <v>0</v>
      </c>
      <c r="AQ53" s="46">
        <v>0</v>
      </c>
      <c r="AR53" s="46">
        <f t="shared" si="4"/>
        <v>0</v>
      </c>
      <c r="AS53" s="7">
        <f t="shared" si="5"/>
        <v>0</v>
      </c>
    </row>
    <row r="54" spans="1:45" x14ac:dyDescent="0.3">
      <c r="A54" s="5">
        <v>53</v>
      </c>
      <c r="B54" s="6" t="s">
        <v>9</v>
      </c>
      <c r="C54" s="10" t="s">
        <v>632</v>
      </c>
      <c r="D54" s="39" t="s">
        <v>781</v>
      </c>
      <c r="E54" s="6" t="s">
        <v>128</v>
      </c>
      <c r="F54" s="6" t="s">
        <v>12</v>
      </c>
      <c r="G54" s="6" t="s">
        <v>13</v>
      </c>
      <c r="H54" s="6" t="s">
        <v>35</v>
      </c>
      <c r="I54" s="6" t="str">
        <f t="shared" si="2"/>
        <v xml:space="preserve">3.3 </v>
      </c>
      <c r="J54" s="5">
        <v>9</v>
      </c>
      <c r="K54" s="5">
        <f t="shared" ref="K54:K108" si="7">J54*I54</f>
        <v>29.7</v>
      </c>
      <c r="L54" s="12" t="s">
        <v>590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v>0</v>
      </c>
      <c r="AP54" s="46">
        <v>0</v>
      </c>
      <c r="AQ54" s="46">
        <v>0</v>
      </c>
      <c r="AR54" s="46">
        <f t="shared" si="4"/>
        <v>0</v>
      </c>
      <c r="AS54" s="7">
        <f t="shared" si="5"/>
        <v>0</v>
      </c>
    </row>
    <row r="55" spans="1:45" x14ac:dyDescent="0.3">
      <c r="A55" s="5">
        <v>54</v>
      </c>
      <c r="B55" s="6" t="s">
        <v>9</v>
      </c>
      <c r="C55" s="10" t="s">
        <v>633</v>
      </c>
      <c r="D55" s="39" t="s">
        <v>782</v>
      </c>
      <c r="E55" s="6" t="s">
        <v>128</v>
      </c>
      <c r="F55" s="6" t="s">
        <v>12</v>
      </c>
      <c r="G55" s="6" t="s">
        <v>13</v>
      </c>
      <c r="H55" s="6" t="s">
        <v>35</v>
      </c>
      <c r="I55" s="6" t="str">
        <f t="shared" si="2"/>
        <v xml:space="preserve">3.3 </v>
      </c>
      <c r="J55" s="5">
        <v>1</v>
      </c>
      <c r="K55" s="5">
        <f t="shared" si="7"/>
        <v>3.3</v>
      </c>
      <c r="L55" s="12" t="s">
        <v>590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1.3080000000000001</v>
      </c>
      <c r="T55" s="46">
        <v>9.9000000000000005E-2</v>
      </c>
      <c r="U55" s="46">
        <v>0.93100000000000005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0.57099999999999995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v>0</v>
      </c>
      <c r="AP55" s="46">
        <v>0</v>
      </c>
      <c r="AQ55" s="46">
        <v>0</v>
      </c>
      <c r="AR55" s="46">
        <f t="shared" si="4"/>
        <v>9.3838709677419349E-2</v>
      </c>
      <c r="AS55" s="7">
        <f t="shared" si="5"/>
        <v>9.3838709677419349E-2</v>
      </c>
    </row>
    <row r="56" spans="1:45" x14ac:dyDescent="0.3">
      <c r="A56" s="5">
        <v>55</v>
      </c>
      <c r="B56" s="6" t="s">
        <v>498</v>
      </c>
      <c r="C56" s="10" t="s">
        <v>634</v>
      </c>
      <c r="D56" s="39" t="s">
        <v>783</v>
      </c>
      <c r="E56" s="6" t="s">
        <v>128</v>
      </c>
      <c r="F56" s="6" t="s">
        <v>12</v>
      </c>
      <c r="G56" s="6" t="s">
        <v>255</v>
      </c>
      <c r="H56" s="6" t="s">
        <v>80</v>
      </c>
      <c r="I56" s="6" t="str">
        <f t="shared" si="2"/>
        <v>15 k</v>
      </c>
      <c r="J56" s="5">
        <v>1</v>
      </c>
      <c r="K56" s="5" t="e">
        <f t="shared" si="7"/>
        <v>#VALUE!</v>
      </c>
      <c r="L56" s="67" t="s">
        <v>160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v>0</v>
      </c>
      <c r="AP56" s="46">
        <v>0</v>
      </c>
      <c r="AQ56" s="46">
        <v>0</v>
      </c>
      <c r="AR56" s="46">
        <f t="shared" si="4"/>
        <v>0</v>
      </c>
      <c r="AS56" s="7">
        <f t="shared" si="5"/>
        <v>0</v>
      </c>
    </row>
    <row r="57" spans="1:45" x14ac:dyDescent="0.3">
      <c r="A57" s="5">
        <v>56</v>
      </c>
      <c r="B57" s="6" t="s">
        <v>9</v>
      </c>
      <c r="C57" s="10" t="s">
        <v>635</v>
      </c>
      <c r="D57" s="39" t="s">
        <v>720</v>
      </c>
      <c r="E57" s="6" t="s">
        <v>128</v>
      </c>
      <c r="F57" s="6" t="s">
        <v>12</v>
      </c>
      <c r="G57" s="6" t="s">
        <v>13</v>
      </c>
      <c r="H57" s="6" t="s">
        <v>35</v>
      </c>
      <c r="I57" s="6" t="str">
        <f t="shared" si="2"/>
        <v xml:space="preserve">3.3 </v>
      </c>
      <c r="J57" s="5">
        <v>1</v>
      </c>
      <c r="K57" s="5">
        <f t="shared" si="7"/>
        <v>3.3</v>
      </c>
      <c r="L57" s="12" t="s">
        <v>589</v>
      </c>
      <c r="M57" s="46">
        <v>0</v>
      </c>
      <c r="N57" s="46">
        <v>5.4210000000000003</v>
      </c>
      <c r="O57" s="46">
        <v>0</v>
      </c>
      <c r="P57" s="46">
        <v>2.6219999999999999</v>
      </c>
      <c r="Q57" s="46">
        <v>3.0070000000000001</v>
      </c>
      <c r="R57" s="46">
        <v>7.0380000000000003</v>
      </c>
      <c r="S57" s="46">
        <v>4.8140000000000001</v>
      </c>
      <c r="T57" s="46">
        <v>2.73</v>
      </c>
      <c r="U57" s="46">
        <v>3.823</v>
      </c>
      <c r="V57" s="46">
        <v>2.7170000000000001</v>
      </c>
      <c r="W57" s="46">
        <v>2.75</v>
      </c>
      <c r="X57" s="46">
        <v>0</v>
      </c>
      <c r="Y57" s="46">
        <v>4.2450000000000001</v>
      </c>
      <c r="Z57" s="46">
        <v>0</v>
      </c>
      <c r="AA57" s="46">
        <v>0</v>
      </c>
      <c r="AB57" s="46">
        <v>0</v>
      </c>
      <c r="AC57" s="46">
        <v>3.8180000000000005</v>
      </c>
      <c r="AD57" s="46">
        <v>2.718</v>
      </c>
      <c r="AE57" s="46">
        <v>2.718</v>
      </c>
      <c r="AF57" s="46">
        <v>2.7349999999999999</v>
      </c>
      <c r="AG57" s="46">
        <v>0</v>
      </c>
      <c r="AH57" s="46">
        <v>0</v>
      </c>
      <c r="AI57" s="46">
        <v>0</v>
      </c>
      <c r="AJ57" s="46">
        <v>0</v>
      </c>
      <c r="AK57" s="46">
        <v>3.2469999999999994</v>
      </c>
      <c r="AL57" s="46">
        <v>0</v>
      </c>
      <c r="AM57" s="46">
        <v>3.8260000000000005</v>
      </c>
      <c r="AN57" s="46">
        <v>2.7639999999999998</v>
      </c>
      <c r="AO57" s="46">
        <v>5.1950000000000003</v>
      </c>
      <c r="AP57" s="46">
        <v>3.7469999999999999</v>
      </c>
      <c r="AQ57" s="46">
        <v>3.0350000000000001</v>
      </c>
      <c r="AR57" s="46">
        <f t="shared" si="4"/>
        <v>2.353870967741936</v>
      </c>
      <c r="AS57" s="7">
        <f t="shared" si="5"/>
        <v>2.353870967741936</v>
      </c>
    </row>
    <row r="58" spans="1:45" x14ac:dyDescent="0.3">
      <c r="A58" s="5">
        <v>57</v>
      </c>
      <c r="B58" s="6" t="s">
        <v>9</v>
      </c>
      <c r="C58" s="10" t="s">
        <v>636</v>
      </c>
      <c r="D58" s="39" t="s">
        <v>753</v>
      </c>
      <c r="E58" s="6" t="s">
        <v>128</v>
      </c>
      <c r="F58" s="6" t="s">
        <v>12</v>
      </c>
      <c r="G58" s="6" t="s">
        <v>13</v>
      </c>
      <c r="H58" s="6" t="s">
        <v>35</v>
      </c>
      <c r="I58" s="6" t="str">
        <f t="shared" si="2"/>
        <v xml:space="preserve">3.3 </v>
      </c>
      <c r="J58" s="5">
        <v>10</v>
      </c>
      <c r="K58" s="5">
        <f t="shared" si="7"/>
        <v>33</v>
      </c>
      <c r="L58" s="94" t="s">
        <v>273</v>
      </c>
      <c r="M58" s="10">
        <v>20.826999999999998</v>
      </c>
      <c r="N58" s="46">
        <v>72.046999999999997</v>
      </c>
      <c r="O58" s="46">
        <v>63.585999999999991</v>
      </c>
      <c r="P58" s="46">
        <v>26.423000000000002</v>
      </c>
      <c r="Q58" s="46">
        <v>33.104000000000006</v>
      </c>
      <c r="R58" s="46">
        <v>25.635000000000005</v>
      </c>
      <c r="S58" s="46">
        <v>42.916000000000004</v>
      </c>
      <c r="T58" s="46">
        <v>33.96</v>
      </c>
      <c r="U58" s="46">
        <v>33.96</v>
      </c>
      <c r="V58" s="46">
        <v>24.566000000000003</v>
      </c>
      <c r="W58" s="46">
        <v>39.241999999999997</v>
      </c>
      <c r="X58" s="46">
        <v>20.795000000000002</v>
      </c>
      <c r="Y58" s="46">
        <v>32.286000000000001</v>
      </c>
      <c r="Z58" s="46">
        <v>2.7919999999999998</v>
      </c>
      <c r="AA58" s="46">
        <v>30.170000000000005</v>
      </c>
      <c r="AB58" s="46">
        <v>31.683000000000003</v>
      </c>
      <c r="AC58" s="46">
        <v>52.219000000000008</v>
      </c>
      <c r="AD58" s="46">
        <v>46.343000000000004</v>
      </c>
      <c r="AE58" s="46">
        <v>27.308000000000003</v>
      </c>
      <c r="AF58" s="46">
        <v>42.518000000000001</v>
      </c>
      <c r="AG58" s="46">
        <v>42.723999999999997</v>
      </c>
      <c r="AH58" s="46">
        <v>45.027999999999999</v>
      </c>
      <c r="AI58" s="46">
        <v>63.667999999999992</v>
      </c>
      <c r="AJ58" s="46">
        <v>29.776</v>
      </c>
      <c r="AK58" s="46">
        <v>31.132999999999999</v>
      </c>
      <c r="AL58" s="46">
        <v>32.723999999999997</v>
      </c>
      <c r="AM58" s="46">
        <v>50.055</v>
      </c>
      <c r="AN58" s="46">
        <v>38.732999999999997</v>
      </c>
      <c r="AO58" s="46">
        <v>56.230000000000004</v>
      </c>
      <c r="AP58" s="46">
        <v>72.095999999999989</v>
      </c>
      <c r="AQ58" s="46">
        <v>76.114999999999995</v>
      </c>
      <c r="AR58" s="46">
        <f t="shared" si="4"/>
        <v>40.021354838709684</v>
      </c>
      <c r="AS58" s="7">
        <f t="shared" si="5"/>
        <v>4.0021354838709682</v>
      </c>
    </row>
    <row r="59" spans="1:45" x14ac:dyDescent="0.3">
      <c r="A59" s="5">
        <v>58</v>
      </c>
      <c r="B59" s="6" t="s">
        <v>9</v>
      </c>
      <c r="C59" s="10" t="s">
        <v>637</v>
      </c>
      <c r="D59" s="39" t="s">
        <v>721</v>
      </c>
      <c r="E59" s="6" t="s">
        <v>128</v>
      </c>
      <c r="F59" s="6" t="s">
        <v>12</v>
      </c>
      <c r="G59" s="6" t="s">
        <v>13</v>
      </c>
      <c r="H59" s="6" t="s">
        <v>35</v>
      </c>
      <c r="I59" s="6" t="str">
        <f t="shared" si="2"/>
        <v xml:space="preserve">3.3 </v>
      </c>
      <c r="J59" s="5">
        <v>2</v>
      </c>
      <c r="K59" s="5">
        <f t="shared" si="7"/>
        <v>6.6</v>
      </c>
      <c r="L59" s="12" t="s">
        <v>589</v>
      </c>
      <c r="M59" s="10">
        <v>14.816999999999998</v>
      </c>
      <c r="N59" s="46">
        <v>17.013999999999999</v>
      </c>
      <c r="O59" s="46">
        <v>17.318999999999996</v>
      </c>
      <c r="P59" s="46">
        <v>15.809999999999999</v>
      </c>
      <c r="Q59" s="46">
        <v>5.1539999999999999</v>
      </c>
      <c r="R59" s="46">
        <v>8.016</v>
      </c>
      <c r="S59" s="46">
        <v>17.606000000000002</v>
      </c>
      <c r="T59" s="46">
        <v>25.679999999999993</v>
      </c>
      <c r="U59" s="46">
        <v>21.312000000000001</v>
      </c>
      <c r="V59" s="46">
        <v>21.053000000000001</v>
      </c>
      <c r="W59" s="46">
        <v>37.198</v>
      </c>
      <c r="X59" s="46">
        <v>18.186</v>
      </c>
      <c r="Y59" s="46">
        <v>16.708000000000002</v>
      </c>
      <c r="Z59" s="46">
        <v>10.736000000000001</v>
      </c>
      <c r="AA59" s="46">
        <v>20.661999999999999</v>
      </c>
      <c r="AB59" s="46">
        <v>14.278999999999998</v>
      </c>
      <c r="AC59" s="46">
        <v>24.295999999999999</v>
      </c>
      <c r="AD59" s="46">
        <v>19.78</v>
      </c>
      <c r="AE59" s="46">
        <v>19.055000000000003</v>
      </c>
      <c r="AF59" s="46">
        <v>18.431999999999999</v>
      </c>
      <c r="AG59" s="46">
        <v>26.200999999999997</v>
      </c>
      <c r="AH59" s="46">
        <v>14.822000000000001</v>
      </c>
      <c r="AI59" s="46">
        <v>29.721999999999998</v>
      </c>
      <c r="AJ59" s="46">
        <v>31.164000000000001</v>
      </c>
      <c r="AK59" s="46">
        <v>31.506000000000004</v>
      </c>
      <c r="AL59" s="46">
        <v>17.821999999999999</v>
      </c>
      <c r="AM59" s="46">
        <v>31.384</v>
      </c>
      <c r="AN59" s="46">
        <v>27.744999999999997</v>
      </c>
      <c r="AO59" s="46">
        <v>29.166</v>
      </c>
      <c r="AP59" s="46">
        <v>28.214000000000002</v>
      </c>
      <c r="AQ59" s="46">
        <v>21.384999999999998</v>
      </c>
      <c r="AR59" s="46">
        <f t="shared" si="4"/>
        <v>21.040129032258069</v>
      </c>
      <c r="AS59" s="7">
        <f t="shared" si="5"/>
        <v>10.520064516129034</v>
      </c>
    </row>
    <row r="60" spans="1:45" x14ac:dyDescent="0.3">
      <c r="A60" s="5">
        <v>59</v>
      </c>
      <c r="B60" s="6" t="s">
        <v>9</v>
      </c>
      <c r="C60" s="5"/>
      <c r="D60" s="6" t="s">
        <v>93</v>
      </c>
      <c r="E60" s="6" t="s">
        <v>26</v>
      </c>
      <c r="F60" s="6" t="s">
        <v>19</v>
      </c>
      <c r="G60" s="6" t="s">
        <v>13</v>
      </c>
      <c r="H60" s="6" t="s">
        <v>14</v>
      </c>
      <c r="I60" s="6" t="str">
        <f t="shared" si="2"/>
        <v xml:space="preserve">3.3 </v>
      </c>
      <c r="J60" s="5">
        <v>1</v>
      </c>
      <c r="K60" s="5">
        <f t="shared" si="7"/>
        <v>3.3</v>
      </c>
      <c r="L60" s="67" t="s">
        <v>160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v>0</v>
      </c>
      <c r="AP60" s="46">
        <v>0</v>
      </c>
      <c r="AQ60" s="46">
        <v>0</v>
      </c>
      <c r="AR60" s="46">
        <f t="shared" si="4"/>
        <v>0</v>
      </c>
      <c r="AS60" s="7">
        <f t="shared" si="5"/>
        <v>0</v>
      </c>
    </row>
    <row r="61" spans="1:45" x14ac:dyDescent="0.3">
      <c r="A61" s="5">
        <v>60</v>
      </c>
      <c r="B61" s="6" t="s">
        <v>9</v>
      </c>
      <c r="C61" s="10" t="s">
        <v>638</v>
      </c>
      <c r="D61" s="39" t="s">
        <v>759</v>
      </c>
      <c r="E61" s="6" t="s">
        <v>128</v>
      </c>
      <c r="F61" s="6" t="s">
        <v>12</v>
      </c>
      <c r="G61" s="6" t="s">
        <v>13</v>
      </c>
      <c r="H61" s="6" t="s">
        <v>35</v>
      </c>
      <c r="I61" s="6" t="str">
        <f t="shared" si="2"/>
        <v xml:space="preserve">3.3 </v>
      </c>
      <c r="J61" s="5">
        <v>8</v>
      </c>
      <c r="K61" s="5">
        <f t="shared" si="7"/>
        <v>26.4</v>
      </c>
      <c r="L61" s="94" t="s">
        <v>273</v>
      </c>
      <c r="M61" s="10">
        <v>22.479999999999997</v>
      </c>
      <c r="N61" s="46">
        <v>14.017999999999997</v>
      </c>
      <c r="O61" s="46">
        <v>33.71</v>
      </c>
      <c r="P61" s="46">
        <v>23.087</v>
      </c>
      <c r="Q61" s="46">
        <v>28.459999999999994</v>
      </c>
      <c r="R61" s="46">
        <v>27.508000000000003</v>
      </c>
      <c r="S61" s="46">
        <v>14.956999999999999</v>
      </c>
      <c r="T61" s="46">
        <v>26.705000000000002</v>
      </c>
      <c r="U61" s="46">
        <v>36.326000000000001</v>
      </c>
      <c r="V61" s="46">
        <v>26.114999999999998</v>
      </c>
      <c r="W61" s="46">
        <v>16.244999999999997</v>
      </c>
      <c r="X61" s="46">
        <v>17.898000000000003</v>
      </c>
      <c r="Y61" s="46">
        <v>43.561999999999998</v>
      </c>
      <c r="Z61" s="46">
        <v>26.516000000000002</v>
      </c>
      <c r="AA61" s="46">
        <v>34.573</v>
      </c>
      <c r="AB61" s="46">
        <v>10.93</v>
      </c>
      <c r="AC61" s="46">
        <v>25.871999999999996</v>
      </c>
      <c r="AD61" s="46">
        <v>36.32</v>
      </c>
      <c r="AE61" s="46">
        <v>32.74</v>
      </c>
      <c r="AF61" s="46">
        <v>14.398</v>
      </c>
      <c r="AG61" s="46">
        <v>23.084</v>
      </c>
      <c r="AH61" s="46">
        <v>60.191000000000003</v>
      </c>
      <c r="AI61" s="46">
        <v>56.409000000000006</v>
      </c>
      <c r="AJ61" s="46">
        <v>58.12</v>
      </c>
      <c r="AK61" s="46">
        <v>36.81</v>
      </c>
      <c r="AL61" s="46">
        <v>50.738</v>
      </c>
      <c r="AM61" s="46">
        <v>46.704999999999991</v>
      </c>
      <c r="AN61" s="46">
        <v>66.970999999999989</v>
      </c>
      <c r="AO61" s="46">
        <v>58.121000000000009</v>
      </c>
      <c r="AP61" s="46">
        <v>41.064</v>
      </c>
      <c r="AQ61" s="46">
        <v>83.902000000000001</v>
      </c>
      <c r="AR61" s="46">
        <f t="shared" si="4"/>
        <v>35.307580645161295</v>
      </c>
      <c r="AS61" s="7">
        <f t="shared" si="5"/>
        <v>4.4134475806451618</v>
      </c>
    </row>
    <row r="62" spans="1:45" x14ac:dyDescent="0.3">
      <c r="A62" s="5">
        <v>61</v>
      </c>
      <c r="B62" s="6" t="s">
        <v>9</v>
      </c>
      <c r="C62" s="10" t="s">
        <v>713</v>
      </c>
      <c r="D62" s="6" t="s">
        <v>714</v>
      </c>
      <c r="E62" s="6" t="s">
        <v>128</v>
      </c>
      <c r="F62" s="6" t="s">
        <v>12</v>
      </c>
      <c r="G62" s="6" t="s">
        <v>13</v>
      </c>
      <c r="H62" s="6" t="s">
        <v>35</v>
      </c>
      <c r="I62" s="6" t="str">
        <f t="shared" si="2"/>
        <v xml:space="preserve">3.3 </v>
      </c>
      <c r="J62" s="5">
        <v>6</v>
      </c>
      <c r="K62" s="5">
        <f t="shared" si="7"/>
        <v>19.799999999999997</v>
      </c>
      <c r="L62" s="94" t="s">
        <v>273</v>
      </c>
      <c r="M62" s="10">
        <v>53.324000000000005</v>
      </c>
      <c r="N62" s="46">
        <v>64.528000000000006</v>
      </c>
      <c r="O62" s="46">
        <v>58.514000000000003</v>
      </c>
      <c r="P62" s="46">
        <v>84.314999999999984</v>
      </c>
      <c r="Q62" s="46">
        <v>44.251000000000005</v>
      </c>
      <c r="R62" s="46">
        <v>85.147000000000006</v>
      </c>
      <c r="S62" s="46">
        <v>69.74799999999999</v>
      </c>
      <c r="T62" s="46">
        <v>59.269999999999996</v>
      </c>
      <c r="U62" s="46">
        <v>75.757999999999981</v>
      </c>
      <c r="V62" s="46">
        <v>74.941000000000003</v>
      </c>
      <c r="W62" s="46">
        <v>66.168000000000006</v>
      </c>
      <c r="X62" s="46">
        <v>83.02</v>
      </c>
      <c r="Y62" s="46">
        <v>79.268999999999991</v>
      </c>
      <c r="Z62" s="46">
        <v>58.898999999999994</v>
      </c>
      <c r="AA62" s="46">
        <v>67.813000000000017</v>
      </c>
      <c r="AB62" s="46">
        <v>72.868000000000009</v>
      </c>
      <c r="AC62" s="46">
        <v>85.445000000000007</v>
      </c>
      <c r="AD62" s="46">
        <v>58.222000000000008</v>
      </c>
      <c r="AE62" s="46">
        <v>71.786999999999992</v>
      </c>
      <c r="AF62" s="46">
        <v>72.055999999999997</v>
      </c>
      <c r="AG62" s="46">
        <v>50.060999999999993</v>
      </c>
      <c r="AH62" s="46">
        <v>51.171999999999997</v>
      </c>
      <c r="AI62" s="46">
        <v>92.534999999999997</v>
      </c>
      <c r="AJ62" s="46">
        <v>67.36699999999999</v>
      </c>
      <c r="AK62" s="46">
        <v>79.304999999999993</v>
      </c>
      <c r="AL62" s="46">
        <v>65.360000000000014</v>
      </c>
      <c r="AM62" s="46">
        <v>75.748000000000005</v>
      </c>
      <c r="AN62" s="46">
        <v>62.917999999999985</v>
      </c>
      <c r="AO62" s="46">
        <v>72.534999999999997</v>
      </c>
      <c r="AP62" s="46">
        <v>69.067999999999998</v>
      </c>
      <c r="AQ62" s="46">
        <v>70.421999999999997</v>
      </c>
      <c r="AR62" s="46">
        <f t="shared" si="4"/>
        <v>69.09141935483872</v>
      </c>
      <c r="AS62" s="7">
        <f t="shared" si="5"/>
        <v>11.515236559139787</v>
      </c>
    </row>
    <row r="63" spans="1:45" x14ac:dyDescent="0.3">
      <c r="A63" s="5">
        <v>62</v>
      </c>
      <c r="B63" s="6" t="s">
        <v>9</v>
      </c>
      <c r="C63" s="10" t="s">
        <v>857</v>
      </c>
      <c r="D63" s="6" t="s">
        <v>856</v>
      </c>
      <c r="E63" s="6" t="s">
        <v>128</v>
      </c>
      <c r="F63" s="6" t="s">
        <v>12</v>
      </c>
      <c r="G63" s="6" t="s">
        <v>290</v>
      </c>
      <c r="H63" s="6" t="s">
        <v>80</v>
      </c>
      <c r="I63" s="6" t="str">
        <f t="shared" si="2"/>
        <v>60 k</v>
      </c>
      <c r="J63" s="5">
        <v>1</v>
      </c>
      <c r="K63" s="5" t="e">
        <f t="shared" si="7"/>
        <v>#VALUE!</v>
      </c>
      <c r="L63" s="12" t="s">
        <v>590</v>
      </c>
      <c r="M63" s="10"/>
      <c r="N63" s="46">
        <v>4.9489999999999998</v>
      </c>
      <c r="O63" s="46">
        <v>0</v>
      </c>
      <c r="P63" s="46">
        <v>0</v>
      </c>
      <c r="Q63" s="46">
        <v>0</v>
      </c>
      <c r="R63" s="46">
        <v>16.725000000000001</v>
      </c>
      <c r="S63" s="46">
        <v>0</v>
      </c>
      <c r="T63" s="46">
        <v>36.525000000000006</v>
      </c>
      <c r="U63" s="46">
        <v>0</v>
      </c>
      <c r="V63" s="46">
        <v>8.7000000000000011</v>
      </c>
      <c r="W63" s="46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18.5</v>
      </c>
      <c r="AC63" s="46">
        <v>0</v>
      </c>
      <c r="AD63" s="46">
        <v>0</v>
      </c>
      <c r="AE63" s="46">
        <v>0</v>
      </c>
      <c r="AF63" s="46">
        <v>0</v>
      </c>
      <c r="AG63" s="46">
        <v>18.625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>
        <v>0</v>
      </c>
      <c r="AO63" s="46">
        <v>0</v>
      </c>
      <c r="AP63" s="46">
        <v>0</v>
      </c>
      <c r="AQ63" s="46">
        <v>0</v>
      </c>
      <c r="AR63" s="46">
        <f t="shared" si="4"/>
        <v>3.4674666666666667</v>
      </c>
      <c r="AS63" s="7">
        <f t="shared" si="5"/>
        <v>3.4674666666666667</v>
      </c>
    </row>
    <row r="64" spans="1:45" x14ac:dyDescent="0.3">
      <c r="A64" s="5">
        <v>63</v>
      </c>
      <c r="B64" s="6" t="s">
        <v>9</v>
      </c>
      <c r="C64" s="10"/>
      <c r="D64" s="6" t="s">
        <v>871</v>
      </c>
      <c r="E64" s="6" t="s">
        <v>128</v>
      </c>
      <c r="F64" s="6" t="s">
        <v>12</v>
      </c>
      <c r="G64" s="6" t="s">
        <v>13</v>
      </c>
      <c r="H64" s="6" t="s">
        <v>35</v>
      </c>
      <c r="I64" s="6" t="str">
        <f t="shared" si="2"/>
        <v xml:space="preserve">3.3 </v>
      </c>
      <c r="J64" s="5">
        <v>1</v>
      </c>
      <c r="K64" s="5">
        <f t="shared" si="7"/>
        <v>3.3</v>
      </c>
      <c r="L64" s="12" t="s">
        <v>590</v>
      </c>
      <c r="M64" s="10"/>
      <c r="N64" s="46"/>
      <c r="O64" s="46"/>
      <c r="P64" s="46"/>
      <c r="Q64" s="46"/>
      <c r="R64" s="46"/>
      <c r="S64" s="46"/>
      <c r="T64" s="46"/>
      <c r="U64" s="46"/>
      <c r="V64" s="46">
        <v>4.0000000000000001E-3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2.2509999999999999</v>
      </c>
      <c r="AC64" s="46">
        <v>0</v>
      </c>
      <c r="AD64" s="46">
        <v>1.367</v>
      </c>
      <c r="AE64" s="46">
        <v>0</v>
      </c>
      <c r="AF64" s="46">
        <v>0</v>
      </c>
      <c r="AG64" s="46">
        <v>2.008</v>
      </c>
      <c r="AH64" s="46">
        <v>0</v>
      </c>
      <c r="AI64" s="46">
        <v>0</v>
      </c>
      <c r="AJ64" s="46">
        <v>3.2789999999999999</v>
      </c>
      <c r="AK64" s="46">
        <v>0</v>
      </c>
      <c r="AL64" s="46">
        <v>0</v>
      </c>
      <c r="AM64" s="46">
        <v>2.5169999999999999</v>
      </c>
      <c r="AN64" s="46">
        <v>0</v>
      </c>
      <c r="AO64" s="46">
        <v>0</v>
      </c>
      <c r="AP64" s="46">
        <v>0</v>
      </c>
      <c r="AQ64" s="46">
        <v>0</v>
      </c>
      <c r="AR64" s="46">
        <f t="shared" si="4"/>
        <v>0.51936363636363625</v>
      </c>
      <c r="AS64" s="7">
        <f t="shared" si="5"/>
        <v>0.51936363636363625</v>
      </c>
    </row>
    <row r="65" spans="1:45" x14ac:dyDescent="0.3">
      <c r="A65" s="5">
        <v>64</v>
      </c>
      <c r="B65" s="6" t="s">
        <v>536</v>
      </c>
      <c r="C65" s="10" t="s">
        <v>639</v>
      </c>
      <c r="D65" s="39" t="s">
        <v>784</v>
      </c>
      <c r="E65" s="6" t="s">
        <v>128</v>
      </c>
      <c r="F65" s="6" t="s">
        <v>12</v>
      </c>
      <c r="G65" s="6" t="s">
        <v>255</v>
      </c>
      <c r="H65" s="6" t="s">
        <v>80</v>
      </c>
      <c r="I65" s="6" t="str">
        <f t="shared" si="2"/>
        <v>15 k</v>
      </c>
      <c r="J65" s="5">
        <v>1</v>
      </c>
      <c r="K65" s="5" t="e">
        <f t="shared" si="7"/>
        <v>#VALUE!</v>
      </c>
      <c r="L65" s="67" t="s">
        <v>160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7.4209999999999994</v>
      </c>
      <c r="V65" s="46">
        <v>0</v>
      </c>
      <c r="W65" s="46">
        <v>0</v>
      </c>
      <c r="X65" s="46">
        <v>6.9560000000000004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v>0</v>
      </c>
      <c r="AP65" s="46">
        <v>0</v>
      </c>
      <c r="AQ65" s="46">
        <v>0</v>
      </c>
      <c r="AR65" s="46">
        <f t="shared" si="4"/>
        <v>0.46377419354838706</v>
      </c>
      <c r="AS65" s="7">
        <f t="shared" si="5"/>
        <v>0.46377419354838706</v>
      </c>
    </row>
    <row r="66" spans="1:45" x14ac:dyDescent="0.3">
      <c r="A66" s="5">
        <v>65</v>
      </c>
      <c r="B66" s="6" t="s">
        <v>9</v>
      </c>
      <c r="C66" s="5"/>
      <c r="D66" s="6" t="s">
        <v>27</v>
      </c>
      <c r="E66" s="6" t="s">
        <v>28</v>
      </c>
      <c r="F66" s="6" t="s">
        <v>19</v>
      </c>
      <c r="G66" s="6" t="s">
        <v>13</v>
      </c>
      <c r="H66" s="6" t="s">
        <v>14</v>
      </c>
      <c r="I66" s="6" t="str">
        <f t="shared" si="2"/>
        <v xml:space="preserve">3.3 </v>
      </c>
      <c r="J66" s="5">
        <v>4</v>
      </c>
      <c r="K66" s="5">
        <f t="shared" si="7"/>
        <v>13.2</v>
      </c>
      <c r="L66" s="67" t="s">
        <v>160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f t="shared" ref="AR66:AR97" si="8">AVERAGE(M66:AQ66)</f>
        <v>0</v>
      </c>
      <c r="AS66" s="7">
        <f t="shared" ref="AS66:AS97" si="9">AR66/J66</f>
        <v>0</v>
      </c>
    </row>
    <row r="67" spans="1:45" x14ac:dyDescent="0.3">
      <c r="A67" s="5">
        <v>66</v>
      </c>
      <c r="B67" s="6" t="s">
        <v>9</v>
      </c>
      <c r="C67" s="5"/>
      <c r="D67" s="6" t="s">
        <v>94</v>
      </c>
      <c r="E67" s="6" t="s">
        <v>32</v>
      </c>
      <c r="F67" s="6" t="s">
        <v>19</v>
      </c>
      <c r="G67" s="6" t="s">
        <v>13</v>
      </c>
      <c r="H67" s="6" t="s">
        <v>14</v>
      </c>
      <c r="I67" s="6" t="str">
        <f t="shared" ref="I67:I130" si="10">LEFT(G67,4)</f>
        <v xml:space="preserve">3.3 </v>
      </c>
      <c r="J67" s="5">
        <v>2</v>
      </c>
      <c r="K67" s="5">
        <f t="shared" si="7"/>
        <v>6.6</v>
      </c>
      <c r="L67" s="67" t="s">
        <v>160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v>0</v>
      </c>
      <c r="AP67" s="46">
        <v>0</v>
      </c>
      <c r="AQ67" s="46">
        <v>0</v>
      </c>
      <c r="AR67" s="46">
        <f t="shared" si="8"/>
        <v>0</v>
      </c>
      <c r="AS67" s="7">
        <f t="shared" si="9"/>
        <v>0</v>
      </c>
    </row>
    <row r="68" spans="1:45" x14ac:dyDescent="0.3">
      <c r="A68" s="5">
        <v>67</v>
      </c>
      <c r="B68" s="6" t="s">
        <v>49</v>
      </c>
      <c r="C68" s="10" t="s">
        <v>640</v>
      </c>
      <c r="D68" s="39" t="s">
        <v>717</v>
      </c>
      <c r="E68" s="6" t="s">
        <v>128</v>
      </c>
      <c r="F68" s="6" t="s">
        <v>12</v>
      </c>
      <c r="G68" s="6" t="s">
        <v>13</v>
      </c>
      <c r="H68" s="6" t="s">
        <v>35</v>
      </c>
      <c r="I68" s="6" t="str">
        <f t="shared" si="10"/>
        <v xml:space="preserve">3.3 </v>
      </c>
      <c r="J68" s="5">
        <v>5</v>
      </c>
      <c r="K68" s="5">
        <f t="shared" si="7"/>
        <v>16.5</v>
      </c>
      <c r="L68" s="12" t="s">
        <v>589</v>
      </c>
      <c r="M68" s="46">
        <v>0</v>
      </c>
      <c r="N68" s="46">
        <v>4.95</v>
      </c>
      <c r="O68" s="46">
        <v>15.366999999999999</v>
      </c>
      <c r="P68" s="46">
        <v>9.75</v>
      </c>
      <c r="Q68" s="46">
        <v>7.6679999999999993</v>
      </c>
      <c r="R68" s="46">
        <v>5.5960000000000001</v>
      </c>
      <c r="S68" s="46">
        <v>16.571999999999999</v>
      </c>
      <c r="T68" s="46">
        <v>21.841000000000001</v>
      </c>
      <c r="U68" s="46">
        <v>2.7759999999999998</v>
      </c>
      <c r="V68" s="46">
        <v>6.4559999999999995</v>
      </c>
      <c r="W68" s="46">
        <v>9.3420000000000005</v>
      </c>
      <c r="X68" s="46">
        <v>13.049999999999999</v>
      </c>
      <c r="Y68" s="46">
        <v>2.8250000000000002</v>
      </c>
      <c r="Z68" s="46">
        <v>6.3929999999999998</v>
      </c>
      <c r="AA68" s="46">
        <v>6.12</v>
      </c>
      <c r="AB68" s="46">
        <v>5.1820000000000004</v>
      </c>
      <c r="AC68" s="46">
        <v>3.048</v>
      </c>
      <c r="AD68" s="46">
        <v>9.8670000000000009</v>
      </c>
      <c r="AE68" s="46">
        <v>0</v>
      </c>
      <c r="AF68" s="46">
        <v>6.5279999999999996</v>
      </c>
      <c r="AG68" s="46">
        <v>2.722</v>
      </c>
      <c r="AH68" s="46">
        <v>2.8069999999999999</v>
      </c>
      <c r="AI68" s="46">
        <v>5.2469999999999999</v>
      </c>
      <c r="AJ68" s="46">
        <v>5.4909999999999997</v>
      </c>
      <c r="AK68" s="46">
        <v>2.8260000000000001</v>
      </c>
      <c r="AL68" s="46">
        <v>14.900000000000002</v>
      </c>
      <c r="AM68" s="46">
        <v>5.112000000000001</v>
      </c>
      <c r="AN68" s="46">
        <v>7.1109999999999998</v>
      </c>
      <c r="AO68" s="46">
        <v>5.5090000000000003</v>
      </c>
      <c r="AP68" s="46">
        <v>11.79</v>
      </c>
      <c r="AQ68" s="46">
        <v>5.9289999999999994</v>
      </c>
      <c r="AR68" s="46">
        <f t="shared" si="8"/>
        <v>7.1862903225806427</v>
      </c>
      <c r="AS68" s="7">
        <f t="shared" si="9"/>
        <v>1.4372580645161286</v>
      </c>
    </row>
    <row r="69" spans="1:45" x14ac:dyDescent="0.3">
      <c r="A69" s="5">
        <v>68</v>
      </c>
      <c r="B69" s="6" t="s">
        <v>49</v>
      </c>
      <c r="C69" s="10" t="s">
        <v>641</v>
      </c>
      <c r="D69" s="39" t="s">
        <v>725</v>
      </c>
      <c r="E69" s="6" t="s">
        <v>128</v>
      </c>
      <c r="F69" s="6" t="s">
        <v>12</v>
      </c>
      <c r="G69" s="6" t="s">
        <v>13</v>
      </c>
      <c r="H69" s="6" t="s">
        <v>35</v>
      </c>
      <c r="I69" s="6" t="str">
        <f t="shared" si="10"/>
        <v xml:space="preserve">3.3 </v>
      </c>
      <c r="J69" s="5">
        <v>10</v>
      </c>
      <c r="K69" s="5">
        <f t="shared" si="7"/>
        <v>33</v>
      </c>
      <c r="L69" s="12" t="s">
        <v>589</v>
      </c>
      <c r="M69" s="10">
        <v>87.352999999999994</v>
      </c>
      <c r="N69" s="46">
        <v>64.839999999999989</v>
      </c>
      <c r="O69" s="46">
        <v>86.860000000000014</v>
      </c>
      <c r="P69" s="46">
        <v>67.302000000000007</v>
      </c>
      <c r="Q69" s="46">
        <v>81.895999999999987</v>
      </c>
      <c r="R69" s="46">
        <v>86.992000000000004</v>
      </c>
      <c r="S69" s="46">
        <v>69.981999999999999</v>
      </c>
      <c r="T69" s="46">
        <v>77.190999999999988</v>
      </c>
      <c r="U69" s="46">
        <v>85.77600000000001</v>
      </c>
      <c r="V69" s="46">
        <v>76.724000000000004</v>
      </c>
      <c r="W69" s="46">
        <v>64.249000000000009</v>
      </c>
      <c r="X69" s="46">
        <v>79.241</v>
      </c>
      <c r="Y69" s="46">
        <v>97.745000000000005</v>
      </c>
      <c r="Z69" s="46">
        <v>75.116</v>
      </c>
      <c r="AA69" s="46">
        <v>17.164999999999999</v>
      </c>
      <c r="AB69" s="46">
        <v>77.548000000000002</v>
      </c>
      <c r="AC69" s="46">
        <v>72.450000000000017</v>
      </c>
      <c r="AD69" s="46">
        <v>52.368000000000009</v>
      </c>
      <c r="AE69" s="46">
        <v>87.118000000000009</v>
      </c>
      <c r="AF69" s="46">
        <v>75.61099999999999</v>
      </c>
      <c r="AG69" s="46">
        <v>93.08</v>
      </c>
      <c r="AH69" s="46">
        <v>70.405000000000015</v>
      </c>
      <c r="AI69" s="46">
        <v>67.971000000000004</v>
      </c>
      <c r="AJ69" s="46">
        <v>79.966999999999999</v>
      </c>
      <c r="AK69" s="46">
        <v>91.666999999999987</v>
      </c>
      <c r="AL69" s="46">
        <v>80.554000000000016</v>
      </c>
      <c r="AM69" s="46">
        <v>67.775999999999996</v>
      </c>
      <c r="AN69" s="46">
        <v>88.784000000000006</v>
      </c>
      <c r="AO69" s="46">
        <v>84.117000000000004</v>
      </c>
      <c r="AP69" s="46">
        <v>71.476000000000013</v>
      </c>
      <c r="AQ69" s="46">
        <v>77.146000000000001</v>
      </c>
      <c r="AR69" s="46">
        <f t="shared" si="8"/>
        <v>76.015161290322609</v>
      </c>
      <c r="AS69" s="7">
        <f t="shared" si="9"/>
        <v>7.6015161290322606</v>
      </c>
    </row>
    <row r="70" spans="1:45" x14ac:dyDescent="0.3">
      <c r="A70" s="5">
        <v>69</v>
      </c>
      <c r="B70" s="6" t="s">
        <v>52</v>
      </c>
      <c r="C70" s="10" t="s">
        <v>642</v>
      </c>
      <c r="D70" s="39" t="s">
        <v>785</v>
      </c>
      <c r="E70" s="6" t="s">
        <v>128</v>
      </c>
      <c r="F70" s="6" t="s">
        <v>12</v>
      </c>
      <c r="G70" s="6" t="s">
        <v>13</v>
      </c>
      <c r="H70" s="6" t="s">
        <v>35</v>
      </c>
      <c r="I70" s="6" t="str">
        <f t="shared" si="10"/>
        <v xml:space="preserve">3.3 </v>
      </c>
      <c r="J70" s="5">
        <v>3</v>
      </c>
      <c r="K70" s="5">
        <f t="shared" si="7"/>
        <v>9.8999999999999986</v>
      </c>
      <c r="L70" s="12" t="s">
        <v>589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v>0</v>
      </c>
      <c r="AN70" s="46">
        <v>0</v>
      </c>
      <c r="AO70" s="46">
        <v>0</v>
      </c>
      <c r="AP70" s="46">
        <v>0</v>
      </c>
      <c r="AQ70" s="46">
        <v>0</v>
      </c>
      <c r="AR70" s="46">
        <f t="shared" si="8"/>
        <v>0</v>
      </c>
      <c r="AS70" s="7">
        <f t="shared" si="9"/>
        <v>0</v>
      </c>
    </row>
    <row r="71" spans="1:45" x14ac:dyDescent="0.3">
      <c r="A71" s="5">
        <v>70</v>
      </c>
      <c r="B71" s="6" t="s">
        <v>52</v>
      </c>
      <c r="C71" s="10" t="s">
        <v>643</v>
      </c>
      <c r="D71" s="39" t="s">
        <v>749</v>
      </c>
      <c r="E71" s="6" t="s">
        <v>128</v>
      </c>
      <c r="F71" s="6" t="s">
        <v>12</v>
      </c>
      <c r="G71" s="6" t="s">
        <v>13</v>
      </c>
      <c r="H71" s="6" t="s">
        <v>35</v>
      </c>
      <c r="I71" s="6" t="str">
        <f t="shared" si="10"/>
        <v xml:space="preserve">3.3 </v>
      </c>
      <c r="J71" s="5">
        <v>7</v>
      </c>
      <c r="K71" s="5">
        <f t="shared" si="7"/>
        <v>23.099999999999998</v>
      </c>
      <c r="L71" s="12" t="s">
        <v>273</v>
      </c>
      <c r="M71" s="10">
        <v>154.77000000000001</v>
      </c>
      <c r="N71" s="46">
        <v>73.609000000000009</v>
      </c>
      <c r="O71" s="46">
        <v>123.44599999999998</v>
      </c>
      <c r="P71" s="46">
        <v>83.724000000000018</v>
      </c>
      <c r="Q71" s="46">
        <v>87.861000000000018</v>
      </c>
      <c r="R71" s="46">
        <v>108.63300000000001</v>
      </c>
      <c r="S71" s="46">
        <v>122.76099999999998</v>
      </c>
      <c r="T71" s="46">
        <v>127.092</v>
      </c>
      <c r="U71" s="46">
        <v>103.544</v>
      </c>
      <c r="V71" s="46">
        <v>95.027999999999992</v>
      </c>
      <c r="W71" s="46">
        <v>101.849</v>
      </c>
      <c r="X71" s="46">
        <v>81.850999999999999</v>
      </c>
      <c r="Y71" s="46">
        <v>93.964999999999989</v>
      </c>
      <c r="Z71" s="46">
        <v>68.118000000000009</v>
      </c>
      <c r="AA71" s="46">
        <v>0</v>
      </c>
      <c r="AB71" s="46">
        <v>45.785000000000011</v>
      </c>
      <c r="AC71" s="46">
        <v>76.850999999999985</v>
      </c>
      <c r="AD71" s="46">
        <v>128.92300000000003</v>
      </c>
      <c r="AE71" s="46">
        <v>75.22</v>
      </c>
      <c r="AF71" s="46">
        <v>90.387000000000015</v>
      </c>
      <c r="AG71" s="46">
        <v>77.940000000000012</v>
      </c>
      <c r="AH71" s="46">
        <v>130.13999999999999</v>
      </c>
      <c r="AI71" s="46">
        <v>97.231999999999985</v>
      </c>
      <c r="AJ71" s="46">
        <v>108.17100000000002</v>
      </c>
      <c r="AK71" s="46">
        <v>95.49799999999999</v>
      </c>
      <c r="AL71" s="46">
        <v>78.135999999999996</v>
      </c>
      <c r="AM71" s="46">
        <v>120.88999999999999</v>
      </c>
      <c r="AN71" s="46">
        <v>116.05499999999998</v>
      </c>
      <c r="AO71" s="46">
        <v>115.58599999999996</v>
      </c>
      <c r="AP71" s="46">
        <v>85.522999999999996</v>
      </c>
      <c r="AQ71" s="46">
        <v>86.52600000000001</v>
      </c>
      <c r="AR71" s="46">
        <f t="shared" si="8"/>
        <v>95.326258064516082</v>
      </c>
      <c r="AS71" s="7">
        <f t="shared" si="9"/>
        <v>13.618036866359441</v>
      </c>
    </row>
    <row r="72" spans="1:45" ht="16.5" customHeight="1" x14ac:dyDescent="0.3">
      <c r="A72" s="5">
        <v>71</v>
      </c>
      <c r="B72" s="6" t="s">
        <v>134</v>
      </c>
      <c r="C72" s="10" t="s">
        <v>644</v>
      </c>
      <c r="D72" s="39" t="s">
        <v>754</v>
      </c>
      <c r="E72" s="6" t="s">
        <v>128</v>
      </c>
      <c r="F72" s="6" t="s">
        <v>12</v>
      </c>
      <c r="G72" s="6" t="s">
        <v>13</v>
      </c>
      <c r="H72" s="6" t="s">
        <v>35</v>
      </c>
      <c r="I72" s="6" t="str">
        <f t="shared" si="10"/>
        <v xml:space="preserve">3.3 </v>
      </c>
      <c r="J72" s="5">
        <v>7</v>
      </c>
      <c r="K72" s="5">
        <f t="shared" si="7"/>
        <v>23.099999999999998</v>
      </c>
      <c r="L72" s="12" t="s">
        <v>273</v>
      </c>
      <c r="M72" s="10">
        <v>67.094999999999999</v>
      </c>
      <c r="N72" s="46">
        <v>31.927</v>
      </c>
      <c r="O72" s="46">
        <v>75.289999999999992</v>
      </c>
      <c r="P72" s="46">
        <v>45.928999999999995</v>
      </c>
      <c r="Q72" s="46">
        <v>62.88300000000001</v>
      </c>
      <c r="R72" s="46">
        <v>52.201000000000001</v>
      </c>
      <c r="S72" s="46">
        <v>43.943999999999996</v>
      </c>
      <c r="T72" s="46">
        <v>60.770999999999994</v>
      </c>
      <c r="U72" s="46">
        <v>40.100999999999999</v>
      </c>
      <c r="V72" s="46">
        <v>25.762</v>
      </c>
      <c r="W72" s="46">
        <v>63.274999999999991</v>
      </c>
      <c r="X72" s="46">
        <v>56.650000000000006</v>
      </c>
      <c r="Y72" s="46">
        <v>48.268999999999991</v>
      </c>
      <c r="Z72" s="46">
        <v>32.087000000000003</v>
      </c>
      <c r="AA72" s="46">
        <v>0</v>
      </c>
      <c r="AB72" s="46">
        <v>40.522999999999996</v>
      </c>
      <c r="AC72" s="46">
        <v>51.844000000000001</v>
      </c>
      <c r="AD72" s="46">
        <v>48.43</v>
      </c>
      <c r="AE72" s="46">
        <v>44.050999999999995</v>
      </c>
      <c r="AF72" s="46">
        <v>36.855999999999995</v>
      </c>
      <c r="AG72" s="46">
        <v>43.173999999999999</v>
      </c>
      <c r="AH72" s="46">
        <v>37.207000000000001</v>
      </c>
      <c r="AI72" s="46">
        <v>46.322000000000003</v>
      </c>
      <c r="AJ72" s="46">
        <v>41.533999999999999</v>
      </c>
      <c r="AK72" s="46">
        <v>49.504999999999995</v>
      </c>
      <c r="AL72" s="46">
        <v>37.296999999999997</v>
      </c>
      <c r="AM72" s="46">
        <v>75.138999999999996</v>
      </c>
      <c r="AN72" s="46">
        <v>59.218000000000004</v>
      </c>
      <c r="AO72" s="46">
        <v>48.04399999999999</v>
      </c>
      <c r="AP72" s="46">
        <v>38.758000000000003</v>
      </c>
      <c r="AQ72" s="46">
        <v>37.884999999999998</v>
      </c>
      <c r="AR72" s="46">
        <f t="shared" si="8"/>
        <v>46.515193548387103</v>
      </c>
      <c r="AS72" s="7">
        <f t="shared" si="9"/>
        <v>6.6450276497695864</v>
      </c>
    </row>
    <row r="73" spans="1:45" x14ac:dyDescent="0.3">
      <c r="A73" s="5">
        <v>72</v>
      </c>
      <c r="B73" s="12" t="s">
        <v>246</v>
      </c>
      <c r="C73" s="10" t="s">
        <v>645</v>
      </c>
      <c r="D73" s="39" t="s">
        <v>765</v>
      </c>
      <c r="E73" s="6" t="s">
        <v>128</v>
      </c>
      <c r="F73" s="6" t="s">
        <v>12</v>
      </c>
      <c r="G73" s="6" t="s">
        <v>13</v>
      </c>
      <c r="H73" s="6" t="s">
        <v>35</v>
      </c>
      <c r="I73" s="6" t="str">
        <f t="shared" si="10"/>
        <v xml:space="preserve">3.3 </v>
      </c>
      <c r="J73" s="5">
        <v>5</v>
      </c>
      <c r="K73" s="5">
        <f t="shared" si="7"/>
        <v>16.5</v>
      </c>
      <c r="L73" s="12" t="s">
        <v>273</v>
      </c>
      <c r="M73" s="10">
        <v>14.430999999999999</v>
      </c>
      <c r="N73" s="46">
        <v>34.742000000000004</v>
      </c>
      <c r="O73" s="46">
        <v>21.887</v>
      </c>
      <c r="P73" s="46">
        <v>27.987000000000002</v>
      </c>
      <c r="Q73" s="46">
        <v>32.112000000000002</v>
      </c>
      <c r="R73" s="46">
        <v>27.090000000000003</v>
      </c>
      <c r="S73" s="46">
        <v>28.152999999999999</v>
      </c>
      <c r="T73" s="46">
        <v>25.381</v>
      </c>
      <c r="U73" s="46">
        <v>26.07</v>
      </c>
      <c r="V73" s="46">
        <v>4.5510000000000002</v>
      </c>
      <c r="W73" s="46">
        <v>40.696000000000005</v>
      </c>
      <c r="X73" s="46">
        <v>18.734999999999999</v>
      </c>
      <c r="Y73" s="46">
        <v>36.602000000000004</v>
      </c>
      <c r="Z73" s="46">
        <v>12.57</v>
      </c>
      <c r="AA73" s="46">
        <v>1.6949999999999998</v>
      </c>
      <c r="AB73" s="46">
        <v>28.174000000000003</v>
      </c>
      <c r="AC73" s="46">
        <v>29.86</v>
      </c>
      <c r="AD73" s="46">
        <v>32.881999999999998</v>
      </c>
      <c r="AE73" s="46">
        <v>37.805000000000007</v>
      </c>
      <c r="AF73" s="46">
        <v>23.937000000000001</v>
      </c>
      <c r="AG73" s="46">
        <v>27.110000000000003</v>
      </c>
      <c r="AH73" s="46">
        <v>29.317</v>
      </c>
      <c r="AI73" s="46">
        <v>15.918000000000001</v>
      </c>
      <c r="AJ73" s="46">
        <v>31.014000000000003</v>
      </c>
      <c r="AK73" s="46">
        <v>34.433999999999997</v>
      </c>
      <c r="AL73" s="46">
        <v>30.838999999999999</v>
      </c>
      <c r="AM73" s="46">
        <v>26.323999999999998</v>
      </c>
      <c r="AN73" s="46">
        <v>31.848999999999997</v>
      </c>
      <c r="AO73" s="46">
        <v>21.443000000000001</v>
      </c>
      <c r="AP73" s="46">
        <v>45</v>
      </c>
      <c r="AQ73" s="46">
        <v>17.222999999999999</v>
      </c>
      <c r="AR73" s="46">
        <f t="shared" si="8"/>
        <v>26.317129032258062</v>
      </c>
      <c r="AS73" s="7">
        <f t="shared" si="9"/>
        <v>5.2634258064516128</v>
      </c>
    </row>
    <row r="74" spans="1:45" ht="17.25" customHeight="1" x14ac:dyDescent="0.3">
      <c r="A74" s="5">
        <v>73</v>
      </c>
      <c r="B74" s="6" t="s">
        <v>58</v>
      </c>
      <c r="C74" s="10" t="s">
        <v>646</v>
      </c>
      <c r="D74" s="39" t="s">
        <v>724</v>
      </c>
      <c r="E74" s="6" t="s">
        <v>61</v>
      </c>
      <c r="F74" s="6" t="s">
        <v>12</v>
      </c>
      <c r="G74" s="6" t="s">
        <v>13</v>
      </c>
      <c r="H74" s="6" t="s">
        <v>35</v>
      </c>
      <c r="I74" s="6" t="str">
        <f t="shared" si="10"/>
        <v xml:space="preserve">3.3 </v>
      </c>
      <c r="J74" s="5">
        <v>4</v>
      </c>
      <c r="K74" s="5">
        <f t="shared" si="7"/>
        <v>13.2</v>
      </c>
      <c r="L74" s="12" t="s">
        <v>589</v>
      </c>
      <c r="M74" s="10">
        <v>72.450999999999993</v>
      </c>
      <c r="N74" s="46">
        <v>97.243999999999971</v>
      </c>
      <c r="O74" s="46">
        <v>80.512</v>
      </c>
      <c r="P74" s="46">
        <v>112.78299999999999</v>
      </c>
      <c r="Q74" s="46">
        <v>91.242999999999981</v>
      </c>
      <c r="R74" s="46">
        <v>82.835000000000022</v>
      </c>
      <c r="S74" s="46">
        <v>96.073999999999984</v>
      </c>
      <c r="T74" s="46">
        <v>83.548999999999992</v>
      </c>
      <c r="U74" s="46">
        <v>86.727000000000004</v>
      </c>
      <c r="V74" s="46">
        <v>93.428999999999974</v>
      </c>
      <c r="W74" s="46">
        <v>100.33000000000001</v>
      </c>
      <c r="X74" s="46">
        <v>70.926000000000016</v>
      </c>
      <c r="Y74" s="46">
        <v>71.136999999999986</v>
      </c>
      <c r="Z74" s="46">
        <v>71.852000000000004</v>
      </c>
      <c r="AA74" s="46">
        <v>70.896999999999991</v>
      </c>
      <c r="AB74" s="46">
        <v>104.172</v>
      </c>
      <c r="AC74" s="46">
        <v>66.840999999999994</v>
      </c>
      <c r="AD74" s="46">
        <v>108.63799999999999</v>
      </c>
      <c r="AE74" s="46">
        <v>84.888000000000019</v>
      </c>
      <c r="AF74" s="46">
        <v>79.001999999999981</v>
      </c>
      <c r="AG74" s="46">
        <v>88.277999999999992</v>
      </c>
      <c r="AH74" s="46">
        <v>74.506</v>
      </c>
      <c r="AI74" s="46">
        <v>108.386</v>
      </c>
      <c r="AJ74" s="46">
        <v>112.414</v>
      </c>
      <c r="AK74" s="46">
        <v>81.194000000000003</v>
      </c>
      <c r="AL74" s="46">
        <v>69.347999999999999</v>
      </c>
      <c r="AM74" s="46">
        <v>97.13900000000001</v>
      </c>
      <c r="AN74" s="46">
        <v>97.718000000000018</v>
      </c>
      <c r="AO74" s="46">
        <v>80.545000000000002</v>
      </c>
      <c r="AP74" s="46">
        <v>99.305000000000021</v>
      </c>
      <c r="AQ74" s="46">
        <v>85.64700000000002</v>
      </c>
      <c r="AR74" s="46">
        <f t="shared" si="8"/>
        <v>87.742258064516108</v>
      </c>
      <c r="AS74" s="7">
        <f t="shared" si="9"/>
        <v>21.935564516129027</v>
      </c>
    </row>
    <row r="75" spans="1:45" x14ac:dyDescent="0.3">
      <c r="A75" s="5">
        <v>74</v>
      </c>
      <c r="B75" s="6" t="s">
        <v>58</v>
      </c>
      <c r="C75" s="10" t="s">
        <v>647</v>
      </c>
      <c r="D75" s="39" t="s">
        <v>727</v>
      </c>
      <c r="E75" s="6" t="s">
        <v>61</v>
      </c>
      <c r="F75" s="6" t="s">
        <v>12</v>
      </c>
      <c r="G75" s="6" t="s">
        <v>13</v>
      </c>
      <c r="H75" s="6" t="s">
        <v>35</v>
      </c>
      <c r="I75" s="6" t="str">
        <f t="shared" si="10"/>
        <v xml:space="preserve">3.3 </v>
      </c>
      <c r="J75" s="5">
        <v>9</v>
      </c>
      <c r="K75" s="5">
        <f t="shared" si="7"/>
        <v>29.7</v>
      </c>
      <c r="L75" s="12" t="s">
        <v>589</v>
      </c>
      <c r="M75" s="10">
        <v>127.14500000000001</v>
      </c>
      <c r="N75" s="46">
        <v>133.27800000000002</v>
      </c>
      <c r="O75" s="46">
        <v>113.634</v>
      </c>
      <c r="P75" s="46">
        <v>151.93799999999999</v>
      </c>
      <c r="Q75" s="46">
        <v>96.796999999999997</v>
      </c>
      <c r="R75" s="46">
        <v>137.79800000000003</v>
      </c>
      <c r="S75" s="46">
        <v>111.59800000000001</v>
      </c>
      <c r="T75" s="46">
        <v>98.839000000000013</v>
      </c>
      <c r="U75" s="46">
        <v>118.42399999999999</v>
      </c>
      <c r="V75" s="46">
        <v>99.511999999999986</v>
      </c>
      <c r="W75" s="46">
        <v>135.517</v>
      </c>
      <c r="X75" s="46">
        <v>144.96600000000001</v>
      </c>
      <c r="Y75" s="46">
        <v>115.11999999999998</v>
      </c>
      <c r="Z75" s="46">
        <v>141.089</v>
      </c>
      <c r="AA75" s="46">
        <v>84.888999999999996</v>
      </c>
      <c r="AB75" s="46">
        <v>79.313000000000002</v>
      </c>
      <c r="AC75" s="46">
        <v>66.908999999999992</v>
      </c>
      <c r="AD75" s="46">
        <v>122.16799999999999</v>
      </c>
      <c r="AE75" s="46">
        <v>107.06599999999997</v>
      </c>
      <c r="AF75" s="46">
        <v>71.875999999999991</v>
      </c>
      <c r="AG75" s="46">
        <v>122.26000000000002</v>
      </c>
      <c r="AH75" s="46">
        <v>122.53099999999999</v>
      </c>
      <c r="AI75" s="46">
        <v>100.43200000000002</v>
      </c>
      <c r="AJ75" s="46">
        <v>39.261000000000003</v>
      </c>
      <c r="AK75" s="46">
        <v>74.637000000000015</v>
      </c>
      <c r="AL75" s="46">
        <v>104.89299999999999</v>
      </c>
      <c r="AM75" s="46">
        <v>68.456000000000003</v>
      </c>
      <c r="AN75" s="46">
        <v>125.17599999999999</v>
      </c>
      <c r="AO75" s="46">
        <v>84.681000000000012</v>
      </c>
      <c r="AP75" s="46">
        <v>71.006999999999991</v>
      </c>
      <c r="AQ75" s="46">
        <v>65.992000000000019</v>
      </c>
      <c r="AR75" s="46">
        <f t="shared" si="8"/>
        <v>104.42587096774196</v>
      </c>
      <c r="AS75" s="7">
        <f t="shared" si="9"/>
        <v>11.602874551971329</v>
      </c>
    </row>
    <row r="76" spans="1:45" x14ac:dyDescent="0.3">
      <c r="A76" s="5">
        <v>75</v>
      </c>
      <c r="B76" s="6" t="s">
        <v>58</v>
      </c>
      <c r="C76" s="10" t="s">
        <v>648</v>
      </c>
      <c r="D76" s="39" t="s">
        <v>763</v>
      </c>
      <c r="E76" s="6" t="s">
        <v>63</v>
      </c>
      <c r="F76" s="6" t="s">
        <v>19</v>
      </c>
      <c r="G76" s="6" t="s">
        <v>13</v>
      </c>
      <c r="H76" s="12" t="s">
        <v>35</v>
      </c>
      <c r="I76" s="6" t="str">
        <f t="shared" si="10"/>
        <v xml:space="preserve">3.3 </v>
      </c>
      <c r="J76" s="5">
        <v>8</v>
      </c>
      <c r="K76" s="5">
        <f t="shared" si="7"/>
        <v>26.4</v>
      </c>
      <c r="L76" s="94" t="s">
        <v>273</v>
      </c>
      <c r="M76" s="10">
        <v>24.795000000000002</v>
      </c>
      <c r="N76" s="46">
        <v>22.016999999999999</v>
      </c>
      <c r="O76" s="46">
        <v>20.056999999999999</v>
      </c>
      <c r="P76" s="46">
        <v>10.090999999999999</v>
      </c>
      <c r="Q76" s="46">
        <v>38.543999999999997</v>
      </c>
      <c r="R76" s="46">
        <v>15.421999999999999</v>
      </c>
      <c r="S76" s="46">
        <v>57.877000000000002</v>
      </c>
      <c r="T76" s="46">
        <v>51.216999999999999</v>
      </c>
      <c r="U76" s="46">
        <v>66.836000000000013</v>
      </c>
      <c r="V76" s="46">
        <v>35.379000000000005</v>
      </c>
      <c r="W76" s="46">
        <v>43.723000000000006</v>
      </c>
      <c r="X76" s="46">
        <v>58.073999999999998</v>
      </c>
      <c r="Y76" s="46">
        <v>40.040000000000006</v>
      </c>
      <c r="Z76" s="46">
        <v>79.075000000000017</v>
      </c>
      <c r="AA76" s="46">
        <v>18.314999999999998</v>
      </c>
      <c r="AB76" s="46">
        <v>23.703999999999997</v>
      </c>
      <c r="AC76" s="46">
        <v>29.388000000000002</v>
      </c>
      <c r="AD76" s="46">
        <v>15.818</v>
      </c>
      <c r="AE76" s="46">
        <v>27.985999999999997</v>
      </c>
      <c r="AF76" s="46">
        <v>37.998000000000005</v>
      </c>
      <c r="AG76" s="46">
        <v>49.595000000000013</v>
      </c>
      <c r="AH76" s="46">
        <v>46.429000000000002</v>
      </c>
      <c r="AI76" s="46">
        <v>47.421999999999997</v>
      </c>
      <c r="AJ76" s="46">
        <v>43.275999999999996</v>
      </c>
      <c r="AK76" s="46">
        <v>72.69</v>
      </c>
      <c r="AL76" s="46">
        <v>41.182000000000002</v>
      </c>
      <c r="AM76" s="46">
        <v>44.279999999999994</v>
      </c>
      <c r="AN76" s="46">
        <v>56.298999999999985</v>
      </c>
      <c r="AO76" s="46">
        <v>37.361000000000004</v>
      </c>
      <c r="AP76" s="46">
        <v>57.670999999999999</v>
      </c>
      <c r="AQ76" s="46">
        <v>49.86</v>
      </c>
      <c r="AR76" s="46">
        <f t="shared" si="8"/>
        <v>40.723258064516131</v>
      </c>
      <c r="AS76" s="7">
        <f t="shared" si="9"/>
        <v>5.0904072580645163</v>
      </c>
    </row>
    <row r="77" spans="1:45" ht="15" customHeight="1" x14ac:dyDescent="0.3">
      <c r="A77" s="5">
        <v>76</v>
      </c>
      <c r="B77" s="6" t="s">
        <v>58</v>
      </c>
      <c r="C77" s="10" t="s">
        <v>648</v>
      </c>
      <c r="D77" s="39" t="s">
        <v>763</v>
      </c>
      <c r="E77" s="6" t="s">
        <v>63</v>
      </c>
      <c r="F77" s="6" t="s">
        <v>19</v>
      </c>
      <c r="G77" s="6" t="s">
        <v>64</v>
      </c>
      <c r="H77" s="6" t="s">
        <v>80</v>
      </c>
      <c r="I77" s="6" t="str">
        <f t="shared" si="10"/>
        <v>6 kW</v>
      </c>
      <c r="J77" s="5">
        <v>1</v>
      </c>
      <c r="K77" s="5" t="e">
        <f t="shared" si="7"/>
        <v>#VALUE!</v>
      </c>
      <c r="L77" s="94" t="s">
        <v>273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0</v>
      </c>
      <c r="AL77" s="46">
        <v>0</v>
      </c>
      <c r="AM77" s="46">
        <v>0</v>
      </c>
      <c r="AN77" s="46">
        <v>0</v>
      </c>
      <c r="AO77" s="46">
        <v>0</v>
      </c>
      <c r="AP77" s="46">
        <v>0</v>
      </c>
      <c r="AQ77" s="46">
        <v>0</v>
      </c>
      <c r="AR77" s="46">
        <f t="shared" si="8"/>
        <v>0</v>
      </c>
      <c r="AS77" s="7">
        <f t="shared" si="9"/>
        <v>0</v>
      </c>
    </row>
    <row r="78" spans="1:45" x14ac:dyDescent="0.3">
      <c r="A78" s="5">
        <v>77</v>
      </c>
      <c r="B78" s="6" t="s">
        <v>58</v>
      </c>
      <c r="C78" s="10" t="s">
        <v>649</v>
      </c>
      <c r="D78" s="39" t="s">
        <v>767</v>
      </c>
      <c r="E78" s="6" t="s">
        <v>128</v>
      </c>
      <c r="F78" s="6" t="s">
        <v>12</v>
      </c>
      <c r="G78" s="6" t="s">
        <v>13</v>
      </c>
      <c r="H78" s="12" t="s">
        <v>35</v>
      </c>
      <c r="I78" s="6" t="str">
        <f t="shared" si="10"/>
        <v xml:space="preserve">3.3 </v>
      </c>
      <c r="J78" s="5">
        <v>7</v>
      </c>
      <c r="K78" s="5">
        <f t="shared" si="7"/>
        <v>23.099999999999998</v>
      </c>
      <c r="L78" s="94" t="s">
        <v>273</v>
      </c>
      <c r="M78" s="10">
        <v>150.54599999999999</v>
      </c>
      <c r="N78" s="46">
        <v>143.71299999999999</v>
      </c>
      <c r="O78" s="46">
        <v>177.65899999999999</v>
      </c>
      <c r="P78" s="46">
        <v>214.066</v>
      </c>
      <c r="Q78" s="46">
        <v>147.59800000000004</v>
      </c>
      <c r="R78" s="46">
        <v>174.465</v>
      </c>
      <c r="S78" s="46">
        <v>160.65199999999999</v>
      </c>
      <c r="T78" s="46">
        <v>182.94500000000002</v>
      </c>
      <c r="U78" s="46">
        <v>124.26500000000003</v>
      </c>
      <c r="V78" s="46">
        <v>122.349</v>
      </c>
      <c r="W78" s="46">
        <v>149.25700000000001</v>
      </c>
      <c r="X78" s="46">
        <v>160.34800000000001</v>
      </c>
      <c r="Y78" s="46">
        <v>110.50699999999999</v>
      </c>
      <c r="Z78" s="46">
        <v>121.38399999999999</v>
      </c>
      <c r="AA78" s="46">
        <v>111.50299999999999</v>
      </c>
      <c r="AB78" s="46">
        <v>116.32899999999999</v>
      </c>
      <c r="AC78" s="46">
        <v>102.93</v>
      </c>
      <c r="AD78" s="46">
        <v>141.065</v>
      </c>
      <c r="AE78" s="46">
        <v>117.18</v>
      </c>
      <c r="AF78" s="46">
        <v>122.431</v>
      </c>
      <c r="AG78" s="46">
        <v>136.37400000000002</v>
      </c>
      <c r="AH78" s="46">
        <v>150.726</v>
      </c>
      <c r="AI78" s="46">
        <v>178.91200000000006</v>
      </c>
      <c r="AJ78" s="46">
        <v>122.521</v>
      </c>
      <c r="AK78" s="46">
        <v>134.22200000000001</v>
      </c>
      <c r="AL78" s="46">
        <v>136.47199999999998</v>
      </c>
      <c r="AM78" s="46">
        <v>102.84100000000004</v>
      </c>
      <c r="AN78" s="46">
        <v>139.88499999999996</v>
      </c>
      <c r="AO78" s="46">
        <v>127.10399999999998</v>
      </c>
      <c r="AP78" s="46">
        <v>115.81699999999999</v>
      </c>
      <c r="AQ78" s="46">
        <v>108.92699999999998</v>
      </c>
      <c r="AR78" s="46">
        <f t="shared" si="8"/>
        <v>138.87074193548386</v>
      </c>
      <c r="AS78" s="7">
        <f t="shared" si="9"/>
        <v>19.838677419354838</v>
      </c>
    </row>
    <row r="79" spans="1:45" x14ac:dyDescent="0.3">
      <c r="A79" s="5">
        <v>78</v>
      </c>
      <c r="B79" s="6" t="s">
        <v>58</v>
      </c>
      <c r="C79" s="10" t="s">
        <v>650</v>
      </c>
      <c r="D79" s="39" t="s">
        <v>758</v>
      </c>
      <c r="E79" s="6" t="s">
        <v>128</v>
      </c>
      <c r="F79" s="6" t="s">
        <v>12</v>
      </c>
      <c r="G79" s="6" t="s">
        <v>13</v>
      </c>
      <c r="H79" s="12" t="s">
        <v>35</v>
      </c>
      <c r="I79" s="6" t="str">
        <f t="shared" si="10"/>
        <v xml:space="preserve">3.3 </v>
      </c>
      <c r="J79" s="5">
        <v>10</v>
      </c>
      <c r="K79" s="5">
        <f t="shared" si="7"/>
        <v>33</v>
      </c>
      <c r="L79" s="94" t="s">
        <v>273</v>
      </c>
      <c r="M79" s="10">
        <v>138.79800000000003</v>
      </c>
      <c r="N79" s="46">
        <v>140.82399999999998</v>
      </c>
      <c r="O79" s="46">
        <v>126.03300000000002</v>
      </c>
      <c r="P79" s="46">
        <v>175.09100000000001</v>
      </c>
      <c r="Q79" s="46">
        <v>175.25600000000003</v>
      </c>
      <c r="R79" s="46">
        <v>181.44600000000003</v>
      </c>
      <c r="S79" s="46">
        <v>138.70700000000002</v>
      </c>
      <c r="T79" s="46">
        <v>141.57699999999997</v>
      </c>
      <c r="U79" s="46">
        <v>179.81799999999998</v>
      </c>
      <c r="V79" s="46">
        <v>149.834</v>
      </c>
      <c r="W79" s="46">
        <v>146.06700000000004</v>
      </c>
      <c r="X79" s="46">
        <v>137.64599999999999</v>
      </c>
      <c r="Y79" s="46">
        <v>119.50900000000001</v>
      </c>
      <c r="Z79" s="46">
        <v>141.36600000000001</v>
      </c>
      <c r="AA79" s="46">
        <v>112.127</v>
      </c>
      <c r="AB79" s="46">
        <v>99.192999999999998</v>
      </c>
      <c r="AC79" s="46">
        <v>134.72299999999996</v>
      </c>
      <c r="AD79" s="46">
        <v>96.042999999999964</v>
      </c>
      <c r="AE79" s="46">
        <v>141.89699999999999</v>
      </c>
      <c r="AF79" s="46">
        <v>157.82899999999998</v>
      </c>
      <c r="AG79" s="46">
        <v>149.90899999999996</v>
      </c>
      <c r="AH79" s="46">
        <v>134.44399999999999</v>
      </c>
      <c r="AI79" s="46">
        <v>186.70399999999998</v>
      </c>
      <c r="AJ79" s="46">
        <v>156.42300000000006</v>
      </c>
      <c r="AK79" s="46">
        <v>166.76799999999994</v>
      </c>
      <c r="AL79" s="46">
        <v>206.00399999999999</v>
      </c>
      <c r="AM79" s="46">
        <v>149.73400000000001</v>
      </c>
      <c r="AN79" s="46">
        <v>155.09400000000002</v>
      </c>
      <c r="AO79" s="46">
        <v>146.77299999999994</v>
      </c>
      <c r="AP79" s="46">
        <v>147.46600000000001</v>
      </c>
      <c r="AQ79" s="46">
        <v>136.29399999999998</v>
      </c>
      <c r="AR79" s="46">
        <f t="shared" si="8"/>
        <v>147.39990322580647</v>
      </c>
      <c r="AS79" s="7">
        <f t="shared" si="9"/>
        <v>14.739990322580647</v>
      </c>
    </row>
    <row r="80" spans="1:45" x14ac:dyDescent="0.3">
      <c r="A80" s="5">
        <v>79</v>
      </c>
      <c r="B80" s="6" t="s">
        <v>58</v>
      </c>
      <c r="C80" s="10" t="s">
        <v>651</v>
      </c>
      <c r="D80" s="39" t="s">
        <v>756</v>
      </c>
      <c r="E80" s="6" t="s">
        <v>128</v>
      </c>
      <c r="F80" s="6" t="s">
        <v>12</v>
      </c>
      <c r="G80" s="6" t="s">
        <v>13</v>
      </c>
      <c r="H80" s="12" t="s">
        <v>35</v>
      </c>
      <c r="I80" s="6" t="str">
        <f t="shared" si="10"/>
        <v xml:space="preserve">3.3 </v>
      </c>
      <c r="J80" s="5">
        <v>8</v>
      </c>
      <c r="K80" s="5">
        <f t="shared" si="7"/>
        <v>26.4</v>
      </c>
      <c r="L80" s="94" t="s">
        <v>273</v>
      </c>
      <c r="M80" s="10">
        <v>28.384999999999998</v>
      </c>
      <c r="N80" s="46">
        <v>39.191999999999993</v>
      </c>
      <c r="O80" s="46">
        <v>25.824000000000002</v>
      </c>
      <c r="P80" s="46">
        <v>54.144000000000005</v>
      </c>
      <c r="Q80" s="46">
        <v>37.919999999999995</v>
      </c>
      <c r="R80" s="46">
        <v>45.356999999999999</v>
      </c>
      <c r="S80" s="46">
        <v>53.326999999999984</v>
      </c>
      <c r="T80" s="46">
        <v>50.143000000000008</v>
      </c>
      <c r="U80" s="46">
        <v>40.108999999999995</v>
      </c>
      <c r="V80" s="46">
        <v>31.062000000000001</v>
      </c>
      <c r="W80" s="46">
        <v>33.736000000000004</v>
      </c>
      <c r="X80" s="46">
        <v>31.902999999999999</v>
      </c>
      <c r="Y80" s="46">
        <v>24.483999999999998</v>
      </c>
      <c r="Z80" s="46">
        <v>28.709000000000003</v>
      </c>
      <c r="AA80" s="46">
        <v>27.080000000000002</v>
      </c>
      <c r="AB80" s="46">
        <v>41.180000000000007</v>
      </c>
      <c r="AC80" s="46">
        <v>34.155000000000008</v>
      </c>
      <c r="AD80" s="46">
        <v>46.762</v>
      </c>
      <c r="AE80" s="46">
        <v>20.448999999999998</v>
      </c>
      <c r="AF80" s="46">
        <v>52.697999999999993</v>
      </c>
      <c r="AG80" s="46">
        <v>30.511000000000003</v>
      </c>
      <c r="AH80" s="46">
        <v>29.481000000000002</v>
      </c>
      <c r="AI80" s="46">
        <v>37.373000000000005</v>
      </c>
      <c r="AJ80" s="46">
        <v>41.815999999999995</v>
      </c>
      <c r="AK80" s="46">
        <v>30.43</v>
      </c>
      <c r="AL80" s="46">
        <v>61.382999999999996</v>
      </c>
      <c r="AM80" s="46">
        <v>41.666999999999994</v>
      </c>
      <c r="AN80" s="46">
        <v>30.351999999999997</v>
      </c>
      <c r="AO80" s="46">
        <v>37.46</v>
      </c>
      <c r="AP80" s="46">
        <v>44.959999999999994</v>
      </c>
      <c r="AQ80" s="46">
        <v>26.936</v>
      </c>
      <c r="AR80" s="46">
        <f t="shared" si="8"/>
        <v>37.386709677419354</v>
      </c>
      <c r="AS80" s="7">
        <f t="shared" si="9"/>
        <v>4.6733387096774193</v>
      </c>
    </row>
    <row r="81" spans="1:45" x14ac:dyDescent="0.3">
      <c r="A81" s="5">
        <v>80</v>
      </c>
      <c r="B81" s="6" t="s">
        <v>58</v>
      </c>
      <c r="C81" s="10" t="s">
        <v>652</v>
      </c>
      <c r="D81" s="39" t="s">
        <v>786</v>
      </c>
      <c r="E81" s="6" t="s">
        <v>128</v>
      </c>
      <c r="F81" s="6" t="s">
        <v>12</v>
      </c>
      <c r="G81" s="6" t="s">
        <v>13</v>
      </c>
      <c r="H81" s="12" t="s">
        <v>35</v>
      </c>
      <c r="I81" s="6" t="str">
        <f t="shared" si="10"/>
        <v xml:space="preserve">3.3 </v>
      </c>
      <c r="J81" s="5">
        <v>6</v>
      </c>
      <c r="K81" s="5">
        <f t="shared" si="7"/>
        <v>19.799999999999997</v>
      </c>
      <c r="L81" s="94" t="s">
        <v>273</v>
      </c>
      <c r="M81" s="46">
        <v>0</v>
      </c>
      <c r="N81" s="46">
        <v>0</v>
      </c>
      <c r="O81" s="46">
        <v>0</v>
      </c>
      <c r="P81" s="46">
        <v>2.746</v>
      </c>
      <c r="Q81" s="46">
        <v>6.0000000000000001E-3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2.6150000000000002</v>
      </c>
      <c r="AC81" s="46">
        <v>8.9819999999999993</v>
      </c>
      <c r="AD81" s="46">
        <v>8.5640000000000001</v>
      </c>
      <c r="AE81" s="46">
        <v>15.818000000000001</v>
      </c>
      <c r="AF81" s="46">
        <v>24.64</v>
      </c>
      <c r="AG81" s="46">
        <v>6.6</v>
      </c>
      <c r="AH81" s="46">
        <v>22.998000000000001</v>
      </c>
      <c r="AI81" s="46">
        <v>10.102</v>
      </c>
      <c r="AJ81" s="46">
        <v>23.796999999999997</v>
      </c>
      <c r="AK81" s="46">
        <v>11.397000000000002</v>
      </c>
      <c r="AL81" s="46">
        <v>15.879999999999999</v>
      </c>
      <c r="AM81" s="46">
        <v>20.686</v>
      </c>
      <c r="AN81" s="46">
        <v>19.78</v>
      </c>
      <c r="AO81" s="46">
        <v>17.928000000000001</v>
      </c>
      <c r="AP81" s="46">
        <v>14.055999999999999</v>
      </c>
      <c r="AQ81" s="46">
        <v>13.242000000000001</v>
      </c>
      <c r="AR81" s="46">
        <f t="shared" si="8"/>
        <v>7.7366774193548391</v>
      </c>
      <c r="AS81" s="7">
        <f t="shared" si="9"/>
        <v>1.2894462365591399</v>
      </c>
    </row>
    <row r="82" spans="1:45" x14ac:dyDescent="0.3">
      <c r="A82" s="5">
        <v>81</v>
      </c>
      <c r="B82" s="6" t="s">
        <v>58</v>
      </c>
      <c r="C82" s="10" t="s">
        <v>653</v>
      </c>
      <c r="D82" s="12" t="s">
        <v>816</v>
      </c>
      <c r="E82" s="6" t="s">
        <v>128</v>
      </c>
      <c r="F82" s="6" t="s">
        <v>12</v>
      </c>
      <c r="G82" s="6" t="s">
        <v>13</v>
      </c>
      <c r="H82" s="12" t="s">
        <v>35</v>
      </c>
      <c r="I82" s="6" t="str">
        <f t="shared" si="10"/>
        <v xml:space="preserve">3.3 </v>
      </c>
      <c r="J82" s="5">
        <v>2</v>
      </c>
      <c r="K82" s="5">
        <f t="shared" si="7"/>
        <v>6.6</v>
      </c>
      <c r="L82" s="94" t="s">
        <v>273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v>0</v>
      </c>
      <c r="AO82" s="46">
        <v>0</v>
      </c>
      <c r="AP82" s="46">
        <v>0</v>
      </c>
      <c r="AQ82" s="46">
        <v>0</v>
      </c>
      <c r="AR82" s="46">
        <f t="shared" si="8"/>
        <v>0</v>
      </c>
      <c r="AS82" s="7">
        <f t="shared" si="9"/>
        <v>0</v>
      </c>
    </row>
    <row r="83" spans="1:45" x14ac:dyDescent="0.3">
      <c r="A83" s="5">
        <v>82</v>
      </c>
      <c r="B83" s="6" t="s">
        <v>476</v>
      </c>
      <c r="C83" s="5" t="s">
        <v>698</v>
      </c>
      <c r="D83" s="39" t="s">
        <v>477</v>
      </c>
      <c r="E83" s="6" t="s">
        <v>128</v>
      </c>
      <c r="F83" s="6" t="s">
        <v>12</v>
      </c>
      <c r="G83" s="6" t="s">
        <v>13</v>
      </c>
      <c r="H83" s="12" t="s">
        <v>35</v>
      </c>
      <c r="I83" s="6" t="str">
        <f t="shared" si="10"/>
        <v xml:space="preserve">3.3 </v>
      </c>
      <c r="J83" s="5">
        <v>1</v>
      </c>
      <c r="K83" s="5">
        <f t="shared" si="7"/>
        <v>3.3</v>
      </c>
      <c r="L83" s="67" t="s">
        <v>590</v>
      </c>
      <c r="M83" s="46">
        <v>0</v>
      </c>
      <c r="N83" s="46">
        <v>0</v>
      </c>
      <c r="O83" s="46">
        <v>0</v>
      </c>
      <c r="P83" s="46">
        <v>0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>
        <v>0</v>
      </c>
      <c r="AK83" s="46">
        <v>0</v>
      </c>
      <c r="AL83" s="46">
        <v>0</v>
      </c>
      <c r="AM83" s="46">
        <v>0</v>
      </c>
      <c r="AN83" s="46">
        <v>0</v>
      </c>
      <c r="AO83" s="46">
        <v>0</v>
      </c>
      <c r="AP83" s="46">
        <v>0</v>
      </c>
      <c r="AQ83" s="46">
        <v>0</v>
      </c>
      <c r="AR83" s="46">
        <f t="shared" si="8"/>
        <v>0</v>
      </c>
      <c r="AS83" s="7">
        <f t="shared" si="9"/>
        <v>0</v>
      </c>
    </row>
    <row r="84" spans="1:45" x14ac:dyDescent="0.3">
      <c r="A84" s="5">
        <v>83</v>
      </c>
      <c r="B84" s="6" t="s">
        <v>569</v>
      </c>
      <c r="C84" s="10" t="s">
        <v>656</v>
      </c>
      <c r="D84" s="39" t="s">
        <v>787</v>
      </c>
      <c r="E84" s="6" t="s">
        <v>61</v>
      </c>
      <c r="F84" s="6" t="s">
        <v>12</v>
      </c>
      <c r="G84" s="6" t="s">
        <v>13</v>
      </c>
      <c r="H84" s="12" t="s">
        <v>35</v>
      </c>
      <c r="I84" s="6" t="str">
        <f t="shared" si="10"/>
        <v xml:space="preserve">3.3 </v>
      </c>
      <c r="J84" s="5">
        <v>14</v>
      </c>
      <c r="K84" s="5">
        <f t="shared" si="7"/>
        <v>46.199999999999996</v>
      </c>
      <c r="L84" s="67" t="s">
        <v>160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46">
        <v>0</v>
      </c>
      <c r="AH84" s="46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>
        <v>0</v>
      </c>
      <c r="AO84" s="46">
        <v>0</v>
      </c>
      <c r="AP84" s="46">
        <v>0</v>
      </c>
      <c r="AQ84" s="46">
        <v>0</v>
      </c>
      <c r="AR84" s="46">
        <f t="shared" si="8"/>
        <v>0</v>
      </c>
      <c r="AS84" s="7">
        <f t="shared" si="9"/>
        <v>0</v>
      </c>
    </row>
    <row r="85" spans="1:45" x14ac:dyDescent="0.3">
      <c r="A85" s="5">
        <v>84</v>
      </c>
      <c r="B85" s="6" t="s">
        <v>829</v>
      </c>
      <c r="C85" s="101" t="s">
        <v>831</v>
      </c>
      <c r="D85" t="s">
        <v>830</v>
      </c>
      <c r="E85" s="6" t="s">
        <v>128</v>
      </c>
      <c r="F85" s="6" t="s">
        <v>12</v>
      </c>
      <c r="G85" s="6" t="s">
        <v>255</v>
      </c>
      <c r="H85" s="6" t="s">
        <v>80</v>
      </c>
      <c r="I85" s="6" t="str">
        <f t="shared" si="10"/>
        <v>15 k</v>
      </c>
      <c r="J85" s="5">
        <v>1</v>
      </c>
      <c r="K85" s="5" t="e">
        <f t="shared" si="7"/>
        <v>#VALUE!</v>
      </c>
      <c r="L85" s="67" t="s">
        <v>160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1.268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46">
        <v>0</v>
      </c>
      <c r="AN85" s="46">
        <v>0</v>
      </c>
      <c r="AO85" s="46">
        <v>0</v>
      </c>
      <c r="AP85" s="46">
        <v>0</v>
      </c>
      <c r="AQ85" s="46">
        <v>0</v>
      </c>
      <c r="AR85" s="46">
        <f t="shared" si="8"/>
        <v>4.0903225806451615E-2</v>
      </c>
      <c r="AS85" s="7">
        <f t="shared" si="9"/>
        <v>4.0903225806451615E-2</v>
      </c>
    </row>
    <row r="86" spans="1:45" x14ac:dyDescent="0.3">
      <c r="A86" s="5">
        <v>85</v>
      </c>
      <c r="B86" s="6" t="s">
        <v>866</v>
      </c>
      <c r="C86" s="101"/>
      <c r="D86" s="10" t="s">
        <v>867</v>
      </c>
      <c r="E86" s="6" t="s">
        <v>128</v>
      </c>
      <c r="F86" s="6" t="s">
        <v>12</v>
      </c>
      <c r="G86" s="6" t="s">
        <v>255</v>
      </c>
      <c r="H86" s="6" t="s">
        <v>80</v>
      </c>
      <c r="I86" s="6" t="str">
        <f t="shared" si="10"/>
        <v>15 k</v>
      </c>
      <c r="J86" s="5">
        <v>1</v>
      </c>
      <c r="K86" s="5" t="e">
        <f t="shared" si="7"/>
        <v>#VALUE!</v>
      </c>
      <c r="L86" s="67" t="s">
        <v>160</v>
      </c>
      <c r="M86" s="46"/>
      <c r="N86" s="46"/>
      <c r="O86" s="46"/>
      <c r="P86" s="46"/>
      <c r="Q86" s="46"/>
      <c r="R86" s="46"/>
      <c r="S86" s="46">
        <v>1.1399999999999999</v>
      </c>
      <c r="T86" s="46">
        <v>2.7100000000000004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>
        <v>0</v>
      </c>
      <c r="AK86" s="46">
        <v>0</v>
      </c>
      <c r="AL86" s="46">
        <v>0</v>
      </c>
      <c r="AM86" s="46">
        <v>1.9400000000000002</v>
      </c>
      <c r="AN86" s="46">
        <v>0</v>
      </c>
      <c r="AO86" s="46">
        <v>0</v>
      </c>
      <c r="AP86" s="46">
        <v>0</v>
      </c>
      <c r="AQ86" s="46">
        <v>0</v>
      </c>
      <c r="AR86" s="46">
        <f t="shared" si="8"/>
        <v>0.23160000000000003</v>
      </c>
      <c r="AS86" s="7">
        <f t="shared" si="9"/>
        <v>0.23160000000000003</v>
      </c>
    </row>
    <row r="87" spans="1:45" x14ac:dyDescent="0.3">
      <c r="A87" s="5">
        <v>86</v>
      </c>
      <c r="B87" s="6" t="s">
        <v>892</v>
      </c>
      <c r="C87" s="101"/>
      <c r="D87" s="10" t="s">
        <v>893</v>
      </c>
      <c r="E87" s="6" t="s">
        <v>128</v>
      </c>
      <c r="F87" s="6" t="s">
        <v>12</v>
      </c>
      <c r="G87" s="6" t="s">
        <v>255</v>
      </c>
      <c r="H87" s="6" t="s">
        <v>80</v>
      </c>
      <c r="I87" s="6" t="str">
        <f t="shared" si="10"/>
        <v>15 k</v>
      </c>
      <c r="J87" s="5">
        <v>1</v>
      </c>
      <c r="K87" s="5" t="e">
        <f t="shared" si="7"/>
        <v>#VALUE!</v>
      </c>
      <c r="L87" s="67" t="s">
        <v>160</v>
      </c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>
        <v>10.978999999999999</v>
      </c>
      <c r="AK87" s="46">
        <v>0</v>
      </c>
      <c r="AL87" s="46">
        <v>0</v>
      </c>
      <c r="AM87" s="46">
        <v>6.99</v>
      </c>
      <c r="AN87" s="46">
        <v>15.22</v>
      </c>
      <c r="AO87" s="46">
        <v>0</v>
      </c>
      <c r="AP87" s="46">
        <v>0</v>
      </c>
      <c r="AQ87" s="46">
        <v>0</v>
      </c>
      <c r="AR87" s="46">
        <f t="shared" si="8"/>
        <v>4.148625</v>
      </c>
      <c r="AS87" s="7">
        <f t="shared" si="9"/>
        <v>4.148625</v>
      </c>
    </row>
    <row r="88" spans="1:45" x14ac:dyDescent="0.3">
      <c r="A88" s="5">
        <v>87</v>
      </c>
      <c r="B88" s="6" t="s">
        <v>895</v>
      </c>
      <c r="C88" s="101"/>
      <c r="D88" s="105" t="s">
        <v>896</v>
      </c>
      <c r="E88" s="6" t="s">
        <v>128</v>
      </c>
      <c r="F88" s="6" t="s">
        <v>12</v>
      </c>
      <c r="G88" s="6" t="s">
        <v>255</v>
      </c>
      <c r="H88" s="6" t="s">
        <v>80</v>
      </c>
      <c r="I88" s="6" t="str">
        <f t="shared" si="10"/>
        <v>15 k</v>
      </c>
      <c r="J88" s="5">
        <v>1</v>
      </c>
      <c r="K88" s="5" t="e">
        <f t="shared" si="7"/>
        <v>#VALUE!</v>
      </c>
      <c r="L88" s="67" t="s">
        <v>160</v>
      </c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>
        <v>7.7290000000000001</v>
      </c>
      <c r="AL88" s="46">
        <v>0</v>
      </c>
      <c r="AM88" s="46">
        <v>0</v>
      </c>
      <c r="AN88" s="46">
        <v>0</v>
      </c>
      <c r="AO88" s="46">
        <v>0</v>
      </c>
      <c r="AP88" s="46">
        <v>0</v>
      </c>
      <c r="AQ88" s="46">
        <v>0</v>
      </c>
      <c r="AR88" s="46">
        <f t="shared" si="8"/>
        <v>1.1041428571428571</v>
      </c>
      <c r="AS88" s="7">
        <f t="shared" si="9"/>
        <v>1.1041428571428571</v>
      </c>
    </row>
    <row r="89" spans="1:45" x14ac:dyDescent="0.3">
      <c r="A89" s="5">
        <v>88</v>
      </c>
      <c r="B89" s="6" t="s">
        <v>844</v>
      </c>
      <c r="C89" s="101" t="s">
        <v>845</v>
      </c>
      <c r="D89" s="104" t="s">
        <v>843</v>
      </c>
      <c r="E89" s="6" t="s">
        <v>128</v>
      </c>
      <c r="F89" s="6" t="s">
        <v>12</v>
      </c>
      <c r="G89" s="6" t="s">
        <v>255</v>
      </c>
      <c r="H89" s="6" t="s">
        <v>80</v>
      </c>
      <c r="I89" s="6" t="str">
        <f t="shared" si="10"/>
        <v>15 k</v>
      </c>
      <c r="J89" s="92">
        <v>1</v>
      </c>
      <c r="K89" s="5" t="e">
        <f t="shared" si="7"/>
        <v>#VALUE!</v>
      </c>
      <c r="L89" s="67" t="s">
        <v>160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14.318999999999999</v>
      </c>
      <c r="U89" s="46">
        <v>0</v>
      </c>
      <c r="V89" s="46">
        <v>0.06</v>
      </c>
      <c r="W89" s="46">
        <v>0.14000000000000001</v>
      </c>
      <c r="X89" s="46">
        <v>0</v>
      </c>
      <c r="Y89" s="46">
        <v>4.21</v>
      </c>
      <c r="Z89" s="46">
        <v>0</v>
      </c>
      <c r="AA89" s="46">
        <v>0</v>
      </c>
      <c r="AB89" s="46">
        <v>0</v>
      </c>
      <c r="AC89" s="46">
        <v>2.02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v>0</v>
      </c>
      <c r="AN89" s="46">
        <v>8.1</v>
      </c>
      <c r="AO89" s="46">
        <v>0</v>
      </c>
      <c r="AP89" s="46">
        <v>0</v>
      </c>
      <c r="AQ89" s="46">
        <v>0</v>
      </c>
      <c r="AR89" s="46">
        <f t="shared" si="8"/>
        <v>0.93061290322580636</v>
      </c>
      <c r="AS89" s="7">
        <f t="shared" si="9"/>
        <v>0.93061290322580636</v>
      </c>
    </row>
    <row r="90" spans="1:45" x14ac:dyDescent="0.3">
      <c r="A90" s="5">
        <v>89</v>
      </c>
      <c r="B90" s="6" t="s">
        <v>119</v>
      </c>
      <c r="C90" s="10" t="s">
        <v>654</v>
      </c>
      <c r="D90" s="39" t="s">
        <v>716</v>
      </c>
      <c r="E90" s="6" t="s">
        <v>30</v>
      </c>
      <c r="F90" s="6" t="s">
        <v>12</v>
      </c>
      <c r="G90" s="6" t="s">
        <v>13</v>
      </c>
      <c r="H90" s="6" t="s">
        <v>35</v>
      </c>
      <c r="I90" s="6" t="str">
        <f t="shared" si="10"/>
        <v xml:space="preserve">3.3 </v>
      </c>
      <c r="J90" s="5">
        <v>20</v>
      </c>
      <c r="K90" s="5">
        <f t="shared" si="7"/>
        <v>66</v>
      </c>
      <c r="L90" s="12" t="s">
        <v>589</v>
      </c>
      <c r="M90" s="10">
        <v>24.413999999999998</v>
      </c>
      <c r="N90" s="46">
        <v>46.454999999999991</v>
      </c>
      <c r="O90" s="46">
        <v>45.368999999999993</v>
      </c>
      <c r="P90" s="46">
        <v>37.589999999999996</v>
      </c>
      <c r="Q90" s="46">
        <v>18.911000000000001</v>
      </c>
      <c r="R90" s="46">
        <v>50.478000000000002</v>
      </c>
      <c r="S90" s="46">
        <v>37.554000000000002</v>
      </c>
      <c r="T90" s="46">
        <v>35.083000000000006</v>
      </c>
      <c r="U90" s="46">
        <v>56.931999999999995</v>
      </c>
      <c r="V90" s="46">
        <v>19.785</v>
      </c>
      <c r="W90" s="46">
        <v>21.834999999999997</v>
      </c>
      <c r="X90" s="46">
        <v>23.939999999999998</v>
      </c>
      <c r="Y90" s="46">
        <v>28.893999999999998</v>
      </c>
      <c r="Z90" s="46">
        <v>0</v>
      </c>
      <c r="AA90" s="46">
        <v>13.755000000000001</v>
      </c>
      <c r="AB90" s="46">
        <v>42.944000000000003</v>
      </c>
      <c r="AC90" s="46">
        <v>0</v>
      </c>
      <c r="AD90" s="46">
        <v>18.423999999999999</v>
      </c>
      <c r="AE90" s="46">
        <v>11.378</v>
      </c>
      <c r="AF90" s="46">
        <v>13.407</v>
      </c>
      <c r="AG90" s="46">
        <v>32.364999999999995</v>
      </c>
      <c r="AH90" s="46">
        <v>39.284000000000006</v>
      </c>
      <c r="AI90" s="46">
        <v>33.013000000000005</v>
      </c>
      <c r="AJ90" s="46">
        <v>19.587999999999997</v>
      </c>
      <c r="AK90" s="46">
        <v>28.152999999999999</v>
      </c>
      <c r="AL90" s="46">
        <v>20.975000000000001</v>
      </c>
      <c r="AM90" s="46">
        <v>10.177</v>
      </c>
      <c r="AN90" s="46">
        <v>12.894</v>
      </c>
      <c r="AO90" s="46">
        <v>34.795000000000002</v>
      </c>
      <c r="AP90" s="46">
        <v>33.811999999999998</v>
      </c>
      <c r="AQ90" s="46">
        <v>33.564999999999998</v>
      </c>
      <c r="AR90" s="46">
        <f t="shared" si="8"/>
        <v>27.282870967741943</v>
      </c>
      <c r="AS90" s="7">
        <f t="shared" si="9"/>
        <v>1.3641435483870972</v>
      </c>
    </row>
    <row r="91" spans="1:45" x14ac:dyDescent="0.3">
      <c r="A91" s="5">
        <v>90</v>
      </c>
      <c r="B91" s="6" t="s">
        <v>119</v>
      </c>
      <c r="C91" s="10" t="s">
        <v>655</v>
      </c>
      <c r="D91" s="39" t="s">
        <v>726</v>
      </c>
      <c r="E91" s="6" t="s">
        <v>30</v>
      </c>
      <c r="F91" s="6" t="s">
        <v>12</v>
      </c>
      <c r="G91" s="6" t="s">
        <v>13</v>
      </c>
      <c r="H91" s="6" t="s">
        <v>35</v>
      </c>
      <c r="I91" s="6" t="str">
        <f t="shared" si="10"/>
        <v xml:space="preserve">3.3 </v>
      </c>
      <c r="J91" s="5">
        <v>3</v>
      </c>
      <c r="K91" s="5">
        <f t="shared" si="7"/>
        <v>9.8999999999999986</v>
      </c>
      <c r="L91" s="12" t="s">
        <v>589</v>
      </c>
      <c r="M91" s="10">
        <v>17.259</v>
      </c>
      <c r="N91" s="46">
        <v>37.383000000000003</v>
      </c>
      <c r="O91" s="46">
        <v>18.167999999999999</v>
      </c>
      <c r="P91" s="46">
        <v>43.660000000000004</v>
      </c>
      <c r="Q91" s="46">
        <v>37.517000000000003</v>
      </c>
      <c r="R91" s="46">
        <v>45.62</v>
      </c>
      <c r="S91" s="46">
        <v>33.83</v>
      </c>
      <c r="T91" s="46">
        <v>36.947000000000003</v>
      </c>
      <c r="U91" s="46">
        <v>45.192</v>
      </c>
      <c r="V91" s="46">
        <v>38.244</v>
      </c>
      <c r="W91" s="46">
        <v>39.061999999999998</v>
      </c>
      <c r="X91" s="46">
        <v>49.177999999999997</v>
      </c>
      <c r="Y91" s="46">
        <v>21.810000000000002</v>
      </c>
      <c r="Z91" s="46">
        <v>32.427</v>
      </c>
      <c r="AA91" s="46">
        <v>24.091999999999999</v>
      </c>
      <c r="AB91" s="46">
        <v>45.091000000000001</v>
      </c>
      <c r="AC91" s="46">
        <v>24.161999999999999</v>
      </c>
      <c r="AD91" s="46">
        <v>30.285000000000004</v>
      </c>
      <c r="AE91" s="46">
        <v>16.719000000000001</v>
      </c>
      <c r="AF91" s="46">
        <v>30.318999999999996</v>
      </c>
      <c r="AG91" s="46">
        <v>16.157</v>
      </c>
      <c r="AH91" s="46">
        <v>17.216000000000001</v>
      </c>
      <c r="AI91" s="46">
        <v>20.773</v>
      </c>
      <c r="AJ91" s="46">
        <v>27.22</v>
      </c>
      <c r="AK91" s="46">
        <v>12.265999999999998</v>
      </c>
      <c r="AL91" s="46">
        <v>39.340999999999994</v>
      </c>
      <c r="AM91" s="46">
        <v>32.664000000000001</v>
      </c>
      <c r="AN91" s="46">
        <v>20.924999999999997</v>
      </c>
      <c r="AO91" s="46">
        <v>37.099000000000004</v>
      </c>
      <c r="AP91" s="46">
        <v>31.003</v>
      </c>
      <c r="AQ91" s="46">
        <v>13.748000000000001</v>
      </c>
      <c r="AR91" s="46">
        <f t="shared" si="8"/>
        <v>30.173451612903236</v>
      </c>
      <c r="AS91" s="7">
        <f t="shared" si="9"/>
        <v>10.057817204301079</v>
      </c>
    </row>
    <row r="92" spans="1:45" x14ac:dyDescent="0.3">
      <c r="A92" s="5">
        <v>91</v>
      </c>
      <c r="B92" s="6" t="s">
        <v>578</v>
      </c>
      <c r="C92" s="10" t="s">
        <v>657</v>
      </c>
      <c r="D92" s="39" t="s">
        <v>815</v>
      </c>
      <c r="E92" s="6" t="s">
        <v>128</v>
      </c>
      <c r="F92" s="6" t="s">
        <v>12</v>
      </c>
      <c r="G92" s="6" t="s">
        <v>255</v>
      </c>
      <c r="H92" s="6" t="s">
        <v>80</v>
      </c>
      <c r="I92" s="6" t="str">
        <f t="shared" si="10"/>
        <v>15 k</v>
      </c>
      <c r="J92" s="5">
        <v>1</v>
      </c>
      <c r="K92" s="5" t="e">
        <f t="shared" si="7"/>
        <v>#VALUE!</v>
      </c>
      <c r="L92" s="67" t="s">
        <v>160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>
        <f t="shared" si="8"/>
        <v>0</v>
      </c>
      <c r="AS92" s="7">
        <f t="shared" si="9"/>
        <v>0</v>
      </c>
    </row>
    <row r="93" spans="1:45" x14ac:dyDescent="0.3">
      <c r="A93" s="5">
        <v>92</v>
      </c>
      <c r="B93" s="6" t="s">
        <v>576</v>
      </c>
      <c r="C93" s="10" t="s">
        <v>658</v>
      </c>
      <c r="D93" s="39" t="s">
        <v>788</v>
      </c>
      <c r="E93" s="6" t="s">
        <v>128</v>
      </c>
      <c r="F93" s="6" t="s">
        <v>12</v>
      </c>
      <c r="G93" s="6" t="s">
        <v>255</v>
      </c>
      <c r="H93" s="6" t="s">
        <v>80</v>
      </c>
      <c r="I93" s="6" t="str">
        <f t="shared" si="10"/>
        <v>15 k</v>
      </c>
      <c r="J93" s="5">
        <v>1</v>
      </c>
      <c r="K93" s="5" t="e">
        <f t="shared" si="7"/>
        <v>#VALUE!</v>
      </c>
      <c r="L93" s="67" t="s">
        <v>160</v>
      </c>
      <c r="M93" s="46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0</v>
      </c>
      <c r="AL93" s="46">
        <v>0</v>
      </c>
      <c r="AM93" s="46">
        <v>8.09</v>
      </c>
      <c r="AN93" s="46">
        <v>0</v>
      </c>
      <c r="AO93" s="46">
        <v>0</v>
      </c>
      <c r="AP93" s="46">
        <v>0</v>
      </c>
      <c r="AQ93" s="46">
        <v>0</v>
      </c>
      <c r="AR93" s="46">
        <f t="shared" si="8"/>
        <v>0.26096774193548389</v>
      </c>
      <c r="AS93" s="7">
        <f t="shared" si="9"/>
        <v>0.26096774193548389</v>
      </c>
    </row>
    <row r="94" spans="1:45" x14ac:dyDescent="0.3">
      <c r="A94" s="5">
        <v>93</v>
      </c>
      <c r="B94" s="6" t="s">
        <v>499</v>
      </c>
      <c r="C94" s="10" t="s">
        <v>660</v>
      </c>
      <c r="D94" s="39" t="s">
        <v>789</v>
      </c>
      <c r="E94" s="6" t="s">
        <v>128</v>
      </c>
      <c r="F94" s="6" t="s">
        <v>12</v>
      </c>
      <c r="G94" s="6" t="s">
        <v>255</v>
      </c>
      <c r="H94" s="6" t="s">
        <v>80</v>
      </c>
      <c r="I94" s="6" t="str">
        <f t="shared" si="10"/>
        <v>15 k</v>
      </c>
      <c r="J94" s="5">
        <v>1</v>
      </c>
      <c r="K94" s="5" t="e">
        <f t="shared" si="7"/>
        <v>#VALUE!</v>
      </c>
      <c r="L94" s="67" t="s">
        <v>160</v>
      </c>
      <c r="M94" s="46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0</v>
      </c>
      <c r="AI94" s="46">
        <v>0.24</v>
      </c>
      <c r="AJ94" s="46">
        <v>0</v>
      </c>
      <c r="AK94" s="46">
        <v>0</v>
      </c>
      <c r="AL94" s="46">
        <v>0</v>
      </c>
      <c r="AM94" s="46">
        <v>0</v>
      </c>
      <c r="AN94" s="46">
        <v>0</v>
      </c>
      <c r="AO94" s="46">
        <v>0</v>
      </c>
      <c r="AP94" s="46">
        <v>0</v>
      </c>
      <c r="AQ94" s="46">
        <v>16.13</v>
      </c>
      <c r="AR94" s="46">
        <f t="shared" si="8"/>
        <v>0.52806451612903216</v>
      </c>
      <c r="AS94" s="7">
        <f t="shared" si="9"/>
        <v>0.52806451612903216</v>
      </c>
    </row>
    <row r="95" spans="1:45" x14ac:dyDescent="0.3">
      <c r="A95" s="5">
        <v>94</v>
      </c>
      <c r="B95" s="87" t="s">
        <v>560</v>
      </c>
      <c r="C95" s="10" t="s">
        <v>661</v>
      </c>
      <c r="D95" s="39" t="s">
        <v>790</v>
      </c>
      <c r="E95" s="6" t="s">
        <v>128</v>
      </c>
      <c r="F95" s="6" t="s">
        <v>12</v>
      </c>
      <c r="G95" s="6" t="s">
        <v>255</v>
      </c>
      <c r="H95" s="6" t="s">
        <v>80</v>
      </c>
      <c r="I95" s="6" t="str">
        <f t="shared" si="10"/>
        <v>15 k</v>
      </c>
      <c r="J95" s="5">
        <v>1</v>
      </c>
      <c r="K95" s="5" t="e">
        <f t="shared" si="7"/>
        <v>#VALUE!</v>
      </c>
      <c r="L95" s="67" t="s">
        <v>160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18.380000000000003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18.222000000000001</v>
      </c>
      <c r="AO95" s="46">
        <v>0</v>
      </c>
      <c r="AP95" s="46">
        <v>35.515999999999998</v>
      </c>
      <c r="AQ95" s="46">
        <v>0</v>
      </c>
      <c r="AR95" s="46">
        <f t="shared" si="8"/>
        <v>2.3263870967741935</v>
      </c>
      <c r="AS95" s="7">
        <f t="shared" si="9"/>
        <v>2.3263870967741935</v>
      </c>
    </row>
    <row r="96" spans="1:45" x14ac:dyDescent="0.3">
      <c r="A96" s="5">
        <v>95</v>
      </c>
      <c r="B96" s="6" t="s">
        <v>862</v>
      </c>
      <c r="C96" s="10" t="s">
        <v>864</v>
      </c>
      <c r="D96" s="39" t="s">
        <v>863</v>
      </c>
      <c r="E96" s="6" t="s">
        <v>128</v>
      </c>
      <c r="F96" s="6" t="s">
        <v>12</v>
      </c>
      <c r="G96" s="6" t="s">
        <v>255</v>
      </c>
      <c r="H96" s="6" t="s">
        <v>80</v>
      </c>
      <c r="I96" s="6" t="str">
        <f t="shared" si="10"/>
        <v>15 k</v>
      </c>
      <c r="J96" s="5">
        <v>1</v>
      </c>
      <c r="K96" s="5" t="e">
        <f t="shared" si="7"/>
        <v>#VALUE!</v>
      </c>
      <c r="L96" s="67" t="s">
        <v>160</v>
      </c>
      <c r="M96" s="46"/>
      <c r="N96" s="46"/>
      <c r="O96" s="46"/>
      <c r="P96" s="46"/>
      <c r="Q96" s="46"/>
      <c r="R96" s="46">
        <v>10.528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0</v>
      </c>
      <c r="AL96" s="46">
        <v>0</v>
      </c>
      <c r="AM96" s="46">
        <v>0</v>
      </c>
      <c r="AN96" s="46">
        <v>0</v>
      </c>
      <c r="AO96" s="46">
        <v>0</v>
      </c>
      <c r="AP96" s="46">
        <v>0</v>
      </c>
      <c r="AQ96" s="46">
        <v>0</v>
      </c>
      <c r="AR96" s="46">
        <f t="shared" si="8"/>
        <v>0.40492307692307694</v>
      </c>
      <c r="AS96" s="7">
        <f t="shared" si="9"/>
        <v>0.40492307692307694</v>
      </c>
    </row>
    <row r="97" spans="1:45" x14ac:dyDescent="0.3">
      <c r="A97" s="5">
        <v>96</v>
      </c>
      <c r="B97" s="87" t="s">
        <v>563</v>
      </c>
      <c r="C97" s="10" t="s">
        <v>659</v>
      </c>
      <c r="D97" s="39" t="s">
        <v>791</v>
      </c>
      <c r="E97" s="6" t="s">
        <v>128</v>
      </c>
      <c r="F97" s="6" t="s">
        <v>12</v>
      </c>
      <c r="G97" s="6" t="s">
        <v>255</v>
      </c>
      <c r="H97" s="6" t="s">
        <v>80</v>
      </c>
      <c r="I97" s="6" t="str">
        <f t="shared" si="10"/>
        <v>15 k</v>
      </c>
      <c r="J97" s="5">
        <v>1</v>
      </c>
      <c r="K97" s="5" t="e">
        <f t="shared" si="7"/>
        <v>#VALUE!</v>
      </c>
      <c r="L97" s="67" t="s">
        <v>160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0.01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0.56900000000000006</v>
      </c>
      <c r="AB97" s="46">
        <v>10.01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0</v>
      </c>
      <c r="AL97" s="46">
        <v>0</v>
      </c>
      <c r="AM97" s="46">
        <v>0</v>
      </c>
      <c r="AN97" s="46">
        <v>0</v>
      </c>
      <c r="AO97" s="46">
        <v>0</v>
      </c>
      <c r="AP97" s="46">
        <v>0</v>
      </c>
      <c r="AQ97" s="46">
        <v>0</v>
      </c>
      <c r="AR97" s="46">
        <f t="shared" si="8"/>
        <v>0.34158064516129033</v>
      </c>
      <c r="AS97" s="7">
        <f t="shared" si="9"/>
        <v>0.34158064516129033</v>
      </c>
    </row>
    <row r="98" spans="1:45" x14ac:dyDescent="0.3">
      <c r="A98" s="5">
        <v>97</v>
      </c>
      <c r="B98" s="101" t="s">
        <v>832</v>
      </c>
      <c r="C98" s="101" t="s">
        <v>833</v>
      </c>
      <c r="D98" s="102" t="s">
        <v>834</v>
      </c>
      <c r="E98" s="6" t="s">
        <v>128</v>
      </c>
      <c r="F98" s="6" t="s">
        <v>12</v>
      </c>
      <c r="G98" s="6" t="s">
        <v>255</v>
      </c>
      <c r="H98" s="6" t="s">
        <v>80</v>
      </c>
      <c r="I98" s="6" t="str">
        <f t="shared" si="10"/>
        <v>15 k</v>
      </c>
      <c r="J98" s="92">
        <v>1</v>
      </c>
      <c r="K98" s="5" t="e">
        <f t="shared" si="7"/>
        <v>#VALUE!</v>
      </c>
      <c r="L98" s="67" t="s">
        <v>160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v>0</v>
      </c>
      <c r="AN98" s="46">
        <v>0</v>
      </c>
      <c r="AO98" s="46">
        <v>0</v>
      </c>
      <c r="AP98" s="46">
        <v>0</v>
      </c>
      <c r="AQ98" s="46">
        <v>0</v>
      </c>
      <c r="AR98" s="46">
        <f t="shared" ref="AR98:AR129" si="11">AVERAGE(M98:AQ98)</f>
        <v>0</v>
      </c>
      <c r="AS98" s="7">
        <f t="shared" ref="AS98:AS129" si="12">AR98/J98</f>
        <v>0</v>
      </c>
    </row>
    <row r="99" spans="1:45" x14ac:dyDescent="0.3">
      <c r="A99" s="5">
        <v>98</v>
      </c>
      <c r="B99" s="87" t="s">
        <v>597</v>
      </c>
      <c r="C99" s="97" t="s">
        <v>699</v>
      </c>
      <c r="D99" s="39" t="s">
        <v>792</v>
      </c>
      <c r="E99" s="6" t="s">
        <v>128</v>
      </c>
      <c r="F99" s="6" t="s">
        <v>12</v>
      </c>
      <c r="G99" s="6" t="s">
        <v>255</v>
      </c>
      <c r="H99" s="6" t="s">
        <v>80</v>
      </c>
      <c r="I99" s="6" t="str">
        <f t="shared" si="10"/>
        <v>15 k</v>
      </c>
      <c r="J99" s="5">
        <v>1</v>
      </c>
      <c r="K99" s="5" t="e">
        <f t="shared" si="7"/>
        <v>#VALUE!</v>
      </c>
      <c r="L99" s="67" t="s">
        <v>160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2.4500000000000002</v>
      </c>
      <c r="X99" s="46">
        <v>0</v>
      </c>
      <c r="Y99" s="46">
        <v>0</v>
      </c>
      <c r="Z99" s="46">
        <v>6.48</v>
      </c>
      <c r="AA99" s="46">
        <v>0</v>
      </c>
      <c r="AB99" s="46">
        <v>4.5999999999999996</v>
      </c>
      <c r="AC99" s="46">
        <v>7.7999999999999989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v>0</v>
      </c>
      <c r="AP99" s="46">
        <v>25.55</v>
      </c>
      <c r="AQ99" s="46">
        <v>0</v>
      </c>
      <c r="AR99" s="46">
        <f t="shared" si="11"/>
        <v>1.512258064516129</v>
      </c>
      <c r="AS99" s="7">
        <f t="shared" si="12"/>
        <v>1.512258064516129</v>
      </c>
    </row>
    <row r="100" spans="1:45" x14ac:dyDescent="0.3">
      <c r="A100" s="5">
        <v>99</v>
      </c>
      <c r="B100" s="87" t="s">
        <v>885</v>
      </c>
      <c r="C100" s="97" t="s">
        <v>887</v>
      </c>
      <c r="D100" s="39" t="s">
        <v>886</v>
      </c>
      <c r="E100" s="6" t="s">
        <v>128</v>
      </c>
      <c r="F100" s="6" t="s">
        <v>12</v>
      </c>
      <c r="G100" s="6" t="s">
        <v>255</v>
      </c>
      <c r="H100" s="6" t="s">
        <v>80</v>
      </c>
      <c r="I100" s="6" t="str">
        <f t="shared" si="10"/>
        <v>15 k</v>
      </c>
      <c r="J100" s="5">
        <v>1</v>
      </c>
      <c r="K100" s="5" t="e">
        <f t="shared" si="7"/>
        <v>#VALUE!</v>
      </c>
      <c r="L100" s="67" t="s">
        <v>160</v>
      </c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  <c r="AE100" s="46"/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0</v>
      </c>
      <c r="AN100" s="46">
        <v>0</v>
      </c>
      <c r="AO100" s="46">
        <v>0</v>
      </c>
      <c r="AP100" s="46">
        <v>0</v>
      </c>
      <c r="AQ100" s="46">
        <v>0</v>
      </c>
      <c r="AR100" s="46">
        <f t="shared" si="11"/>
        <v>0</v>
      </c>
      <c r="AS100" s="7">
        <f t="shared" si="12"/>
        <v>0</v>
      </c>
    </row>
    <row r="101" spans="1:45" x14ac:dyDescent="0.3">
      <c r="A101" s="5">
        <v>100</v>
      </c>
      <c r="B101" s="87" t="s">
        <v>598</v>
      </c>
      <c r="C101" s="97" t="s">
        <v>700</v>
      </c>
      <c r="D101" s="39" t="s">
        <v>793</v>
      </c>
      <c r="E101" s="6" t="s">
        <v>128</v>
      </c>
      <c r="F101" s="6" t="s">
        <v>12</v>
      </c>
      <c r="G101" s="6" t="s">
        <v>255</v>
      </c>
      <c r="H101" s="6" t="s">
        <v>80</v>
      </c>
      <c r="I101" s="6" t="str">
        <f t="shared" si="10"/>
        <v>15 k</v>
      </c>
      <c r="J101" s="5">
        <v>1</v>
      </c>
      <c r="K101" s="5" t="e">
        <f t="shared" si="7"/>
        <v>#VALUE!</v>
      </c>
      <c r="L101" s="67" t="s">
        <v>160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v>0</v>
      </c>
      <c r="AO101" s="46">
        <v>0</v>
      </c>
      <c r="AP101" s="46">
        <v>0</v>
      </c>
      <c r="AQ101" s="46">
        <v>0</v>
      </c>
      <c r="AR101" s="46">
        <f t="shared" si="11"/>
        <v>0</v>
      </c>
      <c r="AS101" s="7">
        <f t="shared" si="12"/>
        <v>0</v>
      </c>
    </row>
    <row r="102" spans="1:45" x14ac:dyDescent="0.3">
      <c r="A102" s="5">
        <v>101</v>
      </c>
      <c r="B102" s="87" t="s">
        <v>708</v>
      </c>
      <c r="C102" s="97" t="s">
        <v>709</v>
      </c>
      <c r="D102" s="39" t="s">
        <v>794</v>
      </c>
      <c r="E102" s="6" t="s">
        <v>128</v>
      </c>
      <c r="F102" s="6" t="s">
        <v>12</v>
      </c>
      <c r="G102" s="6" t="s">
        <v>255</v>
      </c>
      <c r="H102" s="6" t="s">
        <v>80</v>
      </c>
      <c r="I102" s="6" t="str">
        <f t="shared" si="10"/>
        <v>15 k</v>
      </c>
      <c r="J102" s="5">
        <v>1</v>
      </c>
      <c r="K102" s="5" t="e">
        <f t="shared" si="7"/>
        <v>#VALUE!</v>
      </c>
      <c r="L102" s="67" t="s">
        <v>160</v>
      </c>
      <c r="M102" s="46">
        <v>0</v>
      </c>
      <c r="N102" s="46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0</v>
      </c>
      <c r="AN102" s="46">
        <v>0</v>
      </c>
      <c r="AO102" s="46">
        <v>0</v>
      </c>
      <c r="AP102" s="46">
        <v>0</v>
      </c>
      <c r="AQ102" s="46">
        <v>0</v>
      </c>
      <c r="AR102" s="46">
        <f t="shared" si="11"/>
        <v>0</v>
      </c>
      <c r="AS102" s="7">
        <f t="shared" si="12"/>
        <v>0</v>
      </c>
    </row>
    <row r="103" spans="1:45" x14ac:dyDescent="0.3">
      <c r="A103" s="5">
        <v>102</v>
      </c>
      <c r="B103" s="39" t="s">
        <v>822</v>
      </c>
      <c r="C103" s="100" t="s">
        <v>823</v>
      </c>
      <c r="D103" s="12" t="s">
        <v>824</v>
      </c>
      <c r="E103" s="6" t="s">
        <v>128</v>
      </c>
      <c r="F103" s="6" t="s">
        <v>12</v>
      </c>
      <c r="G103" s="6" t="s">
        <v>255</v>
      </c>
      <c r="H103" s="6" t="s">
        <v>80</v>
      </c>
      <c r="I103" s="6" t="str">
        <f t="shared" si="10"/>
        <v>15 k</v>
      </c>
      <c r="J103" s="5">
        <v>1</v>
      </c>
      <c r="K103" s="5" t="e">
        <f t="shared" si="7"/>
        <v>#VALUE!</v>
      </c>
      <c r="L103" s="67" t="s">
        <v>160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0</v>
      </c>
      <c r="AN103" s="46">
        <v>0</v>
      </c>
      <c r="AO103" s="46">
        <v>0</v>
      </c>
      <c r="AP103" s="46">
        <v>0</v>
      </c>
      <c r="AQ103" s="46">
        <v>0</v>
      </c>
      <c r="AR103" s="46">
        <f t="shared" si="11"/>
        <v>0</v>
      </c>
      <c r="AS103" s="7">
        <f t="shared" si="12"/>
        <v>0</v>
      </c>
    </row>
    <row r="104" spans="1:45" x14ac:dyDescent="0.3">
      <c r="A104" s="5">
        <v>103</v>
      </c>
      <c r="B104" s="39" t="s">
        <v>882</v>
      </c>
      <c r="C104" s="100" t="s">
        <v>884</v>
      </c>
      <c r="D104" s="12" t="s">
        <v>883</v>
      </c>
      <c r="E104" s="6" t="s">
        <v>128</v>
      </c>
      <c r="F104" s="6" t="s">
        <v>12</v>
      </c>
      <c r="G104" s="6" t="s">
        <v>255</v>
      </c>
      <c r="H104" s="6" t="s">
        <v>80</v>
      </c>
      <c r="I104" s="6" t="str">
        <f t="shared" si="10"/>
        <v>15 k</v>
      </c>
      <c r="J104" s="5">
        <v>1</v>
      </c>
      <c r="K104" s="5" t="e">
        <f t="shared" si="7"/>
        <v>#VALUE!</v>
      </c>
      <c r="L104" s="67" t="s">
        <v>160</v>
      </c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>
        <v>0</v>
      </c>
      <c r="AG104" s="46">
        <v>2.63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v>0</v>
      </c>
      <c r="AO104" s="46">
        <v>0</v>
      </c>
      <c r="AP104" s="46">
        <v>0</v>
      </c>
      <c r="AQ104" s="46">
        <v>0</v>
      </c>
      <c r="AR104" s="46">
        <f t="shared" si="11"/>
        <v>0.21916666666666665</v>
      </c>
      <c r="AS104" s="7">
        <f t="shared" si="12"/>
        <v>0.21916666666666665</v>
      </c>
    </row>
    <row r="105" spans="1:45" x14ac:dyDescent="0.3">
      <c r="A105" s="5">
        <v>104</v>
      </c>
      <c r="B105" s="6" t="s">
        <v>55</v>
      </c>
      <c r="C105" s="10" t="s">
        <v>662</v>
      </c>
      <c r="D105" s="39" t="s">
        <v>731</v>
      </c>
      <c r="E105" s="6" t="s">
        <v>57</v>
      </c>
      <c r="F105" s="6" t="s">
        <v>12</v>
      </c>
      <c r="G105" s="6" t="s">
        <v>13</v>
      </c>
      <c r="H105" s="6" t="s">
        <v>35</v>
      </c>
      <c r="I105" s="6" t="str">
        <f t="shared" si="10"/>
        <v xml:space="preserve">3.3 </v>
      </c>
      <c r="J105" s="5">
        <v>40</v>
      </c>
      <c r="K105" s="5">
        <f t="shared" si="7"/>
        <v>132</v>
      </c>
      <c r="L105" s="12" t="s">
        <v>589</v>
      </c>
      <c r="M105" s="10">
        <v>647.61299999999983</v>
      </c>
      <c r="N105" s="46">
        <v>604.9129999999999</v>
      </c>
      <c r="O105" s="46">
        <v>604.59200000000021</v>
      </c>
      <c r="P105" s="46">
        <v>559.74099999999942</v>
      </c>
      <c r="Q105" s="46">
        <v>562.29300000000012</v>
      </c>
      <c r="R105" s="46">
        <v>327.12200000000001</v>
      </c>
      <c r="S105" s="46">
        <v>143.33799999999999</v>
      </c>
      <c r="T105" s="46">
        <v>474.9679999999999</v>
      </c>
      <c r="U105" s="46">
        <v>436.52900000000005</v>
      </c>
      <c r="V105" s="46">
        <v>483.68099999999998</v>
      </c>
      <c r="W105" s="46">
        <v>517.85199999999986</v>
      </c>
      <c r="X105" s="46">
        <v>565.99699999999996</v>
      </c>
      <c r="Y105" s="46">
        <v>364.84899999999993</v>
      </c>
      <c r="Z105" s="46">
        <v>184.29900000000004</v>
      </c>
      <c r="AA105" s="46">
        <v>607.01600000000008</v>
      </c>
      <c r="AB105" s="46">
        <v>475.58599999999996</v>
      </c>
      <c r="AC105" s="46">
        <v>414.99200000000008</v>
      </c>
      <c r="AD105" s="46">
        <v>475.78699999999998</v>
      </c>
      <c r="AE105" s="46">
        <v>363.57999999999993</v>
      </c>
      <c r="AF105" s="46">
        <v>309.54500000000019</v>
      </c>
      <c r="AG105" s="46">
        <v>138.803</v>
      </c>
      <c r="AH105" s="46">
        <v>395.70900000000012</v>
      </c>
      <c r="AI105" s="46">
        <v>412.84300000000002</v>
      </c>
      <c r="AJ105" s="46">
        <v>374.11600000000004</v>
      </c>
      <c r="AK105" s="46">
        <v>455.93399999999986</v>
      </c>
      <c r="AL105" s="46">
        <v>467.17399999999992</v>
      </c>
      <c r="AM105" s="46">
        <v>326.63999999999993</v>
      </c>
      <c r="AN105" s="46">
        <v>117.37500000000001</v>
      </c>
      <c r="AO105" s="46">
        <v>395.18599999999998</v>
      </c>
      <c r="AP105" s="46">
        <v>410.61400000000003</v>
      </c>
      <c r="AQ105" s="46">
        <v>398.80899999999991</v>
      </c>
      <c r="AR105" s="46">
        <f t="shared" si="11"/>
        <v>419.91922580645155</v>
      </c>
      <c r="AS105" s="7">
        <f t="shared" si="12"/>
        <v>10.497980645161288</v>
      </c>
    </row>
    <row r="106" spans="1:45" x14ac:dyDescent="0.3">
      <c r="A106" s="5">
        <v>105</v>
      </c>
      <c r="B106" s="12" t="s">
        <v>221</v>
      </c>
      <c r="C106" s="10" t="s">
        <v>664</v>
      </c>
      <c r="D106" s="39" t="s">
        <v>795</v>
      </c>
      <c r="E106" s="6" t="s">
        <v>30</v>
      </c>
      <c r="F106" s="6" t="s">
        <v>12</v>
      </c>
      <c r="G106" s="6" t="s">
        <v>13</v>
      </c>
      <c r="H106" s="6" t="s">
        <v>35</v>
      </c>
      <c r="I106" s="6" t="str">
        <f t="shared" si="10"/>
        <v xml:space="preserve">3.3 </v>
      </c>
      <c r="J106" s="5">
        <v>19</v>
      </c>
      <c r="K106" s="5">
        <f t="shared" si="7"/>
        <v>62.699999999999996</v>
      </c>
      <c r="L106" s="12" t="s">
        <v>589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v>0</v>
      </c>
      <c r="AN106" s="46">
        <v>0</v>
      </c>
      <c r="AO106" s="46">
        <v>0</v>
      </c>
      <c r="AP106" s="46">
        <v>0</v>
      </c>
      <c r="AQ106" s="46">
        <v>0</v>
      </c>
      <c r="AR106" s="46">
        <f t="shared" si="11"/>
        <v>0</v>
      </c>
      <c r="AS106" s="7">
        <f t="shared" si="12"/>
        <v>0</v>
      </c>
    </row>
    <row r="107" spans="1:45" ht="13.5" customHeight="1" x14ac:dyDescent="0.3">
      <c r="A107" s="5">
        <v>106</v>
      </c>
      <c r="B107" s="12" t="s">
        <v>222</v>
      </c>
      <c r="C107" s="10" t="s">
        <v>663</v>
      </c>
      <c r="D107" s="39" t="s">
        <v>796</v>
      </c>
      <c r="E107" s="6" t="s">
        <v>69</v>
      </c>
      <c r="F107" s="6" t="s">
        <v>12</v>
      </c>
      <c r="G107" s="6" t="s">
        <v>40</v>
      </c>
      <c r="H107" s="6" t="s">
        <v>35</v>
      </c>
      <c r="I107" s="6" t="str">
        <f t="shared" si="10"/>
        <v xml:space="preserve">7.4 </v>
      </c>
      <c r="J107" s="5">
        <v>2</v>
      </c>
      <c r="K107" s="5">
        <f t="shared" si="7"/>
        <v>14.8</v>
      </c>
      <c r="L107" s="12" t="s">
        <v>160</v>
      </c>
      <c r="M107" s="10">
        <v>26.402000000000001</v>
      </c>
      <c r="N107" s="46">
        <v>3.6830000000000003</v>
      </c>
      <c r="O107" s="46">
        <v>2.33</v>
      </c>
      <c r="P107" s="46">
        <v>37.841999999999999</v>
      </c>
      <c r="Q107" s="46">
        <v>0</v>
      </c>
      <c r="R107" s="46">
        <v>26.454000000000001</v>
      </c>
      <c r="S107" s="46">
        <v>0</v>
      </c>
      <c r="T107" s="46">
        <v>0</v>
      </c>
      <c r="U107" s="46">
        <v>34.895000000000003</v>
      </c>
      <c r="V107" s="46">
        <v>0</v>
      </c>
      <c r="W107" s="46">
        <v>0</v>
      </c>
      <c r="X107" s="46">
        <v>70.766000000000005</v>
      </c>
      <c r="Y107" s="46">
        <v>0</v>
      </c>
      <c r="Z107" s="46">
        <v>0</v>
      </c>
      <c r="AA107" s="46">
        <v>0</v>
      </c>
      <c r="AB107" s="46">
        <v>15.866</v>
      </c>
      <c r="AC107" s="46">
        <v>41.094999999999999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34.622999999999998</v>
      </c>
      <c r="AL107" s="46">
        <v>3.4239999999999999</v>
      </c>
      <c r="AM107" s="46">
        <v>0</v>
      </c>
      <c r="AN107" s="46">
        <v>0</v>
      </c>
      <c r="AO107" s="46">
        <v>32.125999999999998</v>
      </c>
      <c r="AP107" s="46">
        <v>0</v>
      </c>
      <c r="AQ107" s="46">
        <v>5.798</v>
      </c>
      <c r="AR107" s="46">
        <f t="shared" si="11"/>
        <v>10.816258064516127</v>
      </c>
      <c r="AS107" s="7">
        <f t="shared" si="12"/>
        <v>5.4081290322580635</v>
      </c>
    </row>
    <row r="108" spans="1:45" x14ac:dyDescent="0.3">
      <c r="A108" s="5">
        <v>107</v>
      </c>
      <c r="B108" s="12" t="s">
        <v>175</v>
      </c>
      <c r="C108" s="10" t="s">
        <v>665</v>
      </c>
      <c r="D108" s="39" t="s">
        <v>718</v>
      </c>
      <c r="E108" s="6" t="s">
        <v>128</v>
      </c>
      <c r="F108" s="6" t="s">
        <v>12</v>
      </c>
      <c r="G108" s="6" t="s">
        <v>13</v>
      </c>
      <c r="H108" s="6" t="s">
        <v>35</v>
      </c>
      <c r="I108" s="6" t="str">
        <f t="shared" si="10"/>
        <v xml:space="preserve">3.3 </v>
      </c>
      <c r="J108" s="5">
        <v>6</v>
      </c>
      <c r="K108" s="5">
        <f t="shared" si="7"/>
        <v>19.799999999999997</v>
      </c>
      <c r="L108" s="12" t="s">
        <v>589</v>
      </c>
      <c r="M108" s="10">
        <v>139.94999999999996</v>
      </c>
      <c r="N108" s="46">
        <v>66.66200000000002</v>
      </c>
      <c r="O108" s="46">
        <v>135.34199999999998</v>
      </c>
      <c r="P108" s="46">
        <v>146.03500000000005</v>
      </c>
      <c r="Q108" s="46">
        <v>164.31400000000008</v>
      </c>
      <c r="R108" s="46">
        <v>158.23400000000004</v>
      </c>
      <c r="S108" s="46">
        <v>160.78800000000004</v>
      </c>
      <c r="T108" s="46">
        <v>138.60399999999998</v>
      </c>
      <c r="U108" s="46">
        <v>153.80799999999996</v>
      </c>
      <c r="V108" s="46">
        <v>163.65199999999999</v>
      </c>
      <c r="W108" s="46">
        <v>93.27300000000001</v>
      </c>
      <c r="X108" s="46">
        <v>46.771000000000001</v>
      </c>
      <c r="Y108" s="46">
        <v>174.97100000000003</v>
      </c>
      <c r="Z108" s="46">
        <v>94.558999999999969</v>
      </c>
      <c r="AA108" s="46">
        <v>0</v>
      </c>
      <c r="AB108" s="46">
        <v>58.175000000000011</v>
      </c>
      <c r="AC108" s="46">
        <v>88.297999999999988</v>
      </c>
      <c r="AD108" s="46">
        <v>135.08000000000001</v>
      </c>
      <c r="AE108" s="46">
        <v>165.92499999999995</v>
      </c>
      <c r="AF108" s="46">
        <v>201.09400000000008</v>
      </c>
      <c r="AG108" s="46">
        <v>107.071</v>
      </c>
      <c r="AH108" s="46">
        <v>170.83300000000003</v>
      </c>
      <c r="AI108" s="46">
        <v>131.26199999999997</v>
      </c>
      <c r="AJ108" s="46">
        <v>156.09300000000005</v>
      </c>
      <c r="AK108" s="46">
        <v>62.061</v>
      </c>
      <c r="AL108" s="46">
        <v>112.45400000000005</v>
      </c>
      <c r="AM108" s="46">
        <v>55.072000000000003</v>
      </c>
      <c r="AN108" s="46">
        <v>123.15300000000002</v>
      </c>
      <c r="AO108" s="46">
        <v>143.126</v>
      </c>
      <c r="AP108" s="46">
        <v>87.576000000000022</v>
      </c>
      <c r="AQ108" s="46">
        <v>56.479000000000013</v>
      </c>
      <c r="AR108" s="46">
        <f t="shared" si="11"/>
        <v>119.05532258064518</v>
      </c>
      <c r="AS108" s="7">
        <f t="shared" si="12"/>
        <v>19.842553763440865</v>
      </c>
    </row>
    <row r="109" spans="1:45" x14ac:dyDescent="0.3">
      <c r="A109" s="5">
        <v>108</v>
      </c>
      <c r="B109" s="12" t="s">
        <v>175</v>
      </c>
      <c r="C109" s="10" t="s">
        <v>666</v>
      </c>
      <c r="D109" s="39" t="s">
        <v>799</v>
      </c>
      <c r="E109" s="6" t="s">
        <v>128</v>
      </c>
      <c r="F109" s="6" t="s">
        <v>12</v>
      </c>
      <c r="G109" s="6" t="s">
        <v>124</v>
      </c>
      <c r="H109" s="6" t="s">
        <v>80</v>
      </c>
      <c r="I109" s="6" t="str">
        <f t="shared" si="10"/>
        <v>12kW</v>
      </c>
      <c r="J109" s="5">
        <v>1</v>
      </c>
      <c r="K109" s="5">
        <f>J109*12</f>
        <v>12</v>
      </c>
      <c r="L109" s="67" t="s">
        <v>160</v>
      </c>
      <c r="M109" s="46">
        <v>0</v>
      </c>
      <c r="N109" s="46">
        <v>0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0</v>
      </c>
      <c r="AF109" s="46">
        <v>0</v>
      </c>
      <c r="AG109" s="46">
        <v>0</v>
      </c>
      <c r="AH109" s="46">
        <v>0</v>
      </c>
      <c r="AI109" s="46">
        <v>0</v>
      </c>
      <c r="AJ109" s="46">
        <v>0</v>
      </c>
      <c r="AK109" s="46">
        <v>0</v>
      </c>
      <c r="AL109" s="46">
        <v>0</v>
      </c>
      <c r="AM109" s="46">
        <v>0</v>
      </c>
      <c r="AN109" s="46">
        <v>0</v>
      </c>
      <c r="AO109" s="46">
        <v>0</v>
      </c>
      <c r="AP109" s="46">
        <v>0</v>
      </c>
      <c r="AQ109" s="46">
        <v>0</v>
      </c>
      <c r="AR109" s="46">
        <f t="shared" si="11"/>
        <v>0</v>
      </c>
      <c r="AS109" s="7">
        <f t="shared" si="12"/>
        <v>0</v>
      </c>
    </row>
    <row r="110" spans="1:45" x14ac:dyDescent="0.3">
      <c r="A110" s="5">
        <v>109</v>
      </c>
      <c r="B110" s="12" t="s">
        <v>175</v>
      </c>
      <c r="C110" s="10" t="s">
        <v>667</v>
      </c>
      <c r="D110" s="39" t="s">
        <v>798</v>
      </c>
      <c r="E110" s="6" t="s">
        <v>128</v>
      </c>
      <c r="F110" s="6" t="s">
        <v>12</v>
      </c>
      <c r="G110" s="6" t="s">
        <v>124</v>
      </c>
      <c r="H110" s="6" t="s">
        <v>80</v>
      </c>
      <c r="I110" s="6" t="str">
        <f t="shared" si="10"/>
        <v>12kW</v>
      </c>
      <c r="J110" s="5">
        <v>1</v>
      </c>
      <c r="K110" s="5">
        <f>J110*12</f>
        <v>12</v>
      </c>
      <c r="L110" s="67" t="s">
        <v>160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>
        <f t="shared" si="11"/>
        <v>0</v>
      </c>
      <c r="AS110" s="7">
        <f t="shared" si="12"/>
        <v>0</v>
      </c>
    </row>
    <row r="111" spans="1:45" x14ac:dyDescent="0.3">
      <c r="A111" s="5">
        <v>110</v>
      </c>
      <c r="B111" s="12" t="s">
        <v>175</v>
      </c>
      <c r="C111" s="10" t="s">
        <v>668</v>
      </c>
      <c r="D111" s="39" t="s">
        <v>797</v>
      </c>
      <c r="E111" s="6" t="s">
        <v>128</v>
      </c>
      <c r="F111" s="6" t="s">
        <v>12</v>
      </c>
      <c r="G111" s="6" t="s">
        <v>124</v>
      </c>
      <c r="H111" s="6" t="s">
        <v>80</v>
      </c>
      <c r="I111" s="6" t="str">
        <f t="shared" si="10"/>
        <v>12kW</v>
      </c>
      <c r="J111" s="5">
        <v>1</v>
      </c>
      <c r="K111" s="5">
        <f>J111*12</f>
        <v>12</v>
      </c>
      <c r="L111" s="67" t="s">
        <v>160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0</v>
      </c>
      <c r="AO111" s="46">
        <v>0</v>
      </c>
      <c r="AP111" s="46">
        <v>0</v>
      </c>
      <c r="AQ111" s="46">
        <v>0</v>
      </c>
      <c r="AR111" s="46">
        <f t="shared" si="11"/>
        <v>0</v>
      </c>
      <c r="AS111" s="7">
        <f t="shared" si="12"/>
        <v>0</v>
      </c>
    </row>
    <row r="112" spans="1:45" x14ac:dyDescent="0.3">
      <c r="A112" s="5">
        <v>111</v>
      </c>
      <c r="B112" s="12" t="s">
        <v>565</v>
      </c>
      <c r="C112" s="10" t="s">
        <v>669</v>
      </c>
      <c r="D112" s="39" t="s">
        <v>764</v>
      </c>
      <c r="E112" s="6" t="s">
        <v>128</v>
      </c>
      <c r="F112" s="6" t="s">
        <v>12</v>
      </c>
      <c r="G112" s="6" t="s">
        <v>13</v>
      </c>
      <c r="H112" s="6" t="s">
        <v>35</v>
      </c>
      <c r="I112" s="6" t="str">
        <f t="shared" si="10"/>
        <v xml:space="preserve">3.3 </v>
      </c>
      <c r="J112" s="5">
        <v>15</v>
      </c>
      <c r="K112" s="5">
        <f>J112*I112</f>
        <v>49.5</v>
      </c>
      <c r="L112" s="94" t="s">
        <v>273</v>
      </c>
      <c r="M112" s="10">
        <v>318.24200000000002</v>
      </c>
      <c r="N112" s="46">
        <v>345.09999999999997</v>
      </c>
      <c r="O112" s="46">
        <v>311.94200000000006</v>
      </c>
      <c r="P112" s="46">
        <v>353.37900000000002</v>
      </c>
      <c r="Q112" s="46">
        <v>318.20199999999983</v>
      </c>
      <c r="R112" s="46">
        <v>370.82299999999998</v>
      </c>
      <c r="S112" s="46">
        <v>382.3239999999999</v>
      </c>
      <c r="T112" s="46">
        <v>323.53299999999996</v>
      </c>
      <c r="U112" s="46">
        <v>382.44400000000002</v>
      </c>
      <c r="V112" s="46">
        <v>291.04799999999994</v>
      </c>
      <c r="W112" s="46">
        <v>445.78099999999995</v>
      </c>
      <c r="X112" s="46">
        <v>454.89500000000004</v>
      </c>
      <c r="Y112" s="46">
        <v>518.851</v>
      </c>
      <c r="Z112" s="46">
        <v>238.39000000000001</v>
      </c>
      <c r="AA112" s="46">
        <v>347.28299999999984</v>
      </c>
      <c r="AB112" s="46">
        <v>329.96999999999991</v>
      </c>
      <c r="AC112" s="46">
        <v>390.94399999999996</v>
      </c>
      <c r="AD112" s="46">
        <v>303.678</v>
      </c>
      <c r="AE112" s="46">
        <v>433.28299999999984</v>
      </c>
      <c r="AF112" s="46">
        <v>297.3950000000001</v>
      </c>
      <c r="AG112" s="46">
        <v>413.89199999999994</v>
      </c>
      <c r="AH112" s="46">
        <v>294.69100000000003</v>
      </c>
      <c r="AI112" s="46">
        <v>304.16000000000008</v>
      </c>
      <c r="AJ112" s="46">
        <v>307.34500000000003</v>
      </c>
      <c r="AK112" s="46">
        <v>300.25800000000015</v>
      </c>
      <c r="AL112" s="46">
        <v>306.78800000000001</v>
      </c>
      <c r="AM112" s="46">
        <v>278.54900000000004</v>
      </c>
      <c r="AN112" s="46">
        <v>218.46299999999994</v>
      </c>
      <c r="AO112" s="46">
        <v>36.262</v>
      </c>
      <c r="AP112" s="46">
        <v>213.19099999999997</v>
      </c>
      <c r="AQ112" s="46">
        <v>352.35800000000012</v>
      </c>
      <c r="AR112" s="46">
        <f t="shared" si="11"/>
        <v>328.4988387096775</v>
      </c>
      <c r="AS112" s="7">
        <f t="shared" si="12"/>
        <v>21.899922580645168</v>
      </c>
    </row>
    <row r="113" spans="1:45" x14ac:dyDescent="0.3">
      <c r="A113" s="5">
        <v>112</v>
      </c>
      <c r="B113" s="12" t="s">
        <v>565</v>
      </c>
      <c r="C113" s="10" t="s">
        <v>669</v>
      </c>
      <c r="D113" s="39" t="s">
        <v>764</v>
      </c>
      <c r="E113" s="6" t="s">
        <v>128</v>
      </c>
      <c r="F113" s="6" t="s">
        <v>12</v>
      </c>
      <c r="G113" s="6" t="s">
        <v>559</v>
      </c>
      <c r="H113" s="6" t="s">
        <v>80</v>
      </c>
      <c r="I113" s="6" t="str">
        <f t="shared" si="10"/>
        <v>12kw</v>
      </c>
      <c r="J113" s="5">
        <v>1</v>
      </c>
      <c r="K113" s="5">
        <f>J113*12</f>
        <v>12</v>
      </c>
      <c r="L113" s="94" t="s">
        <v>273</v>
      </c>
      <c r="M113" s="10">
        <v>7.81</v>
      </c>
      <c r="N113" s="46">
        <v>0</v>
      </c>
      <c r="O113" s="46">
        <v>0</v>
      </c>
      <c r="P113" s="46">
        <v>0.12000000000000001</v>
      </c>
      <c r="Q113" s="46">
        <v>0</v>
      </c>
      <c r="R113" s="46">
        <v>0</v>
      </c>
      <c r="S113" s="46">
        <v>11.63</v>
      </c>
      <c r="T113" s="46">
        <v>5.18</v>
      </c>
      <c r="U113" s="46">
        <v>0</v>
      </c>
      <c r="V113" s="46">
        <v>13.84</v>
      </c>
      <c r="W113" s="46">
        <v>0</v>
      </c>
      <c r="X113" s="46">
        <v>0</v>
      </c>
      <c r="Y113" s="46">
        <v>0</v>
      </c>
      <c r="Z113" s="46">
        <v>0</v>
      </c>
      <c r="AA113" s="46">
        <v>2.87</v>
      </c>
      <c r="AB113" s="46">
        <v>17.88</v>
      </c>
      <c r="AC113" s="46">
        <v>0</v>
      </c>
      <c r="AD113" s="46">
        <v>0</v>
      </c>
      <c r="AE113" s="46">
        <v>0</v>
      </c>
      <c r="AF113" s="46">
        <v>15.12</v>
      </c>
      <c r="AG113" s="46">
        <v>4.63</v>
      </c>
      <c r="AH113" s="46">
        <v>37.35</v>
      </c>
      <c r="AI113" s="46">
        <v>42.27</v>
      </c>
      <c r="AJ113" s="46">
        <v>20.779999999999998</v>
      </c>
      <c r="AK113" s="46">
        <v>13.280000000000001</v>
      </c>
      <c r="AL113" s="46">
        <v>41.65</v>
      </c>
      <c r="AM113" s="46">
        <v>41.45</v>
      </c>
      <c r="AN113" s="46">
        <v>19.21</v>
      </c>
      <c r="AO113" s="46">
        <v>0</v>
      </c>
      <c r="AP113" s="46">
        <v>0</v>
      </c>
      <c r="AQ113" s="46">
        <v>0</v>
      </c>
      <c r="AR113" s="46">
        <f t="shared" si="11"/>
        <v>9.5183870967741928</v>
      </c>
      <c r="AS113" s="7">
        <f t="shared" si="12"/>
        <v>9.5183870967741928</v>
      </c>
    </row>
    <row r="114" spans="1:45" ht="14.25" customHeight="1" x14ac:dyDescent="0.3">
      <c r="A114" s="5">
        <v>113</v>
      </c>
      <c r="B114" s="6" t="s">
        <v>65</v>
      </c>
      <c r="C114" s="10" t="s">
        <v>670</v>
      </c>
      <c r="D114" s="39" t="s">
        <v>732</v>
      </c>
      <c r="E114" s="6" t="s">
        <v>30</v>
      </c>
      <c r="F114" s="6" t="s">
        <v>12</v>
      </c>
      <c r="G114" s="6" t="s">
        <v>13</v>
      </c>
      <c r="H114" s="6" t="s">
        <v>35</v>
      </c>
      <c r="I114" s="6" t="str">
        <f t="shared" si="10"/>
        <v xml:space="preserve">3.3 </v>
      </c>
      <c r="J114" s="5">
        <v>5</v>
      </c>
      <c r="K114" s="5">
        <f t="shared" ref="K114:K126" si="13">J114*I114</f>
        <v>16.5</v>
      </c>
      <c r="L114" s="12" t="s">
        <v>589</v>
      </c>
      <c r="M114" s="10">
        <v>44.15</v>
      </c>
      <c r="N114" s="46">
        <v>26.137</v>
      </c>
      <c r="O114" s="46">
        <v>53.411000000000001</v>
      </c>
      <c r="P114" s="46">
        <v>42.524999999999999</v>
      </c>
      <c r="Q114" s="46">
        <v>57.986000000000004</v>
      </c>
      <c r="R114" s="46">
        <v>51.396000000000001</v>
      </c>
      <c r="S114" s="46">
        <v>44.776000000000003</v>
      </c>
      <c r="T114" s="46">
        <v>35.869999999999997</v>
      </c>
      <c r="U114" s="46">
        <v>39.096000000000004</v>
      </c>
      <c r="V114" s="46">
        <v>28.556000000000001</v>
      </c>
      <c r="W114" s="46">
        <v>28.934999999999999</v>
      </c>
      <c r="X114" s="46">
        <v>19.774999999999999</v>
      </c>
      <c r="Y114" s="46">
        <v>43.603000000000002</v>
      </c>
      <c r="Z114" s="46">
        <v>33.006</v>
      </c>
      <c r="AA114" s="46">
        <v>34.070999999999998</v>
      </c>
      <c r="AB114" s="46">
        <v>11.148999999999999</v>
      </c>
      <c r="AC114" s="46">
        <v>23.001000000000001</v>
      </c>
      <c r="AD114" s="46">
        <v>23.727</v>
      </c>
      <c r="AE114" s="46">
        <v>38.085000000000008</v>
      </c>
      <c r="AF114" s="46">
        <v>48.775999999999996</v>
      </c>
      <c r="AG114" s="46">
        <v>23.960999999999999</v>
      </c>
      <c r="AH114" s="46">
        <v>46.774000000000001</v>
      </c>
      <c r="AI114" s="46">
        <v>35.476999999999997</v>
      </c>
      <c r="AJ114" s="46">
        <v>36.955000000000005</v>
      </c>
      <c r="AK114" s="46">
        <v>23.953000000000003</v>
      </c>
      <c r="AL114" s="46">
        <v>16.591000000000001</v>
      </c>
      <c r="AM114" s="46">
        <v>25.773000000000003</v>
      </c>
      <c r="AN114" s="46">
        <v>22.246000000000002</v>
      </c>
      <c r="AO114" s="46">
        <v>35.040000000000006</v>
      </c>
      <c r="AP114" s="46">
        <v>51.132000000000005</v>
      </c>
      <c r="AQ114" s="46">
        <v>31.291</v>
      </c>
      <c r="AR114" s="46">
        <f t="shared" si="11"/>
        <v>34.749161290322576</v>
      </c>
      <c r="AS114" s="7">
        <f t="shared" si="12"/>
        <v>6.9498322580645153</v>
      </c>
    </row>
    <row r="115" spans="1:45" x14ac:dyDescent="0.3">
      <c r="A115" s="5">
        <v>114</v>
      </c>
      <c r="B115" s="6" t="s">
        <v>65</v>
      </c>
      <c r="C115" s="10" t="s">
        <v>671</v>
      </c>
      <c r="D115" s="39" t="s">
        <v>723</v>
      </c>
      <c r="E115" s="6" t="s">
        <v>30</v>
      </c>
      <c r="F115" s="6" t="s">
        <v>12</v>
      </c>
      <c r="G115" s="6" t="s">
        <v>13</v>
      </c>
      <c r="H115" s="6" t="s">
        <v>35</v>
      </c>
      <c r="I115" s="6" t="str">
        <f t="shared" si="10"/>
        <v xml:space="preserve">3.3 </v>
      </c>
      <c r="J115" s="5">
        <v>16</v>
      </c>
      <c r="K115" s="5">
        <f t="shared" si="13"/>
        <v>52.8</v>
      </c>
      <c r="L115" s="12" t="s">
        <v>589</v>
      </c>
      <c r="M115" s="10">
        <v>62.116</v>
      </c>
      <c r="N115" s="46">
        <v>69.99499999999999</v>
      </c>
      <c r="O115" s="46">
        <v>59.122</v>
      </c>
      <c r="P115" s="46">
        <v>38.561</v>
      </c>
      <c r="Q115" s="46">
        <v>52.851999999999997</v>
      </c>
      <c r="R115" s="46">
        <v>70.822000000000003</v>
      </c>
      <c r="S115" s="46">
        <v>83.656999999999996</v>
      </c>
      <c r="T115" s="46">
        <v>36.094000000000001</v>
      </c>
      <c r="U115" s="46">
        <v>72.906999999999996</v>
      </c>
      <c r="V115" s="46">
        <v>90.733999999999995</v>
      </c>
      <c r="W115" s="46">
        <v>48.133000000000003</v>
      </c>
      <c r="X115" s="46">
        <v>86.361000000000004</v>
      </c>
      <c r="Y115" s="46">
        <v>102.13800000000001</v>
      </c>
      <c r="Z115" s="46">
        <v>76.478999999999999</v>
      </c>
      <c r="AA115" s="46">
        <v>108.386</v>
      </c>
      <c r="AB115" s="46">
        <v>117.22600000000001</v>
      </c>
      <c r="AC115" s="46">
        <v>137.756</v>
      </c>
      <c r="AD115" s="46">
        <v>102.229</v>
      </c>
      <c r="AE115" s="46">
        <v>114.28500000000001</v>
      </c>
      <c r="AF115" s="46">
        <v>98.789999999999978</v>
      </c>
      <c r="AG115" s="46">
        <v>57.605000000000004</v>
      </c>
      <c r="AH115" s="46">
        <v>156.703</v>
      </c>
      <c r="AI115" s="46">
        <v>100.70199999999998</v>
      </c>
      <c r="AJ115" s="46">
        <v>96.91500000000002</v>
      </c>
      <c r="AK115" s="46">
        <v>90.811000000000007</v>
      </c>
      <c r="AL115" s="46">
        <v>65.460999999999999</v>
      </c>
      <c r="AM115" s="46">
        <v>68.578999999999994</v>
      </c>
      <c r="AN115" s="46">
        <v>99.959000000000003</v>
      </c>
      <c r="AO115" s="46">
        <v>110.25399999999999</v>
      </c>
      <c r="AP115" s="46">
        <v>126.75099999999999</v>
      </c>
      <c r="AQ115" s="46">
        <v>112.45299999999999</v>
      </c>
      <c r="AR115" s="46">
        <f t="shared" si="11"/>
        <v>87.575354838709686</v>
      </c>
      <c r="AS115" s="7">
        <f t="shared" si="12"/>
        <v>5.4734596774193554</v>
      </c>
    </row>
    <row r="116" spans="1:45" x14ac:dyDescent="0.3">
      <c r="A116" s="5">
        <v>115</v>
      </c>
      <c r="B116" s="6" t="s">
        <v>65</v>
      </c>
      <c r="C116" s="10" t="s">
        <v>672</v>
      </c>
      <c r="D116" s="98" t="s">
        <v>818</v>
      </c>
      <c r="E116" s="6" t="s">
        <v>30</v>
      </c>
      <c r="F116" s="6" t="s">
        <v>12</v>
      </c>
      <c r="G116" s="6" t="s">
        <v>13</v>
      </c>
      <c r="H116" s="6" t="s">
        <v>35</v>
      </c>
      <c r="I116" s="6" t="str">
        <f t="shared" si="10"/>
        <v xml:space="preserve">3.3 </v>
      </c>
      <c r="J116" s="5">
        <v>10</v>
      </c>
      <c r="K116" s="5">
        <f t="shared" si="13"/>
        <v>33</v>
      </c>
      <c r="L116" s="12" t="s">
        <v>589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46">
        <v>0</v>
      </c>
      <c r="AM116" s="46">
        <v>0</v>
      </c>
      <c r="AN116" s="46">
        <v>0</v>
      </c>
      <c r="AO116" s="46">
        <v>0</v>
      </c>
      <c r="AP116" s="46">
        <v>0</v>
      </c>
      <c r="AQ116" s="46">
        <v>0</v>
      </c>
      <c r="AR116" s="46">
        <f t="shared" si="11"/>
        <v>0</v>
      </c>
      <c r="AS116" s="7">
        <f t="shared" si="12"/>
        <v>0</v>
      </c>
    </row>
    <row r="117" spans="1:45" x14ac:dyDescent="0.3">
      <c r="A117" s="5">
        <v>116</v>
      </c>
      <c r="B117" s="6" t="s">
        <v>65</v>
      </c>
      <c r="C117" s="10" t="s">
        <v>673</v>
      </c>
      <c r="D117" s="39" t="s">
        <v>719</v>
      </c>
      <c r="E117" s="6" t="s">
        <v>30</v>
      </c>
      <c r="F117" s="6" t="s">
        <v>12</v>
      </c>
      <c r="G117" s="6" t="s">
        <v>13</v>
      </c>
      <c r="H117" s="6" t="s">
        <v>35</v>
      </c>
      <c r="I117" s="6" t="str">
        <f t="shared" si="10"/>
        <v xml:space="preserve">3.3 </v>
      </c>
      <c r="J117" s="5">
        <v>13</v>
      </c>
      <c r="K117" s="5">
        <f t="shared" si="13"/>
        <v>42.9</v>
      </c>
      <c r="L117" s="12" t="s">
        <v>589</v>
      </c>
      <c r="M117" s="10">
        <v>83.850999999999999</v>
      </c>
      <c r="N117" s="46">
        <v>51.623999999999995</v>
      </c>
      <c r="O117" s="46">
        <v>53.12299999999999</v>
      </c>
      <c r="P117" s="46">
        <v>54.012999999999998</v>
      </c>
      <c r="Q117" s="46">
        <v>33.291000000000004</v>
      </c>
      <c r="R117" s="46">
        <v>76.679000000000002</v>
      </c>
      <c r="S117" s="46">
        <v>91.404000000000011</v>
      </c>
      <c r="T117" s="46">
        <v>76.021000000000015</v>
      </c>
      <c r="U117" s="46">
        <v>83.674999999999997</v>
      </c>
      <c r="V117" s="46">
        <v>127.07</v>
      </c>
      <c r="W117" s="46">
        <v>101.614</v>
      </c>
      <c r="X117" s="46">
        <v>83.094999999999999</v>
      </c>
      <c r="Y117" s="46">
        <v>85.729000000000013</v>
      </c>
      <c r="Z117" s="46">
        <v>84.637</v>
      </c>
      <c r="AA117" s="46">
        <v>93.123999999999995</v>
      </c>
      <c r="AB117" s="46">
        <v>91.426000000000016</v>
      </c>
      <c r="AC117" s="46">
        <v>82.459000000000017</v>
      </c>
      <c r="AD117" s="46">
        <v>88.668000000000006</v>
      </c>
      <c r="AE117" s="46">
        <v>107.41500000000001</v>
      </c>
      <c r="AF117" s="46">
        <v>100.86500000000001</v>
      </c>
      <c r="AG117" s="46">
        <v>102.91800000000001</v>
      </c>
      <c r="AH117" s="46">
        <v>185.71299999999999</v>
      </c>
      <c r="AI117" s="46">
        <v>141.92800000000003</v>
      </c>
      <c r="AJ117" s="46">
        <v>146.38999999999999</v>
      </c>
      <c r="AK117" s="46">
        <v>182.27800000000002</v>
      </c>
      <c r="AL117" s="46">
        <v>116.14300000000001</v>
      </c>
      <c r="AM117" s="46">
        <v>141.41300000000001</v>
      </c>
      <c r="AN117" s="46">
        <v>150.09700000000001</v>
      </c>
      <c r="AO117" s="46">
        <v>204.70800000000003</v>
      </c>
      <c r="AP117" s="46">
        <v>165.99300000000005</v>
      </c>
      <c r="AQ117" s="46">
        <v>202.06899999999999</v>
      </c>
      <c r="AR117" s="46">
        <f t="shared" si="11"/>
        <v>109.33654838709678</v>
      </c>
      <c r="AS117" s="7">
        <f t="shared" si="12"/>
        <v>8.4105037220843677</v>
      </c>
    </row>
    <row r="118" spans="1:45" x14ac:dyDescent="0.3">
      <c r="A118" s="5">
        <v>117</v>
      </c>
      <c r="B118" s="6" t="s">
        <v>65</v>
      </c>
      <c r="C118" s="10" t="s">
        <v>674</v>
      </c>
      <c r="D118" s="39" t="s">
        <v>730</v>
      </c>
      <c r="E118" s="6" t="s">
        <v>30</v>
      </c>
      <c r="F118" s="6" t="s">
        <v>12</v>
      </c>
      <c r="G118" s="6" t="s">
        <v>13</v>
      </c>
      <c r="H118" s="6" t="s">
        <v>35</v>
      </c>
      <c r="I118" s="6" t="str">
        <f t="shared" si="10"/>
        <v xml:space="preserve">3.3 </v>
      </c>
      <c r="J118" s="5">
        <v>20</v>
      </c>
      <c r="K118" s="5">
        <f t="shared" si="13"/>
        <v>66</v>
      </c>
      <c r="L118" s="12" t="s">
        <v>589</v>
      </c>
      <c r="M118" s="10">
        <v>410.80900000000003</v>
      </c>
      <c r="N118" s="46">
        <v>385.47399999999999</v>
      </c>
      <c r="O118" s="46">
        <v>343.99599999999992</v>
      </c>
      <c r="P118" s="46">
        <v>343.21400000000017</v>
      </c>
      <c r="Q118" s="46">
        <v>375.95399999999995</v>
      </c>
      <c r="R118" s="46">
        <v>384.09500000000008</v>
      </c>
      <c r="S118" s="46">
        <v>315.63899999999995</v>
      </c>
      <c r="T118" s="46">
        <v>388.8420000000001</v>
      </c>
      <c r="U118" s="46">
        <v>421.14499999999998</v>
      </c>
      <c r="V118" s="46">
        <v>383.68899999999996</v>
      </c>
      <c r="W118" s="46">
        <v>431.15600000000006</v>
      </c>
      <c r="X118" s="46">
        <v>376.94400000000013</v>
      </c>
      <c r="Y118" s="46">
        <v>422.7290000000001</v>
      </c>
      <c r="Z118" s="46">
        <v>323.76700000000017</v>
      </c>
      <c r="AA118" s="46">
        <v>368.51499999999993</v>
      </c>
      <c r="AB118" s="46">
        <v>316.54799999999994</v>
      </c>
      <c r="AC118" s="46">
        <v>385.8490000000001</v>
      </c>
      <c r="AD118" s="46">
        <v>366.08400000000006</v>
      </c>
      <c r="AE118" s="46">
        <v>517.37000000000023</v>
      </c>
      <c r="AF118" s="46">
        <v>432.35500000000002</v>
      </c>
      <c r="AG118" s="46">
        <v>414.64600000000002</v>
      </c>
      <c r="AH118" s="46">
        <v>444.74399999999974</v>
      </c>
      <c r="AI118" s="46">
        <v>392.39600000000019</v>
      </c>
      <c r="AJ118" s="46">
        <v>416.17499999999995</v>
      </c>
      <c r="AK118" s="46">
        <v>345.55399999999997</v>
      </c>
      <c r="AL118" s="46">
        <v>389.017</v>
      </c>
      <c r="AM118" s="46">
        <v>317.16999999999996</v>
      </c>
      <c r="AN118" s="46">
        <v>402.26800000000003</v>
      </c>
      <c r="AO118" s="46">
        <v>471.19200000000012</v>
      </c>
      <c r="AP118" s="46">
        <v>465.56399999999991</v>
      </c>
      <c r="AQ118" s="46">
        <v>420.84899999999988</v>
      </c>
      <c r="AR118" s="46">
        <f t="shared" si="11"/>
        <v>392.70158064516136</v>
      </c>
      <c r="AS118" s="7">
        <f t="shared" si="12"/>
        <v>19.635079032258069</v>
      </c>
    </row>
    <row r="119" spans="1:45" x14ac:dyDescent="0.3">
      <c r="A119" s="5">
        <v>118</v>
      </c>
      <c r="B119" s="6" t="s">
        <v>65</v>
      </c>
      <c r="C119" s="10" t="s">
        <v>674</v>
      </c>
      <c r="D119" s="39" t="s">
        <v>730</v>
      </c>
      <c r="E119" s="6" t="s">
        <v>30</v>
      </c>
      <c r="F119" s="6" t="s">
        <v>12</v>
      </c>
      <c r="G119" s="6" t="s">
        <v>124</v>
      </c>
      <c r="H119" s="6" t="s">
        <v>80</v>
      </c>
      <c r="I119" s="6" t="str">
        <f t="shared" si="10"/>
        <v>12kW</v>
      </c>
      <c r="J119" s="5">
        <v>2</v>
      </c>
      <c r="K119" s="5" t="e">
        <f t="shared" si="13"/>
        <v>#VALUE!</v>
      </c>
      <c r="L119" s="12" t="s">
        <v>589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v>0</v>
      </c>
      <c r="AP119" s="46">
        <v>0</v>
      </c>
      <c r="AQ119" s="46">
        <v>0</v>
      </c>
      <c r="AR119" s="46">
        <f t="shared" si="11"/>
        <v>0</v>
      </c>
      <c r="AS119" s="7">
        <f t="shared" si="12"/>
        <v>0</v>
      </c>
    </row>
    <row r="120" spans="1:45" x14ac:dyDescent="0.3">
      <c r="A120" s="5">
        <v>119</v>
      </c>
      <c r="B120" s="6" t="s">
        <v>65</v>
      </c>
      <c r="C120" s="10" t="s">
        <v>675</v>
      </c>
      <c r="D120" s="39" t="s">
        <v>800</v>
      </c>
      <c r="E120" s="6" t="s">
        <v>30</v>
      </c>
      <c r="F120" s="6" t="s">
        <v>12</v>
      </c>
      <c r="G120" s="6" t="s">
        <v>13</v>
      </c>
      <c r="H120" s="6" t="s">
        <v>35</v>
      </c>
      <c r="I120" s="6" t="str">
        <f t="shared" si="10"/>
        <v xml:space="preserve">3.3 </v>
      </c>
      <c r="J120" s="5">
        <v>1</v>
      </c>
      <c r="K120" s="5">
        <f t="shared" si="13"/>
        <v>3.3</v>
      </c>
      <c r="L120" s="12" t="s">
        <v>160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v>0</v>
      </c>
      <c r="AP120" s="46">
        <v>0</v>
      </c>
      <c r="AQ120" s="46">
        <v>0</v>
      </c>
      <c r="AR120" s="46">
        <f t="shared" si="11"/>
        <v>0</v>
      </c>
      <c r="AS120" s="7">
        <f t="shared" si="12"/>
        <v>0</v>
      </c>
    </row>
    <row r="121" spans="1:45" x14ac:dyDescent="0.3">
      <c r="A121" s="5">
        <v>120</v>
      </c>
      <c r="B121" s="6" t="s">
        <v>65</v>
      </c>
      <c r="C121" s="10" t="s">
        <v>676</v>
      </c>
      <c r="D121" s="39" t="s">
        <v>801</v>
      </c>
      <c r="E121" s="6" t="s">
        <v>30</v>
      </c>
      <c r="F121" s="6" t="s">
        <v>12</v>
      </c>
      <c r="G121" s="6" t="s">
        <v>13</v>
      </c>
      <c r="H121" s="6" t="s">
        <v>35</v>
      </c>
      <c r="I121" s="6" t="str">
        <f t="shared" si="10"/>
        <v xml:space="preserve">3.3 </v>
      </c>
      <c r="J121" s="5">
        <v>1</v>
      </c>
      <c r="K121" s="5">
        <f t="shared" si="13"/>
        <v>3.3</v>
      </c>
      <c r="L121" s="12" t="s">
        <v>160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v>0</v>
      </c>
      <c r="AP121" s="46">
        <v>0</v>
      </c>
      <c r="AQ121" s="46">
        <v>0</v>
      </c>
      <c r="AR121" s="46">
        <f t="shared" si="11"/>
        <v>0</v>
      </c>
      <c r="AS121" s="7">
        <f t="shared" si="12"/>
        <v>0</v>
      </c>
    </row>
    <row r="122" spans="1:45" x14ac:dyDescent="0.3">
      <c r="A122" s="5">
        <v>121</v>
      </c>
      <c r="B122" s="6" t="s">
        <v>65</v>
      </c>
      <c r="C122" s="10" t="s">
        <v>677</v>
      </c>
      <c r="D122" s="39" t="s">
        <v>802</v>
      </c>
      <c r="E122" s="6" t="s">
        <v>128</v>
      </c>
      <c r="F122" s="6" t="s">
        <v>12</v>
      </c>
      <c r="G122" s="6" t="s">
        <v>40</v>
      </c>
      <c r="H122" s="6" t="s">
        <v>35</v>
      </c>
      <c r="I122" s="6" t="str">
        <f t="shared" si="10"/>
        <v xml:space="preserve">7.4 </v>
      </c>
      <c r="J122" s="5">
        <v>2</v>
      </c>
      <c r="K122" s="5">
        <f t="shared" si="13"/>
        <v>14.8</v>
      </c>
      <c r="L122" s="67" t="s">
        <v>160</v>
      </c>
      <c r="M122" s="46">
        <v>0</v>
      </c>
      <c r="N122" s="46">
        <v>11.429</v>
      </c>
      <c r="O122" s="46">
        <v>0</v>
      </c>
      <c r="P122" s="46">
        <v>44.758000000000003</v>
      </c>
      <c r="Q122" s="46">
        <v>11.756</v>
      </c>
      <c r="R122" s="46">
        <v>0</v>
      </c>
      <c r="S122" s="46">
        <v>0</v>
      </c>
      <c r="T122" s="46">
        <v>0</v>
      </c>
      <c r="U122" s="46">
        <v>0</v>
      </c>
      <c r="V122" s="46">
        <v>19.916</v>
      </c>
      <c r="W122" s="46">
        <v>19.736999999999998</v>
      </c>
      <c r="X122" s="46">
        <v>0</v>
      </c>
      <c r="Y122" s="46">
        <v>0</v>
      </c>
      <c r="Z122" s="46">
        <v>48.269999999999996</v>
      </c>
      <c r="AA122" s="46">
        <v>4.6379999999999999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31.988</v>
      </c>
      <c r="AI122" s="46">
        <v>29.164999999999999</v>
      </c>
      <c r="AJ122" s="46">
        <v>0</v>
      </c>
      <c r="AK122" s="46">
        <v>0</v>
      </c>
      <c r="AL122" s="46">
        <v>0</v>
      </c>
      <c r="AM122" s="46">
        <v>0</v>
      </c>
      <c r="AN122" s="46">
        <v>37.517000000000003</v>
      </c>
      <c r="AO122" s="46">
        <v>0</v>
      </c>
      <c r="AP122" s="46">
        <v>12.744</v>
      </c>
      <c r="AQ122" s="46">
        <v>0</v>
      </c>
      <c r="AR122" s="46">
        <f t="shared" si="11"/>
        <v>8.7715483870967752</v>
      </c>
      <c r="AS122" s="7">
        <f t="shared" si="12"/>
        <v>4.3857741935483876</v>
      </c>
    </row>
    <row r="123" spans="1:45" ht="15.75" customHeight="1" x14ac:dyDescent="0.3">
      <c r="A123" s="5">
        <v>122</v>
      </c>
      <c r="B123" s="6" t="s">
        <v>65</v>
      </c>
      <c r="C123" s="10" t="s">
        <v>678</v>
      </c>
      <c r="D123" s="39" t="s">
        <v>803</v>
      </c>
      <c r="E123" s="6"/>
      <c r="F123" s="6" t="s">
        <v>130</v>
      </c>
      <c r="G123" s="6" t="s">
        <v>13</v>
      </c>
      <c r="H123" s="6" t="s">
        <v>35</v>
      </c>
      <c r="I123" s="6" t="str">
        <f t="shared" si="10"/>
        <v xml:space="preserve">3.3 </v>
      </c>
      <c r="J123" s="5">
        <v>2</v>
      </c>
      <c r="K123" s="5">
        <f t="shared" si="13"/>
        <v>6.6</v>
      </c>
      <c r="L123" s="12" t="s">
        <v>590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  <c r="AQ123" s="46">
        <v>0</v>
      </c>
      <c r="AR123" s="46">
        <f t="shared" si="11"/>
        <v>0</v>
      </c>
      <c r="AS123" s="7">
        <f t="shared" si="12"/>
        <v>0</v>
      </c>
    </row>
    <row r="124" spans="1:45" x14ac:dyDescent="0.3">
      <c r="A124" s="5">
        <v>123</v>
      </c>
      <c r="B124" s="6" t="s">
        <v>65</v>
      </c>
      <c r="C124" s="10" t="s">
        <v>679</v>
      </c>
      <c r="D124" s="39" t="s">
        <v>737</v>
      </c>
      <c r="E124" s="6" t="s">
        <v>128</v>
      </c>
      <c r="F124" s="6" t="s">
        <v>19</v>
      </c>
      <c r="G124" s="6" t="s">
        <v>13</v>
      </c>
      <c r="H124" s="6" t="s">
        <v>35</v>
      </c>
      <c r="I124" s="6" t="str">
        <f t="shared" si="10"/>
        <v xml:space="preserve">3.3 </v>
      </c>
      <c r="J124" s="5">
        <v>6</v>
      </c>
      <c r="K124" s="5">
        <f t="shared" si="13"/>
        <v>19.799999999999997</v>
      </c>
      <c r="L124" s="12" t="s">
        <v>590</v>
      </c>
      <c r="M124" s="10">
        <v>30.853999999999999</v>
      </c>
      <c r="N124" s="46">
        <v>51.214000000000006</v>
      </c>
      <c r="O124" s="46">
        <v>20.846</v>
      </c>
      <c r="P124" s="46">
        <v>12.654</v>
      </c>
      <c r="Q124" s="46">
        <v>0</v>
      </c>
      <c r="R124" s="46">
        <v>8.9370000000000012</v>
      </c>
      <c r="S124" s="46">
        <v>27.995000000000001</v>
      </c>
      <c r="T124" s="46">
        <v>29.176000000000002</v>
      </c>
      <c r="U124" s="46">
        <v>8.8420000000000005</v>
      </c>
      <c r="V124" s="46">
        <v>22.188000000000002</v>
      </c>
      <c r="W124" s="46">
        <v>0</v>
      </c>
      <c r="X124" s="46">
        <v>0</v>
      </c>
      <c r="Y124" s="46">
        <v>24.579000000000001</v>
      </c>
      <c r="Z124" s="46">
        <v>6.63</v>
      </c>
      <c r="AA124" s="46">
        <v>24.061</v>
      </c>
      <c r="AB124" s="46">
        <v>5.7949999999999999</v>
      </c>
      <c r="AC124" s="46">
        <v>13.058</v>
      </c>
      <c r="AD124" s="46">
        <v>0</v>
      </c>
      <c r="AE124" s="46">
        <v>2.0750000000000002</v>
      </c>
      <c r="AF124" s="46">
        <v>12.71</v>
      </c>
      <c r="AG124" s="46">
        <v>12.196</v>
      </c>
      <c r="AH124" s="46">
        <v>18.122</v>
      </c>
      <c r="AI124" s="46">
        <v>17.07</v>
      </c>
      <c r="AJ124" s="46">
        <v>9.577</v>
      </c>
      <c r="AK124" s="46">
        <v>0</v>
      </c>
      <c r="AL124" s="46">
        <v>6.39</v>
      </c>
      <c r="AM124" s="46">
        <v>20.257999999999999</v>
      </c>
      <c r="AN124" s="46">
        <v>15.814000000000002</v>
      </c>
      <c r="AO124" s="46">
        <v>19.795999999999999</v>
      </c>
      <c r="AP124" s="46">
        <v>16.436</v>
      </c>
      <c r="AQ124" s="46">
        <v>33.570000000000007</v>
      </c>
      <c r="AR124" s="46">
        <f t="shared" si="11"/>
        <v>15.18848387096774</v>
      </c>
      <c r="AS124" s="7">
        <f t="shared" si="12"/>
        <v>2.5314139784946232</v>
      </c>
    </row>
    <row r="125" spans="1:45" x14ac:dyDescent="0.3">
      <c r="A125" s="5">
        <v>124</v>
      </c>
      <c r="B125" s="6" t="s">
        <v>65</v>
      </c>
      <c r="C125" s="10" t="s">
        <v>680</v>
      </c>
      <c r="D125" s="39" t="s">
        <v>751</v>
      </c>
      <c r="E125" s="6" t="s">
        <v>128</v>
      </c>
      <c r="F125" s="6" t="s">
        <v>12</v>
      </c>
      <c r="G125" s="6" t="s">
        <v>13</v>
      </c>
      <c r="H125" s="6" t="s">
        <v>35</v>
      </c>
      <c r="I125" s="6" t="str">
        <f t="shared" si="10"/>
        <v xml:space="preserve">3.3 </v>
      </c>
      <c r="J125" s="5">
        <v>20</v>
      </c>
      <c r="K125" s="5">
        <f t="shared" si="13"/>
        <v>66</v>
      </c>
      <c r="L125" s="94" t="s">
        <v>273</v>
      </c>
      <c r="M125" s="10">
        <v>178.42699999999994</v>
      </c>
      <c r="N125" s="46">
        <v>133.97</v>
      </c>
      <c r="O125" s="46">
        <v>121.41600000000001</v>
      </c>
      <c r="P125" s="46">
        <v>144.983</v>
      </c>
      <c r="Q125" s="46">
        <v>123.95200000000001</v>
      </c>
      <c r="R125" s="46">
        <v>90.14200000000001</v>
      </c>
      <c r="S125" s="46">
        <v>113.831</v>
      </c>
      <c r="T125" s="46">
        <v>146.68700000000001</v>
      </c>
      <c r="U125" s="46">
        <v>129.00500000000002</v>
      </c>
      <c r="V125" s="46">
        <v>149.50799999999995</v>
      </c>
      <c r="W125" s="46">
        <v>129.97000000000003</v>
      </c>
      <c r="X125" s="46">
        <v>106.52900000000001</v>
      </c>
      <c r="Y125" s="46">
        <v>122.58299999999998</v>
      </c>
      <c r="Z125" s="46">
        <v>113.298</v>
      </c>
      <c r="AA125" s="46">
        <v>107.172</v>
      </c>
      <c r="AB125" s="46">
        <v>146.74600000000001</v>
      </c>
      <c r="AC125" s="46">
        <v>102.631</v>
      </c>
      <c r="AD125" s="46">
        <v>112.38699999999997</v>
      </c>
      <c r="AE125" s="46">
        <v>121.62</v>
      </c>
      <c r="AF125" s="46">
        <v>145.13600000000002</v>
      </c>
      <c r="AG125" s="46">
        <v>151.79600000000002</v>
      </c>
      <c r="AH125" s="46">
        <v>119.29</v>
      </c>
      <c r="AI125" s="46">
        <v>144.59799999999998</v>
      </c>
      <c r="AJ125" s="46">
        <v>148.249</v>
      </c>
      <c r="AK125" s="46">
        <v>181.64099999999999</v>
      </c>
      <c r="AL125" s="46">
        <v>130.476</v>
      </c>
      <c r="AM125" s="46">
        <v>119.387</v>
      </c>
      <c r="AN125" s="46">
        <v>166.673</v>
      </c>
      <c r="AO125" s="46">
        <v>150.90599999999998</v>
      </c>
      <c r="AP125" s="46">
        <v>143.637</v>
      </c>
      <c r="AQ125" s="46">
        <v>173.01300000000003</v>
      </c>
      <c r="AR125" s="46">
        <f t="shared" si="11"/>
        <v>134.50512903225808</v>
      </c>
      <c r="AS125" s="7">
        <f t="shared" si="12"/>
        <v>6.7252564516129043</v>
      </c>
    </row>
    <row r="126" spans="1:45" x14ac:dyDescent="0.3">
      <c r="A126" s="5">
        <v>125</v>
      </c>
      <c r="B126" s="6" t="s">
        <v>65</v>
      </c>
      <c r="C126" s="10" t="s">
        <v>680</v>
      </c>
      <c r="D126" s="39" t="s">
        <v>751</v>
      </c>
      <c r="E126" s="6" t="s">
        <v>128</v>
      </c>
      <c r="F126" s="6" t="s">
        <v>12</v>
      </c>
      <c r="G126" s="6" t="s">
        <v>40</v>
      </c>
      <c r="H126" s="6" t="s">
        <v>35</v>
      </c>
      <c r="I126" s="6" t="str">
        <f t="shared" si="10"/>
        <v xml:space="preserve">7.4 </v>
      </c>
      <c r="J126" s="5">
        <v>1</v>
      </c>
      <c r="K126" s="5">
        <f t="shared" si="13"/>
        <v>7.4</v>
      </c>
      <c r="L126" s="67" t="s">
        <v>160</v>
      </c>
      <c r="M126" s="46">
        <v>0</v>
      </c>
      <c r="N126" s="46">
        <v>0</v>
      </c>
      <c r="O126" s="46">
        <v>0</v>
      </c>
      <c r="P126" s="46">
        <v>18.007000000000001</v>
      </c>
      <c r="Q126" s="46">
        <v>19.788000000000004</v>
      </c>
      <c r="R126" s="46">
        <v>19.773</v>
      </c>
      <c r="S126" s="46">
        <v>26.524000000000004</v>
      </c>
      <c r="T126" s="46">
        <v>18.937000000000001</v>
      </c>
      <c r="U126" s="46">
        <v>18.914000000000001</v>
      </c>
      <c r="V126" s="46">
        <v>10.253</v>
      </c>
      <c r="W126" s="46">
        <v>19.815999999999999</v>
      </c>
      <c r="X126" s="46">
        <v>14.584</v>
      </c>
      <c r="Y126" s="46">
        <v>18.079000000000001</v>
      </c>
      <c r="Z126" s="46">
        <v>22.326999999999998</v>
      </c>
      <c r="AA126" s="46">
        <v>16.03</v>
      </c>
      <c r="AB126" s="46">
        <v>0</v>
      </c>
      <c r="AC126" s="46">
        <v>0</v>
      </c>
      <c r="AD126" s="46">
        <v>0</v>
      </c>
      <c r="AE126" s="46">
        <v>24.881999999999998</v>
      </c>
      <c r="AF126" s="46">
        <v>18.084</v>
      </c>
      <c r="AG126" s="46">
        <v>0</v>
      </c>
      <c r="AH126" s="46">
        <v>0</v>
      </c>
      <c r="AI126" s="46">
        <v>11.231</v>
      </c>
      <c r="AJ126" s="46">
        <v>0</v>
      </c>
      <c r="AK126" s="46">
        <v>0</v>
      </c>
      <c r="AL126" s="46">
        <v>13.554</v>
      </c>
      <c r="AM126" s="46">
        <v>1.8220000000000001</v>
      </c>
      <c r="AN126" s="46">
        <v>0</v>
      </c>
      <c r="AO126" s="46">
        <v>0</v>
      </c>
      <c r="AP126" s="46">
        <v>18.213000000000001</v>
      </c>
      <c r="AQ126" s="46">
        <v>0</v>
      </c>
      <c r="AR126" s="46">
        <f t="shared" si="11"/>
        <v>10.026387096774194</v>
      </c>
      <c r="AS126" s="7">
        <f t="shared" si="12"/>
        <v>10.026387096774194</v>
      </c>
    </row>
    <row r="127" spans="1:45" x14ac:dyDescent="0.3">
      <c r="A127" s="5">
        <v>126</v>
      </c>
      <c r="B127" s="6" t="s">
        <v>65</v>
      </c>
      <c r="C127" s="10" t="s">
        <v>680</v>
      </c>
      <c r="D127" s="39" t="s">
        <v>751</v>
      </c>
      <c r="E127" s="6" t="s">
        <v>128</v>
      </c>
      <c r="F127" s="6" t="s">
        <v>12</v>
      </c>
      <c r="G127" s="6" t="s">
        <v>124</v>
      </c>
      <c r="H127" s="6" t="s">
        <v>80</v>
      </c>
      <c r="I127" s="6" t="str">
        <f t="shared" si="10"/>
        <v>12kW</v>
      </c>
      <c r="J127" s="5">
        <v>1</v>
      </c>
      <c r="K127" s="5">
        <f>J127*12</f>
        <v>12</v>
      </c>
      <c r="L127" s="12" t="s">
        <v>589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v>0</v>
      </c>
      <c r="AP127" s="46">
        <v>0</v>
      </c>
      <c r="AQ127" s="46">
        <v>0</v>
      </c>
      <c r="AR127" s="46">
        <f t="shared" si="11"/>
        <v>0</v>
      </c>
      <c r="AS127" s="7">
        <f t="shared" si="12"/>
        <v>0</v>
      </c>
    </row>
    <row r="128" spans="1:45" x14ac:dyDescent="0.3">
      <c r="A128" s="5">
        <v>127</v>
      </c>
      <c r="B128" s="6" t="s">
        <v>65</v>
      </c>
      <c r="C128" s="5" t="s">
        <v>701</v>
      </c>
      <c r="D128" s="39" t="s">
        <v>817</v>
      </c>
      <c r="E128" s="6" t="s">
        <v>128</v>
      </c>
      <c r="F128" s="6" t="s">
        <v>12</v>
      </c>
      <c r="G128" s="6" t="s">
        <v>13</v>
      </c>
      <c r="H128" s="6" t="s">
        <v>35</v>
      </c>
      <c r="I128" s="6" t="str">
        <f t="shared" si="10"/>
        <v xml:space="preserve">3.3 </v>
      </c>
      <c r="J128" s="5">
        <v>5</v>
      </c>
      <c r="K128" s="5">
        <f t="shared" ref="K128:K129" si="14">J128*I128</f>
        <v>16.5</v>
      </c>
      <c r="L128" s="12" t="s">
        <v>589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v>0</v>
      </c>
      <c r="AP128" s="46">
        <v>0</v>
      </c>
      <c r="AQ128" s="46">
        <v>0</v>
      </c>
      <c r="AR128" s="46">
        <f t="shared" si="11"/>
        <v>0</v>
      </c>
      <c r="AS128" s="7">
        <f t="shared" si="12"/>
        <v>0</v>
      </c>
    </row>
    <row r="129" spans="1:45" x14ac:dyDescent="0.3">
      <c r="A129" s="5">
        <v>128</v>
      </c>
      <c r="B129" s="6" t="s">
        <v>65</v>
      </c>
      <c r="C129" s="10" t="s">
        <v>681</v>
      </c>
      <c r="D129" s="39" t="s">
        <v>757</v>
      </c>
      <c r="E129" s="6" t="s">
        <v>128</v>
      </c>
      <c r="F129" s="6" t="s">
        <v>12</v>
      </c>
      <c r="G129" s="6" t="s">
        <v>13</v>
      </c>
      <c r="H129" s="6" t="s">
        <v>35</v>
      </c>
      <c r="I129" s="6" t="str">
        <f t="shared" si="10"/>
        <v xml:space="preserve">3.3 </v>
      </c>
      <c r="J129" s="5">
        <v>15</v>
      </c>
      <c r="K129" s="5">
        <f t="shared" si="14"/>
        <v>49.5</v>
      </c>
      <c r="L129" s="94" t="s">
        <v>273</v>
      </c>
      <c r="M129" s="10">
        <v>184.31399999999999</v>
      </c>
      <c r="N129" s="46">
        <v>181.35900000000004</v>
      </c>
      <c r="O129" s="46">
        <v>238.953</v>
      </c>
      <c r="P129" s="46">
        <v>213.29200000000006</v>
      </c>
      <c r="Q129" s="46">
        <v>188.87900000000005</v>
      </c>
      <c r="R129" s="46">
        <v>222.65899999999996</v>
      </c>
      <c r="S129" s="46">
        <v>225.97400000000005</v>
      </c>
      <c r="T129" s="46">
        <v>222.91799999999998</v>
      </c>
      <c r="U129" s="46">
        <v>198.74799999999996</v>
      </c>
      <c r="V129" s="46">
        <v>199.02000000000007</v>
      </c>
      <c r="W129" s="46">
        <v>160.25199999999998</v>
      </c>
      <c r="X129" s="46">
        <v>169.15200000000002</v>
      </c>
      <c r="Y129" s="46">
        <v>212.846</v>
      </c>
      <c r="Z129" s="46">
        <v>148.11699999999996</v>
      </c>
      <c r="AA129" s="46">
        <v>216.25700000000003</v>
      </c>
      <c r="AB129" s="46">
        <v>123.41400000000002</v>
      </c>
      <c r="AC129" s="46">
        <v>154.15800000000002</v>
      </c>
      <c r="AD129" s="46">
        <v>215.88499999999996</v>
      </c>
      <c r="AE129" s="46">
        <v>228.06599999999997</v>
      </c>
      <c r="AF129" s="46">
        <v>188.54999999999998</v>
      </c>
      <c r="AG129" s="46">
        <v>220.01700000000008</v>
      </c>
      <c r="AH129" s="46">
        <v>224.58900000000003</v>
      </c>
      <c r="AI129" s="46">
        <v>194.63800000000001</v>
      </c>
      <c r="AJ129" s="46">
        <v>208.85200000000003</v>
      </c>
      <c r="AK129" s="46">
        <v>196.00600000000003</v>
      </c>
      <c r="AL129" s="46">
        <v>160.303</v>
      </c>
      <c r="AM129" s="46">
        <v>150.47800000000001</v>
      </c>
      <c r="AN129" s="46">
        <v>182.91899999999995</v>
      </c>
      <c r="AO129" s="46">
        <v>222.63499999999999</v>
      </c>
      <c r="AP129" s="46">
        <v>201.51300000000001</v>
      </c>
      <c r="AQ129" s="46">
        <v>226.15699999999998</v>
      </c>
      <c r="AR129" s="46">
        <f t="shared" si="11"/>
        <v>196.15870967741935</v>
      </c>
      <c r="AS129" s="7">
        <f t="shared" si="12"/>
        <v>13.077247311827957</v>
      </c>
    </row>
    <row r="130" spans="1:45" x14ac:dyDescent="0.3">
      <c r="A130" s="5">
        <v>129</v>
      </c>
      <c r="B130" s="6" t="s">
        <v>65</v>
      </c>
      <c r="C130" s="10" t="s">
        <v>681</v>
      </c>
      <c r="D130" s="39" t="s">
        <v>757</v>
      </c>
      <c r="E130" s="6" t="s">
        <v>128</v>
      </c>
      <c r="F130" s="6" t="s">
        <v>12</v>
      </c>
      <c r="G130" s="6" t="s">
        <v>124</v>
      </c>
      <c r="H130" s="6" t="s">
        <v>80</v>
      </c>
      <c r="I130" s="6" t="str">
        <f t="shared" si="10"/>
        <v>12kW</v>
      </c>
      <c r="J130" s="5">
        <v>1</v>
      </c>
      <c r="K130" s="5">
        <f>J130*12</f>
        <v>12</v>
      </c>
      <c r="L130" s="94" t="s">
        <v>273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v>0</v>
      </c>
      <c r="AP130" s="46">
        <v>0</v>
      </c>
      <c r="AQ130" s="46">
        <v>0</v>
      </c>
      <c r="AR130" s="46">
        <f t="shared" ref="AR130:AR160" si="15">AVERAGE(M130:AQ130)</f>
        <v>0</v>
      </c>
      <c r="AS130" s="7">
        <f t="shared" ref="AS130:AS160" si="16">AR130/J130</f>
        <v>0</v>
      </c>
    </row>
    <row r="131" spans="1:45" x14ac:dyDescent="0.3">
      <c r="A131" s="5">
        <v>130</v>
      </c>
      <c r="B131" s="6" t="s">
        <v>65</v>
      </c>
      <c r="C131" s="10" t="s">
        <v>682</v>
      </c>
      <c r="D131" s="39" t="s">
        <v>744</v>
      </c>
      <c r="E131" s="6" t="s">
        <v>128</v>
      </c>
      <c r="F131" s="6" t="s">
        <v>12</v>
      </c>
      <c r="G131" s="6" t="s">
        <v>13</v>
      </c>
      <c r="H131" s="6" t="s">
        <v>35</v>
      </c>
      <c r="I131" s="6" t="str">
        <f t="shared" ref="I131:I159" si="17">LEFT(G131,4)</f>
        <v xml:space="preserve">3.3 </v>
      </c>
      <c r="J131" s="5">
        <v>4</v>
      </c>
      <c r="K131" s="5">
        <f t="shared" ref="K131:K142" si="18">J131*I131</f>
        <v>13.2</v>
      </c>
      <c r="L131" s="12" t="s">
        <v>160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0.8819999999999999</v>
      </c>
      <c r="AC131" s="46">
        <v>0</v>
      </c>
      <c r="AD131" s="46">
        <v>0</v>
      </c>
      <c r="AE131" s="46">
        <v>0</v>
      </c>
      <c r="AF131" s="46">
        <v>0</v>
      </c>
      <c r="AG131" s="46">
        <v>4.8019999999999996</v>
      </c>
      <c r="AH131" s="46">
        <v>5.4820000000000002</v>
      </c>
      <c r="AI131" s="46">
        <v>0</v>
      </c>
      <c r="AJ131" s="46">
        <v>0</v>
      </c>
      <c r="AK131" s="46">
        <v>1E-3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f t="shared" si="15"/>
        <v>0.3602258064516129</v>
      </c>
      <c r="AS131" s="7">
        <f t="shared" si="16"/>
        <v>9.0056451612903224E-2</v>
      </c>
    </row>
    <row r="132" spans="1:45" x14ac:dyDescent="0.3">
      <c r="A132" s="5">
        <v>131</v>
      </c>
      <c r="B132" s="6" t="s">
        <v>65</v>
      </c>
      <c r="C132" s="10" t="s">
        <v>682</v>
      </c>
      <c r="D132" s="39" t="s">
        <v>744</v>
      </c>
      <c r="E132" s="6" t="s">
        <v>128</v>
      </c>
      <c r="F132" s="6" t="s">
        <v>12</v>
      </c>
      <c r="G132" s="6" t="s">
        <v>40</v>
      </c>
      <c r="H132" s="6" t="s">
        <v>35</v>
      </c>
      <c r="I132" s="6" t="str">
        <f t="shared" si="17"/>
        <v xml:space="preserve">7.4 </v>
      </c>
      <c r="J132" s="5">
        <v>2</v>
      </c>
      <c r="K132" s="5">
        <f t="shared" si="18"/>
        <v>14.8</v>
      </c>
      <c r="L132" s="12" t="s">
        <v>160</v>
      </c>
      <c r="M132" s="46">
        <v>0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f t="shared" si="15"/>
        <v>0</v>
      </c>
      <c r="AS132" s="7">
        <f t="shared" si="16"/>
        <v>0</v>
      </c>
    </row>
    <row r="133" spans="1:45" x14ac:dyDescent="0.3">
      <c r="A133" s="5">
        <v>132</v>
      </c>
      <c r="B133" s="6" t="s">
        <v>65</v>
      </c>
      <c r="C133" s="5" t="s">
        <v>702</v>
      </c>
      <c r="D133" s="39" t="s">
        <v>734</v>
      </c>
      <c r="E133" s="6" t="s">
        <v>236</v>
      </c>
      <c r="F133" s="6" t="s">
        <v>12</v>
      </c>
      <c r="G133" s="6" t="s">
        <v>13</v>
      </c>
      <c r="H133" s="6" t="s">
        <v>35</v>
      </c>
      <c r="I133" s="6" t="str">
        <f t="shared" si="17"/>
        <v xml:space="preserve">3.3 </v>
      </c>
      <c r="J133" s="5">
        <v>2</v>
      </c>
      <c r="K133" s="5">
        <f t="shared" si="18"/>
        <v>6.6</v>
      </c>
      <c r="L133" s="67" t="s">
        <v>160</v>
      </c>
      <c r="M133" s="46">
        <v>0</v>
      </c>
      <c r="N133" s="46">
        <v>14.525</v>
      </c>
      <c r="O133" s="46">
        <v>29.549000000000007</v>
      </c>
      <c r="P133" s="46">
        <v>24.570999999999998</v>
      </c>
      <c r="Q133" s="46">
        <v>17.615000000000002</v>
      </c>
      <c r="R133" s="46">
        <v>27.867999999999999</v>
      </c>
      <c r="S133" s="46">
        <v>9.9809999999999999</v>
      </c>
      <c r="T133" s="46">
        <v>32.900999999999996</v>
      </c>
      <c r="U133" s="46">
        <v>22.134999999999998</v>
      </c>
      <c r="V133" s="46">
        <v>21.145</v>
      </c>
      <c r="W133" s="46">
        <v>27.343999999999994</v>
      </c>
      <c r="X133" s="46">
        <v>12.027000000000001</v>
      </c>
      <c r="Y133" s="46">
        <v>25.363</v>
      </c>
      <c r="Z133" s="46">
        <v>18.381999999999998</v>
      </c>
      <c r="AA133" s="46">
        <v>17.123000000000001</v>
      </c>
      <c r="AB133" s="46">
        <v>29.905000000000001</v>
      </c>
      <c r="AC133" s="46">
        <v>38.515999999999998</v>
      </c>
      <c r="AD133" s="46">
        <v>14.127000000000002</v>
      </c>
      <c r="AE133" s="46">
        <v>11.464</v>
      </c>
      <c r="AF133" s="46">
        <v>2.5840000000000001</v>
      </c>
      <c r="AG133" s="46">
        <v>26.701000000000001</v>
      </c>
      <c r="AH133" s="46">
        <v>19.814999999999998</v>
      </c>
      <c r="AI133" s="46">
        <v>24.856000000000002</v>
      </c>
      <c r="AJ133" s="46">
        <v>16.488</v>
      </c>
      <c r="AK133" s="46">
        <v>10.954000000000001</v>
      </c>
      <c r="AL133" s="46">
        <v>10.373999999999999</v>
      </c>
      <c r="AM133" s="46">
        <v>2.7690000000000001</v>
      </c>
      <c r="AN133" s="46">
        <v>0.78200000000000003</v>
      </c>
      <c r="AO133" s="46">
        <v>9.3740000000000006</v>
      </c>
      <c r="AP133" s="46">
        <v>17.815000000000001</v>
      </c>
      <c r="AQ133" s="46">
        <v>0</v>
      </c>
      <c r="AR133" s="46">
        <f t="shared" si="15"/>
        <v>17.324290322580648</v>
      </c>
      <c r="AS133" s="7">
        <f t="shared" si="16"/>
        <v>8.662145161290324</v>
      </c>
    </row>
    <row r="134" spans="1:45" x14ac:dyDescent="0.3">
      <c r="A134" s="5">
        <v>133</v>
      </c>
      <c r="B134" s="6" t="s">
        <v>65</v>
      </c>
      <c r="C134" s="10" t="s">
        <v>683</v>
      </c>
      <c r="D134" s="39" t="s">
        <v>804</v>
      </c>
      <c r="E134" s="6" t="s">
        <v>236</v>
      </c>
      <c r="F134" s="6" t="s">
        <v>12</v>
      </c>
      <c r="G134" s="6" t="s">
        <v>13</v>
      </c>
      <c r="H134" s="6" t="s">
        <v>35</v>
      </c>
      <c r="I134" s="6" t="str">
        <f t="shared" si="17"/>
        <v xml:space="preserve">3.3 </v>
      </c>
      <c r="J134" s="5">
        <v>3</v>
      </c>
      <c r="K134" s="5">
        <f t="shared" si="18"/>
        <v>9.8999999999999986</v>
      </c>
      <c r="L134" s="67" t="s">
        <v>160</v>
      </c>
      <c r="M134" s="46">
        <v>0</v>
      </c>
      <c r="N134" s="46">
        <v>0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0</v>
      </c>
      <c r="AL134" s="46">
        <v>0</v>
      </c>
      <c r="AM134" s="46">
        <v>0</v>
      </c>
      <c r="AN134" s="46">
        <v>0</v>
      </c>
      <c r="AO134" s="46">
        <v>0</v>
      </c>
      <c r="AP134" s="46">
        <v>0</v>
      </c>
      <c r="AQ134" s="46">
        <v>0</v>
      </c>
      <c r="AR134" s="46">
        <f t="shared" si="15"/>
        <v>0</v>
      </c>
      <c r="AS134" s="7">
        <f t="shared" si="16"/>
        <v>0</v>
      </c>
    </row>
    <row r="135" spans="1:45" x14ac:dyDescent="0.3">
      <c r="A135" s="5">
        <v>134</v>
      </c>
      <c r="B135" s="6" t="s">
        <v>65</v>
      </c>
      <c r="C135" s="10" t="s">
        <v>684</v>
      </c>
      <c r="D135" s="39" t="s">
        <v>805</v>
      </c>
      <c r="E135" s="6" t="s">
        <v>236</v>
      </c>
      <c r="F135" s="6" t="s">
        <v>12</v>
      </c>
      <c r="G135" s="6" t="s">
        <v>13</v>
      </c>
      <c r="H135" s="6" t="s">
        <v>35</v>
      </c>
      <c r="I135" s="6" t="str">
        <f t="shared" si="17"/>
        <v xml:space="preserve">3.3 </v>
      </c>
      <c r="J135" s="5">
        <v>3</v>
      </c>
      <c r="K135" s="5">
        <f t="shared" si="18"/>
        <v>9.8999999999999986</v>
      </c>
      <c r="L135" s="67" t="s">
        <v>160</v>
      </c>
      <c r="M135" s="46">
        <v>0</v>
      </c>
      <c r="N135" s="46">
        <v>0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0</v>
      </c>
      <c r="AL135" s="46">
        <v>0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f t="shared" si="15"/>
        <v>0</v>
      </c>
      <c r="AS135" s="7">
        <f t="shared" si="16"/>
        <v>0</v>
      </c>
    </row>
    <row r="136" spans="1:45" x14ac:dyDescent="0.3">
      <c r="A136" s="5">
        <v>135</v>
      </c>
      <c r="B136" s="6" t="s">
        <v>65</v>
      </c>
      <c r="C136" s="10" t="s">
        <v>684</v>
      </c>
      <c r="D136" s="39" t="s">
        <v>805</v>
      </c>
      <c r="E136" s="6" t="s">
        <v>236</v>
      </c>
      <c r="F136" s="6" t="s">
        <v>12</v>
      </c>
      <c r="G136" s="6" t="s">
        <v>95</v>
      </c>
      <c r="H136" s="6" t="s">
        <v>80</v>
      </c>
      <c r="I136" s="6" t="str">
        <f t="shared" si="17"/>
        <v>12 k</v>
      </c>
      <c r="J136" s="5">
        <v>1</v>
      </c>
      <c r="K136" s="5" t="e">
        <f t="shared" si="18"/>
        <v>#VALUE!</v>
      </c>
      <c r="L136" s="67" t="s">
        <v>160</v>
      </c>
      <c r="M136" s="46">
        <v>0</v>
      </c>
      <c r="N136" s="46">
        <v>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0</v>
      </c>
      <c r="AM136" s="46">
        <v>0</v>
      </c>
      <c r="AN136" s="46">
        <v>0</v>
      </c>
      <c r="AO136" s="46">
        <v>0</v>
      </c>
      <c r="AP136" s="46">
        <v>0</v>
      </c>
      <c r="AQ136" s="46">
        <v>0</v>
      </c>
      <c r="AR136" s="46">
        <f t="shared" si="15"/>
        <v>0</v>
      </c>
      <c r="AS136" s="7">
        <f t="shared" si="16"/>
        <v>0</v>
      </c>
    </row>
    <row r="137" spans="1:45" x14ac:dyDescent="0.3">
      <c r="A137" s="5">
        <v>136</v>
      </c>
      <c r="B137" s="6" t="s">
        <v>65</v>
      </c>
      <c r="C137" s="10" t="s">
        <v>685</v>
      </c>
      <c r="D137" s="39" t="s">
        <v>806</v>
      </c>
      <c r="E137" s="6" t="s">
        <v>236</v>
      </c>
      <c r="F137" s="6" t="s">
        <v>12</v>
      </c>
      <c r="G137" s="6" t="s">
        <v>13</v>
      </c>
      <c r="H137" s="6" t="s">
        <v>35</v>
      </c>
      <c r="I137" s="6" t="str">
        <f t="shared" si="17"/>
        <v xml:space="preserve">3.3 </v>
      </c>
      <c r="J137" s="5">
        <v>3</v>
      </c>
      <c r="K137" s="5">
        <f t="shared" si="18"/>
        <v>9.8999999999999986</v>
      </c>
      <c r="L137" s="67" t="s">
        <v>160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1E-3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v>0</v>
      </c>
      <c r="AN137" s="46">
        <v>0</v>
      </c>
      <c r="AO137" s="46">
        <v>0</v>
      </c>
      <c r="AP137" s="46">
        <v>0</v>
      </c>
      <c r="AQ137" s="46">
        <v>0</v>
      </c>
      <c r="AR137" s="46">
        <f t="shared" si="15"/>
        <v>3.2258064516129034E-5</v>
      </c>
      <c r="AS137" s="7">
        <f t="shared" si="16"/>
        <v>1.0752688172043012E-5</v>
      </c>
    </row>
    <row r="138" spans="1:45" x14ac:dyDescent="0.3">
      <c r="A138" s="5">
        <v>137</v>
      </c>
      <c r="B138" s="6" t="s">
        <v>65</v>
      </c>
      <c r="C138" s="10" t="s">
        <v>686</v>
      </c>
      <c r="D138" s="39" t="s">
        <v>738</v>
      </c>
      <c r="E138" s="6" t="s">
        <v>236</v>
      </c>
      <c r="F138" s="6" t="s">
        <v>12</v>
      </c>
      <c r="G138" s="6" t="s">
        <v>13</v>
      </c>
      <c r="H138" s="6" t="s">
        <v>35</v>
      </c>
      <c r="I138" s="6" t="str">
        <f t="shared" si="17"/>
        <v xml:space="preserve">3.3 </v>
      </c>
      <c r="J138" s="5">
        <v>3</v>
      </c>
      <c r="K138" s="5">
        <f t="shared" si="18"/>
        <v>9.8999999999999986</v>
      </c>
      <c r="L138" s="67" t="s">
        <v>160</v>
      </c>
      <c r="M138" s="10">
        <v>13.306999999999999</v>
      </c>
      <c r="N138" s="46">
        <v>1.4330000000000001</v>
      </c>
      <c r="O138" s="46">
        <v>1.651</v>
      </c>
      <c r="P138" s="46">
        <v>9.3670000000000009</v>
      </c>
      <c r="Q138" s="46">
        <v>18.067</v>
      </c>
      <c r="R138" s="46">
        <v>6.9759999999999991</v>
      </c>
      <c r="S138" s="46">
        <v>16.132999999999999</v>
      </c>
      <c r="T138" s="46">
        <v>6.9920000000000009</v>
      </c>
      <c r="U138" s="46">
        <v>24.218999999999998</v>
      </c>
      <c r="V138" s="46">
        <v>17.832999999999998</v>
      </c>
      <c r="W138" s="46">
        <v>16.370999999999999</v>
      </c>
      <c r="X138" s="46">
        <v>20.615000000000002</v>
      </c>
      <c r="Y138" s="46">
        <v>3.2989999999999999</v>
      </c>
      <c r="Z138" s="46">
        <v>15.834</v>
      </c>
      <c r="AA138" s="46">
        <v>19.115000000000002</v>
      </c>
      <c r="AB138" s="46">
        <v>6.194</v>
      </c>
      <c r="AC138" s="46">
        <v>14.933</v>
      </c>
      <c r="AD138" s="46">
        <v>21.3</v>
      </c>
      <c r="AE138" s="46">
        <v>13.255000000000001</v>
      </c>
      <c r="AF138" s="46">
        <v>5.9470000000000001</v>
      </c>
      <c r="AG138" s="46">
        <v>19.709</v>
      </c>
      <c r="AH138" s="46">
        <v>18.875</v>
      </c>
      <c r="AI138" s="46">
        <v>17.73</v>
      </c>
      <c r="AJ138" s="46">
        <v>17.335999999999999</v>
      </c>
      <c r="AK138" s="46">
        <v>8.0389999999999997</v>
      </c>
      <c r="AL138" s="46">
        <v>6.3650000000000002</v>
      </c>
      <c r="AM138" s="46">
        <v>0.95199999999999996</v>
      </c>
      <c r="AN138" s="46">
        <v>9.7279999999999998</v>
      </c>
      <c r="AO138" s="46">
        <v>16.270000000000003</v>
      </c>
      <c r="AP138" s="46">
        <v>22.533000000000001</v>
      </c>
      <c r="AQ138" s="46">
        <v>6.4180000000000001</v>
      </c>
      <c r="AR138" s="46">
        <f t="shared" si="15"/>
        <v>12.799870967741937</v>
      </c>
      <c r="AS138" s="7">
        <f t="shared" si="16"/>
        <v>4.2666236559139792</v>
      </c>
    </row>
    <row r="139" spans="1:45" x14ac:dyDescent="0.3">
      <c r="A139" s="5">
        <v>138</v>
      </c>
      <c r="B139" s="6" t="s">
        <v>65</v>
      </c>
      <c r="C139" s="10" t="s">
        <v>687</v>
      </c>
      <c r="D139" s="39" t="s">
        <v>807</v>
      </c>
      <c r="E139" s="6" t="s">
        <v>236</v>
      </c>
      <c r="F139" s="6" t="s">
        <v>12</v>
      </c>
      <c r="G139" s="6" t="s">
        <v>13</v>
      </c>
      <c r="H139" s="6" t="s">
        <v>35</v>
      </c>
      <c r="I139" s="6" t="str">
        <f t="shared" si="17"/>
        <v xml:space="preserve">3.3 </v>
      </c>
      <c r="J139" s="5">
        <v>3</v>
      </c>
      <c r="K139" s="5">
        <f t="shared" si="18"/>
        <v>9.8999999999999986</v>
      </c>
      <c r="L139" s="67" t="s">
        <v>160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>
        <v>0</v>
      </c>
      <c r="AO139" s="46">
        <v>0</v>
      </c>
      <c r="AP139" s="46">
        <v>0</v>
      </c>
      <c r="AQ139" s="46">
        <v>0</v>
      </c>
      <c r="AR139" s="46">
        <f t="shared" si="15"/>
        <v>0</v>
      </c>
      <c r="AS139" s="7">
        <f t="shared" si="16"/>
        <v>0</v>
      </c>
    </row>
    <row r="140" spans="1:45" x14ac:dyDescent="0.3">
      <c r="A140" s="5">
        <v>139</v>
      </c>
      <c r="B140" s="6" t="s">
        <v>65</v>
      </c>
      <c r="C140" s="10" t="s">
        <v>688</v>
      </c>
      <c r="D140" s="39" t="s">
        <v>808</v>
      </c>
      <c r="E140" s="6" t="s">
        <v>236</v>
      </c>
      <c r="F140" s="6" t="s">
        <v>12</v>
      </c>
      <c r="G140" s="6" t="s">
        <v>13</v>
      </c>
      <c r="H140" s="6" t="s">
        <v>35</v>
      </c>
      <c r="I140" s="6" t="str">
        <f t="shared" si="17"/>
        <v xml:space="preserve">3.3 </v>
      </c>
      <c r="J140" s="5">
        <v>3</v>
      </c>
      <c r="K140" s="5">
        <f t="shared" si="18"/>
        <v>9.8999999999999986</v>
      </c>
      <c r="L140" s="67" t="s">
        <v>160</v>
      </c>
      <c r="M140" s="46">
        <v>0</v>
      </c>
      <c r="N140" s="46">
        <v>0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0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0</v>
      </c>
      <c r="AL140" s="46">
        <v>0</v>
      </c>
      <c r="AM140" s="46">
        <v>0</v>
      </c>
      <c r="AN140" s="46">
        <v>0</v>
      </c>
      <c r="AO140" s="46">
        <v>0</v>
      </c>
      <c r="AP140" s="46">
        <v>0</v>
      </c>
      <c r="AQ140" s="46">
        <v>0</v>
      </c>
      <c r="AR140" s="46">
        <f t="shared" si="15"/>
        <v>0</v>
      </c>
      <c r="AS140" s="7">
        <f t="shared" si="16"/>
        <v>0</v>
      </c>
    </row>
    <row r="141" spans="1:45" x14ac:dyDescent="0.3">
      <c r="A141" s="5">
        <v>140</v>
      </c>
      <c r="B141" s="6" t="s">
        <v>65</v>
      </c>
      <c r="C141" s="10" t="s">
        <v>689</v>
      </c>
      <c r="D141" s="39" t="s">
        <v>811</v>
      </c>
      <c r="E141" s="6" t="s">
        <v>30</v>
      </c>
      <c r="F141" s="6" t="s">
        <v>12</v>
      </c>
      <c r="G141" s="6" t="s">
        <v>13</v>
      </c>
      <c r="H141" s="6" t="s">
        <v>35</v>
      </c>
      <c r="I141" s="6" t="str">
        <f t="shared" si="17"/>
        <v xml:space="preserve">3.3 </v>
      </c>
      <c r="J141" s="5">
        <v>4</v>
      </c>
      <c r="K141" s="5">
        <f t="shared" si="18"/>
        <v>13.2</v>
      </c>
      <c r="L141" s="12" t="s">
        <v>590</v>
      </c>
      <c r="M141" s="46">
        <v>0</v>
      </c>
      <c r="N141" s="46">
        <v>0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9.0570000000000004</v>
      </c>
      <c r="Y141" s="46">
        <v>0</v>
      </c>
      <c r="Z141" s="46">
        <v>0</v>
      </c>
      <c r="AA141" s="46">
        <v>0</v>
      </c>
      <c r="AB141" s="46">
        <v>0</v>
      </c>
      <c r="AC141" s="46">
        <v>0</v>
      </c>
      <c r="AD141" s="46">
        <v>0</v>
      </c>
      <c r="AE141" s="46">
        <v>0</v>
      </c>
      <c r="AF141" s="46">
        <v>0</v>
      </c>
      <c r="AG141" s="46">
        <v>0</v>
      </c>
      <c r="AH141" s="46">
        <v>0</v>
      </c>
      <c r="AI141" s="46">
        <v>12.054</v>
      </c>
      <c r="AJ141" s="46">
        <v>0</v>
      </c>
      <c r="AK141" s="46">
        <v>0</v>
      </c>
      <c r="AL141" s="46">
        <v>0</v>
      </c>
      <c r="AM141" s="46">
        <v>0</v>
      </c>
      <c r="AN141" s="46">
        <v>0</v>
      </c>
      <c r="AO141" s="46">
        <v>0</v>
      </c>
      <c r="AP141" s="46">
        <v>0</v>
      </c>
      <c r="AQ141" s="46">
        <v>0</v>
      </c>
      <c r="AR141" s="46">
        <f t="shared" si="15"/>
        <v>0.68100000000000005</v>
      </c>
      <c r="AS141" s="7">
        <f t="shared" si="16"/>
        <v>0.17025000000000001</v>
      </c>
    </row>
    <row r="142" spans="1:45" ht="15.75" customHeight="1" x14ac:dyDescent="0.3">
      <c r="A142" s="5">
        <v>141</v>
      </c>
      <c r="B142" s="6" t="s">
        <v>65</v>
      </c>
      <c r="C142" s="10" t="s">
        <v>690</v>
      </c>
      <c r="D142" s="103" t="s">
        <v>769</v>
      </c>
      <c r="E142" s="6" t="s">
        <v>128</v>
      </c>
      <c r="F142" s="6" t="s">
        <v>12</v>
      </c>
      <c r="G142" s="6" t="s">
        <v>13</v>
      </c>
      <c r="H142" s="6" t="s">
        <v>35</v>
      </c>
      <c r="I142" s="6" t="str">
        <f t="shared" si="17"/>
        <v xml:space="preserve">3.3 </v>
      </c>
      <c r="J142" s="5">
        <v>15</v>
      </c>
      <c r="K142" s="5">
        <f t="shared" si="18"/>
        <v>49.5</v>
      </c>
      <c r="L142" s="94" t="s">
        <v>273</v>
      </c>
      <c r="M142" s="10">
        <v>103.73500000000001</v>
      </c>
      <c r="N142" s="46">
        <v>104.395</v>
      </c>
      <c r="O142" s="46">
        <v>84.684999999999988</v>
      </c>
      <c r="P142" s="46">
        <v>92.733000000000004</v>
      </c>
      <c r="Q142" s="46">
        <v>97.363</v>
      </c>
      <c r="R142" s="46">
        <v>86.989000000000004</v>
      </c>
      <c r="S142" s="46">
        <v>78.730999999999995</v>
      </c>
      <c r="T142" s="46">
        <v>89.813999999999993</v>
      </c>
      <c r="U142" s="46">
        <v>90.649000000000015</v>
      </c>
      <c r="V142" s="46">
        <v>61.768999999999998</v>
      </c>
      <c r="W142" s="46">
        <v>44.144999999999996</v>
      </c>
      <c r="X142" s="46">
        <v>86.967999999999989</v>
      </c>
      <c r="Y142" s="46">
        <v>51.425000000000004</v>
      </c>
      <c r="Z142" s="46">
        <v>70.344000000000008</v>
      </c>
      <c r="AA142" s="46">
        <v>41.698</v>
      </c>
      <c r="AB142" s="46">
        <v>64.837000000000003</v>
      </c>
      <c r="AC142" s="46">
        <v>58.64800000000001</v>
      </c>
      <c r="AD142" s="46">
        <v>57.259999999999991</v>
      </c>
      <c r="AE142" s="46">
        <v>67.361000000000004</v>
      </c>
      <c r="AF142" s="46">
        <v>46.105000000000004</v>
      </c>
      <c r="AG142" s="46">
        <v>43.597000000000001</v>
      </c>
      <c r="AH142" s="46">
        <v>67.029999999999987</v>
      </c>
      <c r="AI142" s="46">
        <v>50.672999999999995</v>
      </c>
      <c r="AJ142" s="46">
        <v>68.358999999999995</v>
      </c>
      <c r="AK142" s="46">
        <v>85.242999999999995</v>
      </c>
      <c r="AL142" s="46">
        <v>65.42</v>
      </c>
      <c r="AM142" s="46">
        <v>59.338999999999992</v>
      </c>
      <c r="AN142" s="46">
        <v>44.858999999999995</v>
      </c>
      <c r="AO142" s="46">
        <v>66.435000000000002</v>
      </c>
      <c r="AP142" s="46">
        <v>84.719000000000008</v>
      </c>
      <c r="AQ142" s="46">
        <v>39.844000000000001</v>
      </c>
      <c r="AR142" s="46">
        <f t="shared" si="15"/>
        <v>69.52167741935483</v>
      </c>
      <c r="AS142" s="7">
        <f t="shared" si="16"/>
        <v>4.6347784946236557</v>
      </c>
    </row>
    <row r="143" spans="1:45" ht="15.75" customHeight="1" x14ac:dyDescent="0.3">
      <c r="A143" s="5">
        <v>142</v>
      </c>
      <c r="B143" s="6" t="s">
        <v>65</v>
      </c>
      <c r="C143" s="10" t="s">
        <v>690</v>
      </c>
      <c r="D143" s="103" t="s">
        <v>769</v>
      </c>
      <c r="E143" s="6" t="s">
        <v>128</v>
      </c>
      <c r="F143" s="6" t="s">
        <v>12</v>
      </c>
      <c r="G143" s="6" t="s">
        <v>95</v>
      </c>
      <c r="H143" s="6" t="s">
        <v>80</v>
      </c>
      <c r="I143" s="6" t="str">
        <f t="shared" si="17"/>
        <v>12 k</v>
      </c>
      <c r="J143" s="5">
        <v>1</v>
      </c>
      <c r="K143" s="5">
        <f>J143*12</f>
        <v>12</v>
      </c>
      <c r="L143" s="67" t="s">
        <v>160</v>
      </c>
      <c r="M143" s="46">
        <v>0</v>
      </c>
      <c r="N143" s="46">
        <v>0</v>
      </c>
      <c r="O143" s="46">
        <v>0</v>
      </c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0</v>
      </c>
      <c r="AM143" s="46">
        <v>0</v>
      </c>
      <c r="AN143" s="46">
        <v>0</v>
      </c>
      <c r="AO143" s="46">
        <v>0</v>
      </c>
      <c r="AP143" s="46">
        <v>0</v>
      </c>
      <c r="AQ143" s="46">
        <v>0</v>
      </c>
      <c r="AR143" s="46">
        <f t="shared" si="15"/>
        <v>0</v>
      </c>
      <c r="AS143" s="7">
        <f t="shared" si="16"/>
        <v>0</v>
      </c>
    </row>
    <row r="144" spans="1:45" x14ac:dyDescent="0.3">
      <c r="A144" s="5">
        <v>143</v>
      </c>
      <c r="B144" s="6" t="s">
        <v>65</v>
      </c>
      <c r="C144" s="10" t="s">
        <v>691</v>
      </c>
      <c r="D144" s="39" t="s">
        <v>733</v>
      </c>
      <c r="E144" s="6" t="s">
        <v>407</v>
      </c>
      <c r="F144" s="6" t="s">
        <v>19</v>
      </c>
      <c r="G144" s="6" t="s">
        <v>13</v>
      </c>
      <c r="H144" s="6" t="s">
        <v>35</v>
      </c>
      <c r="I144" s="6" t="str">
        <f t="shared" si="17"/>
        <v xml:space="preserve">3.3 </v>
      </c>
      <c r="J144" s="5">
        <v>2</v>
      </c>
      <c r="K144" s="5">
        <f t="shared" ref="K144:K150" si="19">J144*I144</f>
        <v>6.6</v>
      </c>
      <c r="L144" s="12" t="s">
        <v>590</v>
      </c>
      <c r="M144" s="10">
        <v>10.186999999999999</v>
      </c>
      <c r="N144" s="46">
        <v>0</v>
      </c>
      <c r="O144" s="46">
        <v>0</v>
      </c>
      <c r="P144" s="46">
        <v>0</v>
      </c>
      <c r="Q144" s="46">
        <v>0</v>
      </c>
      <c r="R144" s="46">
        <v>10.132999999999999</v>
      </c>
      <c r="S144" s="46">
        <v>0</v>
      </c>
      <c r="T144" s="46">
        <v>12.564</v>
      </c>
      <c r="U144" s="46">
        <v>0</v>
      </c>
      <c r="V144" s="46">
        <v>16.279999999999998</v>
      </c>
      <c r="W144" s="46">
        <v>0</v>
      </c>
      <c r="X144" s="46">
        <v>0</v>
      </c>
      <c r="Y144" s="46">
        <v>0</v>
      </c>
      <c r="Z144" s="46">
        <v>8.4219999999999988</v>
      </c>
      <c r="AA144" s="46">
        <v>0</v>
      </c>
      <c r="AB144" s="46">
        <v>0</v>
      </c>
      <c r="AC144" s="46">
        <v>4.4020000000000001</v>
      </c>
      <c r="AD144" s="46">
        <v>0</v>
      </c>
      <c r="AE144" s="46">
        <v>0</v>
      </c>
      <c r="AF144" s="46">
        <v>12.515000000000001</v>
      </c>
      <c r="AG144" s="46">
        <v>5.4189999999999996</v>
      </c>
      <c r="AH144" s="46">
        <v>5.0549999999999997</v>
      </c>
      <c r="AI144" s="46">
        <v>8.8000000000000007</v>
      </c>
      <c r="AJ144" s="46">
        <v>0</v>
      </c>
      <c r="AK144" s="46">
        <v>0</v>
      </c>
      <c r="AL144" s="46">
        <v>0</v>
      </c>
      <c r="AM144" s="46">
        <v>10.535</v>
      </c>
      <c r="AN144" s="46">
        <v>1.0940000000000001</v>
      </c>
      <c r="AO144" s="46">
        <v>14.441000000000001</v>
      </c>
      <c r="AP144" s="46">
        <v>5.12</v>
      </c>
      <c r="AQ144" s="46">
        <v>10.256</v>
      </c>
      <c r="AR144" s="46">
        <f t="shared" si="15"/>
        <v>4.3620322580645166</v>
      </c>
      <c r="AS144" s="7">
        <f t="shared" si="16"/>
        <v>2.1810161290322583</v>
      </c>
    </row>
    <row r="145" spans="1:45" x14ac:dyDescent="0.3">
      <c r="A145" s="5">
        <v>144</v>
      </c>
      <c r="B145" s="6" t="s">
        <v>65</v>
      </c>
      <c r="C145" s="10" t="s">
        <v>692</v>
      </c>
      <c r="D145" s="39" t="s">
        <v>812</v>
      </c>
      <c r="E145" s="6" t="s">
        <v>432</v>
      </c>
      <c r="F145" s="6" t="s">
        <v>19</v>
      </c>
      <c r="G145" s="6" t="s">
        <v>13</v>
      </c>
      <c r="H145" s="6" t="s">
        <v>35</v>
      </c>
      <c r="I145" s="6" t="str">
        <f t="shared" si="17"/>
        <v xml:space="preserve">3.3 </v>
      </c>
      <c r="J145" s="5">
        <v>2</v>
      </c>
      <c r="K145" s="5">
        <f t="shared" si="19"/>
        <v>6.6</v>
      </c>
      <c r="L145" s="12" t="s">
        <v>590</v>
      </c>
      <c r="M145" s="10">
        <v>7.827</v>
      </c>
      <c r="N145" s="46">
        <v>0</v>
      </c>
      <c r="O145" s="46">
        <v>17.121000000000002</v>
      </c>
      <c r="P145" s="46">
        <v>0</v>
      </c>
      <c r="Q145" s="46">
        <v>0</v>
      </c>
      <c r="R145" s="46">
        <v>0</v>
      </c>
      <c r="S145" s="46">
        <v>22.082999999999998</v>
      </c>
      <c r="T145" s="46">
        <v>8.5839999999999996</v>
      </c>
      <c r="U145" s="46">
        <v>0</v>
      </c>
      <c r="V145" s="46">
        <v>14.792</v>
      </c>
      <c r="W145" s="46">
        <v>0</v>
      </c>
      <c r="X145" s="46">
        <v>0</v>
      </c>
      <c r="Y145" s="46">
        <v>16.486999999999998</v>
      </c>
      <c r="Z145" s="46">
        <v>0</v>
      </c>
      <c r="AA145" s="46">
        <v>0</v>
      </c>
      <c r="AB145" s="46">
        <v>24.341999999999999</v>
      </c>
      <c r="AC145" s="46">
        <v>8.0649999999999995</v>
      </c>
      <c r="AD145" s="46">
        <v>0</v>
      </c>
      <c r="AE145" s="46">
        <v>0</v>
      </c>
      <c r="AF145" s="46">
        <v>3.29</v>
      </c>
      <c r="AG145" s="46">
        <v>7.952</v>
      </c>
      <c r="AH145" s="46">
        <v>5.9580000000000002</v>
      </c>
      <c r="AI145" s="46">
        <v>8.8699999999999992</v>
      </c>
      <c r="AJ145" s="46">
        <v>7.5540000000000003</v>
      </c>
      <c r="AK145" s="46">
        <v>0</v>
      </c>
      <c r="AL145" s="46">
        <v>0</v>
      </c>
      <c r="AM145" s="46">
        <v>0</v>
      </c>
      <c r="AN145" s="46">
        <v>0</v>
      </c>
      <c r="AO145" s="46">
        <v>0</v>
      </c>
      <c r="AP145" s="46">
        <v>0</v>
      </c>
      <c r="AQ145" s="46">
        <v>9.4960000000000004</v>
      </c>
      <c r="AR145" s="46">
        <f t="shared" si="15"/>
        <v>5.2393870967741938</v>
      </c>
      <c r="AS145" s="7">
        <f t="shared" si="16"/>
        <v>2.6196935483870969</v>
      </c>
    </row>
    <row r="146" spans="1:45" x14ac:dyDescent="0.3">
      <c r="A146" s="5">
        <v>145</v>
      </c>
      <c r="B146" s="6" t="s">
        <v>65</v>
      </c>
      <c r="C146" s="10" t="s">
        <v>693</v>
      </c>
      <c r="D146" s="39" t="s">
        <v>820</v>
      </c>
      <c r="E146" s="6" t="s">
        <v>407</v>
      </c>
      <c r="F146" s="6" t="s">
        <v>19</v>
      </c>
      <c r="G146" s="6" t="s">
        <v>13</v>
      </c>
      <c r="H146" s="6" t="s">
        <v>35</v>
      </c>
      <c r="I146" s="6" t="str">
        <f t="shared" si="17"/>
        <v xml:space="preserve">3.3 </v>
      </c>
      <c r="J146" s="5">
        <v>1</v>
      </c>
      <c r="K146" s="5">
        <f t="shared" si="19"/>
        <v>3.3</v>
      </c>
      <c r="L146" s="12" t="s">
        <v>590</v>
      </c>
      <c r="M146" s="46">
        <v>0</v>
      </c>
      <c r="N146" s="46">
        <v>0</v>
      </c>
      <c r="O146" s="46">
        <v>0</v>
      </c>
      <c r="P146" s="46">
        <v>0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1E-3</v>
      </c>
      <c r="X146" s="46">
        <v>0</v>
      </c>
      <c r="Y146" s="46">
        <v>0</v>
      </c>
      <c r="Z146" s="46">
        <v>0</v>
      </c>
      <c r="AA146" s="46">
        <v>0</v>
      </c>
      <c r="AB146" s="46">
        <v>0</v>
      </c>
      <c r="AC146" s="46">
        <v>0</v>
      </c>
      <c r="AD146" s="46">
        <v>0</v>
      </c>
      <c r="AE146" s="46">
        <v>0</v>
      </c>
      <c r="AF146" s="46">
        <v>0</v>
      </c>
      <c r="AG146" s="46">
        <v>0</v>
      </c>
      <c r="AH146" s="46">
        <v>0</v>
      </c>
      <c r="AI146" s="46">
        <v>0</v>
      </c>
      <c r="AJ146" s="46">
        <v>0</v>
      </c>
      <c r="AK146" s="46">
        <v>1E-3</v>
      </c>
      <c r="AL146" s="46">
        <v>0</v>
      </c>
      <c r="AM146" s="46">
        <v>0</v>
      </c>
      <c r="AN146" s="46">
        <v>0</v>
      </c>
      <c r="AO146" s="46">
        <v>0</v>
      </c>
      <c r="AP146" s="46">
        <v>0</v>
      </c>
      <c r="AQ146" s="46">
        <v>0</v>
      </c>
      <c r="AR146" s="46">
        <f t="shared" si="15"/>
        <v>6.4516129032258067E-5</v>
      </c>
      <c r="AS146" s="7">
        <f t="shared" si="16"/>
        <v>6.4516129032258067E-5</v>
      </c>
    </row>
    <row r="147" spans="1:45" x14ac:dyDescent="0.3">
      <c r="A147" s="5">
        <v>146</v>
      </c>
      <c r="B147" s="6" t="s">
        <v>65</v>
      </c>
      <c r="C147" s="10" t="s">
        <v>694</v>
      </c>
      <c r="D147" s="39" t="s">
        <v>458</v>
      </c>
      <c r="E147" s="6" t="s">
        <v>432</v>
      </c>
      <c r="F147" s="6" t="s">
        <v>19</v>
      </c>
      <c r="G147" s="6" t="s">
        <v>13</v>
      </c>
      <c r="H147" s="6" t="s">
        <v>35</v>
      </c>
      <c r="I147" s="6" t="str">
        <f t="shared" si="17"/>
        <v xml:space="preserve">3.3 </v>
      </c>
      <c r="J147" s="5">
        <v>2</v>
      </c>
      <c r="K147" s="5">
        <f t="shared" si="19"/>
        <v>6.6</v>
      </c>
      <c r="L147" s="12" t="s">
        <v>590</v>
      </c>
      <c r="M147" s="46">
        <v>0</v>
      </c>
      <c r="N147" s="46">
        <v>0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5.8140000000000001</v>
      </c>
      <c r="Z147" s="46">
        <v>2.8559999999999999</v>
      </c>
      <c r="AA147" s="46">
        <v>0</v>
      </c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0</v>
      </c>
      <c r="AI147" s="46">
        <v>0</v>
      </c>
      <c r="AJ147" s="46">
        <v>0.26800000000000002</v>
      </c>
      <c r="AK147" s="46">
        <v>0</v>
      </c>
      <c r="AL147" s="46">
        <v>0</v>
      </c>
      <c r="AM147" s="46">
        <v>0</v>
      </c>
      <c r="AN147" s="46">
        <v>0</v>
      </c>
      <c r="AO147" s="46">
        <v>0</v>
      </c>
      <c r="AP147" s="46">
        <v>0</v>
      </c>
      <c r="AQ147" s="46">
        <v>0</v>
      </c>
      <c r="AR147" s="46">
        <f t="shared" si="15"/>
        <v>0.28832258064516131</v>
      </c>
      <c r="AS147" s="7">
        <f t="shared" si="16"/>
        <v>0.14416129032258065</v>
      </c>
    </row>
    <row r="148" spans="1:45" x14ac:dyDescent="0.3">
      <c r="A148" s="5">
        <v>147</v>
      </c>
      <c r="B148" s="6" t="s">
        <v>65</v>
      </c>
      <c r="C148" s="10" t="s">
        <v>695</v>
      </c>
      <c r="D148" s="39" t="s">
        <v>520</v>
      </c>
      <c r="E148" s="6" t="s">
        <v>521</v>
      </c>
      <c r="F148" s="6" t="s">
        <v>19</v>
      </c>
      <c r="G148" s="6" t="s">
        <v>13</v>
      </c>
      <c r="H148" s="6" t="s">
        <v>35</v>
      </c>
      <c r="I148" s="6" t="str">
        <f t="shared" si="17"/>
        <v xml:space="preserve">3.3 </v>
      </c>
      <c r="J148" s="5">
        <v>1</v>
      </c>
      <c r="K148" s="5">
        <f t="shared" si="19"/>
        <v>3.3</v>
      </c>
      <c r="L148" s="12" t="s">
        <v>590</v>
      </c>
      <c r="M148" s="46">
        <v>0</v>
      </c>
      <c r="N148" s="46">
        <v>0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0</v>
      </c>
      <c r="Z148" s="46">
        <v>0</v>
      </c>
      <c r="AA148" s="46">
        <v>0</v>
      </c>
      <c r="AB148" s="46">
        <v>0</v>
      </c>
      <c r="AC148" s="46">
        <v>0</v>
      </c>
      <c r="AD148" s="46">
        <v>0</v>
      </c>
      <c r="AE148" s="46">
        <v>0</v>
      </c>
      <c r="AF148" s="46">
        <v>0</v>
      </c>
      <c r="AG148" s="46">
        <v>0</v>
      </c>
      <c r="AH148" s="46">
        <v>0</v>
      </c>
      <c r="AI148" s="46">
        <v>0</v>
      </c>
      <c r="AJ148" s="46">
        <v>0</v>
      </c>
      <c r="AK148" s="46">
        <v>0</v>
      </c>
      <c r="AL148" s="46">
        <v>0</v>
      </c>
      <c r="AM148" s="46">
        <v>0</v>
      </c>
      <c r="AN148" s="46">
        <v>0</v>
      </c>
      <c r="AO148" s="46">
        <v>0</v>
      </c>
      <c r="AP148" s="46">
        <v>0</v>
      </c>
      <c r="AQ148" s="46">
        <v>0</v>
      </c>
      <c r="AR148" s="46">
        <f t="shared" si="15"/>
        <v>0</v>
      </c>
      <c r="AS148" s="7">
        <f t="shared" si="16"/>
        <v>0</v>
      </c>
    </row>
    <row r="149" spans="1:45" x14ac:dyDescent="0.3">
      <c r="A149" s="5">
        <v>148</v>
      </c>
      <c r="B149" s="6" t="s">
        <v>65</v>
      </c>
      <c r="C149" s="10" t="s">
        <v>846</v>
      </c>
      <c r="D149" s="39" t="s">
        <v>841</v>
      </c>
      <c r="E149" s="6" t="s">
        <v>521</v>
      </c>
      <c r="F149" s="6" t="s">
        <v>19</v>
      </c>
      <c r="G149" s="6" t="s">
        <v>13</v>
      </c>
      <c r="H149" s="6" t="s">
        <v>35</v>
      </c>
      <c r="I149" s="6" t="str">
        <f t="shared" si="17"/>
        <v xml:space="preserve">3.3 </v>
      </c>
      <c r="J149" s="5">
        <v>2</v>
      </c>
      <c r="K149" s="5">
        <f t="shared" si="19"/>
        <v>6.6</v>
      </c>
      <c r="L149" s="12" t="s">
        <v>590</v>
      </c>
      <c r="M149" s="10">
        <v>6.73</v>
      </c>
      <c r="N149" s="46">
        <v>4.4089999999999998</v>
      </c>
      <c r="O149" s="46">
        <v>0</v>
      </c>
      <c r="P149" s="46">
        <v>0</v>
      </c>
      <c r="Q149" s="46">
        <v>0</v>
      </c>
      <c r="R149" s="46">
        <v>1E-3</v>
      </c>
      <c r="S149" s="46">
        <v>5.641</v>
      </c>
      <c r="T149" s="46">
        <v>0</v>
      </c>
      <c r="U149" s="46">
        <v>6.0869999999999997</v>
      </c>
      <c r="V149" s="46">
        <v>6.4660000000000002</v>
      </c>
      <c r="W149" s="46">
        <v>0</v>
      </c>
      <c r="X149" s="46">
        <v>0</v>
      </c>
      <c r="Y149" s="46">
        <v>7.3659999999999997</v>
      </c>
      <c r="Z149" s="46">
        <v>0</v>
      </c>
      <c r="AA149" s="46">
        <v>4.351</v>
      </c>
      <c r="AB149" s="46">
        <v>4.9669999999999996</v>
      </c>
      <c r="AC149" s="46">
        <v>5.8490000000000002</v>
      </c>
      <c r="AD149" s="46">
        <v>0</v>
      </c>
      <c r="AE149" s="46">
        <v>0</v>
      </c>
      <c r="AF149" s="46">
        <v>9.1610000000000014</v>
      </c>
      <c r="AG149" s="46">
        <v>0</v>
      </c>
      <c r="AH149" s="46">
        <v>12.442</v>
      </c>
      <c r="AI149" s="46">
        <v>4.984</v>
      </c>
      <c r="AJ149" s="46">
        <v>7.56</v>
      </c>
      <c r="AK149" s="46">
        <v>0</v>
      </c>
      <c r="AL149" s="46">
        <v>0</v>
      </c>
      <c r="AM149" s="46">
        <v>10.984999999999999</v>
      </c>
      <c r="AN149" s="46">
        <v>0</v>
      </c>
      <c r="AO149" s="46">
        <v>0</v>
      </c>
      <c r="AP149" s="46">
        <v>9.3460000000000001</v>
      </c>
      <c r="AQ149" s="46">
        <v>0</v>
      </c>
      <c r="AR149" s="46">
        <f t="shared" si="15"/>
        <v>3.4304838709677421</v>
      </c>
      <c r="AS149" s="7">
        <f t="shared" si="16"/>
        <v>1.715241935483871</v>
      </c>
    </row>
    <row r="150" spans="1:45" x14ac:dyDescent="0.3">
      <c r="A150" s="5">
        <v>149</v>
      </c>
      <c r="B150" s="6" t="s">
        <v>65</v>
      </c>
      <c r="C150" s="10" t="s">
        <v>696</v>
      </c>
      <c r="D150" s="39" t="s">
        <v>813</v>
      </c>
      <c r="E150" s="6" t="s">
        <v>128</v>
      </c>
      <c r="F150" s="6" t="s">
        <v>12</v>
      </c>
      <c r="G150" s="6" t="s">
        <v>13</v>
      </c>
      <c r="H150" s="6" t="s">
        <v>35</v>
      </c>
      <c r="I150" s="6" t="str">
        <f t="shared" si="17"/>
        <v xml:space="preserve">3.3 </v>
      </c>
      <c r="J150" s="5">
        <v>15</v>
      </c>
      <c r="K150" s="5">
        <f t="shared" si="19"/>
        <v>49.5</v>
      </c>
      <c r="L150" s="94" t="s">
        <v>273</v>
      </c>
      <c r="M150" s="10">
        <v>33.341999999999999</v>
      </c>
      <c r="N150" s="46">
        <v>53.248999999999995</v>
      </c>
      <c r="O150" s="46">
        <v>46.501000000000005</v>
      </c>
      <c r="P150" s="46">
        <v>32.741999999999997</v>
      </c>
      <c r="Q150" s="46">
        <v>44.446000000000005</v>
      </c>
      <c r="R150" s="46">
        <v>40.311</v>
      </c>
      <c r="S150" s="46">
        <v>29.601000000000006</v>
      </c>
      <c r="T150" s="46">
        <v>42.527999999999999</v>
      </c>
      <c r="U150" s="46">
        <v>54.753999999999998</v>
      </c>
      <c r="V150" s="46">
        <v>46.674000000000007</v>
      </c>
      <c r="W150" s="46">
        <v>24.323</v>
      </c>
      <c r="X150" s="46">
        <v>24.145</v>
      </c>
      <c r="Y150" s="46">
        <v>38.575000000000003</v>
      </c>
      <c r="Z150" s="46">
        <v>34.816000000000003</v>
      </c>
      <c r="AA150" s="46">
        <v>28.43</v>
      </c>
      <c r="AB150" s="46">
        <v>31.317</v>
      </c>
      <c r="AC150" s="46">
        <v>43.506</v>
      </c>
      <c r="AD150" s="46">
        <v>70.238</v>
      </c>
      <c r="AE150" s="46">
        <v>56.029999999999994</v>
      </c>
      <c r="AF150" s="46">
        <v>44.595000000000006</v>
      </c>
      <c r="AG150" s="46">
        <v>76.52</v>
      </c>
      <c r="AH150" s="46">
        <v>45.352999999999994</v>
      </c>
      <c r="AI150" s="46">
        <v>46.982999999999997</v>
      </c>
      <c r="AJ150" s="46">
        <v>74.121999999999986</v>
      </c>
      <c r="AK150" s="46">
        <v>71.441999999999993</v>
      </c>
      <c r="AL150" s="46">
        <v>57.826000000000008</v>
      </c>
      <c r="AM150" s="46">
        <v>85.76700000000001</v>
      </c>
      <c r="AN150" s="46">
        <v>42.718999999999994</v>
      </c>
      <c r="AO150" s="46">
        <v>77.304999999999993</v>
      </c>
      <c r="AP150" s="46">
        <v>105.11400000000002</v>
      </c>
      <c r="AQ150" s="46">
        <v>98.61999999999999</v>
      </c>
      <c r="AR150" s="46">
        <f t="shared" si="15"/>
        <v>51.673999999999992</v>
      </c>
      <c r="AS150" s="7">
        <f t="shared" si="16"/>
        <v>3.4449333333333327</v>
      </c>
    </row>
    <row r="151" spans="1:45" x14ac:dyDescent="0.3">
      <c r="A151" s="5">
        <v>150</v>
      </c>
      <c r="B151" s="6" t="s">
        <v>65</v>
      </c>
      <c r="C151" s="10" t="s">
        <v>696</v>
      </c>
      <c r="D151" s="39" t="s">
        <v>813</v>
      </c>
      <c r="E151" s="6" t="s">
        <v>128</v>
      </c>
      <c r="F151" s="6" t="s">
        <v>12</v>
      </c>
      <c r="G151" s="6" t="s">
        <v>95</v>
      </c>
      <c r="H151" s="6" t="s">
        <v>80</v>
      </c>
      <c r="I151" s="6" t="str">
        <f t="shared" si="17"/>
        <v>12 k</v>
      </c>
      <c r="J151" s="5">
        <v>2</v>
      </c>
      <c r="K151" s="5">
        <f>J151*12</f>
        <v>24</v>
      </c>
      <c r="L151" s="94" t="s">
        <v>273</v>
      </c>
      <c r="M151" s="46">
        <v>0</v>
      </c>
      <c r="N151" s="46">
        <v>0</v>
      </c>
      <c r="O151" s="46">
        <v>0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46">
        <v>0</v>
      </c>
      <c r="AA151" s="46">
        <v>0</v>
      </c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0</v>
      </c>
      <c r="AI151" s="46">
        <v>0</v>
      </c>
      <c r="AJ151" s="46">
        <v>0</v>
      </c>
      <c r="AK151" s="46">
        <v>0</v>
      </c>
      <c r="AL151" s="46">
        <v>0</v>
      </c>
      <c r="AM151" s="46">
        <v>0</v>
      </c>
      <c r="AN151" s="46">
        <v>0</v>
      </c>
      <c r="AO151" s="46">
        <v>0</v>
      </c>
      <c r="AP151" s="46">
        <v>0</v>
      </c>
      <c r="AQ151" s="46">
        <v>0</v>
      </c>
      <c r="AR151" s="46">
        <f t="shared" si="15"/>
        <v>0</v>
      </c>
      <c r="AS151" s="7">
        <f t="shared" si="16"/>
        <v>0</v>
      </c>
    </row>
    <row r="152" spans="1:45" x14ac:dyDescent="0.3">
      <c r="A152" s="5">
        <v>151</v>
      </c>
      <c r="B152" s="6" t="s">
        <v>65</v>
      </c>
      <c r="C152" s="5"/>
      <c r="D152" s="39" t="s">
        <v>115</v>
      </c>
      <c r="E152" s="6" t="s">
        <v>113</v>
      </c>
      <c r="F152" s="6" t="s">
        <v>19</v>
      </c>
      <c r="G152" s="6" t="s">
        <v>116</v>
      </c>
      <c r="H152" s="6" t="s">
        <v>80</v>
      </c>
      <c r="I152" s="6" t="str">
        <f t="shared" si="17"/>
        <v>15kW</v>
      </c>
      <c r="J152" s="5">
        <v>1</v>
      </c>
      <c r="K152" s="5" t="e">
        <f>J152*I152</f>
        <v>#VALUE!</v>
      </c>
      <c r="L152" s="67" t="s">
        <v>160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f t="shared" si="15"/>
        <v>0</v>
      </c>
      <c r="AS152" s="7">
        <f t="shared" si="16"/>
        <v>0</v>
      </c>
    </row>
    <row r="153" spans="1:45" x14ac:dyDescent="0.3">
      <c r="A153" s="5">
        <v>152</v>
      </c>
      <c r="B153" s="6" t="s">
        <v>65</v>
      </c>
      <c r="C153" s="5"/>
      <c r="D153" s="39" t="s">
        <v>117</v>
      </c>
      <c r="E153" s="6" t="s">
        <v>113</v>
      </c>
      <c r="F153" s="6" t="s">
        <v>19</v>
      </c>
      <c r="G153" s="6" t="s">
        <v>116</v>
      </c>
      <c r="H153" s="6" t="s">
        <v>80</v>
      </c>
      <c r="I153" s="6" t="str">
        <f t="shared" si="17"/>
        <v>15kW</v>
      </c>
      <c r="J153" s="5">
        <v>1</v>
      </c>
      <c r="K153" s="5" t="e">
        <f t="shared" ref="K153:K159" si="20">J153*I153</f>
        <v>#VALUE!</v>
      </c>
      <c r="L153" s="67" t="s">
        <v>160</v>
      </c>
      <c r="M153" s="46">
        <v>0</v>
      </c>
      <c r="N153" s="46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0</v>
      </c>
      <c r="AN153" s="46">
        <v>0</v>
      </c>
      <c r="AO153" s="46">
        <v>0</v>
      </c>
      <c r="AP153" s="46">
        <v>0</v>
      </c>
      <c r="AQ153" s="46">
        <v>0</v>
      </c>
      <c r="AR153" s="46">
        <f t="shared" si="15"/>
        <v>0</v>
      </c>
      <c r="AS153" s="7">
        <f t="shared" si="16"/>
        <v>0</v>
      </c>
    </row>
    <row r="154" spans="1:45" x14ac:dyDescent="0.3">
      <c r="A154" s="5">
        <v>153</v>
      </c>
      <c r="B154" s="6" t="s">
        <v>65</v>
      </c>
      <c r="C154" s="5"/>
      <c r="D154" s="6" t="s">
        <v>66</v>
      </c>
      <c r="E154" s="6" t="s">
        <v>67</v>
      </c>
      <c r="F154" s="6" t="s">
        <v>12</v>
      </c>
      <c r="G154" s="6" t="s">
        <v>13</v>
      </c>
      <c r="H154" s="6" t="s">
        <v>14</v>
      </c>
      <c r="I154" s="6" t="str">
        <f t="shared" si="17"/>
        <v xml:space="preserve">3.3 </v>
      </c>
      <c r="J154" s="5">
        <v>87</v>
      </c>
      <c r="K154" s="5">
        <f t="shared" si="20"/>
        <v>287.09999999999997</v>
      </c>
      <c r="L154" s="67" t="s">
        <v>160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v>0</v>
      </c>
      <c r="AP154" s="46">
        <v>0</v>
      </c>
      <c r="AQ154" s="46">
        <v>0</v>
      </c>
      <c r="AR154" s="46">
        <f t="shared" si="15"/>
        <v>0</v>
      </c>
      <c r="AS154" s="7">
        <f t="shared" si="16"/>
        <v>0</v>
      </c>
    </row>
    <row r="155" spans="1:45" x14ac:dyDescent="0.3">
      <c r="A155" s="5">
        <v>154</v>
      </c>
      <c r="B155" s="6" t="s">
        <v>65</v>
      </c>
      <c r="C155" s="5"/>
      <c r="D155" s="6" t="s">
        <v>70</v>
      </c>
      <c r="E155" s="6"/>
      <c r="F155" s="6" t="s">
        <v>12</v>
      </c>
      <c r="G155" s="6" t="s">
        <v>13</v>
      </c>
      <c r="H155" s="6" t="s">
        <v>14</v>
      </c>
      <c r="I155" s="6" t="str">
        <f t="shared" si="17"/>
        <v xml:space="preserve">3.3 </v>
      </c>
      <c r="J155" s="5">
        <v>82</v>
      </c>
      <c r="K155" s="5">
        <f t="shared" si="20"/>
        <v>270.59999999999997</v>
      </c>
      <c r="L155" s="67" t="s">
        <v>160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0</v>
      </c>
      <c r="AO155" s="46">
        <v>0</v>
      </c>
      <c r="AP155" s="46">
        <v>0</v>
      </c>
      <c r="AQ155" s="46">
        <v>0</v>
      </c>
      <c r="AR155" s="46">
        <f t="shared" si="15"/>
        <v>0</v>
      </c>
      <c r="AS155" s="7">
        <f t="shared" si="16"/>
        <v>0</v>
      </c>
    </row>
    <row r="156" spans="1:45" x14ac:dyDescent="0.3">
      <c r="A156" s="5">
        <v>155</v>
      </c>
      <c r="B156" s="6" t="s">
        <v>65</v>
      </c>
      <c r="C156" s="5"/>
      <c r="D156" s="6" t="s">
        <v>74</v>
      </c>
      <c r="E156" s="6" t="s">
        <v>30</v>
      </c>
      <c r="F156" s="6" t="s">
        <v>19</v>
      </c>
      <c r="G156" s="6" t="s">
        <v>13</v>
      </c>
      <c r="H156" s="6" t="s">
        <v>14</v>
      </c>
      <c r="I156" s="6" t="str">
        <f t="shared" si="17"/>
        <v xml:space="preserve">3.3 </v>
      </c>
      <c r="J156" s="5">
        <v>2</v>
      </c>
      <c r="K156" s="5">
        <f t="shared" si="20"/>
        <v>6.6</v>
      </c>
      <c r="L156" s="67" t="s">
        <v>160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f t="shared" si="15"/>
        <v>0</v>
      </c>
      <c r="AS156" s="7">
        <f t="shared" si="16"/>
        <v>0</v>
      </c>
    </row>
    <row r="157" spans="1:45" x14ac:dyDescent="0.3">
      <c r="A157" s="5">
        <v>156</v>
      </c>
      <c r="B157" s="6" t="s">
        <v>65</v>
      </c>
      <c r="C157" s="5"/>
      <c r="D157" s="39" t="s">
        <v>122</v>
      </c>
      <c r="E157" s="6" t="s">
        <v>30</v>
      </c>
      <c r="F157" s="6" t="s">
        <v>19</v>
      </c>
      <c r="G157" s="6" t="s">
        <v>13</v>
      </c>
      <c r="H157" s="6" t="s">
        <v>14</v>
      </c>
      <c r="I157" s="6" t="str">
        <f t="shared" si="17"/>
        <v xml:space="preserve">3.3 </v>
      </c>
      <c r="J157" s="5">
        <v>3</v>
      </c>
      <c r="K157" s="5">
        <f t="shared" si="20"/>
        <v>9.8999999999999986</v>
      </c>
      <c r="L157" s="67" t="s">
        <v>160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v>0</v>
      </c>
      <c r="AP157" s="46">
        <v>0</v>
      </c>
      <c r="AQ157" s="46">
        <v>0</v>
      </c>
      <c r="AR157" s="46">
        <f t="shared" si="15"/>
        <v>0</v>
      </c>
      <c r="AS157" s="7">
        <f t="shared" si="16"/>
        <v>0</v>
      </c>
    </row>
    <row r="158" spans="1:45" x14ac:dyDescent="0.3">
      <c r="A158" s="5">
        <v>157</v>
      </c>
      <c r="B158" s="6" t="s">
        <v>572</v>
      </c>
      <c r="C158" s="10" t="s">
        <v>697</v>
      </c>
      <c r="D158" s="39" t="s">
        <v>809</v>
      </c>
      <c r="E158" s="6" t="s">
        <v>61</v>
      </c>
      <c r="F158" s="6" t="s">
        <v>12</v>
      </c>
      <c r="G158" s="6" t="s">
        <v>13</v>
      </c>
      <c r="H158" s="6" t="s">
        <v>35</v>
      </c>
      <c r="I158" s="6" t="str">
        <f t="shared" si="17"/>
        <v xml:space="preserve">3.3 </v>
      </c>
      <c r="J158" s="5">
        <v>7</v>
      </c>
      <c r="K158" s="5">
        <f t="shared" si="20"/>
        <v>23.099999999999998</v>
      </c>
      <c r="L158" s="12" t="s">
        <v>160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v>0</v>
      </c>
      <c r="AP158" s="46">
        <v>0</v>
      </c>
      <c r="AQ158" s="46">
        <v>0</v>
      </c>
      <c r="AR158" s="46">
        <f t="shared" si="15"/>
        <v>0</v>
      </c>
      <c r="AS158" s="7">
        <f t="shared" si="16"/>
        <v>0</v>
      </c>
    </row>
    <row r="159" spans="1:45" x14ac:dyDescent="0.3">
      <c r="A159" s="5">
        <v>158</v>
      </c>
      <c r="B159" s="6" t="s">
        <v>572</v>
      </c>
      <c r="C159" s="10" t="s">
        <v>657</v>
      </c>
      <c r="D159" s="39" t="s">
        <v>810</v>
      </c>
      <c r="E159" s="6" t="s">
        <v>61</v>
      </c>
      <c r="F159" s="6" t="s">
        <v>12</v>
      </c>
      <c r="G159" s="6" t="s">
        <v>13</v>
      </c>
      <c r="H159" s="6" t="s">
        <v>35</v>
      </c>
      <c r="I159" s="6" t="str">
        <f t="shared" si="17"/>
        <v xml:space="preserve">3.3 </v>
      </c>
      <c r="J159" s="5">
        <v>12</v>
      </c>
      <c r="K159" s="5">
        <f t="shared" si="20"/>
        <v>39.599999999999994</v>
      </c>
      <c r="L159" s="12" t="s">
        <v>160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v>0</v>
      </c>
      <c r="AQ159" s="46">
        <v>0</v>
      </c>
      <c r="AR159" s="46">
        <f t="shared" si="15"/>
        <v>0</v>
      </c>
      <c r="AS159" s="7">
        <f t="shared" si="16"/>
        <v>0</v>
      </c>
    </row>
    <row r="160" spans="1:45" x14ac:dyDescent="0.3">
      <c r="H160" s="89" t="s">
        <v>79</v>
      </c>
      <c r="I160" s="89"/>
      <c r="J160" s="90">
        <f>SUM(J2:J159)</f>
        <v>886</v>
      </c>
      <c r="K160" s="90"/>
      <c r="L160" s="90"/>
      <c r="M160" s="91">
        <f t="shared" ref="M160:AO160" si="21">SUM(M2:M157)</f>
        <v>6515.2149999999974</v>
      </c>
      <c r="N160" s="91">
        <f t="shared" si="21"/>
        <v>6104.3179999999993</v>
      </c>
      <c r="O160" s="91">
        <f t="shared" si="21"/>
        <v>6976.3220000000001</v>
      </c>
      <c r="P160" s="91">
        <f t="shared" si="21"/>
        <v>6740.8579999999984</v>
      </c>
      <c r="Q160" s="91">
        <f t="shared" si="21"/>
        <v>6009.7169999999987</v>
      </c>
      <c r="R160" s="91">
        <f t="shared" si="21"/>
        <v>6551.2259999999997</v>
      </c>
      <c r="S160" s="91">
        <f t="shared" si="21"/>
        <v>6893.8280000000013</v>
      </c>
      <c r="T160" s="91">
        <f t="shared" si="21"/>
        <v>7436.3950000000004</v>
      </c>
      <c r="U160" s="91">
        <f t="shared" si="21"/>
        <v>7504.6290000000017</v>
      </c>
      <c r="V160" s="91">
        <f t="shared" si="21"/>
        <v>7055.764000000001</v>
      </c>
      <c r="W160" s="91">
        <f t="shared" si="21"/>
        <v>6527.0030000000015</v>
      </c>
      <c r="X160" s="91">
        <f t="shared" si="21"/>
        <v>6079.036000000001</v>
      </c>
      <c r="Y160" s="91">
        <f t="shared" si="21"/>
        <v>6192.5829999999996</v>
      </c>
      <c r="Z160" s="91">
        <f t="shared" si="21"/>
        <v>4977.4999999999982</v>
      </c>
      <c r="AA160" s="91">
        <f t="shared" si="21"/>
        <v>5322.6689999999981</v>
      </c>
      <c r="AB160" s="91">
        <f t="shared" si="21"/>
        <v>5950.8809999999994</v>
      </c>
      <c r="AC160" s="91">
        <f t="shared" si="21"/>
        <v>6631.6770000000024</v>
      </c>
      <c r="AD160" s="91">
        <f t="shared" si="21"/>
        <v>6288.514000000001</v>
      </c>
      <c r="AE160" s="91">
        <f t="shared" si="21"/>
        <v>6157.7059999999965</v>
      </c>
      <c r="AF160" s="91">
        <f t="shared" si="21"/>
        <v>6405.8760000000011</v>
      </c>
      <c r="AG160" s="91">
        <f t="shared" si="21"/>
        <v>6829.5309999999981</v>
      </c>
      <c r="AH160" s="91">
        <f t="shared" si="21"/>
        <v>7466.6789999999992</v>
      </c>
      <c r="AI160" s="91">
        <f t="shared" si="21"/>
        <v>7461.1469999999963</v>
      </c>
      <c r="AJ160" s="91">
        <f t="shared" si="21"/>
        <v>7156.0870000000014</v>
      </c>
      <c r="AK160" s="91">
        <f t="shared" si="21"/>
        <v>6626.5499999999993</v>
      </c>
      <c r="AL160" s="91">
        <f t="shared" si="21"/>
        <v>6039.9939999999988</v>
      </c>
      <c r="AM160" s="91">
        <f t="shared" si="21"/>
        <v>6507.6080000000002</v>
      </c>
      <c r="AN160" s="91">
        <f t="shared" si="21"/>
        <v>6650.9579999999996</v>
      </c>
      <c r="AO160" s="91">
        <f t="shared" si="21"/>
        <v>7089.130000000001</v>
      </c>
      <c r="AP160" s="91">
        <f>SUM(AP2:AP159)</f>
        <v>7418.8659999999973</v>
      </c>
      <c r="AQ160" s="91">
        <f>SUM(AQ2:AQ159)</f>
        <v>7469.1059999999989</v>
      </c>
      <c r="AR160" s="46">
        <f t="shared" si="15"/>
        <v>6614.1088064516125</v>
      </c>
      <c r="AS160" s="7">
        <f t="shared" si="16"/>
        <v>7.4651340930605103</v>
      </c>
    </row>
    <row r="161" spans="25:44" x14ac:dyDescent="0.3">
      <c r="AM161" s="81"/>
      <c r="AR161" s="50"/>
    </row>
    <row r="164" spans="25:44" x14ac:dyDescent="0.3">
      <c r="AE164" s="88"/>
    </row>
    <row r="165" spans="25:44" x14ac:dyDescent="0.3">
      <c r="Y165" s="88"/>
    </row>
    <row r="166" spans="25:44" x14ac:dyDescent="0.3">
      <c r="AD166" s="88"/>
      <c r="AG166" s="88"/>
      <c r="AH166" s="88"/>
    </row>
  </sheetData>
  <autoFilter ref="A1:AS160" xr:uid="{00000000-0009-0000-0000-000036000000}"/>
  <pageMargins left="0.7" right="0.7" top="0.75" bottom="0.75" header="0.3" footer="0.3"/>
  <pageSetup scale="1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3:AL35"/>
  <sheetViews>
    <sheetView topLeftCell="A25" workbookViewId="0">
      <selection activeCell="H28" sqref="H28"/>
    </sheetView>
  </sheetViews>
  <sheetFormatPr defaultRowHeight="14.4" x14ac:dyDescent="0.3"/>
  <cols>
    <col min="1" max="1" width="17.33203125" bestFit="1" customWidth="1"/>
    <col min="2" max="2" width="16.33203125" bestFit="1" customWidth="1"/>
    <col min="3" max="3" width="8.5546875" bestFit="1" customWidth="1"/>
    <col min="4" max="4" width="6.44140625" bestFit="1" customWidth="1"/>
    <col min="5" max="5" width="8.5546875" bestFit="1" customWidth="1"/>
    <col min="6" max="6" width="8.6640625" bestFit="1" customWidth="1"/>
    <col min="7" max="7" width="9.88671875" bestFit="1" customWidth="1"/>
    <col min="8" max="8" width="12.44140625" bestFit="1" customWidth="1"/>
    <col min="9" max="9" width="8.33203125" bestFit="1" customWidth="1"/>
    <col min="10" max="10" width="11.44140625" bestFit="1" customWidth="1"/>
    <col min="11" max="11" width="9" bestFit="1" customWidth="1"/>
    <col min="12" max="12" width="10.33203125" bestFit="1" customWidth="1"/>
    <col min="13" max="13" width="7.33203125" bestFit="1" customWidth="1"/>
    <col min="14" max="14" width="10.5546875" bestFit="1" customWidth="1"/>
    <col min="15" max="15" width="9" bestFit="1" customWidth="1"/>
    <col min="16" max="16" width="6.5546875" bestFit="1" customWidth="1"/>
    <col min="17" max="18" width="9" bestFit="1" customWidth="1"/>
    <col min="19" max="19" width="7.5546875" bestFit="1" customWidth="1"/>
    <col min="20" max="20" width="8" bestFit="1" customWidth="1"/>
    <col min="21" max="21" width="7.88671875" bestFit="1" customWidth="1"/>
    <col min="22" max="22" width="6.33203125" bestFit="1" customWidth="1"/>
    <col min="23" max="23" width="6" bestFit="1" customWidth="1"/>
    <col min="24" max="24" width="9.109375" bestFit="1" customWidth="1"/>
    <col min="25" max="25" width="12.6640625" bestFit="1" customWidth="1"/>
    <col min="26" max="26" width="10.109375" bestFit="1" customWidth="1"/>
    <col min="27" max="27" width="5" bestFit="1" customWidth="1"/>
    <col min="28" max="28" width="6" bestFit="1" customWidth="1"/>
    <col min="29" max="29" width="11.109375" bestFit="1" customWidth="1"/>
    <col min="30" max="30" width="14.6640625" bestFit="1" customWidth="1"/>
    <col min="31" max="31" width="9.44140625" bestFit="1" customWidth="1"/>
    <col min="32" max="32" width="10.109375" bestFit="1" customWidth="1"/>
    <col min="33" max="33" width="12.6640625" bestFit="1" customWidth="1"/>
    <col min="34" max="34" width="6.44140625" bestFit="1" customWidth="1"/>
    <col min="35" max="35" width="6.6640625" bestFit="1" customWidth="1"/>
    <col min="36" max="36" width="10.33203125" bestFit="1" customWidth="1"/>
    <col min="37" max="37" width="12.6640625" bestFit="1" customWidth="1"/>
    <col min="38" max="38" width="11.33203125" bestFit="1" customWidth="1"/>
    <col min="39" max="60" width="17.33203125" bestFit="1" customWidth="1"/>
    <col min="61" max="62" width="22.33203125" bestFit="1" customWidth="1"/>
  </cols>
  <sheetData>
    <row r="3" spans="1:38" x14ac:dyDescent="0.3">
      <c r="B3" s="29" t="s">
        <v>144</v>
      </c>
    </row>
    <row r="4" spans="1:38" x14ac:dyDescent="0.3">
      <c r="A4" s="29" t="s">
        <v>131</v>
      </c>
      <c r="B4" t="s">
        <v>708</v>
      </c>
      <c r="C4" t="s">
        <v>576</v>
      </c>
      <c r="D4" t="s">
        <v>578</v>
      </c>
      <c r="E4" t="s">
        <v>832</v>
      </c>
      <c r="F4" t="s">
        <v>175</v>
      </c>
      <c r="G4" t="s">
        <v>58</v>
      </c>
      <c r="H4" t="s">
        <v>844</v>
      </c>
      <c r="I4" t="s">
        <v>569</v>
      </c>
      <c r="J4" t="s">
        <v>476</v>
      </c>
      <c r="K4" t="s">
        <v>65</v>
      </c>
      <c r="L4" t="s">
        <v>222</v>
      </c>
      <c r="M4" t="s">
        <v>134</v>
      </c>
      <c r="N4" t="s">
        <v>9</v>
      </c>
      <c r="O4" t="s">
        <v>822</v>
      </c>
      <c r="P4" t="s">
        <v>536</v>
      </c>
      <c r="Q4" t="s">
        <v>55</v>
      </c>
      <c r="R4" t="s">
        <v>499</v>
      </c>
      <c r="S4" t="s">
        <v>563</v>
      </c>
      <c r="T4" t="s">
        <v>119</v>
      </c>
      <c r="U4" t="s">
        <v>560</v>
      </c>
      <c r="V4" t="s">
        <v>221</v>
      </c>
      <c r="W4" t="s">
        <v>572</v>
      </c>
      <c r="X4" t="s">
        <v>565</v>
      </c>
      <c r="Y4" t="s">
        <v>246</v>
      </c>
      <c r="Z4" t="s">
        <v>829</v>
      </c>
      <c r="AA4" t="s">
        <v>598</v>
      </c>
      <c r="AB4" t="s">
        <v>597</v>
      </c>
      <c r="AC4" t="s">
        <v>49</v>
      </c>
      <c r="AD4" t="s">
        <v>52</v>
      </c>
      <c r="AE4" t="s">
        <v>498</v>
      </c>
      <c r="AF4" t="s">
        <v>862</v>
      </c>
      <c r="AG4" t="s">
        <v>866</v>
      </c>
      <c r="AH4" t="s">
        <v>885</v>
      </c>
      <c r="AI4" t="s">
        <v>882</v>
      </c>
      <c r="AJ4" t="s">
        <v>892</v>
      </c>
      <c r="AK4" t="s">
        <v>895</v>
      </c>
      <c r="AL4" t="s">
        <v>83</v>
      </c>
    </row>
    <row r="5" spans="1:38" x14ac:dyDescent="0.3">
      <c r="A5" s="26" t="s">
        <v>855</v>
      </c>
      <c r="B5">
        <v>0</v>
      </c>
      <c r="C5">
        <v>0</v>
      </c>
      <c r="D5">
        <v>0</v>
      </c>
      <c r="E5">
        <v>0</v>
      </c>
      <c r="F5">
        <v>139.94999999999996</v>
      </c>
      <c r="G5">
        <v>542.12</v>
      </c>
      <c r="H5">
        <v>0</v>
      </c>
      <c r="I5">
        <v>0</v>
      </c>
      <c r="J5">
        <v>0</v>
      </c>
      <c r="K5">
        <v>1169.6490000000001</v>
      </c>
      <c r="L5">
        <v>26.402000000000001</v>
      </c>
      <c r="M5">
        <v>67.094999999999999</v>
      </c>
      <c r="N5">
        <v>3298.1069999999991</v>
      </c>
      <c r="O5">
        <v>0</v>
      </c>
      <c r="P5">
        <v>0</v>
      </c>
      <c r="Q5">
        <v>647.61299999999983</v>
      </c>
      <c r="R5">
        <v>0</v>
      </c>
      <c r="S5">
        <v>0</v>
      </c>
      <c r="T5">
        <v>41.673000000000002</v>
      </c>
      <c r="U5">
        <v>0</v>
      </c>
      <c r="V5">
        <v>0</v>
      </c>
      <c r="W5">
        <v>0</v>
      </c>
      <c r="X5">
        <v>326.05200000000002</v>
      </c>
      <c r="Y5">
        <v>14.430999999999999</v>
      </c>
      <c r="Z5">
        <v>0</v>
      </c>
      <c r="AA5">
        <v>0</v>
      </c>
      <c r="AB5">
        <v>0</v>
      </c>
      <c r="AC5">
        <v>87.352999999999994</v>
      </c>
      <c r="AD5">
        <v>154.77000000000001</v>
      </c>
      <c r="AE5">
        <v>0</v>
      </c>
      <c r="AL5">
        <v>6515.2149999999992</v>
      </c>
    </row>
    <row r="6" spans="1:38" x14ac:dyDescent="0.3">
      <c r="A6" s="26" t="s">
        <v>858</v>
      </c>
      <c r="B6">
        <v>0</v>
      </c>
      <c r="C6">
        <v>0</v>
      </c>
      <c r="D6">
        <v>0</v>
      </c>
      <c r="E6">
        <v>0</v>
      </c>
      <c r="F6">
        <v>66.66200000000002</v>
      </c>
      <c r="G6">
        <v>576.26799999999992</v>
      </c>
      <c r="H6">
        <v>0</v>
      </c>
      <c r="I6">
        <v>0</v>
      </c>
      <c r="J6">
        <v>0</v>
      </c>
      <c r="K6">
        <v>1089.2130000000002</v>
      </c>
      <c r="L6">
        <v>3.6830000000000003</v>
      </c>
      <c r="M6">
        <v>31.927</v>
      </c>
      <c r="N6">
        <v>3124.5729999999994</v>
      </c>
      <c r="O6">
        <v>0</v>
      </c>
      <c r="P6">
        <v>0</v>
      </c>
      <c r="Q6">
        <v>604.9129999999999</v>
      </c>
      <c r="R6">
        <v>0</v>
      </c>
      <c r="S6">
        <v>0</v>
      </c>
      <c r="T6">
        <v>83.837999999999994</v>
      </c>
      <c r="U6">
        <v>0</v>
      </c>
      <c r="V6">
        <v>0</v>
      </c>
      <c r="W6">
        <v>0</v>
      </c>
      <c r="X6">
        <v>345.09999999999997</v>
      </c>
      <c r="Y6">
        <v>34.742000000000004</v>
      </c>
      <c r="Z6">
        <v>0</v>
      </c>
      <c r="AA6">
        <v>0</v>
      </c>
      <c r="AB6">
        <v>0</v>
      </c>
      <c r="AC6">
        <v>69.789999999999992</v>
      </c>
      <c r="AD6">
        <v>73.609000000000009</v>
      </c>
      <c r="AE6">
        <v>0</v>
      </c>
      <c r="AL6">
        <v>6104.3179999999993</v>
      </c>
    </row>
    <row r="7" spans="1:38" x14ac:dyDescent="0.3">
      <c r="A7" s="26" t="s">
        <v>859</v>
      </c>
      <c r="B7">
        <v>0</v>
      </c>
      <c r="C7">
        <v>0</v>
      </c>
      <c r="D7">
        <v>0</v>
      </c>
      <c r="E7">
        <v>0</v>
      </c>
      <c r="F7">
        <v>135.34199999999998</v>
      </c>
      <c r="G7">
        <v>543.71899999999994</v>
      </c>
      <c r="H7">
        <v>0</v>
      </c>
      <c r="I7">
        <v>0</v>
      </c>
      <c r="J7">
        <v>0</v>
      </c>
      <c r="K7">
        <v>1070.3739999999998</v>
      </c>
      <c r="L7">
        <v>2.33</v>
      </c>
      <c r="M7">
        <v>75.289999999999992</v>
      </c>
      <c r="N7">
        <v>3921.6360000000004</v>
      </c>
      <c r="O7">
        <v>0</v>
      </c>
      <c r="P7">
        <v>0</v>
      </c>
      <c r="Q7">
        <v>604.59200000000021</v>
      </c>
      <c r="R7">
        <v>0</v>
      </c>
      <c r="S7">
        <v>0</v>
      </c>
      <c r="T7">
        <v>63.536999999999992</v>
      </c>
      <c r="U7">
        <v>0</v>
      </c>
      <c r="V7">
        <v>0</v>
      </c>
      <c r="W7">
        <v>0</v>
      </c>
      <c r="X7">
        <v>311.94200000000006</v>
      </c>
      <c r="Y7">
        <v>21.887</v>
      </c>
      <c r="Z7">
        <v>0</v>
      </c>
      <c r="AA7">
        <v>0</v>
      </c>
      <c r="AB7">
        <v>0</v>
      </c>
      <c r="AC7">
        <v>102.22700000000002</v>
      </c>
      <c r="AD7">
        <v>123.44599999999998</v>
      </c>
      <c r="AE7">
        <v>0</v>
      </c>
      <c r="AL7">
        <v>6976.3220000000001</v>
      </c>
    </row>
    <row r="8" spans="1:38" x14ac:dyDescent="0.3">
      <c r="A8" s="26" t="s">
        <v>860</v>
      </c>
      <c r="B8">
        <v>0</v>
      </c>
      <c r="C8">
        <v>0</v>
      </c>
      <c r="D8">
        <v>0</v>
      </c>
      <c r="E8">
        <v>0</v>
      </c>
      <c r="F8">
        <v>146.03500000000005</v>
      </c>
      <c r="G8">
        <v>720.85900000000004</v>
      </c>
      <c r="H8">
        <v>0</v>
      </c>
      <c r="I8">
        <v>0</v>
      </c>
      <c r="J8">
        <v>0</v>
      </c>
      <c r="K8">
        <v>1071.42</v>
      </c>
      <c r="L8">
        <v>37.841999999999999</v>
      </c>
      <c r="M8">
        <v>45.928999999999995</v>
      </c>
      <c r="N8">
        <v>3535.5199999999991</v>
      </c>
      <c r="O8">
        <v>0</v>
      </c>
      <c r="P8">
        <v>0</v>
      </c>
      <c r="Q8">
        <v>559.74099999999942</v>
      </c>
      <c r="R8">
        <v>0</v>
      </c>
      <c r="S8">
        <v>0</v>
      </c>
      <c r="T8">
        <v>81.25</v>
      </c>
      <c r="U8">
        <v>0</v>
      </c>
      <c r="V8">
        <v>0</v>
      </c>
      <c r="W8">
        <v>0</v>
      </c>
      <c r="X8">
        <v>353.49900000000002</v>
      </c>
      <c r="Y8">
        <v>27.987000000000002</v>
      </c>
      <c r="Z8">
        <v>0</v>
      </c>
      <c r="AA8">
        <v>0</v>
      </c>
      <c r="AB8">
        <v>0</v>
      </c>
      <c r="AC8">
        <v>77.052000000000007</v>
      </c>
      <c r="AD8">
        <v>83.724000000000018</v>
      </c>
      <c r="AE8">
        <v>0</v>
      </c>
      <c r="AL8">
        <v>6740.8579999999984</v>
      </c>
    </row>
    <row r="9" spans="1:38" x14ac:dyDescent="0.3">
      <c r="A9" s="26" t="s">
        <v>861</v>
      </c>
      <c r="B9">
        <v>0</v>
      </c>
      <c r="C9">
        <v>0</v>
      </c>
      <c r="D9">
        <v>0</v>
      </c>
      <c r="E9">
        <v>0</v>
      </c>
      <c r="F9">
        <v>164.31400000000008</v>
      </c>
      <c r="G9">
        <v>587.36400000000003</v>
      </c>
      <c r="H9">
        <v>0</v>
      </c>
      <c r="I9">
        <v>0</v>
      </c>
      <c r="J9">
        <v>0</v>
      </c>
      <c r="K9">
        <v>1041.9489999999998</v>
      </c>
      <c r="L9">
        <v>0</v>
      </c>
      <c r="M9">
        <v>62.88300000000001</v>
      </c>
      <c r="N9">
        <v>3006.7469999999989</v>
      </c>
      <c r="O9">
        <v>0</v>
      </c>
      <c r="P9">
        <v>0</v>
      </c>
      <c r="Q9">
        <v>562.29300000000012</v>
      </c>
      <c r="R9">
        <v>0</v>
      </c>
      <c r="S9">
        <v>0</v>
      </c>
      <c r="T9">
        <v>56.428000000000004</v>
      </c>
      <c r="U9">
        <v>0</v>
      </c>
      <c r="V9">
        <v>0</v>
      </c>
      <c r="W9">
        <v>0</v>
      </c>
      <c r="X9">
        <v>318.20199999999983</v>
      </c>
      <c r="Y9">
        <v>32.112000000000002</v>
      </c>
      <c r="Z9">
        <v>0</v>
      </c>
      <c r="AA9">
        <v>0</v>
      </c>
      <c r="AB9">
        <v>0</v>
      </c>
      <c r="AC9">
        <v>89.563999999999993</v>
      </c>
      <c r="AD9">
        <v>87.861000000000018</v>
      </c>
      <c r="AE9">
        <v>0</v>
      </c>
      <c r="AL9">
        <v>6009.7169999999996</v>
      </c>
    </row>
    <row r="10" spans="1:38" x14ac:dyDescent="0.3">
      <c r="A10" s="26" t="s">
        <v>865</v>
      </c>
      <c r="B10">
        <v>0</v>
      </c>
      <c r="C10">
        <v>0</v>
      </c>
      <c r="D10">
        <v>0</v>
      </c>
      <c r="E10">
        <v>0</v>
      </c>
      <c r="F10">
        <v>158.23400000000004</v>
      </c>
      <c r="G10">
        <v>637.32300000000009</v>
      </c>
      <c r="H10">
        <v>0</v>
      </c>
      <c r="I10">
        <v>0</v>
      </c>
      <c r="J10">
        <v>0</v>
      </c>
      <c r="K10">
        <v>1096.7810000000002</v>
      </c>
      <c r="L10">
        <v>26.454000000000001</v>
      </c>
      <c r="M10">
        <v>52.201000000000001</v>
      </c>
      <c r="N10">
        <v>3547.3509999999997</v>
      </c>
      <c r="O10">
        <v>0</v>
      </c>
      <c r="P10">
        <v>0</v>
      </c>
      <c r="Q10">
        <v>327.12200000000001</v>
      </c>
      <c r="R10">
        <v>0</v>
      </c>
      <c r="S10">
        <v>0</v>
      </c>
      <c r="T10">
        <v>96.097999999999999</v>
      </c>
      <c r="U10">
        <v>0</v>
      </c>
      <c r="V10">
        <v>0</v>
      </c>
      <c r="W10">
        <v>0</v>
      </c>
      <c r="X10">
        <v>370.82299999999998</v>
      </c>
      <c r="Y10">
        <v>27.090000000000003</v>
      </c>
      <c r="Z10">
        <v>0</v>
      </c>
      <c r="AA10">
        <v>0</v>
      </c>
      <c r="AB10">
        <v>0</v>
      </c>
      <c r="AC10">
        <v>92.588000000000008</v>
      </c>
      <c r="AD10">
        <v>108.63300000000001</v>
      </c>
      <c r="AE10">
        <v>0</v>
      </c>
      <c r="AF10">
        <v>10.528</v>
      </c>
      <c r="AL10">
        <v>6551.2260000000006</v>
      </c>
    </row>
    <row r="11" spans="1:38" x14ac:dyDescent="0.3">
      <c r="A11" s="26" t="s">
        <v>868</v>
      </c>
      <c r="B11">
        <v>0</v>
      </c>
      <c r="C11">
        <v>0</v>
      </c>
      <c r="D11">
        <v>0</v>
      </c>
      <c r="E11">
        <v>0</v>
      </c>
      <c r="F11">
        <v>160.78800000000004</v>
      </c>
      <c r="G11">
        <v>618.23500000000001</v>
      </c>
      <c r="H11">
        <v>0</v>
      </c>
      <c r="I11">
        <v>0</v>
      </c>
      <c r="J11">
        <v>0</v>
      </c>
      <c r="K11">
        <v>1091.9700000000003</v>
      </c>
      <c r="L11">
        <v>0</v>
      </c>
      <c r="M11">
        <v>43.943999999999996</v>
      </c>
      <c r="N11">
        <v>4131.607</v>
      </c>
      <c r="O11">
        <v>0</v>
      </c>
      <c r="P11">
        <v>0</v>
      </c>
      <c r="Q11">
        <v>143.33799999999999</v>
      </c>
      <c r="R11">
        <v>0</v>
      </c>
      <c r="S11">
        <v>0</v>
      </c>
      <c r="T11">
        <v>71.384</v>
      </c>
      <c r="U11">
        <v>0</v>
      </c>
      <c r="V11">
        <v>0</v>
      </c>
      <c r="W11">
        <v>0</v>
      </c>
      <c r="X11">
        <v>393.95399999999989</v>
      </c>
      <c r="Y11">
        <v>28.152999999999999</v>
      </c>
      <c r="Z11">
        <v>0</v>
      </c>
      <c r="AA11">
        <v>0</v>
      </c>
      <c r="AB11">
        <v>0</v>
      </c>
      <c r="AC11">
        <v>86.554000000000002</v>
      </c>
      <c r="AD11">
        <v>122.76099999999998</v>
      </c>
      <c r="AE11">
        <v>0</v>
      </c>
      <c r="AF11">
        <v>0</v>
      </c>
      <c r="AG11">
        <v>1.1399999999999999</v>
      </c>
      <c r="AL11">
        <v>6893.8280000000004</v>
      </c>
    </row>
    <row r="12" spans="1:38" x14ac:dyDescent="0.3">
      <c r="A12" s="26" t="s">
        <v>869</v>
      </c>
      <c r="B12">
        <v>0</v>
      </c>
      <c r="C12">
        <v>0</v>
      </c>
      <c r="D12">
        <v>0</v>
      </c>
      <c r="E12">
        <v>0</v>
      </c>
      <c r="F12">
        <v>138.60399999999998</v>
      </c>
      <c r="G12">
        <v>608.2700000000001</v>
      </c>
      <c r="H12">
        <v>14.318999999999999</v>
      </c>
      <c r="I12">
        <v>0</v>
      </c>
      <c r="J12">
        <v>0</v>
      </c>
      <c r="K12">
        <v>1147.9280000000003</v>
      </c>
      <c r="L12">
        <v>0</v>
      </c>
      <c r="M12">
        <v>60.770999999999994</v>
      </c>
      <c r="N12">
        <v>4336.5770000000002</v>
      </c>
      <c r="O12">
        <v>0</v>
      </c>
      <c r="P12">
        <v>0</v>
      </c>
      <c r="Q12">
        <v>474.9679999999999</v>
      </c>
      <c r="R12">
        <v>0</v>
      </c>
      <c r="S12">
        <v>0</v>
      </c>
      <c r="T12">
        <v>72.03</v>
      </c>
      <c r="U12">
        <v>0</v>
      </c>
      <c r="V12">
        <v>0</v>
      </c>
      <c r="W12">
        <v>0</v>
      </c>
      <c r="X12">
        <v>328.71299999999997</v>
      </c>
      <c r="Y12">
        <v>25.381</v>
      </c>
      <c r="Z12">
        <v>0</v>
      </c>
      <c r="AA12">
        <v>0</v>
      </c>
      <c r="AB12">
        <v>0</v>
      </c>
      <c r="AC12">
        <v>99.031999999999982</v>
      </c>
      <c r="AD12">
        <v>127.092</v>
      </c>
      <c r="AE12">
        <v>0</v>
      </c>
      <c r="AF12">
        <v>0</v>
      </c>
      <c r="AG12">
        <v>2.7100000000000004</v>
      </c>
      <c r="AL12">
        <v>7436.3950000000004</v>
      </c>
    </row>
    <row r="13" spans="1:38" x14ac:dyDescent="0.3">
      <c r="A13" s="26" t="s">
        <v>870</v>
      </c>
      <c r="B13">
        <v>0</v>
      </c>
      <c r="C13">
        <v>0</v>
      </c>
      <c r="D13">
        <v>0</v>
      </c>
      <c r="E13">
        <v>0</v>
      </c>
      <c r="F13">
        <v>153.80799999999996</v>
      </c>
      <c r="G13">
        <v>616.17900000000009</v>
      </c>
      <c r="H13">
        <v>0</v>
      </c>
      <c r="I13">
        <v>0</v>
      </c>
      <c r="J13">
        <v>0</v>
      </c>
      <c r="K13">
        <v>1170.1759999999999</v>
      </c>
      <c r="L13">
        <v>34.895000000000003</v>
      </c>
      <c r="M13">
        <v>40.100999999999999</v>
      </c>
      <c r="N13">
        <v>4342.7759999999989</v>
      </c>
      <c r="O13">
        <v>0</v>
      </c>
      <c r="P13">
        <v>7.4209999999999994</v>
      </c>
      <c r="Q13">
        <v>436.52900000000005</v>
      </c>
      <c r="R13">
        <v>0</v>
      </c>
      <c r="S13">
        <v>0.01</v>
      </c>
      <c r="T13">
        <v>102.124</v>
      </c>
      <c r="U13">
        <v>0</v>
      </c>
      <c r="V13">
        <v>0</v>
      </c>
      <c r="W13">
        <v>0</v>
      </c>
      <c r="X13">
        <v>382.44400000000002</v>
      </c>
      <c r="Y13">
        <v>26.07</v>
      </c>
      <c r="Z13">
        <v>0</v>
      </c>
      <c r="AA13">
        <v>0</v>
      </c>
      <c r="AB13">
        <v>0</v>
      </c>
      <c r="AC13">
        <v>88.552000000000007</v>
      </c>
      <c r="AD13">
        <v>103.544</v>
      </c>
      <c r="AE13">
        <v>0</v>
      </c>
      <c r="AF13">
        <v>0</v>
      </c>
      <c r="AG13">
        <v>0</v>
      </c>
      <c r="AL13">
        <v>7504.6289999999999</v>
      </c>
    </row>
    <row r="14" spans="1:38" x14ac:dyDescent="0.3">
      <c r="A14" s="26" t="s">
        <v>872</v>
      </c>
      <c r="B14">
        <v>0</v>
      </c>
      <c r="C14">
        <v>0</v>
      </c>
      <c r="D14">
        <v>0</v>
      </c>
      <c r="E14">
        <v>0</v>
      </c>
      <c r="F14">
        <v>163.65199999999999</v>
      </c>
      <c r="G14">
        <v>531.56499999999994</v>
      </c>
      <c r="H14">
        <v>0.06</v>
      </c>
      <c r="I14">
        <v>0</v>
      </c>
      <c r="J14">
        <v>0</v>
      </c>
      <c r="K14">
        <v>1215.8939999999998</v>
      </c>
      <c r="L14">
        <v>0</v>
      </c>
      <c r="M14">
        <v>25.762</v>
      </c>
      <c r="N14">
        <v>4089.4740000000002</v>
      </c>
      <c r="O14">
        <v>0</v>
      </c>
      <c r="P14">
        <v>0</v>
      </c>
      <c r="Q14">
        <v>483.68099999999998</v>
      </c>
      <c r="R14">
        <v>0</v>
      </c>
      <c r="S14">
        <v>0</v>
      </c>
      <c r="T14">
        <v>58.028999999999996</v>
      </c>
      <c r="U14">
        <v>0</v>
      </c>
      <c r="V14">
        <v>0</v>
      </c>
      <c r="W14">
        <v>0</v>
      </c>
      <c r="X14">
        <v>304.88799999999992</v>
      </c>
      <c r="Y14">
        <v>4.5510000000000002</v>
      </c>
      <c r="Z14">
        <v>0</v>
      </c>
      <c r="AA14">
        <v>0</v>
      </c>
      <c r="AB14">
        <v>0</v>
      </c>
      <c r="AC14">
        <v>83.18</v>
      </c>
      <c r="AD14">
        <v>95.027999999999992</v>
      </c>
      <c r="AE14">
        <v>0</v>
      </c>
      <c r="AF14">
        <v>0</v>
      </c>
      <c r="AG14">
        <v>0</v>
      </c>
      <c r="AL14">
        <v>7055.7639999999992</v>
      </c>
    </row>
    <row r="15" spans="1:38" x14ac:dyDescent="0.3">
      <c r="A15" s="26" t="s">
        <v>873</v>
      </c>
      <c r="B15">
        <v>0</v>
      </c>
      <c r="C15">
        <v>0</v>
      </c>
      <c r="D15">
        <v>0</v>
      </c>
      <c r="E15">
        <v>0</v>
      </c>
      <c r="F15">
        <v>93.27300000000001</v>
      </c>
      <c r="G15">
        <v>608.63</v>
      </c>
      <c r="H15">
        <v>0.14000000000000001</v>
      </c>
      <c r="I15">
        <v>0</v>
      </c>
      <c r="J15">
        <v>0</v>
      </c>
      <c r="K15">
        <v>1051.7970000000003</v>
      </c>
      <c r="L15">
        <v>0</v>
      </c>
      <c r="M15">
        <v>63.274999999999991</v>
      </c>
      <c r="N15">
        <v>3465.5040000000008</v>
      </c>
      <c r="O15">
        <v>0</v>
      </c>
      <c r="P15">
        <v>0</v>
      </c>
      <c r="Q15">
        <v>517.85199999999986</v>
      </c>
      <c r="R15">
        <v>0</v>
      </c>
      <c r="S15">
        <v>0</v>
      </c>
      <c r="T15">
        <v>60.896999999999991</v>
      </c>
      <c r="U15">
        <v>0</v>
      </c>
      <c r="V15">
        <v>0</v>
      </c>
      <c r="W15">
        <v>0</v>
      </c>
      <c r="X15">
        <v>445.78099999999995</v>
      </c>
      <c r="Y15">
        <v>40.696000000000005</v>
      </c>
      <c r="Z15">
        <v>1.268</v>
      </c>
      <c r="AA15">
        <v>0</v>
      </c>
      <c r="AB15">
        <v>2.4500000000000002</v>
      </c>
      <c r="AC15">
        <v>73.591000000000008</v>
      </c>
      <c r="AD15">
        <v>101.849</v>
      </c>
      <c r="AE15">
        <v>0</v>
      </c>
      <c r="AF15">
        <v>0</v>
      </c>
      <c r="AG15">
        <v>0</v>
      </c>
      <c r="AL15">
        <v>6527.0030000000006</v>
      </c>
    </row>
    <row r="16" spans="1:38" x14ac:dyDescent="0.3">
      <c r="A16" s="26" t="s">
        <v>874</v>
      </c>
      <c r="B16">
        <v>0</v>
      </c>
      <c r="C16">
        <v>0</v>
      </c>
      <c r="D16">
        <v>0</v>
      </c>
      <c r="E16">
        <v>0</v>
      </c>
      <c r="F16">
        <v>46.771000000000001</v>
      </c>
      <c r="G16">
        <v>603.86300000000006</v>
      </c>
      <c r="H16">
        <v>0</v>
      </c>
      <c r="I16">
        <v>0</v>
      </c>
      <c r="J16">
        <v>0</v>
      </c>
      <c r="K16">
        <v>1009.2520000000002</v>
      </c>
      <c r="L16">
        <v>70.766000000000005</v>
      </c>
      <c r="M16">
        <v>56.650000000000006</v>
      </c>
      <c r="N16">
        <v>2997.8910000000005</v>
      </c>
      <c r="O16">
        <v>0</v>
      </c>
      <c r="P16">
        <v>6.9560000000000004</v>
      </c>
      <c r="Q16">
        <v>565.99699999999996</v>
      </c>
      <c r="R16">
        <v>0</v>
      </c>
      <c r="S16">
        <v>0</v>
      </c>
      <c r="T16">
        <v>73.117999999999995</v>
      </c>
      <c r="U16">
        <v>0</v>
      </c>
      <c r="V16">
        <v>0</v>
      </c>
      <c r="W16">
        <v>0</v>
      </c>
      <c r="X16">
        <v>454.89500000000004</v>
      </c>
      <c r="Y16">
        <v>18.734999999999999</v>
      </c>
      <c r="Z16">
        <v>0</v>
      </c>
      <c r="AA16">
        <v>0</v>
      </c>
      <c r="AB16">
        <v>0</v>
      </c>
      <c r="AC16">
        <v>92.290999999999997</v>
      </c>
      <c r="AD16">
        <v>81.850999999999999</v>
      </c>
      <c r="AE16">
        <v>0</v>
      </c>
      <c r="AF16">
        <v>0</v>
      </c>
      <c r="AG16">
        <v>0</v>
      </c>
      <c r="AL16">
        <v>6079.0360000000019</v>
      </c>
    </row>
    <row r="17" spans="1:38" x14ac:dyDescent="0.3">
      <c r="A17" s="26" t="s">
        <v>875</v>
      </c>
      <c r="B17">
        <v>0</v>
      </c>
      <c r="C17">
        <v>0</v>
      </c>
      <c r="D17">
        <v>0</v>
      </c>
      <c r="E17">
        <v>0</v>
      </c>
      <c r="F17">
        <v>174.97100000000003</v>
      </c>
      <c r="G17">
        <v>480.79699999999997</v>
      </c>
      <c r="H17">
        <v>4.21</v>
      </c>
      <c r="I17">
        <v>0</v>
      </c>
      <c r="J17">
        <v>0</v>
      </c>
      <c r="K17">
        <v>1180.6150000000002</v>
      </c>
      <c r="L17">
        <v>0</v>
      </c>
      <c r="M17">
        <v>48.268999999999991</v>
      </c>
      <c r="N17">
        <v>3138.1800000000003</v>
      </c>
      <c r="O17">
        <v>0</v>
      </c>
      <c r="P17">
        <v>0</v>
      </c>
      <c r="Q17">
        <v>364.84899999999993</v>
      </c>
      <c r="R17">
        <v>0</v>
      </c>
      <c r="S17">
        <v>0</v>
      </c>
      <c r="T17">
        <v>50.704000000000001</v>
      </c>
      <c r="U17">
        <v>0</v>
      </c>
      <c r="V17">
        <v>0</v>
      </c>
      <c r="W17">
        <v>0</v>
      </c>
      <c r="X17">
        <v>518.851</v>
      </c>
      <c r="Y17">
        <v>36.602000000000004</v>
      </c>
      <c r="Z17">
        <v>0</v>
      </c>
      <c r="AA17">
        <v>0</v>
      </c>
      <c r="AB17">
        <v>0</v>
      </c>
      <c r="AC17">
        <v>100.57000000000001</v>
      </c>
      <c r="AD17">
        <v>93.964999999999989</v>
      </c>
      <c r="AE17">
        <v>0</v>
      </c>
      <c r="AF17">
        <v>0</v>
      </c>
      <c r="AG17">
        <v>0</v>
      </c>
      <c r="AL17">
        <v>6192.5829999999996</v>
      </c>
    </row>
    <row r="18" spans="1:38" x14ac:dyDescent="0.3">
      <c r="A18" s="26" t="s">
        <v>876</v>
      </c>
      <c r="B18">
        <v>0</v>
      </c>
      <c r="C18">
        <v>0</v>
      </c>
      <c r="D18">
        <v>0</v>
      </c>
      <c r="E18">
        <v>0</v>
      </c>
      <c r="F18">
        <v>94.558999999999969</v>
      </c>
      <c r="G18">
        <v>583.47499999999991</v>
      </c>
      <c r="H18">
        <v>0</v>
      </c>
      <c r="I18">
        <v>0</v>
      </c>
      <c r="J18">
        <v>0</v>
      </c>
      <c r="K18">
        <v>1007.1850000000001</v>
      </c>
      <c r="L18">
        <v>0</v>
      </c>
      <c r="M18">
        <v>32.087000000000003</v>
      </c>
      <c r="N18">
        <v>2636.4009999999998</v>
      </c>
      <c r="O18">
        <v>0</v>
      </c>
      <c r="P18">
        <v>0</v>
      </c>
      <c r="Q18">
        <v>184.29900000000004</v>
      </c>
      <c r="R18">
        <v>0</v>
      </c>
      <c r="S18">
        <v>0</v>
      </c>
      <c r="T18">
        <v>32.427</v>
      </c>
      <c r="U18">
        <v>0</v>
      </c>
      <c r="V18">
        <v>0</v>
      </c>
      <c r="W18">
        <v>0</v>
      </c>
      <c r="X18">
        <v>238.39000000000001</v>
      </c>
      <c r="Y18">
        <v>12.57</v>
      </c>
      <c r="Z18">
        <v>0</v>
      </c>
      <c r="AA18">
        <v>0</v>
      </c>
      <c r="AB18">
        <v>6.48</v>
      </c>
      <c r="AC18">
        <v>81.509</v>
      </c>
      <c r="AD18">
        <v>68.118000000000009</v>
      </c>
      <c r="AE18">
        <v>0</v>
      </c>
      <c r="AF18">
        <v>0</v>
      </c>
      <c r="AG18">
        <v>0</v>
      </c>
      <c r="AL18">
        <v>4977.5</v>
      </c>
    </row>
    <row r="19" spans="1:38" x14ac:dyDescent="0.3">
      <c r="A19" s="26" t="s">
        <v>877</v>
      </c>
      <c r="B19">
        <v>0</v>
      </c>
      <c r="C19">
        <v>0</v>
      </c>
      <c r="D19">
        <v>0</v>
      </c>
      <c r="E19">
        <v>0</v>
      </c>
      <c r="F19">
        <v>0</v>
      </c>
      <c r="G19">
        <v>424.81099999999998</v>
      </c>
      <c r="H19">
        <v>0</v>
      </c>
      <c r="I19">
        <v>0</v>
      </c>
      <c r="J19">
        <v>0</v>
      </c>
      <c r="K19">
        <v>1082.9710000000002</v>
      </c>
      <c r="L19">
        <v>0</v>
      </c>
      <c r="M19">
        <v>0</v>
      </c>
      <c r="N19">
        <v>2794.3219999999997</v>
      </c>
      <c r="O19">
        <v>0</v>
      </c>
      <c r="P19">
        <v>0</v>
      </c>
      <c r="Q19">
        <v>607.01600000000008</v>
      </c>
      <c r="R19">
        <v>0</v>
      </c>
      <c r="S19">
        <v>0.56900000000000006</v>
      </c>
      <c r="T19">
        <v>37.847000000000001</v>
      </c>
      <c r="U19">
        <v>0</v>
      </c>
      <c r="V19">
        <v>0</v>
      </c>
      <c r="W19">
        <v>0</v>
      </c>
      <c r="X19">
        <v>350.15299999999985</v>
      </c>
      <c r="Y19">
        <v>1.6949999999999998</v>
      </c>
      <c r="Z19">
        <v>0</v>
      </c>
      <c r="AA19">
        <v>0</v>
      </c>
      <c r="AB19">
        <v>0</v>
      </c>
      <c r="AC19">
        <v>23.285</v>
      </c>
      <c r="AD19">
        <v>0</v>
      </c>
      <c r="AE19">
        <v>0</v>
      </c>
      <c r="AF19">
        <v>0</v>
      </c>
      <c r="AG19">
        <v>0</v>
      </c>
      <c r="AL19">
        <v>5322.668999999999</v>
      </c>
    </row>
    <row r="20" spans="1:38" x14ac:dyDescent="0.3">
      <c r="A20" s="26" t="s">
        <v>878</v>
      </c>
      <c r="B20">
        <v>0</v>
      </c>
      <c r="C20">
        <v>0</v>
      </c>
      <c r="D20">
        <v>0</v>
      </c>
      <c r="E20">
        <v>0</v>
      </c>
      <c r="F20">
        <v>58.175000000000011</v>
      </c>
      <c r="G20">
        <v>466.50600000000003</v>
      </c>
      <c r="H20">
        <v>0</v>
      </c>
      <c r="I20">
        <v>0</v>
      </c>
      <c r="J20">
        <v>0</v>
      </c>
      <c r="K20">
        <v>974.74799999999971</v>
      </c>
      <c r="L20">
        <v>15.866</v>
      </c>
      <c r="M20">
        <v>40.522999999999996</v>
      </c>
      <c r="N20">
        <v>3312.2929999999997</v>
      </c>
      <c r="O20">
        <v>0</v>
      </c>
      <c r="P20">
        <v>0</v>
      </c>
      <c r="Q20">
        <v>475.58599999999996</v>
      </c>
      <c r="R20">
        <v>0</v>
      </c>
      <c r="S20">
        <v>10.01</v>
      </c>
      <c r="T20">
        <v>88.034999999999997</v>
      </c>
      <c r="U20">
        <v>0</v>
      </c>
      <c r="V20">
        <v>0</v>
      </c>
      <c r="W20">
        <v>0</v>
      </c>
      <c r="X20">
        <v>347.84999999999991</v>
      </c>
      <c r="Y20">
        <v>28.174000000000003</v>
      </c>
      <c r="Z20">
        <v>0</v>
      </c>
      <c r="AA20">
        <v>0</v>
      </c>
      <c r="AB20">
        <v>4.5999999999999996</v>
      </c>
      <c r="AC20">
        <v>82.73</v>
      </c>
      <c r="AD20">
        <v>45.785000000000011</v>
      </c>
      <c r="AE20">
        <v>0</v>
      </c>
      <c r="AF20">
        <v>0</v>
      </c>
      <c r="AG20">
        <v>0</v>
      </c>
      <c r="AL20">
        <v>5950.8809999999985</v>
      </c>
    </row>
    <row r="21" spans="1:38" x14ac:dyDescent="0.3">
      <c r="A21" s="26" t="s">
        <v>879</v>
      </c>
      <c r="B21">
        <v>0</v>
      </c>
      <c r="C21">
        <v>0</v>
      </c>
      <c r="D21">
        <v>0</v>
      </c>
      <c r="E21">
        <v>0</v>
      </c>
      <c r="F21">
        <v>88.297999999999988</v>
      </c>
      <c r="G21">
        <v>443.928</v>
      </c>
      <c r="H21">
        <v>2.02</v>
      </c>
      <c r="I21">
        <v>0</v>
      </c>
      <c r="J21">
        <v>0</v>
      </c>
      <c r="K21">
        <v>1072.8310000000001</v>
      </c>
      <c r="L21">
        <v>41.094999999999999</v>
      </c>
      <c r="M21">
        <v>51.844000000000001</v>
      </c>
      <c r="N21">
        <v>3893.1740000000004</v>
      </c>
      <c r="O21">
        <v>0</v>
      </c>
      <c r="P21">
        <v>0</v>
      </c>
      <c r="Q21">
        <v>414.99200000000008</v>
      </c>
      <c r="R21">
        <v>0</v>
      </c>
      <c r="S21">
        <v>0</v>
      </c>
      <c r="T21">
        <v>24.161999999999999</v>
      </c>
      <c r="U21">
        <v>18.380000000000003</v>
      </c>
      <c r="V21">
        <v>0</v>
      </c>
      <c r="W21">
        <v>0</v>
      </c>
      <c r="X21">
        <v>390.94399999999996</v>
      </c>
      <c r="Y21">
        <v>29.86</v>
      </c>
      <c r="Z21">
        <v>0</v>
      </c>
      <c r="AA21">
        <v>0</v>
      </c>
      <c r="AB21">
        <v>7.7999999999999989</v>
      </c>
      <c r="AC21">
        <v>75.498000000000019</v>
      </c>
      <c r="AD21">
        <v>76.850999999999985</v>
      </c>
      <c r="AE21">
        <v>0</v>
      </c>
      <c r="AF21">
        <v>0</v>
      </c>
      <c r="AG21">
        <v>0</v>
      </c>
      <c r="AL21">
        <v>6631.6770000000006</v>
      </c>
    </row>
    <row r="22" spans="1:38" x14ac:dyDescent="0.3">
      <c r="A22" s="26" t="s">
        <v>880</v>
      </c>
      <c r="B22">
        <v>0</v>
      </c>
      <c r="C22">
        <v>0</v>
      </c>
      <c r="D22">
        <v>0</v>
      </c>
      <c r="E22">
        <v>0</v>
      </c>
      <c r="F22">
        <v>135.08000000000001</v>
      </c>
      <c r="G22">
        <v>539.05799999999988</v>
      </c>
      <c r="H22">
        <v>0</v>
      </c>
      <c r="I22">
        <v>0</v>
      </c>
      <c r="J22">
        <v>0</v>
      </c>
      <c r="K22">
        <v>1071.905</v>
      </c>
      <c r="L22">
        <v>0</v>
      </c>
      <c r="M22">
        <v>48.43</v>
      </c>
      <c r="N22">
        <v>3441.8270000000002</v>
      </c>
      <c r="O22">
        <v>0</v>
      </c>
      <c r="P22">
        <v>0</v>
      </c>
      <c r="Q22">
        <v>475.78699999999998</v>
      </c>
      <c r="R22">
        <v>0</v>
      </c>
      <c r="S22">
        <v>0</v>
      </c>
      <c r="T22">
        <v>48.709000000000003</v>
      </c>
      <c r="U22">
        <v>0</v>
      </c>
      <c r="V22">
        <v>0</v>
      </c>
      <c r="W22">
        <v>0</v>
      </c>
      <c r="X22">
        <v>303.678</v>
      </c>
      <c r="Y22">
        <v>32.881999999999998</v>
      </c>
      <c r="Z22">
        <v>0</v>
      </c>
      <c r="AA22">
        <v>0</v>
      </c>
      <c r="AB22">
        <v>0</v>
      </c>
      <c r="AC22">
        <v>62.235000000000014</v>
      </c>
      <c r="AD22">
        <v>128.92300000000003</v>
      </c>
      <c r="AE22">
        <v>0</v>
      </c>
      <c r="AF22">
        <v>0</v>
      </c>
      <c r="AG22">
        <v>0</v>
      </c>
      <c r="AL22">
        <v>6288.5139999999992</v>
      </c>
    </row>
    <row r="23" spans="1:38" x14ac:dyDescent="0.3">
      <c r="A23" s="26" t="s">
        <v>881</v>
      </c>
      <c r="B23">
        <v>0</v>
      </c>
      <c r="C23">
        <v>0</v>
      </c>
      <c r="D23">
        <v>0</v>
      </c>
      <c r="E23">
        <v>0</v>
      </c>
      <c r="F23">
        <v>165.92499999999995</v>
      </c>
      <c r="G23">
        <v>515.28399999999999</v>
      </c>
      <c r="H23">
        <v>0</v>
      </c>
      <c r="I23">
        <v>0</v>
      </c>
      <c r="J23">
        <v>0</v>
      </c>
      <c r="K23">
        <v>1301.9080000000004</v>
      </c>
      <c r="L23">
        <v>0</v>
      </c>
      <c r="M23">
        <v>44.050999999999995</v>
      </c>
      <c r="N23">
        <v>3105.434999999999</v>
      </c>
      <c r="O23">
        <v>0</v>
      </c>
      <c r="P23">
        <v>0</v>
      </c>
      <c r="Q23">
        <v>363.57999999999993</v>
      </c>
      <c r="R23">
        <v>0</v>
      </c>
      <c r="S23">
        <v>0</v>
      </c>
      <c r="T23">
        <v>28.097000000000001</v>
      </c>
      <c r="U23">
        <v>0</v>
      </c>
      <c r="V23">
        <v>0</v>
      </c>
      <c r="W23">
        <v>0</v>
      </c>
      <c r="X23">
        <v>433.28299999999984</v>
      </c>
      <c r="Y23">
        <v>37.805000000000007</v>
      </c>
      <c r="Z23">
        <v>0</v>
      </c>
      <c r="AA23">
        <v>0</v>
      </c>
      <c r="AB23">
        <v>0</v>
      </c>
      <c r="AC23">
        <v>87.118000000000009</v>
      </c>
      <c r="AD23">
        <v>75.22</v>
      </c>
      <c r="AE23">
        <v>0</v>
      </c>
      <c r="AF23">
        <v>0</v>
      </c>
      <c r="AG23">
        <v>0</v>
      </c>
      <c r="AL23">
        <v>6157.7059999999992</v>
      </c>
    </row>
    <row r="24" spans="1:38" x14ac:dyDescent="0.3">
      <c r="A24" s="26" t="s">
        <v>888</v>
      </c>
      <c r="B24">
        <v>0</v>
      </c>
      <c r="C24">
        <v>0</v>
      </c>
      <c r="D24">
        <v>0</v>
      </c>
      <c r="E24">
        <v>0</v>
      </c>
      <c r="F24">
        <v>201.09400000000008</v>
      </c>
      <c r="G24">
        <v>546.47399999999993</v>
      </c>
      <c r="H24">
        <v>0</v>
      </c>
      <c r="I24">
        <v>0</v>
      </c>
      <c r="J24">
        <v>0</v>
      </c>
      <c r="K24">
        <v>1169.4630000000002</v>
      </c>
      <c r="L24">
        <v>0</v>
      </c>
      <c r="M24">
        <v>36.855999999999995</v>
      </c>
      <c r="N24">
        <v>3589.74</v>
      </c>
      <c r="O24">
        <v>0</v>
      </c>
      <c r="P24">
        <v>0</v>
      </c>
      <c r="Q24">
        <v>309.54500000000019</v>
      </c>
      <c r="R24">
        <v>0</v>
      </c>
      <c r="S24">
        <v>0</v>
      </c>
      <c r="T24">
        <v>43.725999999999999</v>
      </c>
      <c r="U24">
        <v>0</v>
      </c>
      <c r="V24">
        <v>0</v>
      </c>
      <c r="W24">
        <v>0</v>
      </c>
      <c r="X24">
        <v>312.5150000000001</v>
      </c>
      <c r="Y24">
        <v>23.937000000000001</v>
      </c>
      <c r="Z24">
        <v>0</v>
      </c>
      <c r="AA24">
        <v>0</v>
      </c>
      <c r="AB24">
        <v>0</v>
      </c>
      <c r="AC24">
        <v>82.138999999999996</v>
      </c>
      <c r="AD24">
        <v>90.387000000000015</v>
      </c>
      <c r="AE24">
        <v>0</v>
      </c>
      <c r="AF24">
        <v>0</v>
      </c>
      <c r="AG24">
        <v>0</v>
      </c>
      <c r="AH24">
        <v>0</v>
      </c>
      <c r="AI24">
        <v>0</v>
      </c>
      <c r="AL24">
        <v>6405.8760000000002</v>
      </c>
    </row>
    <row r="25" spans="1:38" x14ac:dyDescent="0.3">
      <c r="A25" s="26" t="s">
        <v>889</v>
      </c>
      <c r="B25">
        <v>0</v>
      </c>
      <c r="C25">
        <v>0</v>
      </c>
      <c r="D25">
        <v>0</v>
      </c>
      <c r="E25">
        <v>0</v>
      </c>
      <c r="F25">
        <v>107.071</v>
      </c>
      <c r="G25">
        <v>583.52700000000004</v>
      </c>
      <c r="H25">
        <v>0</v>
      </c>
      <c r="I25">
        <v>0</v>
      </c>
      <c r="J25">
        <v>0</v>
      </c>
      <c r="K25">
        <v>1167.8390000000002</v>
      </c>
      <c r="L25">
        <v>0</v>
      </c>
      <c r="M25">
        <v>43.173999999999999</v>
      </c>
      <c r="N25">
        <v>4118.5909999999994</v>
      </c>
      <c r="O25">
        <v>0</v>
      </c>
      <c r="P25">
        <v>0</v>
      </c>
      <c r="Q25">
        <v>138.803</v>
      </c>
      <c r="R25">
        <v>0</v>
      </c>
      <c r="S25">
        <v>0</v>
      </c>
      <c r="T25">
        <v>48.521999999999991</v>
      </c>
      <c r="U25">
        <v>0</v>
      </c>
      <c r="V25">
        <v>0</v>
      </c>
      <c r="W25">
        <v>0</v>
      </c>
      <c r="X25">
        <v>418.52199999999993</v>
      </c>
      <c r="Y25">
        <v>27.110000000000003</v>
      </c>
      <c r="Z25">
        <v>0</v>
      </c>
      <c r="AA25">
        <v>0</v>
      </c>
      <c r="AB25">
        <v>0</v>
      </c>
      <c r="AC25">
        <v>95.801999999999992</v>
      </c>
      <c r="AD25">
        <v>77.940000000000012</v>
      </c>
      <c r="AE25">
        <v>0</v>
      </c>
      <c r="AF25">
        <v>0</v>
      </c>
      <c r="AG25">
        <v>0</v>
      </c>
      <c r="AH25">
        <v>0</v>
      </c>
      <c r="AI25">
        <v>2.63</v>
      </c>
      <c r="AL25">
        <v>6829.5309999999981</v>
      </c>
    </row>
    <row r="26" spans="1:38" x14ac:dyDescent="0.3">
      <c r="A26" s="26" t="s">
        <v>890</v>
      </c>
      <c r="B26">
        <v>0</v>
      </c>
      <c r="C26">
        <v>0</v>
      </c>
      <c r="D26">
        <v>0</v>
      </c>
      <c r="E26">
        <v>0</v>
      </c>
      <c r="F26">
        <v>170.83300000000003</v>
      </c>
      <c r="G26">
        <v>581.11500000000001</v>
      </c>
      <c r="H26">
        <v>0</v>
      </c>
      <c r="I26">
        <v>0</v>
      </c>
      <c r="J26">
        <v>0</v>
      </c>
      <c r="K26">
        <v>1407.933</v>
      </c>
      <c r="L26">
        <v>0</v>
      </c>
      <c r="M26">
        <v>37.207000000000001</v>
      </c>
      <c r="N26">
        <v>4252.6719999999996</v>
      </c>
      <c r="O26">
        <v>0</v>
      </c>
      <c r="P26">
        <v>0</v>
      </c>
      <c r="Q26">
        <v>395.70900000000012</v>
      </c>
      <c r="R26">
        <v>0</v>
      </c>
      <c r="S26">
        <v>0</v>
      </c>
      <c r="T26">
        <v>56.500000000000007</v>
      </c>
      <c r="U26">
        <v>0</v>
      </c>
      <c r="V26">
        <v>0</v>
      </c>
      <c r="W26">
        <v>0</v>
      </c>
      <c r="X26">
        <v>332.04100000000005</v>
      </c>
      <c r="Y26">
        <v>29.317</v>
      </c>
      <c r="Z26">
        <v>0</v>
      </c>
      <c r="AA26">
        <v>0</v>
      </c>
      <c r="AB26">
        <v>0</v>
      </c>
      <c r="AC26">
        <v>73.212000000000018</v>
      </c>
      <c r="AD26">
        <v>130.13999999999999</v>
      </c>
      <c r="AE26">
        <v>0</v>
      </c>
      <c r="AF26">
        <v>0</v>
      </c>
      <c r="AG26">
        <v>0</v>
      </c>
      <c r="AH26">
        <v>0</v>
      </c>
      <c r="AI26">
        <v>0</v>
      </c>
      <c r="AL26">
        <v>7466.679000000001</v>
      </c>
    </row>
    <row r="27" spans="1:38" x14ac:dyDescent="0.3">
      <c r="A27" s="26" t="s">
        <v>891</v>
      </c>
      <c r="B27">
        <v>0</v>
      </c>
      <c r="C27">
        <v>0</v>
      </c>
      <c r="D27">
        <v>0</v>
      </c>
      <c r="E27">
        <v>0</v>
      </c>
      <c r="F27">
        <v>131.26199999999997</v>
      </c>
      <c r="G27">
        <v>669.33100000000002</v>
      </c>
      <c r="H27">
        <v>0</v>
      </c>
      <c r="I27">
        <v>0</v>
      </c>
      <c r="J27">
        <v>0</v>
      </c>
      <c r="K27">
        <v>1242.155</v>
      </c>
      <c r="L27">
        <v>0</v>
      </c>
      <c r="M27">
        <v>46.322000000000003</v>
      </c>
      <c r="N27">
        <v>4372.4099999999989</v>
      </c>
      <c r="O27">
        <v>0</v>
      </c>
      <c r="P27">
        <v>0</v>
      </c>
      <c r="Q27">
        <v>412.84300000000002</v>
      </c>
      <c r="R27">
        <v>0.24</v>
      </c>
      <c r="S27">
        <v>0</v>
      </c>
      <c r="T27">
        <v>53.786000000000001</v>
      </c>
      <c r="U27">
        <v>0</v>
      </c>
      <c r="V27">
        <v>0</v>
      </c>
      <c r="W27">
        <v>0</v>
      </c>
      <c r="X27">
        <v>346.43000000000006</v>
      </c>
      <c r="Y27">
        <v>15.918000000000001</v>
      </c>
      <c r="Z27">
        <v>0</v>
      </c>
      <c r="AA27">
        <v>0</v>
      </c>
      <c r="AB27">
        <v>0</v>
      </c>
      <c r="AC27">
        <v>73.218000000000004</v>
      </c>
      <c r="AD27">
        <v>97.231999999999985</v>
      </c>
      <c r="AE27">
        <v>0</v>
      </c>
      <c r="AF27">
        <v>0</v>
      </c>
      <c r="AG27">
        <v>0</v>
      </c>
      <c r="AH27">
        <v>0</v>
      </c>
      <c r="AI27">
        <v>0</v>
      </c>
      <c r="AL27">
        <v>7461.146999999999</v>
      </c>
    </row>
    <row r="28" spans="1:38" x14ac:dyDescent="0.3">
      <c r="A28" s="26" t="s">
        <v>894</v>
      </c>
      <c r="B28">
        <v>0</v>
      </c>
      <c r="C28">
        <v>0</v>
      </c>
      <c r="D28">
        <v>0</v>
      </c>
      <c r="E28">
        <v>0</v>
      </c>
      <c r="F28">
        <v>156.09300000000005</v>
      </c>
      <c r="G28">
        <v>539.50800000000015</v>
      </c>
      <c r="H28">
        <v>0</v>
      </c>
      <c r="I28">
        <v>0</v>
      </c>
      <c r="J28">
        <v>0</v>
      </c>
      <c r="K28">
        <v>1254.8000000000002</v>
      </c>
      <c r="L28">
        <v>0</v>
      </c>
      <c r="M28">
        <v>41.533999999999999</v>
      </c>
      <c r="N28">
        <v>4179.4810000000007</v>
      </c>
      <c r="O28">
        <v>0</v>
      </c>
      <c r="P28">
        <v>0</v>
      </c>
      <c r="Q28">
        <v>374.11600000000004</v>
      </c>
      <c r="R28">
        <v>0</v>
      </c>
      <c r="S28">
        <v>0</v>
      </c>
      <c r="T28">
        <v>46.807999999999993</v>
      </c>
      <c r="U28">
        <v>0</v>
      </c>
      <c r="V28">
        <v>0</v>
      </c>
      <c r="W28">
        <v>0</v>
      </c>
      <c r="X28">
        <v>328.125</v>
      </c>
      <c r="Y28">
        <v>31.014000000000003</v>
      </c>
      <c r="Z28">
        <v>0</v>
      </c>
      <c r="AA28">
        <v>0</v>
      </c>
      <c r="AB28">
        <v>0</v>
      </c>
      <c r="AC28">
        <v>85.457999999999998</v>
      </c>
      <c r="AD28">
        <v>108.17100000000002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10.978999999999999</v>
      </c>
      <c r="AL28">
        <v>7156.0870000000014</v>
      </c>
    </row>
    <row r="29" spans="1:38" x14ac:dyDescent="0.3">
      <c r="A29" s="26" t="s">
        <v>897</v>
      </c>
      <c r="B29">
        <v>0</v>
      </c>
      <c r="C29">
        <v>0</v>
      </c>
      <c r="D29">
        <v>0</v>
      </c>
      <c r="E29">
        <v>0</v>
      </c>
      <c r="F29">
        <v>62.061</v>
      </c>
      <c r="G29">
        <v>571.33799999999997</v>
      </c>
      <c r="H29">
        <v>0</v>
      </c>
      <c r="I29">
        <v>0</v>
      </c>
      <c r="J29">
        <v>0</v>
      </c>
      <c r="K29">
        <v>1195.9229999999998</v>
      </c>
      <c r="L29">
        <v>34.622999999999998</v>
      </c>
      <c r="M29">
        <v>49.504999999999995</v>
      </c>
      <c r="N29">
        <v>3671.0549999999998</v>
      </c>
      <c r="O29">
        <v>0</v>
      </c>
      <c r="P29">
        <v>0</v>
      </c>
      <c r="Q29">
        <v>455.93399999999986</v>
      </c>
      <c r="R29">
        <v>0</v>
      </c>
      <c r="S29">
        <v>0</v>
      </c>
      <c r="T29">
        <v>40.418999999999997</v>
      </c>
      <c r="U29">
        <v>0</v>
      </c>
      <c r="V29">
        <v>0</v>
      </c>
      <c r="W29">
        <v>0</v>
      </c>
      <c r="X29">
        <v>313.53800000000012</v>
      </c>
      <c r="Y29">
        <v>34.433999999999997</v>
      </c>
      <c r="Z29">
        <v>0</v>
      </c>
      <c r="AA29">
        <v>0</v>
      </c>
      <c r="AB29">
        <v>0</v>
      </c>
      <c r="AC29">
        <v>94.492999999999981</v>
      </c>
      <c r="AD29">
        <v>95.49799999999999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7.7290000000000001</v>
      </c>
      <c r="AL29">
        <v>6626.55</v>
      </c>
    </row>
    <row r="30" spans="1:38" x14ac:dyDescent="0.3">
      <c r="A30" s="26" t="s">
        <v>898</v>
      </c>
      <c r="B30">
        <v>0</v>
      </c>
      <c r="C30">
        <v>0</v>
      </c>
      <c r="D30">
        <v>0</v>
      </c>
      <c r="E30">
        <v>0</v>
      </c>
      <c r="F30">
        <v>112.45400000000005</v>
      </c>
      <c r="G30">
        <v>635.16200000000003</v>
      </c>
      <c r="H30">
        <v>0</v>
      </c>
      <c r="I30">
        <v>0</v>
      </c>
      <c r="J30">
        <v>0</v>
      </c>
      <c r="K30">
        <v>1037.9199999999998</v>
      </c>
      <c r="L30">
        <v>3.4239999999999999</v>
      </c>
      <c r="M30">
        <v>37.296999999999997</v>
      </c>
      <c r="N30">
        <v>3133.38</v>
      </c>
      <c r="O30">
        <v>0</v>
      </c>
      <c r="P30">
        <v>0</v>
      </c>
      <c r="Q30">
        <v>467.17399999999992</v>
      </c>
      <c r="R30">
        <v>0</v>
      </c>
      <c r="S30">
        <v>0</v>
      </c>
      <c r="T30">
        <v>60.315999999999995</v>
      </c>
      <c r="U30">
        <v>0</v>
      </c>
      <c r="V30">
        <v>0</v>
      </c>
      <c r="W30">
        <v>0</v>
      </c>
      <c r="X30">
        <v>348.43799999999999</v>
      </c>
      <c r="Y30">
        <v>30.838999999999999</v>
      </c>
      <c r="Z30">
        <v>0</v>
      </c>
      <c r="AA30">
        <v>0</v>
      </c>
      <c r="AB30">
        <v>0</v>
      </c>
      <c r="AC30">
        <v>95.454000000000022</v>
      </c>
      <c r="AD30">
        <v>78.135999999999996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6039.9940000000006</v>
      </c>
    </row>
    <row r="31" spans="1:38" x14ac:dyDescent="0.3">
      <c r="A31" s="26" t="s">
        <v>899</v>
      </c>
      <c r="B31">
        <v>0</v>
      </c>
      <c r="C31">
        <v>8.09</v>
      </c>
      <c r="D31">
        <v>0</v>
      </c>
      <c r="E31">
        <v>0</v>
      </c>
      <c r="F31">
        <v>55.072000000000003</v>
      </c>
      <c r="G31">
        <v>524.803</v>
      </c>
      <c r="H31">
        <v>0</v>
      </c>
      <c r="I31">
        <v>0</v>
      </c>
      <c r="J31">
        <v>0</v>
      </c>
      <c r="K31">
        <v>1015.2269999999999</v>
      </c>
      <c r="L31">
        <v>0</v>
      </c>
      <c r="M31">
        <v>75.138999999999996</v>
      </c>
      <c r="N31">
        <v>3910.7650000000008</v>
      </c>
      <c r="O31">
        <v>0</v>
      </c>
      <c r="P31">
        <v>0</v>
      </c>
      <c r="Q31">
        <v>326.63999999999993</v>
      </c>
      <c r="R31">
        <v>0</v>
      </c>
      <c r="S31">
        <v>0</v>
      </c>
      <c r="T31">
        <v>42.841000000000001</v>
      </c>
      <c r="U31">
        <v>0</v>
      </c>
      <c r="V31">
        <v>0</v>
      </c>
      <c r="W31">
        <v>0</v>
      </c>
      <c r="X31">
        <v>319.99900000000002</v>
      </c>
      <c r="Y31">
        <v>26.323999999999998</v>
      </c>
      <c r="Z31">
        <v>0</v>
      </c>
      <c r="AA31">
        <v>0</v>
      </c>
      <c r="AB31">
        <v>0</v>
      </c>
      <c r="AC31">
        <v>72.887999999999991</v>
      </c>
      <c r="AD31">
        <v>120.88999999999999</v>
      </c>
      <c r="AE31">
        <v>0</v>
      </c>
      <c r="AF31">
        <v>0</v>
      </c>
      <c r="AG31">
        <v>1.9400000000000002</v>
      </c>
      <c r="AH31">
        <v>0</v>
      </c>
      <c r="AI31">
        <v>0</v>
      </c>
      <c r="AJ31">
        <v>6.99</v>
      </c>
      <c r="AK31">
        <v>0</v>
      </c>
      <c r="AL31">
        <v>6507.6080000000002</v>
      </c>
    </row>
    <row r="32" spans="1:38" x14ac:dyDescent="0.3">
      <c r="A32" s="26" t="s">
        <v>900</v>
      </c>
      <c r="B32">
        <v>0</v>
      </c>
      <c r="C32">
        <v>0</v>
      </c>
      <c r="D32">
        <v>0</v>
      </c>
      <c r="E32">
        <v>0</v>
      </c>
      <c r="F32">
        <v>123.15300000000002</v>
      </c>
      <c r="G32">
        <v>624.30399999999997</v>
      </c>
      <c r="H32">
        <v>8.1</v>
      </c>
      <c r="I32">
        <v>0</v>
      </c>
      <c r="J32">
        <v>0</v>
      </c>
      <c r="K32">
        <v>1176.675</v>
      </c>
      <c r="L32">
        <v>0</v>
      </c>
      <c r="M32">
        <v>59.218000000000004</v>
      </c>
      <c r="N32">
        <v>3993.3999999999987</v>
      </c>
      <c r="O32">
        <v>0</v>
      </c>
      <c r="P32">
        <v>0</v>
      </c>
      <c r="Q32">
        <v>117.37500000000001</v>
      </c>
      <c r="R32">
        <v>0</v>
      </c>
      <c r="S32">
        <v>0</v>
      </c>
      <c r="T32">
        <v>33.818999999999996</v>
      </c>
      <c r="U32">
        <v>18.222000000000001</v>
      </c>
      <c r="V32">
        <v>0</v>
      </c>
      <c r="W32">
        <v>0</v>
      </c>
      <c r="X32">
        <v>237.67299999999994</v>
      </c>
      <c r="Y32">
        <v>31.848999999999997</v>
      </c>
      <c r="Z32">
        <v>0</v>
      </c>
      <c r="AA32">
        <v>0</v>
      </c>
      <c r="AB32">
        <v>0</v>
      </c>
      <c r="AC32">
        <v>95.89500000000001</v>
      </c>
      <c r="AD32">
        <v>116.05499999999998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15.22</v>
      </c>
      <c r="AK32">
        <v>0</v>
      </c>
      <c r="AL32">
        <v>6650.9579999999996</v>
      </c>
    </row>
    <row r="33" spans="1:38" x14ac:dyDescent="0.3">
      <c r="A33" s="26" t="s">
        <v>901</v>
      </c>
      <c r="B33">
        <v>0</v>
      </c>
      <c r="C33">
        <v>0</v>
      </c>
      <c r="D33">
        <v>0</v>
      </c>
      <c r="E33">
        <v>0</v>
      </c>
      <c r="F33">
        <v>143.126</v>
      </c>
      <c r="G33">
        <v>531.85199999999998</v>
      </c>
      <c r="H33">
        <v>0</v>
      </c>
      <c r="I33">
        <v>0</v>
      </c>
      <c r="J33">
        <v>0</v>
      </c>
      <c r="K33">
        <v>1398.3560000000002</v>
      </c>
      <c r="L33">
        <v>32.125999999999998</v>
      </c>
      <c r="M33">
        <v>48.04399999999999</v>
      </c>
      <c r="N33">
        <v>4205.6289999999999</v>
      </c>
      <c r="O33">
        <v>0</v>
      </c>
      <c r="P33">
        <v>0</v>
      </c>
      <c r="Q33">
        <v>395.18599999999998</v>
      </c>
      <c r="R33">
        <v>0</v>
      </c>
      <c r="S33">
        <v>0</v>
      </c>
      <c r="T33">
        <v>71.894000000000005</v>
      </c>
      <c r="U33">
        <v>0</v>
      </c>
      <c r="V33">
        <v>0</v>
      </c>
      <c r="W33">
        <v>0</v>
      </c>
      <c r="X33">
        <v>36.262</v>
      </c>
      <c r="Y33">
        <v>21.443000000000001</v>
      </c>
      <c r="Z33">
        <v>0</v>
      </c>
      <c r="AA33">
        <v>0</v>
      </c>
      <c r="AB33">
        <v>0</v>
      </c>
      <c r="AC33">
        <v>89.626000000000005</v>
      </c>
      <c r="AD33">
        <v>115.58599999999996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7089.13</v>
      </c>
    </row>
    <row r="34" spans="1:38" x14ac:dyDescent="0.3">
      <c r="A34" s="26" t="s">
        <v>902</v>
      </c>
      <c r="B34">
        <v>0</v>
      </c>
      <c r="C34">
        <v>0</v>
      </c>
      <c r="D34">
        <v>0</v>
      </c>
      <c r="E34">
        <v>0</v>
      </c>
      <c r="F34">
        <v>87.576000000000022</v>
      </c>
      <c r="G34">
        <v>550.28200000000004</v>
      </c>
      <c r="H34">
        <v>0</v>
      </c>
      <c r="I34">
        <v>0</v>
      </c>
      <c r="J34">
        <v>0</v>
      </c>
      <c r="K34">
        <v>1446.6299999999999</v>
      </c>
      <c r="L34">
        <v>0</v>
      </c>
      <c r="M34">
        <v>38.758000000000003</v>
      </c>
      <c r="N34">
        <v>4332.1450000000004</v>
      </c>
      <c r="O34">
        <v>0</v>
      </c>
      <c r="P34">
        <v>0</v>
      </c>
      <c r="Q34">
        <v>410.61400000000003</v>
      </c>
      <c r="R34">
        <v>0</v>
      </c>
      <c r="S34">
        <v>0</v>
      </c>
      <c r="T34">
        <v>64.814999999999998</v>
      </c>
      <c r="U34">
        <v>35.515999999999998</v>
      </c>
      <c r="V34">
        <v>0</v>
      </c>
      <c r="W34">
        <v>0</v>
      </c>
      <c r="X34">
        <v>213.19099999999997</v>
      </c>
      <c r="Y34">
        <v>45</v>
      </c>
      <c r="Z34">
        <v>0</v>
      </c>
      <c r="AA34">
        <v>0</v>
      </c>
      <c r="AB34">
        <v>25.55</v>
      </c>
      <c r="AC34">
        <v>83.26600000000002</v>
      </c>
      <c r="AD34">
        <v>85.522999999999996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7418.8659999999982</v>
      </c>
    </row>
    <row r="35" spans="1:38" x14ac:dyDescent="0.3">
      <c r="A35" s="26" t="s">
        <v>903</v>
      </c>
      <c r="B35">
        <v>0</v>
      </c>
      <c r="C35">
        <v>0</v>
      </c>
      <c r="D35">
        <v>0</v>
      </c>
      <c r="E35">
        <v>0</v>
      </c>
      <c r="F35">
        <v>56.479000000000013</v>
      </c>
      <c r="G35">
        <v>486.89799999999997</v>
      </c>
      <c r="H35">
        <v>0</v>
      </c>
      <c r="I35">
        <v>0</v>
      </c>
      <c r="J35">
        <v>0</v>
      </c>
      <c r="K35">
        <v>1364.0359999999998</v>
      </c>
      <c r="L35">
        <v>5.798</v>
      </c>
      <c r="M35">
        <v>37.884999999999998</v>
      </c>
      <c r="N35">
        <v>4516.5759999999991</v>
      </c>
      <c r="O35">
        <v>0</v>
      </c>
      <c r="P35">
        <v>0</v>
      </c>
      <c r="Q35">
        <v>398.80899999999991</v>
      </c>
      <c r="R35">
        <v>16.13</v>
      </c>
      <c r="S35">
        <v>0</v>
      </c>
      <c r="T35">
        <v>47.313000000000002</v>
      </c>
      <c r="U35">
        <v>0</v>
      </c>
      <c r="V35">
        <v>0</v>
      </c>
      <c r="W35">
        <v>0</v>
      </c>
      <c r="X35">
        <v>352.35800000000012</v>
      </c>
      <c r="Y35">
        <v>17.222999999999999</v>
      </c>
      <c r="Z35">
        <v>0</v>
      </c>
      <c r="AA35">
        <v>0</v>
      </c>
      <c r="AB35">
        <v>0</v>
      </c>
      <c r="AC35">
        <v>83.075000000000003</v>
      </c>
      <c r="AD35">
        <v>86.52600000000001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7469.1059999999989</v>
      </c>
    </row>
  </sheetData>
  <pageMargins left="0.7" right="0.7" top="0.75" bottom="0.75" header="0.3" footer="0.3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AD179"/>
  <sheetViews>
    <sheetView topLeftCell="A170" workbookViewId="0">
      <selection activeCell="D178" sqref="D178"/>
    </sheetView>
  </sheetViews>
  <sheetFormatPr defaultRowHeight="14.4" x14ac:dyDescent="0.3"/>
  <cols>
    <col min="1" max="1" width="70.6640625" bestFit="1" customWidth="1"/>
    <col min="2" max="29" width="18.33203125" bestFit="1" customWidth="1"/>
    <col min="30" max="30" width="15.77734375" bestFit="1" customWidth="1"/>
  </cols>
  <sheetData>
    <row r="2" spans="1:30" x14ac:dyDescent="0.3">
      <c r="A2" s="29" t="s">
        <v>1</v>
      </c>
      <c r="B2" t="s">
        <v>82</v>
      </c>
    </row>
    <row r="3" spans="1:30" x14ac:dyDescent="0.3">
      <c r="A3" s="29" t="s">
        <v>158</v>
      </c>
      <c r="B3" t="s">
        <v>82</v>
      </c>
    </row>
    <row r="5" spans="1:30" x14ac:dyDescent="0.3">
      <c r="A5" s="29" t="s">
        <v>542</v>
      </c>
      <c r="B5" s="82" t="s">
        <v>907</v>
      </c>
      <c r="C5" s="82" t="s">
        <v>908</v>
      </c>
      <c r="D5" s="82" t="s">
        <v>909</v>
      </c>
      <c r="E5" s="82" t="s">
        <v>910</v>
      </c>
      <c r="F5" s="82" t="s">
        <v>911</v>
      </c>
      <c r="G5" s="82" t="s">
        <v>915</v>
      </c>
      <c r="H5" s="82" t="s">
        <v>916</v>
      </c>
      <c r="I5" s="82" t="s">
        <v>920</v>
      </c>
      <c r="J5" s="82" t="s">
        <v>921</v>
      </c>
      <c r="K5" s="82" t="s">
        <v>923</v>
      </c>
      <c r="L5" s="82" t="s">
        <v>924</v>
      </c>
      <c r="M5" s="82" t="s">
        <v>925</v>
      </c>
      <c r="N5" s="82" t="s">
        <v>992</v>
      </c>
      <c r="O5" s="82" t="s">
        <v>993</v>
      </c>
      <c r="P5" s="82" t="s">
        <v>994</v>
      </c>
      <c r="Q5" s="82" t="s">
        <v>995</v>
      </c>
      <c r="R5" s="82" t="s">
        <v>996</v>
      </c>
      <c r="S5" s="82" t="s">
        <v>997</v>
      </c>
      <c r="T5" s="82" t="s">
        <v>998</v>
      </c>
      <c r="U5" s="82" t="s">
        <v>999</v>
      </c>
      <c r="V5" s="82" t="s">
        <v>1000</v>
      </c>
      <c r="W5" s="82" t="s">
        <v>1001</v>
      </c>
      <c r="X5" s="82" t="s">
        <v>1002</v>
      </c>
      <c r="Y5" s="82" t="s">
        <v>1003</v>
      </c>
      <c r="Z5" s="82" t="s">
        <v>1005</v>
      </c>
      <c r="AA5" s="82" t="s">
        <v>1006</v>
      </c>
      <c r="AB5" s="82" t="s">
        <v>1010</v>
      </c>
      <c r="AC5" s="82" t="s">
        <v>1011</v>
      </c>
      <c r="AD5" s="82" t="s">
        <v>85</v>
      </c>
    </row>
    <row r="6" spans="1:30" x14ac:dyDescent="0.3">
      <c r="A6" s="39" t="s">
        <v>70</v>
      </c>
      <c r="B6" s="31">
        <v>0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0</v>
      </c>
      <c r="V6" s="31">
        <v>0</v>
      </c>
      <c r="W6" s="31">
        <v>0</v>
      </c>
      <c r="X6" s="31">
        <v>0</v>
      </c>
      <c r="Y6" s="31">
        <v>0</v>
      </c>
      <c r="Z6" s="31">
        <v>0</v>
      </c>
      <c r="AA6" s="31">
        <v>0</v>
      </c>
      <c r="AB6" s="31">
        <v>0</v>
      </c>
      <c r="AC6" s="31">
        <v>0</v>
      </c>
      <c r="AD6" s="31">
        <v>0</v>
      </c>
    </row>
    <row r="7" spans="1:30" x14ac:dyDescent="0.3">
      <c r="A7" s="39" t="s">
        <v>93</v>
      </c>
      <c r="B7" s="31">
        <v>0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0</v>
      </c>
      <c r="AD7" s="31">
        <v>0</v>
      </c>
    </row>
    <row r="8" spans="1:30" x14ac:dyDescent="0.3">
      <c r="A8" s="39" t="s">
        <v>66</v>
      </c>
      <c r="B8" s="31">
        <v>0</v>
      </c>
      <c r="C8" s="31">
        <v>0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0</v>
      </c>
    </row>
    <row r="9" spans="1:30" x14ac:dyDescent="0.3">
      <c r="A9" s="39" t="s">
        <v>74</v>
      </c>
      <c r="B9" s="31">
        <v>0</v>
      </c>
      <c r="C9" s="31">
        <v>0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>
        <v>0</v>
      </c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0</v>
      </c>
      <c r="AD9" s="31">
        <v>0</v>
      </c>
    </row>
    <row r="10" spans="1:30" x14ac:dyDescent="0.3">
      <c r="A10" s="39" t="s">
        <v>27</v>
      </c>
      <c r="B10" s="31">
        <v>0</v>
      </c>
      <c r="C10" s="31">
        <v>0</v>
      </c>
      <c r="D10" s="31">
        <v>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0</v>
      </c>
      <c r="V10" s="31">
        <v>0</v>
      </c>
      <c r="W10" s="31">
        <v>0</v>
      </c>
      <c r="X10" s="31">
        <v>0</v>
      </c>
      <c r="Y10" s="31">
        <v>0</v>
      </c>
      <c r="Z10" s="31">
        <v>0</v>
      </c>
      <c r="AA10" s="31">
        <v>0</v>
      </c>
      <c r="AB10" s="31">
        <v>0</v>
      </c>
      <c r="AC10" s="31">
        <v>0</v>
      </c>
      <c r="AD10" s="31">
        <v>0</v>
      </c>
    </row>
    <row r="11" spans="1:30" x14ac:dyDescent="0.3">
      <c r="A11" s="39" t="s">
        <v>716</v>
      </c>
      <c r="B11" s="31">
        <v>25.492999999999999</v>
      </c>
      <c r="C11" s="31">
        <v>36.865000000000002</v>
      </c>
      <c r="D11" s="31">
        <v>38.326999999999998</v>
      </c>
      <c r="E11" s="31">
        <v>24.149000000000001</v>
      </c>
      <c r="F11" s="31">
        <v>10.913</v>
      </c>
      <c r="G11" s="31">
        <v>100.075</v>
      </c>
      <c r="H11" s="31">
        <v>51.359999999999992</v>
      </c>
      <c r="I11" s="31">
        <v>57.054999999999993</v>
      </c>
      <c r="J11" s="31">
        <v>46.731999999999999</v>
      </c>
      <c r="K11" s="31">
        <v>42.000999999999991</v>
      </c>
      <c r="L11" s="31">
        <v>46.966000000000001</v>
      </c>
      <c r="M11" s="31">
        <v>31.774000000000001</v>
      </c>
      <c r="N11" s="31">
        <v>23.684000000000001</v>
      </c>
      <c r="O11" s="31">
        <v>31.636000000000003</v>
      </c>
      <c r="P11" s="31">
        <v>0.36199999999999999</v>
      </c>
      <c r="Q11" s="31">
        <v>0</v>
      </c>
      <c r="R11" s="31">
        <v>10.802</v>
      </c>
      <c r="S11" s="31">
        <v>22.326999999999998</v>
      </c>
      <c r="T11" s="31">
        <v>15.092000000000001</v>
      </c>
      <c r="U11" s="31">
        <v>13.581999999999999</v>
      </c>
      <c r="V11" s="31">
        <v>24.314</v>
      </c>
      <c r="W11" s="31">
        <v>8.2070000000000007</v>
      </c>
      <c r="X11" s="31">
        <v>0</v>
      </c>
      <c r="Y11" s="31">
        <v>0</v>
      </c>
      <c r="Z11" s="31">
        <v>24.263000000000002</v>
      </c>
      <c r="AA11" s="31">
        <v>0</v>
      </c>
      <c r="AB11" s="31">
        <v>7.4669999999999996</v>
      </c>
      <c r="AC11" s="31">
        <v>162.702</v>
      </c>
      <c r="AD11" s="31">
        <v>30.576714285714282</v>
      </c>
    </row>
    <row r="12" spans="1:30" x14ac:dyDescent="0.3">
      <c r="A12" s="39" t="s">
        <v>717</v>
      </c>
      <c r="B12" s="31">
        <v>2.1909999999999998</v>
      </c>
      <c r="C12" s="31">
        <v>0</v>
      </c>
      <c r="D12" s="31">
        <v>0</v>
      </c>
      <c r="E12" s="31">
        <v>0</v>
      </c>
      <c r="F12" s="31">
        <v>0</v>
      </c>
      <c r="G12" s="31">
        <v>9.1440000000000001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1">
        <v>0</v>
      </c>
      <c r="Y12" s="31">
        <v>3.3210000000000002</v>
      </c>
      <c r="Z12" s="31">
        <v>0</v>
      </c>
      <c r="AA12" s="31">
        <v>0</v>
      </c>
      <c r="AB12" s="31">
        <v>0</v>
      </c>
      <c r="AC12" s="31">
        <v>0</v>
      </c>
      <c r="AD12" s="31">
        <v>0.52342857142857147</v>
      </c>
    </row>
    <row r="13" spans="1:30" x14ac:dyDescent="0.3">
      <c r="A13" s="39" t="s">
        <v>718</v>
      </c>
      <c r="B13" s="31">
        <v>168.32000000000002</v>
      </c>
      <c r="C13" s="31">
        <v>128.465</v>
      </c>
      <c r="D13" s="31">
        <v>116.07500000000002</v>
      </c>
      <c r="E13" s="31">
        <v>48.638999999999982</v>
      </c>
      <c r="F13" s="31">
        <v>28.983999999999998</v>
      </c>
      <c r="G13" s="31">
        <v>114.31399999999999</v>
      </c>
      <c r="H13" s="31">
        <v>83.316000000000003</v>
      </c>
      <c r="I13" s="31">
        <v>67.100000000000023</v>
      </c>
      <c r="J13" s="31">
        <v>59.79</v>
      </c>
      <c r="K13" s="31">
        <v>42.876999999999995</v>
      </c>
      <c r="L13" s="31">
        <v>54.466999999999999</v>
      </c>
      <c r="M13" s="31">
        <v>37.10199999999999</v>
      </c>
      <c r="N13" s="31">
        <v>47.495999999999995</v>
      </c>
      <c r="O13" s="31">
        <v>31.416999999999998</v>
      </c>
      <c r="P13" s="31">
        <v>28.887</v>
      </c>
      <c r="Q13" s="31">
        <v>28.54600000000001</v>
      </c>
      <c r="R13" s="31">
        <v>14.923999999999998</v>
      </c>
      <c r="S13" s="31">
        <v>21.765000000000001</v>
      </c>
      <c r="T13" s="31">
        <v>22.382999999999999</v>
      </c>
      <c r="U13" s="31">
        <v>5.58</v>
      </c>
      <c r="V13" s="31">
        <v>11.483000000000001</v>
      </c>
      <c r="W13" s="31">
        <v>11</v>
      </c>
      <c r="X13" s="31">
        <v>3.4950000000000001</v>
      </c>
      <c r="Y13" s="31">
        <v>13.821</v>
      </c>
      <c r="Z13" s="31">
        <v>6.5950000000000006</v>
      </c>
      <c r="AA13" s="31">
        <v>2.7450000000000001</v>
      </c>
      <c r="AB13" s="31">
        <v>2.7850000000000001</v>
      </c>
      <c r="AC13" s="31">
        <v>21.146000000000004</v>
      </c>
      <c r="AD13" s="31">
        <v>43.697035714285697</v>
      </c>
    </row>
    <row r="14" spans="1:30" x14ac:dyDescent="0.3">
      <c r="A14" s="39" t="s">
        <v>719</v>
      </c>
      <c r="B14" s="31">
        <v>164.03000000000003</v>
      </c>
      <c r="C14" s="31">
        <v>168.67000000000002</v>
      </c>
      <c r="D14" s="31">
        <v>139.161</v>
      </c>
      <c r="E14" s="31">
        <v>113.05200000000004</v>
      </c>
      <c r="F14" s="31">
        <v>144.63200000000001</v>
      </c>
      <c r="G14" s="31">
        <v>93.494000000000014</v>
      </c>
      <c r="H14" s="31">
        <v>195.89200000000005</v>
      </c>
      <c r="I14" s="31">
        <v>175.62700000000001</v>
      </c>
      <c r="J14" s="31">
        <v>123.011</v>
      </c>
      <c r="K14" s="31">
        <v>183.88499999999999</v>
      </c>
      <c r="L14" s="31">
        <v>174.95400000000001</v>
      </c>
      <c r="M14" s="31">
        <v>175.77799999999999</v>
      </c>
      <c r="N14" s="31">
        <v>151.07599999999999</v>
      </c>
      <c r="O14" s="31">
        <v>179.99900000000002</v>
      </c>
      <c r="P14" s="31">
        <v>143.66500000000002</v>
      </c>
      <c r="Q14" s="31">
        <v>176.84100000000001</v>
      </c>
      <c r="R14" s="31">
        <v>111.51600000000002</v>
      </c>
      <c r="S14" s="31">
        <v>196.48300000000003</v>
      </c>
      <c r="T14" s="31">
        <v>217.36700000000002</v>
      </c>
      <c r="U14" s="31">
        <v>145.98299999999998</v>
      </c>
      <c r="V14" s="31">
        <v>171.02100000000002</v>
      </c>
      <c r="W14" s="31">
        <v>192.40300000000002</v>
      </c>
      <c r="X14" s="31">
        <v>123.71000000000002</v>
      </c>
      <c r="Y14" s="31">
        <v>165.54900000000001</v>
      </c>
      <c r="Z14" s="31">
        <v>199.42100000000002</v>
      </c>
      <c r="AA14" s="31">
        <v>160.62800000000001</v>
      </c>
      <c r="AB14" s="31">
        <v>176.33400000000003</v>
      </c>
      <c r="AC14" s="31">
        <v>170.90500000000003</v>
      </c>
      <c r="AD14" s="31">
        <v>161.96739285714287</v>
      </c>
    </row>
    <row r="15" spans="1:30" x14ac:dyDescent="0.3">
      <c r="A15" s="39" t="s">
        <v>776</v>
      </c>
      <c r="B15" s="31">
        <v>0</v>
      </c>
      <c r="C15" s="31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</row>
    <row r="16" spans="1:30" x14ac:dyDescent="0.3">
      <c r="A16" s="39" t="s">
        <v>720</v>
      </c>
      <c r="B16" s="31">
        <v>3.1240000000000001</v>
      </c>
      <c r="C16" s="31">
        <v>0</v>
      </c>
      <c r="D16" s="31">
        <v>0</v>
      </c>
      <c r="E16" s="31">
        <v>1.798</v>
      </c>
      <c r="F16" s="31">
        <v>7.2780000000000005</v>
      </c>
      <c r="G16" s="31">
        <v>6.1069999999999993</v>
      </c>
      <c r="H16" s="31">
        <v>3.4620000000000002</v>
      </c>
      <c r="I16" s="31">
        <v>3.1259999999999999</v>
      </c>
      <c r="J16" s="31">
        <v>0</v>
      </c>
      <c r="K16" s="31">
        <v>0</v>
      </c>
      <c r="L16" s="31">
        <v>7.2480000000000002</v>
      </c>
      <c r="M16" s="31">
        <v>7.7560000000000002</v>
      </c>
      <c r="N16" s="31">
        <v>3.52</v>
      </c>
      <c r="O16" s="31">
        <v>3.339</v>
      </c>
      <c r="P16" s="31">
        <v>0</v>
      </c>
      <c r="Q16" s="31">
        <v>0</v>
      </c>
      <c r="R16" s="31">
        <v>3.375</v>
      </c>
      <c r="S16" s="31">
        <v>2.8620000000000001</v>
      </c>
      <c r="T16" s="31">
        <v>3.0110000000000001</v>
      </c>
      <c r="U16" s="31">
        <v>3.2199999999999998</v>
      </c>
      <c r="V16" s="31">
        <v>3.2849999999999997</v>
      </c>
      <c r="W16" s="31">
        <v>2.3140000000000001</v>
      </c>
      <c r="X16" s="31">
        <v>6.0049999999999999</v>
      </c>
      <c r="Y16" s="31">
        <v>2.7679999999999998</v>
      </c>
      <c r="Z16" s="31">
        <v>7.93</v>
      </c>
      <c r="AA16" s="31">
        <v>0</v>
      </c>
      <c r="AB16" s="31">
        <v>2.048</v>
      </c>
      <c r="AC16" s="31">
        <v>2.7090000000000001</v>
      </c>
      <c r="AD16" s="31">
        <v>3.0816071428571425</v>
      </c>
    </row>
    <row r="17" spans="1:30" x14ac:dyDescent="0.3">
      <c r="A17" s="39" t="s">
        <v>722</v>
      </c>
      <c r="B17" s="31">
        <v>22.486999999999998</v>
      </c>
      <c r="C17" s="31">
        <v>13.562999999999999</v>
      </c>
      <c r="D17" s="31">
        <v>11.542999999999999</v>
      </c>
      <c r="E17" s="31">
        <v>27.134</v>
      </c>
      <c r="F17" s="31">
        <v>15.891</v>
      </c>
      <c r="G17" s="31">
        <v>3.0219999999999998</v>
      </c>
      <c r="H17" s="31">
        <v>16.71</v>
      </c>
      <c r="I17" s="31">
        <v>24.507999999999999</v>
      </c>
      <c r="J17" s="31">
        <v>18.740000000000002</v>
      </c>
      <c r="K17" s="31">
        <v>3.4639999999999995</v>
      </c>
      <c r="L17" s="31">
        <v>20.771000000000001</v>
      </c>
      <c r="M17" s="31">
        <v>11.276</v>
      </c>
      <c r="N17" s="31">
        <v>19.401</v>
      </c>
      <c r="O17" s="31">
        <v>22.878</v>
      </c>
      <c r="P17" s="31">
        <v>10.388</v>
      </c>
      <c r="Q17" s="31">
        <v>6.7809999999999997</v>
      </c>
      <c r="R17" s="31">
        <v>13.751999999999999</v>
      </c>
      <c r="S17" s="31">
        <v>22.003999999999998</v>
      </c>
      <c r="T17" s="31">
        <v>6.7719999999999994</v>
      </c>
      <c r="U17" s="31">
        <v>15.673</v>
      </c>
      <c r="V17" s="31">
        <v>6.2110000000000003</v>
      </c>
      <c r="W17" s="31">
        <v>9.3410000000000011</v>
      </c>
      <c r="X17" s="31">
        <v>7.8560000000000008</v>
      </c>
      <c r="Y17" s="31">
        <v>18.067</v>
      </c>
      <c r="Z17" s="31">
        <v>24.496000000000006</v>
      </c>
      <c r="AA17" s="31">
        <v>13.439</v>
      </c>
      <c r="AB17" s="31">
        <v>14.32</v>
      </c>
      <c r="AC17" s="31">
        <v>15.048999999999999</v>
      </c>
      <c r="AD17" s="31">
        <v>14.840607142857143</v>
      </c>
    </row>
    <row r="18" spans="1:30" x14ac:dyDescent="0.3">
      <c r="A18" s="39" t="s">
        <v>721</v>
      </c>
      <c r="B18" s="31">
        <v>31.36</v>
      </c>
      <c r="C18" s="31">
        <v>28.652999999999999</v>
      </c>
      <c r="D18" s="31">
        <v>8.3670000000000009</v>
      </c>
      <c r="E18" s="31">
        <v>16.477</v>
      </c>
      <c r="F18" s="31">
        <v>23.416999999999998</v>
      </c>
      <c r="G18" s="31">
        <v>18.170000000000002</v>
      </c>
      <c r="H18" s="31">
        <v>24.224</v>
      </c>
      <c r="I18" s="31">
        <v>16.309000000000001</v>
      </c>
      <c r="J18" s="31">
        <v>13.613000000000001</v>
      </c>
      <c r="K18" s="31">
        <v>29.631000000000004</v>
      </c>
      <c r="L18" s="31">
        <v>10.899000000000001</v>
      </c>
      <c r="M18" s="31">
        <v>18.168999999999997</v>
      </c>
      <c r="N18" s="31">
        <v>18.215</v>
      </c>
      <c r="O18" s="31">
        <v>19.270999999999997</v>
      </c>
      <c r="P18" s="31">
        <v>39.054999999999993</v>
      </c>
      <c r="Q18" s="31">
        <v>21.108999999999998</v>
      </c>
      <c r="R18" s="31">
        <v>20.013000000000002</v>
      </c>
      <c r="S18" s="31">
        <v>30.457000000000001</v>
      </c>
      <c r="T18" s="31">
        <v>18.236000000000001</v>
      </c>
      <c r="U18" s="31">
        <v>28.621999999999996</v>
      </c>
      <c r="V18" s="31">
        <v>15.103999999999999</v>
      </c>
      <c r="W18" s="31">
        <v>24.318000000000001</v>
      </c>
      <c r="X18" s="31">
        <v>13.309999999999999</v>
      </c>
      <c r="Y18" s="31">
        <v>26.167999999999999</v>
      </c>
      <c r="Z18" s="31">
        <v>28.92</v>
      </c>
      <c r="AA18" s="31">
        <v>27.756</v>
      </c>
      <c r="AB18" s="31">
        <v>21.365000000000002</v>
      </c>
      <c r="AC18" s="31">
        <v>19.004999999999999</v>
      </c>
      <c r="AD18" s="31">
        <v>21.793321428571424</v>
      </c>
    </row>
    <row r="19" spans="1:30" x14ac:dyDescent="0.3">
      <c r="A19" s="39" t="s">
        <v>723</v>
      </c>
      <c r="B19" s="31">
        <v>108.72300000000001</v>
      </c>
      <c r="C19" s="31">
        <v>71.582999999999998</v>
      </c>
      <c r="D19" s="31">
        <v>64.303999999999988</v>
      </c>
      <c r="E19" s="31">
        <v>79.048999999999992</v>
      </c>
      <c r="F19" s="31">
        <v>55.969000000000008</v>
      </c>
      <c r="G19" s="31">
        <v>123.17599999999996</v>
      </c>
      <c r="H19" s="31">
        <v>108.13299999999998</v>
      </c>
      <c r="I19" s="31">
        <v>107.361</v>
      </c>
      <c r="J19" s="31">
        <v>102.56299999999999</v>
      </c>
      <c r="K19" s="31">
        <v>100.22200000000001</v>
      </c>
      <c r="L19" s="31">
        <v>92.054000000000002</v>
      </c>
      <c r="M19" s="31">
        <v>127.45399999999998</v>
      </c>
      <c r="N19" s="31">
        <v>122.94799999999999</v>
      </c>
      <c r="O19" s="31">
        <v>166.07199999999997</v>
      </c>
      <c r="P19" s="31">
        <v>121.01300000000001</v>
      </c>
      <c r="Q19" s="31">
        <v>78.135999999999996</v>
      </c>
      <c r="R19" s="31">
        <v>158.381</v>
      </c>
      <c r="S19" s="31">
        <v>144.77200000000002</v>
      </c>
      <c r="T19" s="31">
        <v>142.44000000000003</v>
      </c>
      <c r="U19" s="31">
        <v>189.41200000000001</v>
      </c>
      <c r="V19" s="31">
        <v>216.14199999999997</v>
      </c>
      <c r="W19" s="31">
        <v>153.65400000000002</v>
      </c>
      <c r="X19" s="31">
        <v>126.3</v>
      </c>
      <c r="Y19" s="31">
        <v>149.339</v>
      </c>
      <c r="Z19" s="31">
        <v>127.089</v>
      </c>
      <c r="AA19" s="31">
        <v>143.69699999999997</v>
      </c>
      <c r="AB19" s="31">
        <v>88.97999999999999</v>
      </c>
      <c r="AC19" s="31">
        <v>112.04700000000001</v>
      </c>
      <c r="AD19" s="31">
        <v>120.75046428571427</v>
      </c>
    </row>
    <row r="20" spans="1:30" x14ac:dyDescent="0.3">
      <c r="A20" s="39" t="s">
        <v>795</v>
      </c>
      <c r="B20" s="31">
        <v>0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5.6999999999999995E-2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2.0357142857142857E-3</v>
      </c>
    </row>
    <row r="21" spans="1:30" x14ac:dyDescent="0.3">
      <c r="A21" s="39" t="s">
        <v>724</v>
      </c>
      <c r="B21" s="31">
        <v>62.442000000000007</v>
      </c>
      <c r="C21" s="31">
        <v>99.453000000000017</v>
      </c>
      <c r="D21" s="31">
        <v>81.96</v>
      </c>
      <c r="E21" s="31">
        <v>112.15199999999999</v>
      </c>
      <c r="F21" s="31">
        <v>91.826000000000008</v>
      </c>
      <c r="G21" s="31">
        <v>82.777999999999992</v>
      </c>
      <c r="H21" s="31">
        <v>91.117999999999981</v>
      </c>
      <c r="I21" s="31">
        <v>108.44000000000001</v>
      </c>
      <c r="J21" s="31">
        <v>75.142999999999986</v>
      </c>
      <c r="K21" s="31">
        <v>87.609999999999985</v>
      </c>
      <c r="L21" s="31">
        <v>104.373</v>
      </c>
      <c r="M21" s="31">
        <v>81.459999999999994</v>
      </c>
      <c r="N21" s="31">
        <v>94.908000000000015</v>
      </c>
      <c r="O21" s="31">
        <v>73.794000000000011</v>
      </c>
      <c r="P21" s="31">
        <v>79.015000000000015</v>
      </c>
      <c r="Q21" s="31">
        <v>83.262999999999991</v>
      </c>
      <c r="R21" s="31">
        <v>94.122</v>
      </c>
      <c r="S21" s="31">
        <v>88.72799999999998</v>
      </c>
      <c r="T21" s="31">
        <v>74.988000000000014</v>
      </c>
      <c r="U21" s="31">
        <v>76.512999999999991</v>
      </c>
      <c r="V21" s="31">
        <v>69.707999999999998</v>
      </c>
      <c r="W21" s="31">
        <v>99.777999999999992</v>
      </c>
      <c r="X21" s="31">
        <v>79.585000000000008</v>
      </c>
      <c r="Y21" s="31">
        <v>78.467000000000041</v>
      </c>
      <c r="Z21" s="31">
        <v>90.216000000000008</v>
      </c>
      <c r="AA21" s="31">
        <v>66.454999999999998</v>
      </c>
      <c r="AB21" s="31">
        <v>108.96000000000001</v>
      </c>
      <c r="AC21" s="31">
        <v>74.888000000000005</v>
      </c>
      <c r="AD21" s="31">
        <v>86.147964285714281</v>
      </c>
    </row>
    <row r="22" spans="1:30" x14ac:dyDescent="0.3">
      <c r="A22" s="39" t="s">
        <v>725</v>
      </c>
      <c r="B22" s="31">
        <v>60.167000000000009</v>
      </c>
      <c r="C22" s="31">
        <v>73.587000000000003</v>
      </c>
      <c r="D22" s="31">
        <v>92.134999999999991</v>
      </c>
      <c r="E22" s="31">
        <v>79.279999999999987</v>
      </c>
      <c r="F22" s="31">
        <v>90.329000000000008</v>
      </c>
      <c r="G22" s="31">
        <v>88.266999999999996</v>
      </c>
      <c r="H22" s="31">
        <v>89.900999999999982</v>
      </c>
      <c r="I22" s="31">
        <v>75.822000000000003</v>
      </c>
      <c r="J22" s="31">
        <v>81.768000000000001</v>
      </c>
      <c r="K22" s="31">
        <v>81.746999999999986</v>
      </c>
      <c r="L22" s="31">
        <v>90.186999999999998</v>
      </c>
      <c r="M22" s="31">
        <v>65.448000000000008</v>
      </c>
      <c r="N22" s="31">
        <v>84.069000000000017</v>
      </c>
      <c r="O22" s="31">
        <v>69.398999999999987</v>
      </c>
      <c r="P22" s="31">
        <v>93.008999999999986</v>
      </c>
      <c r="Q22" s="31">
        <v>68.376999999999995</v>
      </c>
      <c r="R22" s="31">
        <v>92.21599999999998</v>
      </c>
      <c r="S22" s="31">
        <v>67.47999999999999</v>
      </c>
      <c r="T22" s="31">
        <v>71.667000000000002</v>
      </c>
      <c r="U22" s="31">
        <v>84.618000000000009</v>
      </c>
      <c r="V22" s="31">
        <v>63.269999999999989</v>
      </c>
      <c r="W22" s="31">
        <v>74.323999999999998</v>
      </c>
      <c r="X22" s="31">
        <v>85.010999999999996</v>
      </c>
      <c r="Y22" s="31">
        <v>69.607000000000014</v>
      </c>
      <c r="Z22" s="31">
        <v>76.745999999999995</v>
      </c>
      <c r="AA22" s="31">
        <v>60.73</v>
      </c>
      <c r="AB22" s="31">
        <v>94.424999999999997</v>
      </c>
      <c r="AC22" s="31">
        <v>96.431999999999988</v>
      </c>
      <c r="AD22" s="31">
        <v>79.286357142857128</v>
      </c>
    </row>
    <row r="23" spans="1:30" x14ac:dyDescent="0.3">
      <c r="A23" s="39" t="s">
        <v>726</v>
      </c>
      <c r="B23" s="31">
        <v>28.405000000000001</v>
      </c>
      <c r="C23" s="31">
        <v>39.488</v>
      </c>
      <c r="D23" s="31">
        <v>39.070999999999998</v>
      </c>
      <c r="E23" s="31">
        <v>37.108000000000004</v>
      </c>
      <c r="F23" s="31">
        <v>29.478999999999999</v>
      </c>
      <c r="G23" s="31">
        <v>42.55</v>
      </c>
      <c r="H23" s="31">
        <v>35.942</v>
      </c>
      <c r="I23" s="31">
        <v>20.853999999999999</v>
      </c>
      <c r="J23" s="31">
        <v>31.962</v>
      </c>
      <c r="K23" s="31">
        <v>19.125</v>
      </c>
      <c r="L23" s="31">
        <v>34.668000000000006</v>
      </c>
      <c r="M23" s="31">
        <v>10.373000000000001</v>
      </c>
      <c r="N23" s="31">
        <v>13.24</v>
      </c>
      <c r="O23" s="31">
        <v>11.920999999999999</v>
      </c>
      <c r="P23" s="31">
        <v>6.4809999999999999</v>
      </c>
      <c r="Q23" s="31">
        <v>13.234999999999999</v>
      </c>
      <c r="R23" s="31">
        <v>15.843</v>
      </c>
      <c r="S23" s="31">
        <v>11.192</v>
      </c>
      <c r="T23" s="31">
        <v>0</v>
      </c>
      <c r="U23" s="31">
        <v>7.0520000000000005</v>
      </c>
      <c r="V23" s="31">
        <v>7.9020000000000001</v>
      </c>
      <c r="W23" s="31">
        <v>10.431999999999999</v>
      </c>
      <c r="X23" s="31">
        <v>6.5590000000000002</v>
      </c>
      <c r="Y23" s="31">
        <v>14.164000000000001</v>
      </c>
      <c r="Z23" s="31">
        <v>4.875</v>
      </c>
      <c r="AA23" s="31">
        <v>8.827</v>
      </c>
      <c r="AB23" s="31">
        <v>7.8970000000000002</v>
      </c>
      <c r="AC23" s="31">
        <v>12.285</v>
      </c>
      <c r="AD23" s="31">
        <v>18.60464285714286</v>
      </c>
    </row>
    <row r="24" spans="1:30" x14ac:dyDescent="0.3">
      <c r="A24" s="39" t="s">
        <v>727</v>
      </c>
      <c r="B24" s="31">
        <v>89.425000000000011</v>
      </c>
      <c r="C24" s="31">
        <v>92.855999999999995</v>
      </c>
      <c r="D24" s="31">
        <v>88.397999999999982</v>
      </c>
      <c r="E24" s="31">
        <v>69.918000000000021</v>
      </c>
      <c r="F24" s="31">
        <v>56.676000000000002</v>
      </c>
      <c r="G24" s="31">
        <v>59.459999999999994</v>
      </c>
      <c r="H24" s="31">
        <v>52.986999999999995</v>
      </c>
      <c r="I24" s="31">
        <v>31.555</v>
      </c>
      <c r="J24" s="31">
        <v>9.020999999999999</v>
      </c>
      <c r="K24" s="31">
        <v>5.4749999999999996</v>
      </c>
      <c r="L24" s="31">
        <v>0</v>
      </c>
      <c r="M24" s="31">
        <v>49.594000000000008</v>
      </c>
      <c r="N24" s="31">
        <v>31.838999999999999</v>
      </c>
      <c r="O24" s="31">
        <v>40.832000000000001</v>
      </c>
      <c r="P24" s="31">
        <v>43.756</v>
      </c>
      <c r="Q24" s="31">
        <v>32.227000000000004</v>
      </c>
      <c r="R24" s="31">
        <v>41.298999999999999</v>
      </c>
      <c r="S24" s="31">
        <v>39.268000000000001</v>
      </c>
      <c r="T24" s="31">
        <v>39.191999999999993</v>
      </c>
      <c r="U24" s="31">
        <v>45.265000000000008</v>
      </c>
      <c r="V24" s="31">
        <v>58.72</v>
      </c>
      <c r="W24" s="31">
        <v>23.907999999999998</v>
      </c>
      <c r="X24" s="31">
        <v>49.972000000000001</v>
      </c>
      <c r="Y24" s="31">
        <v>22.338000000000001</v>
      </c>
      <c r="Z24" s="31">
        <v>39.633999999999993</v>
      </c>
      <c r="AA24" s="31">
        <v>51.540000000000006</v>
      </c>
      <c r="AB24" s="31">
        <v>30.389000000000003</v>
      </c>
      <c r="AC24" s="31">
        <v>46.454999999999998</v>
      </c>
      <c r="AD24" s="31">
        <v>44.357107142857139</v>
      </c>
    </row>
    <row r="25" spans="1:30" x14ac:dyDescent="0.3">
      <c r="A25" s="39" t="s">
        <v>728</v>
      </c>
      <c r="B25" s="31">
        <v>92.987000000000023</v>
      </c>
      <c r="C25" s="31">
        <v>105.92900000000002</v>
      </c>
      <c r="D25" s="31">
        <v>109.657</v>
      </c>
      <c r="E25" s="31">
        <v>51.290000000000006</v>
      </c>
      <c r="F25" s="31">
        <v>95.896999999999991</v>
      </c>
      <c r="G25" s="31">
        <v>83.695000000000007</v>
      </c>
      <c r="H25" s="31">
        <v>99.876999999999995</v>
      </c>
      <c r="I25" s="31">
        <v>111.35499999999998</v>
      </c>
      <c r="J25" s="31">
        <v>121.06600000000002</v>
      </c>
      <c r="K25" s="31">
        <v>116.178</v>
      </c>
      <c r="L25" s="31">
        <v>102.43200000000002</v>
      </c>
      <c r="M25" s="31">
        <v>121.53800000000001</v>
      </c>
      <c r="N25" s="31">
        <v>123.21399999999998</v>
      </c>
      <c r="O25" s="31">
        <v>71.962000000000003</v>
      </c>
      <c r="P25" s="31">
        <v>95.882000000000005</v>
      </c>
      <c r="Q25" s="31">
        <v>107.59799999999998</v>
      </c>
      <c r="R25" s="31">
        <v>90.082999999999984</v>
      </c>
      <c r="S25" s="31">
        <v>94.554000000000002</v>
      </c>
      <c r="T25" s="31">
        <v>64.567000000000007</v>
      </c>
      <c r="U25" s="31">
        <v>86.457999999999998</v>
      </c>
      <c r="V25" s="31">
        <v>119.02700000000002</v>
      </c>
      <c r="W25" s="31">
        <v>76.736000000000004</v>
      </c>
      <c r="X25" s="31">
        <v>92.053000000000011</v>
      </c>
      <c r="Y25" s="31">
        <v>123.77899999999998</v>
      </c>
      <c r="Z25" s="31">
        <v>141.87099999999998</v>
      </c>
      <c r="AA25" s="31">
        <v>100.759</v>
      </c>
      <c r="AB25" s="31">
        <v>112.09100000000001</v>
      </c>
      <c r="AC25" s="31">
        <v>106.89500000000001</v>
      </c>
      <c r="AD25" s="31">
        <v>100.69392857142857</v>
      </c>
    </row>
    <row r="26" spans="1:30" x14ac:dyDescent="0.3">
      <c r="A26" s="39" t="s">
        <v>779</v>
      </c>
      <c r="B26" s="31">
        <v>0</v>
      </c>
      <c r="C26" s="31">
        <v>0</v>
      </c>
      <c r="D26" s="31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6.452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0</v>
      </c>
      <c r="W26" s="31">
        <v>0</v>
      </c>
      <c r="X26" s="31">
        <v>0</v>
      </c>
      <c r="Y26" s="31">
        <v>0</v>
      </c>
      <c r="Z26" s="31">
        <v>0</v>
      </c>
      <c r="AA26" s="31">
        <v>0</v>
      </c>
      <c r="AB26" s="31">
        <v>0</v>
      </c>
      <c r="AC26" s="31">
        <v>0</v>
      </c>
      <c r="AD26" s="31">
        <v>0.23042857142857143</v>
      </c>
    </row>
    <row r="27" spans="1:30" x14ac:dyDescent="0.3">
      <c r="A27" s="39" t="s">
        <v>729</v>
      </c>
      <c r="B27" s="31">
        <v>186.995</v>
      </c>
      <c r="C27" s="31">
        <v>111.688</v>
      </c>
      <c r="D27" s="31">
        <v>19.862000000000002</v>
      </c>
      <c r="E27" s="31">
        <v>190.78700000000001</v>
      </c>
      <c r="F27" s="31">
        <v>104.73799999999999</v>
      </c>
      <c r="G27" s="31">
        <v>99.575999999999993</v>
      </c>
      <c r="H27" s="31">
        <v>141.24600000000001</v>
      </c>
      <c r="I27" s="31">
        <v>127.49900000000001</v>
      </c>
      <c r="J27" s="31">
        <v>122.49999999999999</v>
      </c>
      <c r="K27" s="31">
        <v>132.57599999999999</v>
      </c>
      <c r="L27" s="31">
        <v>102.44699999999999</v>
      </c>
      <c r="M27" s="31">
        <v>109.501</v>
      </c>
      <c r="N27" s="31">
        <v>137.13900000000001</v>
      </c>
      <c r="O27" s="31">
        <v>88.872</v>
      </c>
      <c r="P27" s="31">
        <v>129.31</v>
      </c>
      <c r="Q27" s="31">
        <v>69.572000000000003</v>
      </c>
      <c r="R27" s="31">
        <v>132.51400000000001</v>
      </c>
      <c r="S27" s="31">
        <v>53.865000000000002</v>
      </c>
      <c r="T27" s="31">
        <v>76.734999999999999</v>
      </c>
      <c r="U27" s="31">
        <v>0</v>
      </c>
      <c r="V27" s="31">
        <v>111.44300000000001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31">
        <v>0</v>
      </c>
      <c r="AD27" s="31">
        <v>80.316607142857137</v>
      </c>
    </row>
    <row r="28" spans="1:30" x14ac:dyDescent="0.3">
      <c r="A28" s="39" t="s">
        <v>730</v>
      </c>
      <c r="B28" s="31">
        <v>515.88100000000009</v>
      </c>
      <c r="C28" s="31">
        <v>428.35700000000008</v>
      </c>
      <c r="D28" s="31">
        <v>406.51900000000006</v>
      </c>
      <c r="E28" s="31">
        <v>394.90500000000003</v>
      </c>
      <c r="F28" s="31">
        <v>412.89499999999992</v>
      </c>
      <c r="G28" s="31">
        <v>303.92599999999999</v>
      </c>
      <c r="H28" s="31">
        <v>411.52199999999993</v>
      </c>
      <c r="I28" s="31">
        <v>406.12900000000008</v>
      </c>
      <c r="J28" s="31">
        <v>476.1699999999999</v>
      </c>
      <c r="K28" s="31">
        <v>414.56199999999995</v>
      </c>
      <c r="L28" s="31">
        <v>383.07000000000016</v>
      </c>
      <c r="M28" s="31">
        <v>361.77999999999992</v>
      </c>
      <c r="N28" s="31">
        <v>471.29299999999995</v>
      </c>
      <c r="O28" s="31">
        <v>481.07100000000003</v>
      </c>
      <c r="P28" s="31">
        <v>378.42599999999987</v>
      </c>
      <c r="Q28" s="31">
        <v>519.66</v>
      </c>
      <c r="R28" s="31">
        <v>438.13500000000005</v>
      </c>
      <c r="S28" s="31">
        <v>404.298</v>
      </c>
      <c r="T28" s="31">
        <v>509.36000000000018</v>
      </c>
      <c r="U28" s="31">
        <v>464.75099999999992</v>
      </c>
      <c r="V28" s="31">
        <v>500.49399999999997</v>
      </c>
      <c r="W28" s="31">
        <v>438.08200000000016</v>
      </c>
      <c r="X28" s="31">
        <v>484.85799999999989</v>
      </c>
      <c r="Y28" s="31">
        <v>381.52799999999996</v>
      </c>
      <c r="Z28" s="31">
        <v>480.21899999999994</v>
      </c>
      <c r="AA28" s="31">
        <v>470.1479999999998</v>
      </c>
      <c r="AB28" s="31">
        <v>477.13100000000003</v>
      </c>
      <c r="AC28" s="31">
        <v>457.40299999999996</v>
      </c>
      <c r="AD28" s="31">
        <v>438.30617857142852</v>
      </c>
    </row>
    <row r="29" spans="1:30" x14ac:dyDescent="0.3">
      <c r="A29" s="39" t="s">
        <v>731</v>
      </c>
      <c r="B29" s="31">
        <v>449.59699999999998</v>
      </c>
      <c r="C29" s="31">
        <v>463.11999999999983</v>
      </c>
      <c r="D29" s="31">
        <v>323.30700000000007</v>
      </c>
      <c r="E29" s="31">
        <v>113.32299999999999</v>
      </c>
      <c r="F29" s="31">
        <v>391.25700000000006</v>
      </c>
      <c r="G29" s="31">
        <v>366.54699999999997</v>
      </c>
      <c r="H29" s="31">
        <v>317.54299999999995</v>
      </c>
      <c r="I29" s="31">
        <v>471.71900000000005</v>
      </c>
      <c r="J29" s="31">
        <v>513.928</v>
      </c>
      <c r="K29" s="31">
        <v>310.23099999999988</v>
      </c>
      <c r="L29" s="31">
        <v>140.14100000000002</v>
      </c>
      <c r="M29" s="31">
        <v>379.91099999999994</v>
      </c>
      <c r="N29" s="31">
        <v>374.84699999999998</v>
      </c>
      <c r="O29" s="31">
        <v>269.815</v>
      </c>
      <c r="P29" s="31">
        <v>417.51100000000014</v>
      </c>
      <c r="Q29" s="31">
        <v>369.51400000000007</v>
      </c>
      <c r="R29" s="31">
        <v>341.84300000000002</v>
      </c>
      <c r="S29" s="31">
        <v>121.464</v>
      </c>
      <c r="T29" s="31">
        <v>371.89900000000011</v>
      </c>
      <c r="U29" s="31">
        <v>365.33800000000014</v>
      </c>
      <c r="V29" s="31">
        <v>361.18399999999991</v>
      </c>
      <c r="W29" s="31">
        <v>398.20799999999991</v>
      </c>
      <c r="X29" s="31">
        <v>398.69800000000004</v>
      </c>
      <c r="Y29" s="31">
        <v>333.14699999999999</v>
      </c>
      <c r="Z29" s="31">
        <v>135.65799999999996</v>
      </c>
      <c r="AA29" s="31">
        <v>304.23099999999999</v>
      </c>
      <c r="AB29" s="31">
        <v>291.42500000000018</v>
      </c>
      <c r="AC29" s="31">
        <v>147.334</v>
      </c>
      <c r="AD29" s="31">
        <v>330.09785714285715</v>
      </c>
    </row>
    <row r="30" spans="1:30" x14ac:dyDescent="0.3">
      <c r="A30" s="39" t="s">
        <v>778</v>
      </c>
      <c r="B30" s="31">
        <v>0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10.086</v>
      </c>
      <c r="S30" s="31">
        <v>5.3280000000000003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  <c r="AC30" s="31">
        <v>0</v>
      </c>
      <c r="AD30" s="31">
        <v>0.5505000000000001</v>
      </c>
    </row>
    <row r="31" spans="1:30" x14ac:dyDescent="0.3">
      <c r="A31" s="39" t="s">
        <v>732</v>
      </c>
      <c r="B31" s="31">
        <v>21.577000000000002</v>
      </c>
      <c r="C31" s="31">
        <v>19.689</v>
      </c>
      <c r="D31" s="31">
        <v>27.951999999999998</v>
      </c>
      <c r="E31" s="31">
        <v>30.368000000000002</v>
      </c>
      <c r="F31" s="31">
        <v>4.4510000000000005</v>
      </c>
      <c r="G31" s="31">
        <v>33.417000000000002</v>
      </c>
      <c r="H31" s="31">
        <v>29.401</v>
      </c>
      <c r="I31" s="31">
        <v>21.699000000000002</v>
      </c>
      <c r="J31" s="31">
        <v>7.0589999999999993</v>
      </c>
      <c r="K31" s="31">
        <v>23.491</v>
      </c>
      <c r="L31" s="31">
        <v>22.795999999999999</v>
      </c>
      <c r="M31" s="31">
        <v>8.8169999999999984</v>
      </c>
      <c r="N31" s="31">
        <v>25.103999999999999</v>
      </c>
      <c r="O31" s="31">
        <v>15.656000000000001</v>
      </c>
      <c r="P31" s="31">
        <v>20.292999999999999</v>
      </c>
      <c r="Q31" s="31">
        <v>26.151000000000003</v>
      </c>
      <c r="R31" s="31">
        <v>20.818999999999999</v>
      </c>
      <c r="S31" s="31">
        <v>14.737000000000002</v>
      </c>
      <c r="T31" s="31">
        <v>24.904999999999998</v>
      </c>
      <c r="U31" s="31">
        <v>20.171999999999997</v>
      </c>
      <c r="V31" s="31">
        <v>16.274000000000004</v>
      </c>
      <c r="W31" s="31">
        <v>13.276</v>
      </c>
      <c r="X31" s="31">
        <v>10.314</v>
      </c>
      <c r="Y31" s="31">
        <v>30.085999999999999</v>
      </c>
      <c r="Z31" s="31">
        <v>17.166</v>
      </c>
      <c r="AA31" s="31">
        <v>13.62</v>
      </c>
      <c r="AB31" s="31">
        <v>22.021000000000001</v>
      </c>
      <c r="AC31" s="31">
        <v>11.690000000000001</v>
      </c>
      <c r="AD31" s="31">
        <v>19.750035714285719</v>
      </c>
    </row>
    <row r="32" spans="1:30" x14ac:dyDescent="0.3">
      <c r="A32" s="39" t="s">
        <v>818</v>
      </c>
      <c r="B32" s="31">
        <v>0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0</v>
      </c>
    </row>
    <row r="33" spans="1:30" x14ac:dyDescent="0.3">
      <c r="A33" s="39" t="s">
        <v>906</v>
      </c>
      <c r="B33" s="31">
        <v>5.57</v>
      </c>
      <c r="C33" s="31">
        <v>0</v>
      </c>
      <c r="D33" s="31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33.26</v>
      </c>
      <c r="P33" s="31">
        <v>26.659999999999997</v>
      </c>
      <c r="Q33" s="31">
        <v>0</v>
      </c>
      <c r="R33" s="31">
        <v>0</v>
      </c>
      <c r="S33" s="31">
        <v>28.81</v>
      </c>
      <c r="T33" s="31">
        <v>29.49</v>
      </c>
      <c r="U33" s="31">
        <v>39.489999999999995</v>
      </c>
      <c r="V33" s="31">
        <v>18.52</v>
      </c>
      <c r="W33" s="31">
        <v>0</v>
      </c>
      <c r="X33" s="31">
        <v>0</v>
      </c>
      <c r="Y33" s="31">
        <v>7.58</v>
      </c>
      <c r="Z33" s="31">
        <v>21.490000000000002</v>
      </c>
      <c r="AA33" s="31">
        <v>0</v>
      </c>
      <c r="AB33" s="31">
        <v>12.66</v>
      </c>
      <c r="AC33" s="31">
        <v>15.149999999999999</v>
      </c>
      <c r="AD33" s="31">
        <v>8.524285714285714</v>
      </c>
    </row>
    <row r="34" spans="1:30" x14ac:dyDescent="0.3">
      <c r="A34" s="39" t="s">
        <v>841</v>
      </c>
      <c r="B34" s="31">
        <v>0</v>
      </c>
      <c r="C34" s="31">
        <v>0</v>
      </c>
      <c r="D34" s="31">
        <v>12.032</v>
      </c>
      <c r="E34" s="31">
        <v>3.35</v>
      </c>
      <c r="F34" s="31">
        <v>0</v>
      </c>
      <c r="G34" s="31">
        <v>11.212</v>
      </c>
      <c r="H34" s="31">
        <v>6.4060000000000006</v>
      </c>
      <c r="I34" s="31">
        <v>0</v>
      </c>
      <c r="J34" s="31">
        <v>0</v>
      </c>
      <c r="K34" s="31">
        <v>9.3550000000000004</v>
      </c>
      <c r="L34" s="31">
        <v>5.0309999999999997</v>
      </c>
      <c r="M34" s="31">
        <v>0</v>
      </c>
      <c r="N34" s="31">
        <v>6.28</v>
      </c>
      <c r="O34" s="31">
        <v>3.7759999999999998</v>
      </c>
      <c r="P34" s="31">
        <v>0</v>
      </c>
      <c r="Q34" s="31">
        <v>0</v>
      </c>
      <c r="R34" s="31">
        <v>10.84</v>
      </c>
      <c r="S34" s="31">
        <v>5.0209999999999999</v>
      </c>
      <c r="T34" s="31">
        <v>9.3460000000000001</v>
      </c>
      <c r="U34" s="31">
        <v>2.83</v>
      </c>
      <c r="V34" s="31">
        <v>5.4109999999999996</v>
      </c>
      <c r="W34" s="31">
        <v>0</v>
      </c>
      <c r="X34" s="31">
        <v>0</v>
      </c>
      <c r="Y34" s="31">
        <v>12.667999999999999</v>
      </c>
      <c r="Z34" s="31">
        <v>0</v>
      </c>
      <c r="AA34" s="31">
        <v>0</v>
      </c>
      <c r="AB34" s="31">
        <v>8.6890000000000001</v>
      </c>
      <c r="AC34" s="31">
        <v>5.5039999999999996</v>
      </c>
      <c r="AD34" s="31">
        <v>4.2053928571428578</v>
      </c>
    </row>
    <row r="35" spans="1:30" x14ac:dyDescent="0.3">
      <c r="A35" s="39" t="s">
        <v>734</v>
      </c>
      <c r="B35" s="31">
        <v>0</v>
      </c>
      <c r="C35" s="31">
        <v>0</v>
      </c>
      <c r="D35" s="31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0</v>
      </c>
      <c r="AC35" s="31">
        <v>0</v>
      </c>
      <c r="AD35" s="31">
        <v>0</v>
      </c>
    </row>
    <row r="36" spans="1:30" x14ac:dyDescent="0.3">
      <c r="A36" s="39" t="s">
        <v>811</v>
      </c>
      <c r="B36" s="31">
        <v>0</v>
      </c>
      <c r="C36" s="31">
        <v>0</v>
      </c>
      <c r="D36" s="31">
        <v>0</v>
      </c>
      <c r="E36" s="31">
        <v>2.4359999999999999</v>
      </c>
      <c r="F36" s="31">
        <v>0</v>
      </c>
      <c r="G36" s="31">
        <v>0</v>
      </c>
      <c r="H36" s="31">
        <v>1.5169999999999999</v>
      </c>
      <c r="I36" s="31">
        <v>0</v>
      </c>
      <c r="J36" s="31">
        <v>0</v>
      </c>
      <c r="K36" s="31">
        <v>0</v>
      </c>
      <c r="L36" s="31">
        <v>9.0519999999999996</v>
      </c>
      <c r="M36" s="31">
        <v>1.5429999999999999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31">
        <v>0</v>
      </c>
      <c r="AD36" s="31">
        <v>0.51957142857142846</v>
      </c>
    </row>
    <row r="37" spans="1:30" x14ac:dyDescent="0.3">
      <c r="A37" s="39" t="s">
        <v>735</v>
      </c>
      <c r="B37" s="31">
        <v>22.811</v>
      </c>
      <c r="C37" s="31">
        <v>6.3100000000000005</v>
      </c>
      <c r="D37" s="31">
        <v>14.444999999999999</v>
      </c>
      <c r="E37" s="31">
        <v>17.584</v>
      </c>
      <c r="F37" s="31">
        <v>5.5049999999999999</v>
      </c>
      <c r="G37" s="31">
        <v>6.4260000000000002</v>
      </c>
      <c r="H37" s="31">
        <v>7.4320000000000004</v>
      </c>
      <c r="I37" s="31">
        <v>4.1989999999999998</v>
      </c>
      <c r="J37" s="31">
        <v>9.1590000000000007</v>
      </c>
      <c r="K37" s="31">
        <v>17.559000000000001</v>
      </c>
      <c r="L37" s="31">
        <v>10.645000000000001</v>
      </c>
      <c r="M37" s="31">
        <v>33.702000000000005</v>
      </c>
      <c r="N37" s="31">
        <v>6.7620000000000005</v>
      </c>
      <c r="O37" s="31">
        <v>4.4909999999999997</v>
      </c>
      <c r="P37" s="31">
        <v>5.4109999999999996</v>
      </c>
      <c r="Q37" s="31">
        <v>21.938000000000002</v>
      </c>
      <c r="R37" s="31">
        <v>1.647</v>
      </c>
      <c r="S37" s="31">
        <v>45.432000000000002</v>
      </c>
      <c r="T37" s="31">
        <v>4.8550000000000004</v>
      </c>
      <c r="U37" s="31">
        <v>26.167999999999999</v>
      </c>
      <c r="V37" s="31">
        <v>7.2110000000000003</v>
      </c>
      <c r="W37" s="31">
        <v>20.086999999999996</v>
      </c>
      <c r="X37" s="31">
        <v>15.7</v>
      </c>
      <c r="Y37" s="31">
        <v>8.1379999999999999</v>
      </c>
      <c r="Z37" s="31">
        <v>17.198999999999998</v>
      </c>
      <c r="AA37" s="31">
        <v>21.641999999999999</v>
      </c>
      <c r="AB37" s="31">
        <v>4.4829999999999997</v>
      </c>
      <c r="AC37" s="31">
        <v>4.782</v>
      </c>
      <c r="AD37" s="31">
        <v>13.275821428571428</v>
      </c>
    </row>
    <row r="38" spans="1:30" x14ac:dyDescent="0.3">
      <c r="A38" s="39" t="s">
        <v>736</v>
      </c>
      <c r="B38" s="31">
        <v>0</v>
      </c>
      <c r="C38" s="31">
        <v>0</v>
      </c>
      <c r="D38" s="31">
        <v>0</v>
      </c>
      <c r="E38" s="31">
        <v>0</v>
      </c>
      <c r="F38" s="31">
        <v>2.6949999999999998</v>
      </c>
      <c r="G38" s="31">
        <v>0</v>
      </c>
      <c r="H38" s="31">
        <v>2.2080000000000002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1.6919999999999999</v>
      </c>
      <c r="P38" s="31">
        <v>0</v>
      </c>
      <c r="Q38" s="31">
        <v>0</v>
      </c>
      <c r="R38" s="31">
        <v>0</v>
      </c>
      <c r="S38" s="31">
        <v>2.2410000000000001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1.587</v>
      </c>
      <c r="AB38" s="31">
        <v>0</v>
      </c>
      <c r="AC38" s="31">
        <v>0</v>
      </c>
      <c r="AD38" s="31">
        <v>0.37225000000000003</v>
      </c>
    </row>
    <row r="39" spans="1:30" x14ac:dyDescent="0.3">
      <c r="A39" s="39" t="s">
        <v>780</v>
      </c>
      <c r="B39" s="31">
        <v>0</v>
      </c>
      <c r="C39" s="31">
        <v>0</v>
      </c>
      <c r="D39" s="31">
        <v>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  <c r="AC39" s="31">
        <v>0</v>
      </c>
      <c r="AD39" s="31">
        <v>0</v>
      </c>
    </row>
    <row r="40" spans="1:30" x14ac:dyDescent="0.3">
      <c r="A40" s="39" t="s">
        <v>856</v>
      </c>
      <c r="B40" s="31">
        <v>0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</row>
    <row r="41" spans="1:30" x14ac:dyDescent="0.3">
      <c r="A41" s="39" t="s">
        <v>935</v>
      </c>
      <c r="B41" s="31">
        <v>0</v>
      </c>
      <c r="C41" s="31">
        <v>0</v>
      </c>
      <c r="D41" s="31">
        <v>0</v>
      </c>
      <c r="E41" s="31">
        <v>1.56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5.5714285714285716E-2</v>
      </c>
    </row>
    <row r="42" spans="1:30" x14ac:dyDescent="0.3">
      <c r="A42" s="39" t="s">
        <v>777</v>
      </c>
      <c r="B42" s="31">
        <v>0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</row>
    <row r="43" spans="1:30" x14ac:dyDescent="0.3">
      <c r="A43" s="39" t="s">
        <v>782</v>
      </c>
      <c r="B43" s="31">
        <v>0</v>
      </c>
      <c r="C43" s="31">
        <v>0</v>
      </c>
      <c r="D43" s="31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0.95899999999999996</v>
      </c>
      <c r="L43" s="31">
        <v>0</v>
      </c>
      <c r="M43" s="31">
        <v>2.7269999999999999</v>
      </c>
      <c r="N43" s="31">
        <v>1E-3</v>
      </c>
      <c r="O43" s="31">
        <v>0</v>
      </c>
      <c r="P43" s="31">
        <v>0.126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31">
        <v>0</v>
      </c>
      <c r="AD43" s="31">
        <v>0.13617857142857143</v>
      </c>
    </row>
    <row r="44" spans="1:30" x14ac:dyDescent="0.3">
      <c r="A44" s="39" t="s">
        <v>803</v>
      </c>
      <c r="B44" s="31">
        <v>0</v>
      </c>
      <c r="C44" s="31">
        <v>0</v>
      </c>
      <c r="D44" s="31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</row>
    <row r="45" spans="1:30" x14ac:dyDescent="0.3">
      <c r="A45" s="39" t="s">
        <v>737</v>
      </c>
      <c r="B45" s="31">
        <v>9.1769999999999996</v>
      </c>
      <c r="C45" s="31">
        <v>0</v>
      </c>
      <c r="D45" s="31">
        <v>9.3089999999999993</v>
      </c>
      <c r="E45" s="31">
        <v>19.798999999999999</v>
      </c>
      <c r="F45" s="31">
        <v>0</v>
      </c>
      <c r="G45" s="31">
        <v>19.489000000000001</v>
      </c>
      <c r="H45" s="31">
        <v>11.635000000000002</v>
      </c>
      <c r="I45" s="31">
        <v>0</v>
      </c>
      <c r="J45" s="31">
        <v>0</v>
      </c>
      <c r="K45" s="31">
        <v>7.6470000000000002</v>
      </c>
      <c r="L45" s="31">
        <v>15.631</v>
      </c>
      <c r="M45" s="31">
        <v>7.5570000000000004</v>
      </c>
      <c r="N45" s="31">
        <v>11.915000000000001</v>
      </c>
      <c r="O45" s="31">
        <v>7.07</v>
      </c>
      <c r="P45" s="31">
        <v>0</v>
      </c>
      <c r="Q45" s="31">
        <v>0</v>
      </c>
      <c r="R45" s="31">
        <v>9.3120000000000012</v>
      </c>
      <c r="S45" s="31">
        <v>4.6639999999999997</v>
      </c>
      <c r="T45" s="31">
        <v>4.577</v>
      </c>
      <c r="U45" s="31">
        <v>0</v>
      </c>
      <c r="V45" s="31">
        <v>2.9390000000000001</v>
      </c>
      <c r="W45" s="31">
        <v>5.6130000000000004</v>
      </c>
      <c r="X45" s="31">
        <v>0</v>
      </c>
      <c r="Y45" s="31">
        <v>11.196000000000002</v>
      </c>
      <c r="Z45" s="31">
        <v>22.859000000000002</v>
      </c>
      <c r="AA45" s="31">
        <v>0</v>
      </c>
      <c r="AB45" s="31">
        <v>15.177</v>
      </c>
      <c r="AC45" s="31">
        <v>14.776</v>
      </c>
      <c r="AD45" s="31">
        <v>7.5122142857142862</v>
      </c>
    </row>
    <row r="46" spans="1:30" x14ac:dyDescent="0.3">
      <c r="A46" s="39" t="s">
        <v>781</v>
      </c>
      <c r="B46" s="31">
        <v>0</v>
      </c>
      <c r="C46" s="31">
        <v>0</v>
      </c>
      <c r="D46" s="31">
        <v>0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</row>
    <row r="47" spans="1:30" x14ac:dyDescent="0.3">
      <c r="A47" s="39" t="s">
        <v>94</v>
      </c>
      <c r="B47" s="31">
        <v>0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</row>
    <row r="48" spans="1:30" x14ac:dyDescent="0.3">
      <c r="A48" s="39" t="s">
        <v>117</v>
      </c>
      <c r="B48" s="31">
        <v>0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</row>
    <row r="49" spans="1:30" x14ac:dyDescent="0.3">
      <c r="A49" s="39" t="s">
        <v>115</v>
      </c>
      <c r="B49" s="31">
        <v>0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</row>
    <row r="50" spans="1:30" x14ac:dyDescent="0.3">
      <c r="A50" s="39" t="s">
        <v>122</v>
      </c>
      <c r="B50" s="31">
        <v>0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</row>
    <row r="51" spans="1:30" x14ac:dyDescent="0.3">
      <c r="A51" s="39" t="s">
        <v>739</v>
      </c>
      <c r="B51" s="31">
        <v>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</row>
    <row r="52" spans="1:30" x14ac:dyDescent="0.3">
      <c r="A52" s="39" t="s">
        <v>740</v>
      </c>
      <c r="B52" s="31">
        <v>200.511</v>
      </c>
      <c r="C52" s="31">
        <v>172.29200000000003</v>
      </c>
      <c r="D52" s="31">
        <v>152.613</v>
      </c>
      <c r="E52" s="31">
        <v>117.61999999999996</v>
      </c>
      <c r="F52" s="31">
        <v>219.34700000000007</v>
      </c>
      <c r="G52" s="31">
        <v>176.17200000000003</v>
      </c>
      <c r="H52" s="31">
        <v>167.63799999999998</v>
      </c>
      <c r="I52" s="31">
        <v>123.54500000000002</v>
      </c>
      <c r="J52" s="31">
        <v>172.78500000000003</v>
      </c>
      <c r="K52" s="31">
        <v>195.48599999999996</v>
      </c>
      <c r="L52" s="31">
        <v>150.316</v>
      </c>
      <c r="M52" s="31">
        <v>152.50800000000001</v>
      </c>
      <c r="N52" s="31">
        <v>123.556</v>
      </c>
      <c r="O52" s="31">
        <v>160.29999999999995</v>
      </c>
      <c r="P52" s="31">
        <v>140.81100000000001</v>
      </c>
      <c r="Q52" s="31">
        <v>146.00200000000001</v>
      </c>
      <c r="R52" s="31">
        <v>160.68100000000004</v>
      </c>
      <c r="S52" s="31">
        <v>135.14400000000001</v>
      </c>
      <c r="T52" s="31">
        <v>130.66199999999998</v>
      </c>
      <c r="U52" s="31">
        <v>154.51000000000002</v>
      </c>
      <c r="V52" s="31">
        <v>156.911</v>
      </c>
      <c r="W52" s="31">
        <v>135.74900000000002</v>
      </c>
      <c r="X52" s="31">
        <v>125.53299999999999</v>
      </c>
      <c r="Y52" s="31">
        <v>157.79100000000003</v>
      </c>
      <c r="Z52" s="31">
        <v>128.47300000000004</v>
      </c>
      <c r="AA52" s="31">
        <v>164.80699999999999</v>
      </c>
      <c r="AB52" s="31">
        <v>161.26400000000001</v>
      </c>
      <c r="AC52" s="31">
        <v>184.46899999999999</v>
      </c>
      <c r="AD52" s="31">
        <v>155.982</v>
      </c>
    </row>
    <row r="53" spans="1:30" x14ac:dyDescent="0.3">
      <c r="A53" s="39" t="s">
        <v>741</v>
      </c>
      <c r="B53" s="31">
        <v>0</v>
      </c>
      <c r="C53" s="31">
        <v>0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</row>
    <row r="54" spans="1:30" x14ac:dyDescent="0.3">
      <c r="A54" s="39" t="s">
        <v>797</v>
      </c>
      <c r="B54" s="31">
        <v>0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0.72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2.5714285714285714E-2</v>
      </c>
    </row>
    <row r="55" spans="1:30" x14ac:dyDescent="0.3">
      <c r="A55" s="39" t="s">
        <v>799</v>
      </c>
      <c r="B55" s="31">
        <v>0</v>
      </c>
      <c r="C55" s="31">
        <v>0</v>
      </c>
      <c r="D55" s="31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</row>
    <row r="56" spans="1:30" x14ac:dyDescent="0.3">
      <c r="A56" s="39" t="s">
        <v>798</v>
      </c>
      <c r="B56" s="31">
        <v>0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</row>
    <row r="57" spans="1:30" x14ac:dyDescent="0.3">
      <c r="A57" s="39" t="s">
        <v>810</v>
      </c>
      <c r="B57" s="31">
        <v>0</v>
      </c>
      <c r="C57" s="31">
        <v>0</v>
      </c>
      <c r="D57" s="31">
        <v>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</row>
    <row r="58" spans="1:30" x14ac:dyDescent="0.3">
      <c r="A58" s="39" t="s">
        <v>800</v>
      </c>
      <c r="B58" s="31">
        <v>0</v>
      </c>
      <c r="C58" s="31">
        <v>0</v>
      </c>
      <c r="D58" s="31">
        <v>0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</row>
    <row r="59" spans="1:30" x14ac:dyDescent="0.3">
      <c r="A59" s="39" t="s">
        <v>771</v>
      </c>
      <c r="B59" s="31">
        <v>182.37499999999997</v>
      </c>
      <c r="C59" s="31">
        <v>116.27</v>
      </c>
      <c r="D59" s="31">
        <v>295.11999999999995</v>
      </c>
      <c r="E59" s="31">
        <v>444.09000000000003</v>
      </c>
      <c r="F59" s="31">
        <v>559.13999999999987</v>
      </c>
      <c r="G59" s="31">
        <v>414.74000000000007</v>
      </c>
      <c r="H59" s="31">
        <v>408.66</v>
      </c>
      <c r="I59" s="31">
        <v>169.70999999999998</v>
      </c>
      <c r="J59" s="31">
        <v>168.12</v>
      </c>
      <c r="K59" s="31">
        <v>343.91999999999996</v>
      </c>
      <c r="L59" s="31">
        <v>424.71</v>
      </c>
      <c r="M59" s="31">
        <v>481.81000000000006</v>
      </c>
      <c r="N59" s="31">
        <v>448.28000000000009</v>
      </c>
      <c r="O59" s="31">
        <v>444.30000000000007</v>
      </c>
      <c r="P59" s="31">
        <v>232.10000000000002</v>
      </c>
      <c r="Q59" s="31">
        <v>210.18</v>
      </c>
      <c r="R59" s="31">
        <v>374.78999999999996</v>
      </c>
      <c r="S59" s="31">
        <v>389.87</v>
      </c>
      <c r="T59" s="31">
        <v>428.60999999999996</v>
      </c>
      <c r="U59" s="31">
        <v>528.82000000000005</v>
      </c>
      <c r="V59" s="31">
        <v>462.60000000000008</v>
      </c>
      <c r="W59" s="31">
        <v>232.24</v>
      </c>
      <c r="X59" s="31">
        <v>166.47</v>
      </c>
      <c r="Y59" s="31">
        <v>349.6400000000001</v>
      </c>
      <c r="Z59" s="31">
        <v>511.875</v>
      </c>
      <c r="AA59" s="31">
        <v>483.85</v>
      </c>
      <c r="AB59" s="31">
        <v>371.69999999999993</v>
      </c>
      <c r="AC59" s="31">
        <v>405.64</v>
      </c>
      <c r="AD59" s="31">
        <v>360.29214285714289</v>
      </c>
    </row>
    <row r="60" spans="1:30" x14ac:dyDescent="0.3">
      <c r="A60" s="39" t="s">
        <v>796</v>
      </c>
      <c r="B60" s="31">
        <v>0</v>
      </c>
      <c r="C60" s="31">
        <v>37.93</v>
      </c>
      <c r="D60" s="31">
        <v>0</v>
      </c>
      <c r="E60" s="31">
        <v>0</v>
      </c>
      <c r="F60" s="31">
        <v>32.966000000000001</v>
      </c>
      <c r="G60" s="31">
        <v>0</v>
      </c>
      <c r="H60" s="31">
        <v>0</v>
      </c>
      <c r="I60" s="31">
        <v>0</v>
      </c>
      <c r="J60" s="31">
        <v>32.624000000000002</v>
      </c>
      <c r="K60" s="31">
        <v>0</v>
      </c>
      <c r="L60" s="31">
        <v>0</v>
      </c>
      <c r="M60" s="31">
        <v>32.325000000000003</v>
      </c>
      <c r="N60" s="31">
        <v>0</v>
      </c>
      <c r="O60" s="31">
        <v>4.5609999999999999</v>
      </c>
      <c r="P60" s="31">
        <v>36.093000000000004</v>
      </c>
      <c r="Q60" s="31">
        <v>0</v>
      </c>
      <c r="R60" s="31">
        <v>31.547000000000001</v>
      </c>
      <c r="S60" s="31">
        <v>0</v>
      </c>
      <c r="T60" s="31">
        <v>0</v>
      </c>
      <c r="U60" s="31">
        <v>0</v>
      </c>
      <c r="V60" s="31">
        <v>34.941000000000003</v>
      </c>
      <c r="W60" s="31">
        <v>39.71</v>
      </c>
      <c r="X60" s="31">
        <v>0</v>
      </c>
      <c r="Y60" s="31">
        <v>64.295000000000002</v>
      </c>
      <c r="Z60" s="31">
        <v>13.525</v>
      </c>
      <c r="AA60" s="31">
        <v>36.014000000000003</v>
      </c>
      <c r="AB60" s="31">
        <v>11.929</v>
      </c>
      <c r="AC60" s="31">
        <v>0</v>
      </c>
      <c r="AD60" s="31">
        <v>14.587857142857143</v>
      </c>
    </row>
    <row r="61" spans="1:30" x14ac:dyDescent="0.3">
      <c r="A61" s="39" t="s">
        <v>742</v>
      </c>
      <c r="B61" s="31">
        <v>15.663999999999998</v>
      </c>
      <c r="C61" s="31">
        <v>2.4790000000000001</v>
      </c>
      <c r="D61" s="31">
        <v>8.5359999999999996</v>
      </c>
      <c r="E61" s="31">
        <v>16.713999999999999</v>
      </c>
      <c r="F61" s="31">
        <v>41.338000000000001</v>
      </c>
      <c r="G61" s="31">
        <v>18.442</v>
      </c>
      <c r="H61" s="31">
        <v>15.824</v>
      </c>
      <c r="I61" s="31">
        <v>17.387</v>
      </c>
      <c r="J61" s="31">
        <v>37.195999999999998</v>
      </c>
      <c r="K61" s="31">
        <v>9.8559999999999999</v>
      </c>
      <c r="L61" s="31">
        <v>69.790999999999997</v>
      </c>
      <c r="M61" s="31">
        <v>14.178999999999998</v>
      </c>
      <c r="N61" s="31">
        <v>32.933</v>
      </c>
      <c r="O61" s="31">
        <v>41.850999999999999</v>
      </c>
      <c r="P61" s="31">
        <v>19.635999999999999</v>
      </c>
      <c r="Q61" s="31">
        <v>45.97</v>
      </c>
      <c r="R61" s="31">
        <v>38.974000000000004</v>
      </c>
      <c r="S61" s="31">
        <v>68.586000000000013</v>
      </c>
      <c r="T61" s="31">
        <v>65.480999999999995</v>
      </c>
      <c r="U61" s="31">
        <v>32.902999999999999</v>
      </c>
      <c r="V61" s="31">
        <v>20.029000000000003</v>
      </c>
      <c r="W61" s="31">
        <v>19.63</v>
      </c>
      <c r="X61" s="31">
        <v>5.4689999999999994</v>
      </c>
      <c r="Y61" s="31">
        <v>42.863</v>
      </c>
      <c r="Z61" s="31">
        <v>40.545999999999992</v>
      </c>
      <c r="AA61" s="31">
        <v>26.793000000000003</v>
      </c>
      <c r="AB61" s="31">
        <v>42.415999999999997</v>
      </c>
      <c r="AC61" s="31">
        <v>29.578000000000003</v>
      </c>
      <c r="AD61" s="31">
        <v>30.038</v>
      </c>
    </row>
    <row r="62" spans="1:30" x14ac:dyDescent="0.3">
      <c r="A62" s="39" t="s">
        <v>743</v>
      </c>
      <c r="B62" s="31">
        <v>3.9590000000000001</v>
      </c>
      <c r="C62" s="31">
        <v>3.1829999999999998</v>
      </c>
      <c r="D62" s="31">
        <v>6.9960000000000004</v>
      </c>
      <c r="E62" s="31">
        <v>3.67</v>
      </c>
      <c r="F62" s="31">
        <v>8.7530000000000001</v>
      </c>
      <c r="G62" s="31">
        <v>22.676000000000002</v>
      </c>
      <c r="H62" s="31">
        <v>5.5880000000000001</v>
      </c>
      <c r="I62" s="31">
        <v>3.698</v>
      </c>
      <c r="J62" s="31">
        <v>1.3080000000000001</v>
      </c>
      <c r="K62" s="31">
        <v>12.561</v>
      </c>
      <c r="L62" s="31">
        <v>36.207999999999998</v>
      </c>
      <c r="M62" s="31">
        <v>13.696</v>
      </c>
      <c r="N62" s="31">
        <v>54.896000000000001</v>
      </c>
      <c r="O62" s="31">
        <v>13.943000000000001</v>
      </c>
      <c r="P62" s="31">
        <v>3.12</v>
      </c>
      <c r="Q62" s="31">
        <v>3.6709999999999998</v>
      </c>
      <c r="R62" s="31">
        <v>3.0529999999999999</v>
      </c>
      <c r="S62" s="31">
        <v>7.7069999999999999</v>
      </c>
      <c r="T62" s="31">
        <v>5.7769999999999992</v>
      </c>
      <c r="U62" s="31">
        <v>3.7029999999999998</v>
      </c>
      <c r="V62" s="31">
        <v>2.7429999999999999</v>
      </c>
      <c r="W62" s="31">
        <v>3.431</v>
      </c>
      <c r="X62" s="31">
        <v>2.39</v>
      </c>
      <c r="Y62" s="31">
        <v>4.5060000000000002</v>
      </c>
      <c r="Z62" s="31">
        <v>2.359</v>
      </c>
      <c r="AA62" s="31">
        <v>2.3540000000000001</v>
      </c>
      <c r="AB62" s="31">
        <v>5.4030000000000005</v>
      </c>
      <c r="AC62" s="31">
        <v>3.3730000000000002</v>
      </c>
      <c r="AD62" s="31">
        <v>8.7401785714285705</v>
      </c>
    </row>
    <row r="63" spans="1:30" x14ac:dyDescent="0.3">
      <c r="A63" s="39" t="s">
        <v>744</v>
      </c>
      <c r="B63" s="31">
        <v>0</v>
      </c>
      <c r="C63" s="31">
        <v>0</v>
      </c>
      <c r="D63" s="31">
        <v>0</v>
      </c>
      <c r="E63" s="31">
        <v>0</v>
      </c>
      <c r="F63" s="31">
        <v>0</v>
      </c>
      <c r="G63" s="31">
        <v>0</v>
      </c>
      <c r="H63" s="31">
        <v>2.4009999999999998</v>
      </c>
      <c r="I63" s="31">
        <v>0</v>
      </c>
      <c r="J63" s="31">
        <v>0</v>
      </c>
      <c r="K63" s="31">
        <v>0</v>
      </c>
      <c r="L63" s="31">
        <v>1.383</v>
      </c>
      <c r="M63" s="31">
        <v>3.456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31">
        <v>0</v>
      </c>
      <c r="AD63" s="31">
        <v>0.25857142857142856</v>
      </c>
    </row>
    <row r="64" spans="1:30" x14ac:dyDescent="0.3">
      <c r="A64" s="39" t="s">
        <v>789</v>
      </c>
      <c r="B64" s="31">
        <v>0</v>
      </c>
      <c r="C64" s="31">
        <v>0</v>
      </c>
      <c r="D64" s="31">
        <v>0</v>
      </c>
      <c r="E64" s="31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</row>
    <row r="65" spans="1:30" x14ac:dyDescent="0.3">
      <c r="A65" s="39" t="s">
        <v>843</v>
      </c>
      <c r="B65" s="31">
        <v>0</v>
      </c>
      <c r="C65" s="31">
        <v>0</v>
      </c>
      <c r="D65" s="31">
        <v>0</v>
      </c>
      <c r="E65" s="3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5.22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3.6399999999999997</v>
      </c>
      <c r="S65" s="31">
        <v>0</v>
      </c>
      <c r="T65" s="31">
        <v>0</v>
      </c>
      <c r="U65" s="31">
        <v>2.2600000000000002</v>
      </c>
      <c r="V65" s="31">
        <v>0</v>
      </c>
      <c r="W65" s="31">
        <v>0</v>
      </c>
      <c r="X65" s="31">
        <v>11.231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0.79825000000000002</v>
      </c>
    </row>
    <row r="66" spans="1:30" x14ac:dyDescent="0.3">
      <c r="A66" s="39" t="s">
        <v>783</v>
      </c>
      <c r="B66" s="31">
        <v>0</v>
      </c>
      <c r="C66" s="31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31">
        <v>0</v>
      </c>
      <c r="AD66" s="31">
        <v>0</v>
      </c>
    </row>
    <row r="67" spans="1:30" x14ac:dyDescent="0.3">
      <c r="A67" s="39" t="s">
        <v>883</v>
      </c>
      <c r="B67" s="31">
        <v>0</v>
      </c>
      <c r="C67" s="31">
        <v>0</v>
      </c>
      <c r="D67" s="31">
        <v>0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</v>
      </c>
      <c r="AD67" s="31">
        <v>0</v>
      </c>
    </row>
    <row r="68" spans="1:30" x14ac:dyDescent="0.3">
      <c r="A68" s="39" t="s">
        <v>788</v>
      </c>
      <c r="B68" s="31">
        <v>0</v>
      </c>
      <c r="C68" s="31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0</v>
      </c>
    </row>
    <row r="69" spans="1:30" x14ac:dyDescent="0.3">
      <c r="A69" s="39" t="s">
        <v>792</v>
      </c>
      <c r="B69" s="31">
        <v>15.530000000000001</v>
      </c>
      <c r="C69" s="31">
        <v>0</v>
      </c>
      <c r="D69" s="31">
        <v>0</v>
      </c>
      <c r="E69" s="31">
        <v>0</v>
      </c>
      <c r="F69" s="31">
        <v>0</v>
      </c>
      <c r="G69" s="31">
        <v>7.0990000000000002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  <c r="AC69" s="31">
        <v>0</v>
      </c>
      <c r="AD69" s="31">
        <v>0.80817857142857152</v>
      </c>
    </row>
    <row r="70" spans="1:30" x14ac:dyDescent="0.3">
      <c r="A70" s="39" t="s">
        <v>824</v>
      </c>
      <c r="B70" s="31">
        <v>0</v>
      </c>
      <c r="C70" s="31">
        <v>0</v>
      </c>
      <c r="D70" s="31">
        <v>0</v>
      </c>
      <c r="E70" s="31">
        <v>0</v>
      </c>
      <c r="F70" s="31">
        <v>4.7300000000000004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0.16892857142857146</v>
      </c>
    </row>
    <row r="71" spans="1:30" x14ac:dyDescent="0.3">
      <c r="A71" s="39" t="s">
        <v>784</v>
      </c>
      <c r="B71" s="31">
        <v>0</v>
      </c>
      <c r="C71" s="31">
        <v>0</v>
      </c>
      <c r="D71" s="31">
        <v>0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31">
        <v>0</v>
      </c>
      <c r="AD71" s="31">
        <v>0</v>
      </c>
    </row>
    <row r="72" spans="1:30" x14ac:dyDescent="0.3">
      <c r="A72" s="39" t="s">
        <v>886</v>
      </c>
      <c r="B72" s="31">
        <v>0</v>
      </c>
      <c r="C72" s="31">
        <v>0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0</v>
      </c>
      <c r="AC72" s="31">
        <v>0</v>
      </c>
      <c r="AD72" s="31">
        <v>0</v>
      </c>
    </row>
    <row r="73" spans="1:30" x14ac:dyDescent="0.3">
      <c r="A73" s="39" t="s">
        <v>893</v>
      </c>
      <c r="B73" s="31">
        <v>0</v>
      </c>
      <c r="C73" s="31">
        <v>0</v>
      </c>
      <c r="D73" s="31">
        <v>0</v>
      </c>
      <c r="E73" s="31">
        <v>8.7889999999999997</v>
      </c>
      <c r="F73" s="31">
        <v>19.939999999999998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0.95099999999999996</v>
      </c>
      <c r="V73" s="31">
        <v>0</v>
      </c>
      <c r="W73" s="31">
        <v>0</v>
      </c>
      <c r="X73" s="31">
        <v>0</v>
      </c>
      <c r="Y73" s="31">
        <v>0</v>
      </c>
      <c r="Z73" s="31">
        <v>7.4489999999999998</v>
      </c>
      <c r="AA73" s="31">
        <v>0</v>
      </c>
      <c r="AB73" s="31">
        <v>0</v>
      </c>
      <c r="AC73" s="31">
        <v>0</v>
      </c>
      <c r="AD73" s="31">
        <v>1.3260357142857142</v>
      </c>
    </row>
    <row r="74" spans="1:30" x14ac:dyDescent="0.3">
      <c r="A74" s="39" t="s">
        <v>867</v>
      </c>
      <c r="B74" s="31">
        <v>0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2.48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0.64</v>
      </c>
      <c r="Z74" s="31">
        <v>0</v>
      </c>
      <c r="AA74" s="31">
        <v>0</v>
      </c>
      <c r="AB74" s="31">
        <v>0</v>
      </c>
      <c r="AC74" s="31">
        <v>0</v>
      </c>
      <c r="AD74" s="31">
        <v>0.11142857142857143</v>
      </c>
    </row>
    <row r="75" spans="1:30" x14ac:dyDescent="0.3">
      <c r="A75" s="39" t="s">
        <v>830</v>
      </c>
      <c r="B75" s="31">
        <v>0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1.2129999999999999</v>
      </c>
      <c r="AC75" s="31">
        <v>15.221000000000002</v>
      </c>
      <c r="AD75" s="31">
        <v>0.58692857142857147</v>
      </c>
    </row>
    <row r="76" spans="1:30" x14ac:dyDescent="0.3">
      <c r="A76" s="39" t="s">
        <v>896</v>
      </c>
      <c r="B76" s="31">
        <v>0</v>
      </c>
      <c r="C76" s="31">
        <v>0</v>
      </c>
      <c r="D76" s="31">
        <v>0</v>
      </c>
      <c r="E76" s="31">
        <v>0</v>
      </c>
      <c r="F76" s="31">
        <v>0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0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0</v>
      </c>
      <c r="AC76" s="31">
        <v>0</v>
      </c>
      <c r="AD76" s="31">
        <v>0</v>
      </c>
    </row>
    <row r="77" spans="1:30" x14ac:dyDescent="0.3">
      <c r="A77" s="39" t="s">
        <v>772</v>
      </c>
      <c r="B77" s="31">
        <v>0</v>
      </c>
      <c r="C77" s="31">
        <v>0</v>
      </c>
      <c r="D77" s="31">
        <v>0</v>
      </c>
      <c r="E77" s="31">
        <v>0</v>
      </c>
      <c r="F77" s="31">
        <v>14.709999999999999</v>
      </c>
      <c r="G77" s="31">
        <v>13.59</v>
      </c>
      <c r="H77" s="31">
        <v>7.89</v>
      </c>
      <c r="I77" s="31">
        <v>34.04</v>
      </c>
      <c r="J77" s="31">
        <v>23.17</v>
      </c>
      <c r="K77" s="31">
        <v>55.62</v>
      </c>
      <c r="L77" s="31">
        <v>33.07</v>
      </c>
      <c r="M77" s="31">
        <v>33.650000000000006</v>
      </c>
      <c r="N77" s="31">
        <v>57.36</v>
      </c>
      <c r="O77" s="31">
        <v>36.58</v>
      </c>
      <c r="P77" s="31">
        <v>17.32</v>
      </c>
      <c r="Q77" s="31">
        <v>24.38</v>
      </c>
      <c r="R77" s="31">
        <v>50.27</v>
      </c>
      <c r="S77" s="31">
        <v>26.09</v>
      </c>
      <c r="T77" s="31">
        <v>0</v>
      </c>
      <c r="U77" s="31">
        <v>0</v>
      </c>
      <c r="V77" s="31">
        <v>0</v>
      </c>
      <c r="W77" s="31">
        <v>13.55</v>
      </c>
      <c r="X77" s="31">
        <v>12.15</v>
      </c>
      <c r="Y77" s="31">
        <v>25.73</v>
      </c>
      <c r="Z77" s="31">
        <v>22.82</v>
      </c>
      <c r="AA77" s="31">
        <v>8.77</v>
      </c>
      <c r="AB77" s="31">
        <v>32.93</v>
      </c>
      <c r="AC77" s="31">
        <v>40.699999999999996</v>
      </c>
      <c r="AD77" s="31">
        <v>20.871071428571423</v>
      </c>
    </row>
    <row r="78" spans="1:30" x14ac:dyDescent="0.3">
      <c r="A78" s="39" t="s">
        <v>801</v>
      </c>
      <c r="B78" s="31">
        <v>0</v>
      </c>
      <c r="C78" s="31">
        <v>0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0</v>
      </c>
      <c r="AC78" s="31">
        <v>0</v>
      </c>
      <c r="AD78" s="31">
        <v>0</v>
      </c>
    </row>
    <row r="79" spans="1:30" x14ac:dyDescent="0.3">
      <c r="A79" s="39" t="s">
        <v>834</v>
      </c>
      <c r="B79" s="31">
        <v>0</v>
      </c>
      <c r="C79" s="31">
        <v>0</v>
      </c>
      <c r="D79" s="31">
        <v>0</v>
      </c>
      <c r="E79" s="31">
        <v>0</v>
      </c>
      <c r="F79" s="31">
        <v>0</v>
      </c>
      <c r="G79" s="31">
        <v>0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0</v>
      </c>
      <c r="V79" s="31">
        <v>0</v>
      </c>
      <c r="W79" s="31">
        <v>0</v>
      </c>
      <c r="X79" s="31">
        <v>0</v>
      </c>
      <c r="Y79" s="31">
        <v>0</v>
      </c>
      <c r="Z79" s="31">
        <v>0</v>
      </c>
      <c r="AA79" s="31">
        <v>0</v>
      </c>
      <c r="AB79" s="31">
        <v>0</v>
      </c>
      <c r="AC79" s="31">
        <v>0</v>
      </c>
      <c r="AD79" s="31">
        <v>0</v>
      </c>
    </row>
    <row r="80" spans="1:30" x14ac:dyDescent="0.3">
      <c r="A80" s="39" t="s">
        <v>794</v>
      </c>
      <c r="B80" s="31">
        <v>0</v>
      </c>
      <c r="C80" s="31">
        <v>0</v>
      </c>
      <c r="D80" s="31">
        <v>0</v>
      </c>
      <c r="E80" s="31">
        <v>0</v>
      </c>
      <c r="F80" s="31">
        <v>0</v>
      </c>
      <c r="G80" s="31">
        <v>0</v>
      </c>
      <c r="H80" s="31">
        <v>0</v>
      </c>
      <c r="I80" s="31">
        <v>0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0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0</v>
      </c>
      <c r="W80" s="31">
        <v>0</v>
      </c>
      <c r="X80" s="31">
        <v>0</v>
      </c>
      <c r="Y80" s="31">
        <v>0</v>
      </c>
      <c r="Z80" s="31">
        <v>0</v>
      </c>
      <c r="AA80" s="31">
        <v>0</v>
      </c>
      <c r="AB80" s="31">
        <v>0</v>
      </c>
      <c r="AC80" s="31">
        <v>0</v>
      </c>
      <c r="AD80" s="31">
        <v>0</v>
      </c>
    </row>
    <row r="81" spans="1:30" x14ac:dyDescent="0.3">
      <c r="A81" s="39" t="s">
        <v>791</v>
      </c>
      <c r="B81" s="31">
        <v>0</v>
      </c>
      <c r="C81" s="31">
        <v>0</v>
      </c>
      <c r="D81" s="31">
        <v>0</v>
      </c>
      <c r="E81" s="31">
        <v>0</v>
      </c>
      <c r="F81" s="31">
        <v>0</v>
      </c>
      <c r="G81" s="31">
        <v>0</v>
      </c>
      <c r="H81" s="31">
        <v>0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0</v>
      </c>
    </row>
    <row r="82" spans="1:30" x14ac:dyDescent="0.3">
      <c r="A82" s="39" t="s">
        <v>793</v>
      </c>
      <c r="B82" s="31">
        <v>0</v>
      </c>
      <c r="C82" s="31">
        <v>0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31">
        <v>0</v>
      </c>
      <c r="AD82" s="31">
        <v>0</v>
      </c>
    </row>
    <row r="83" spans="1:30" x14ac:dyDescent="0.3">
      <c r="A83" s="39" t="s">
        <v>745</v>
      </c>
      <c r="B83" s="31">
        <v>70.302000000000007</v>
      </c>
      <c r="C83" s="31">
        <v>59.512</v>
      </c>
      <c r="D83" s="31">
        <v>90.622</v>
      </c>
      <c r="E83" s="31">
        <v>53.400999999999989</v>
      </c>
      <c r="F83" s="31">
        <v>89.561000000000007</v>
      </c>
      <c r="G83" s="31">
        <v>72.927999999999997</v>
      </c>
      <c r="H83" s="31">
        <v>105.84399999999999</v>
      </c>
      <c r="I83" s="31">
        <v>85.263000000000005</v>
      </c>
      <c r="J83" s="31">
        <v>30.684999999999999</v>
      </c>
      <c r="K83" s="31">
        <v>124.102</v>
      </c>
      <c r="L83" s="31">
        <v>59.761000000000003</v>
      </c>
      <c r="M83" s="31">
        <v>92.455999999999989</v>
      </c>
      <c r="N83" s="31">
        <v>66.977000000000004</v>
      </c>
      <c r="O83" s="31">
        <v>84.965000000000003</v>
      </c>
      <c r="P83" s="31">
        <v>71.36</v>
      </c>
      <c r="Q83" s="31">
        <v>54.313000000000002</v>
      </c>
      <c r="R83" s="31">
        <v>74.516999999999996</v>
      </c>
      <c r="S83" s="31">
        <v>83.971000000000004</v>
      </c>
      <c r="T83" s="31">
        <v>89.620000000000019</v>
      </c>
      <c r="U83" s="31">
        <v>141.34399999999999</v>
      </c>
      <c r="V83" s="31">
        <v>83.004000000000005</v>
      </c>
      <c r="W83" s="31">
        <v>153.08699999999999</v>
      </c>
      <c r="X83" s="31">
        <v>101.95599999999999</v>
      </c>
      <c r="Y83" s="31">
        <v>102.964</v>
      </c>
      <c r="Z83" s="31">
        <v>101.75999999999999</v>
      </c>
      <c r="AA83" s="31">
        <v>82.701000000000008</v>
      </c>
      <c r="AB83" s="31">
        <v>79.884</v>
      </c>
      <c r="AC83" s="31">
        <v>126.39700000000001</v>
      </c>
      <c r="AD83" s="31">
        <v>86.902035714285702</v>
      </c>
    </row>
    <row r="84" spans="1:30" x14ac:dyDescent="0.3">
      <c r="A84" s="39" t="s">
        <v>786</v>
      </c>
      <c r="B84" s="31">
        <v>21.434000000000001</v>
      </c>
      <c r="C84" s="31">
        <v>6.8949999999999996</v>
      </c>
      <c r="D84" s="31">
        <v>17.11</v>
      </c>
      <c r="E84" s="31">
        <v>21.721</v>
      </c>
      <c r="F84" s="31">
        <v>8.6939999999999991</v>
      </c>
      <c r="G84" s="31">
        <v>22.1</v>
      </c>
      <c r="H84" s="31">
        <v>24.16</v>
      </c>
      <c r="I84" s="31">
        <v>24.061</v>
      </c>
      <c r="J84" s="31">
        <v>19.93</v>
      </c>
      <c r="K84" s="31">
        <v>16.236000000000001</v>
      </c>
      <c r="L84" s="31">
        <v>8.2070000000000007</v>
      </c>
      <c r="M84" s="31">
        <v>24.149000000000001</v>
      </c>
      <c r="N84" s="31">
        <v>16.080000000000002</v>
      </c>
      <c r="O84" s="31">
        <v>7.9379999999999997</v>
      </c>
      <c r="P84" s="31">
        <v>12.314000000000002</v>
      </c>
      <c r="Q84" s="31">
        <v>18.420999999999999</v>
      </c>
      <c r="R84" s="31">
        <v>17.744999999999997</v>
      </c>
      <c r="S84" s="31">
        <v>15.047000000000001</v>
      </c>
      <c r="T84" s="31">
        <v>1.9059999999999999</v>
      </c>
      <c r="U84" s="31">
        <v>14.425000000000001</v>
      </c>
      <c r="V84" s="31">
        <v>1.617</v>
      </c>
      <c r="W84" s="31">
        <v>11.795</v>
      </c>
      <c r="X84" s="31">
        <v>20.446999999999999</v>
      </c>
      <c r="Y84" s="31">
        <v>16.417000000000002</v>
      </c>
      <c r="Z84" s="31">
        <v>11.850000000000001</v>
      </c>
      <c r="AA84" s="31">
        <v>14.317</v>
      </c>
      <c r="AB84" s="31">
        <v>7.4740000000000002</v>
      </c>
      <c r="AC84" s="31">
        <v>9.3509999999999991</v>
      </c>
      <c r="AD84" s="31">
        <v>14.708607142857145</v>
      </c>
    </row>
    <row r="85" spans="1:30" x14ac:dyDescent="0.3">
      <c r="A85" s="39" t="s">
        <v>747</v>
      </c>
      <c r="B85" s="31">
        <v>168.90200000000002</v>
      </c>
      <c r="C85" s="31">
        <v>156.51399999999998</v>
      </c>
      <c r="D85" s="31">
        <v>150.85700000000003</v>
      </c>
      <c r="E85" s="31">
        <v>204.78200000000004</v>
      </c>
      <c r="F85" s="31">
        <v>199.04400000000001</v>
      </c>
      <c r="G85" s="31">
        <v>153.191</v>
      </c>
      <c r="H85" s="31">
        <v>147.45900000000003</v>
      </c>
      <c r="I85" s="31">
        <v>192.68199999999999</v>
      </c>
      <c r="J85" s="31">
        <v>221.33700000000002</v>
      </c>
      <c r="K85" s="31">
        <v>225.21300000000002</v>
      </c>
      <c r="L85" s="31">
        <v>186.203</v>
      </c>
      <c r="M85" s="31">
        <v>201</v>
      </c>
      <c r="N85" s="31">
        <v>168.685</v>
      </c>
      <c r="O85" s="31">
        <v>148.80100000000002</v>
      </c>
      <c r="P85" s="31">
        <v>181.41400000000004</v>
      </c>
      <c r="Q85" s="31">
        <v>172.20100000000002</v>
      </c>
      <c r="R85" s="31">
        <v>196.15499999999997</v>
      </c>
      <c r="S85" s="31">
        <v>191.446</v>
      </c>
      <c r="T85" s="31">
        <v>157.92099999999999</v>
      </c>
      <c r="U85" s="31">
        <v>174.18500000000003</v>
      </c>
      <c r="V85" s="31">
        <v>182.911</v>
      </c>
      <c r="W85" s="31">
        <v>200.47000000000003</v>
      </c>
      <c r="X85" s="31">
        <v>252.49199999999996</v>
      </c>
      <c r="Y85" s="31">
        <v>255.60700000000006</v>
      </c>
      <c r="Z85" s="31">
        <v>168.137</v>
      </c>
      <c r="AA85" s="31">
        <v>173.249</v>
      </c>
      <c r="AB85" s="31">
        <v>131.25399999999999</v>
      </c>
      <c r="AC85" s="31">
        <v>178.58199999999997</v>
      </c>
      <c r="AD85" s="31">
        <v>183.5962142857143</v>
      </c>
    </row>
    <row r="86" spans="1:30" x14ac:dyDescent="0.3">
      <c r="A86" s="39" t="s">
        <v>748</v>
      </c>
      <c r="B86" s="31">
        <v>130.48100000000002</v>
      </c>
      <c r="C86" s="31">
        <v>138.88900000000004</v>
      </c>
      <c r="D86" s="31">
        <v>114.145</v>
      </c>
      <c r="E86" s="31">
        <v>146.09700000000001</v>
      </c>
      <c r="F86" s="31">
        <v>99.253000000000014</v>
      </c>
      <c r="G86" s="31">
        <v>67.72</v>
      </c>
      <c r="H86" s="31">
        <v>148.786</v>
      </c>
      <c r="I86" s="31">
        <v>119.92400000000001</v>
      </c>
      <c r="J86" s="31">
        <v>134.19900000000001</v>
      </c>
      <c r="K86" s="31">
        <v>104.99100000000003</v>
      </c>
      <c r="L86" s="31">
        <v>129.00400000000002</v>
      </c>
      <c r="M86" s="31">
        <v>108.24699999999997</v>
      </c>
      <c r="N86" s="31">
        <v>129.88800000000001</v>
      </c>
      <c r="O86" s="31">
        <v>60.914999999999999</v>
      </c>
      <c r="P86" s="31">
        <v>125.62600000000002</v>
      </c>
      <c r="Q86" s="31">
        <v>115.15100000000001</v>
      </c>
      <c r="R86" s="31">
        <v>78.770999999999987</v>
      </c>
      <c r="S86" s="31">
        <v>105.19</v>
      </c>
      <c r="T86" s="31">
        <v>101.41900000000001</v>
      </c>
      <c r="U86" s="31">
        <v>87.882999999999996</v>
      </c>
      <c r="V86" s="31">
        <v>118.53800000000001</v>
      </c>
      <c r="W86" s="31">
        <v>109.562</v>
      </c>
      <c r="X86" s="31">
        <v>84.775000000000006</v>
      </c>
      <c r="Y86" s="31">
        <v>75.85499999999999</v>
      </c>
      <c r="Z86" s="31">
        <v>89.546000000000021</v>
      </c>
      <c r="AA86" s="31">
        <v>71.513000000000005</v>
      </c>
      <c r="AB86" s="31">
        <v>85.487000000000023</v>
      </c>
      <c r="AC86" s="31">
        <v>101.05600000000003</v>
      </c>
      <c r="AD86" s="31">
        <v>106.5325357142857</v>
      </c>
    </row>
    <row r="87" spans="1:30" x14ac:dyDescent="0.3">
      <c r="A87" s="39" t="s">
        <v>749</v>
      </c>
      <c r="B87" s="31">
        <v>104.31099999999998</v>
      </c>
      <c r="C87" s="31">
        <v>110.13</v>
      </c>
      <c r="D87" s="31">
        <v>122.83900000000001</v>
      </c>
      <c r="E87" s="31">
        <v>89.278999999999996</v>
      </c>
      <c r="F87" s="31">
        <v>144.697</v>
      </c>
      <c r="G87" s="31">
        <v>58.552</v>
      </c>
      <c r="H87" s="31">
        <v>130.36100000000002</v>
      </c>
      <c r="I87" s="31">
        <v>98.376000000000005</v>
      </c>
      <c r="J87" s="31">
        <v>87.310999999999979</v>
      </c>
      <c r="K87" s="31">
        <v>150.87200000000001</v>
      </c>
      <c r="L87" s="31">
        <v>115.92300000000002</v>
      </c>
      <c r="M87" s="31">
        <v>90.126000000000019</v>
      </c>
      <c r="N87" s="31">
        <v>99.069000000000017</v>
      </c>
      <c r="O87" s="31">
        <v>126.22</v>
      </c>
      <c r="P87" s="31">
        <v>39.704999999999998</v>
      </c>
      <c r="Q87" s="31">
        <v>130.09799999999998</v>
      </c>
      <c r="R87" s="31">
        <v>109.47499999999998</v>
      </c>
      <c r="S87" s="31">
        <v>110.56299999999999</v>
      </c>
      <c r="T87" s="31">
        <v>87.397000000000006</v>
      </c>
      <c r="U87" s="31">
        <v>140.45400000000004</v>
      </c>
      <c r="V87" s="31">
        <v>104.97300000000001</v>
      </c>
      <c r="W87" s="31">
        <v>80.835999999999999</v>
      </c>
      <c r="X87" s="31">
        <v>97.629999999999981</v>
      </c>
      <c r="Y87" s="31">
        <v>113.61500000000001</v>
      </c>
      <c r="Z87" s="31">
        <v>104.39400000000002</v>
      </c>
      <c r="AA87" s="31">
        <v>116.10299999999999</v>
      </c>
      <c r="AB87" s="31">
        <v>86.557999999999993</v>
      </c>
      <c r="AC87" s="31">
        <v>91.461000000000027</v>
      </c>
      <c r="AD87" s="31">
        <v>105.04742857142858</v>
      </c>
    </row>
    <row r="88" spans="1:30" x14ac:dyDescent="0.3">
      <c r="A88" s="39" t="s">
        <v>750</v>
      </c>
      <c r="B88" s="31">
        <v>40.122999999999998</v>
      </c>
      <c r="C88" s="31">
        <v>28.149000000000001</v>
      </c>
      <c r="D88" s="31">
        <v>65.564000000000007</v>
      </c>
      <c r="E88" s="31">
        <v>42.204999999999998</v>
      </c>
      <c r="F88" s="31">
        <v>39.181000000000004</v>
      </c>
      <c r="G88" s="31">
        <v>37.518999999999998</v>
      </c>
      <c r="H88" s="31">
        <v>43.953000000000003</v>
      </c>
      <c r="I88" s="31">
        <v>53.222000000000008</v>
      </c>
      <c r="J88" s="31">
        <v>35.83</v>
      </c>
      <c r="K88" s="31">
        <v>50.945</v>
      </c>
      <c r="L88" s="31">
        <v>30.726999999999997</v>
      </c>
      <c r="M88" s="31">
        <v>48.045999999999999</v>
      </c>
      <c r="N88" s="31">
        <v>25.391999999999999</v>
      </c>
      <c r="O88" s="31">
        <v>48.476999999999997</v>
      </c>
      <c r="P88" s="31">
        <v>44.738</v>
      </c>
      <c r="Q88" s="31">
        <v>34.420999999999999</v>
      </c>
      <c r="R88" s="31">
        <v>39.428000000000004</v>
      </c>
      <c r="S88" s="31">
        <v>31.486000000000001</v>
      </c>
      <c r="T88" s="31">
        <v>49.628</v>
      </c>
      <c r="U88" s="31">
        <v>28.954999999999998</v>
      </c>
      <c r="V88" s="31">
        <v>52.004999999999995</v>
      </c>
      <c r="W88" s="31">
        <v>49.672999999999995</v>
      </c>
      <c r="X88" s="31">
        <v>56.550999999999995</v>
      </c>
      <c r="Y88" s="31">
        <v>43.165000000000006</v>
      </c>
      <c r="Z88" s="31">
        <v>32.484999999999999</v>
      </c>
      <c r="AA88" s="31">
        <v>52.543000000000006</v>
      </c>
      <c r="AB88" s="31">
        <v>47.693999999999996</v>
      </c>
      <c r="AC88" s="31">
        <v>51.112000000000002</v>
      </c>
      <c r="AD88" s="31">
        <v>42.972035714285717</v>
      </c>
    </row>
    <row r="89" spans="1:30" x14ac:dyDescent="0.3">
      <c r="A89" s="39" t="s">
        <v>751</v>
      </c>
      <c r="B89" s="31">
        <v>131.89699999999999</v>
      </c>
      <c r="C89" s="31">
        <v>103.49900000000001</v>
      </c>
      <c r="D89" s="31">
        <v>119.16500000000001</v>
      </c>
      <c r="E89" s="31">
        <v>166.71900000000002</v>
      </c>
      <c r="F89" s="31">
        <v>87.537999999999997</v>
      </c>
      <c r="G89" s="31">
        <v>106.28299999999999</v>
      </c>
      <c r="H89" s="31">
        <v>175.29500000000007</v>
      </c>
      <c r="I89" s="31">
        <v>156.506</v>
      </c>
      <c r="J89" s="31">
        <v>158.69500000000002</v>
      </c>
      <c r="K89" s="31">
        <v>169.79399999999998</v>
      </c>
      <c r="L89" s="31">
        <v>133.791</v>
      </c>
      <c r="M89" s="31">
        <v>140.697</v>
      </c>
      <c r="N89" s="31">
        <v>147.929</v>
      </c>
      <c r="O89" s="31">
        <v>172.52599999999998</v>
      </c>
      <c r="P89" s="31">
        <v>137.99799999999999</v>
      </c>
      <c r="Q89" s="31">
        <v>137.08699999999999</v>
      </c>
      <c r="R89" s="31">
        <v>159.29999999999998</v>
      </c>
      <c r="S89" s="31">
        <v>178.45600000000002</v>
      </c>
      <c r="T89" s="31">
        <v>150.75400000000002</v>
      </c>
      <c r="U89" s="31">
        <v>178.084</v>
      </c>
      <c r="V89" s="31">
        <v>179.24800000000005</v>
      </c>
      <c r="W89" s="31">
        <v>154.65000000000003</v>
      </c>
      <c r="X89" s="31">
        <v>149.13800000000001</v>
      </c>
      <c r="Y89" s="31">
        <v>181.43700000000004</v>
      </c>
      <c r="Z89" s="31">
        <v>132.99299999999997</v>
      </c>
      <c r="AA89" s="31">
        <v>113.07799999999999</v>
      </c>
      <c r="AB89" s="31">
        <v>150.60400000000001</v>
      </c>
      <c r="AC89" s="31">
        <v>170.64900000000003</v>
      </c>
      <c r="AD89" s="31">
        <v>147.99321428571426</v>
      </c>
    </row>
    <row r="90" spans="1:30" x14ac:dyDescent="0.3">
      <c r="A90" s="39" t="s">
        <v>752</v>
      </c>
      <c r="B90" s="31">
        <v>33.022000000000006</v>
      </c>
      <c r="C90" s="31">
        <v>18.004000000000001</v>
      </c>
      <c r="D90" s="31">
        <v>15.045999999999999</v>
      </c>
      <c r="E90" s="31">
        <v>45.874000000000002</v>
      </c>
      <c r="F90" s="31">
        <v>19.152000000000001</v>
      </c>
      <c r="G90" s="31">
        <v>25.820999999999998</v>
      </c>
      <c r="H90" s="31">
        <v>33.986000000000004</v>
      </c>
      <c r="I90" s="31">
        <v>12.766999999999999</v>
      </c>
      <c r="J90" s="31">
        <v>25.015999999999998</v>
      </c>
      <c r="K90" s="31">
        <v>30.817999999999998</v>
      </c>
      <c r="L90" s="31">
        <v>17.544</v>
      </c>
      <c r="M90" s="31">
        <v>9.2100000000000009</v>
      </c>
      <c r="N90" s="31">
        <v>29.757999999999999</v>
      </c>
      <c r="O90" s="31">
        <v>7.7690000000000001</v>
      </c>
      <c r="P90" s="31">
        <v>38.311</v>
      </c>
      <c r="Q90" s="31">
        <v>16.792000000000002</v>
      </c>
      <c r="R90" s="31">
        <v>12.469999999999999</v>
      </c>
      <c r="S90" s="31">
        <v>28.419000000000004</v>
      </c>
      <c r="T90" s="31">
        <v>24.136000000000003</v>
      </c>
      <c r="U90" s="31">
        <v>20.981000000000002</v>
      </c>
      <c r="V90" s="31">
        <v>18.757000000000001</v>
      </c>
      <c r="W90" s="31">
        <v>19.587000000000003</v>
      </c>
      <c r="X90" s="31">
        <v>17.155000000000001</v>
      </c>
      <c r="Y90" s="31">
        <v>22.288999999999998</v>
      </c>
      <c r="Z90" s="31">
        <v>15.047000000000001</v>
      </c>
      <c r="AA90" s="31">
        <v>20.466999999999999</v>
      </c>
      <c r="AB90" s="31">
        <v>9.9920000000000009</v>
      </c>
      <c r="AC90" s="31">
        <v>16.547000000000001</v>
      </c>
      <c r="AD90" s="31">
        <v>21.597749999999998</v>
      </c>
    </row>
    <row r="91" spans="1:30" x14ac:dyDescent="0.3">
      <c r="A91" s="39" t="s">
        <v>753</v>
      </c>
      <c r="B91" s="31">
        <v>73.460999999999984</v>
      </c>
      <c r="C91" s="31">
        <v>23.521999999999998</v>
      </c>
      <c r="D91" s="31">
        <v>58.824999999999996</v>
      </c>
      <c r="E91" s="31">
        <v>24.917999999999999</v>
      </c>
      <c r="F91" s="31">
        <v>43.176000000000002</v>
      </c>
      <c r="G91" s="31">
        <v>50.134999999999998</v>
      </c>
      <c r="H91" s="31">
        <v>49.136000000000003</v>
      </c>
      <c r="I91" s="31">
        <v>25.967000000000006</v>
      </c>
      <c r="J91" s="31">
        <v>12.404</v>
      </c>
      <c r="K91" s="31">
        <v>39.948999999999998</v>
      </c>
      <c r="L91" s="31">
        <v>26.527999999999999</v>
      </c>
      <c r="M91" s="31">
        <v>67.498999999999995</v>
      </c>
      <c r="N91" s="31">
        <v>32.737000000000002</v>
      </c>
      <c r="O91" s="31">
        <v>58.585000000000001</v>
      </c>
      <c r="P91" s="31">
        <v>44.314</v>
      </c>
      <c r="Q91" s="31">
        <v>39.916000000000004</v>
      </c>
      <c r="R91" s="31">
        <v>26.584999999999997</v>
      </c>
      <c r="S91" s="31">
        <v>31.917000000000002</v>
      </c>
      <c r="T91" s="31">
        <v>42.136999999999993</v>
      </c>
      <c r="U91" s="31">
        <v>43.702999999999996</v>
      </c>
      <c r="V91" s="31">
        <v>34.617999999999995</v>
      </c>
      <c r="W91" s="31">
        <v>31.271999999999998</v>
      </c>
      <c r="X91" s="31">
        <v>7.0060000000000011</v>
      </c>
      <c r="Y91" s="31">
        <v>4.327</v>
      </c>
      <c r="Z91" s="31">
        <v>31.384000000000004</v>
      </c>
      <c r="AA91" s="31">
        <v>10.504</v>
      </c>
      <c r="AB91" s="31">
        <v>26.602999999999998</v>
      </c>
      <c r="AC91" s="31">
        <v>24.765000000000001</v>
      </c>
      <c r="AD91" s="31">
        <v>35.210464285714281</v>
      </c>
    </row>
    <row r="92" spans="1:30" x14ac:dyDescent="0.3">
      <c r="A92" s="39" t="s">
        <v>754</v>
      </c>
      <c r="B92" s="31">
        <v>36.368000000000002</v>
      </c>
      <c r="C92" s="31">
        <v>65.033999999999992</v>
      </c>
      <c r="D92" s="31">
        <v>37.078000000000003</v>
      </c>
      <c r="E92" s="31">
        <v>44.030999999999999</v>
      </c>
      <c r="F92" s="31">
        <v>33.396999999999998</v>
      </c>
      <c r="G92" s="31">
        <v>45.178000000000004</v>
      </c>
      <c r="H92" s="31">
        <v>25.411999999999995</v>
      </c>
      <c r="I92" s="31">
        <v>49.771999999999998</v>
      </c>
      <c r="J92" s="31">
        <v>47.957999999999991</v>
      </c>
      <c r="K92" s="31">
        <v>52.617000000000004</v>
      </c>
      <c r="L92" s="31">
        <v>58.158999999999992</v>
      </c>
      <c r="M92" s="31">
        <v>63.37299999999999</v>
      </c>
      <c r="N92" s="31">
        <v>31.458000000000002</v>
      </c>
      <c r="O92" s="31">
        <v>29.788999999999998</v>
      </c>
      <c r="P92" s="31">
        <v>28.542000000000002</v>
      </c>
      <c r="Q92" s="31">
        <v>56.687000000000005</v>
      </c>
      <c r="R92" s="31">
        <v>36.408000000000001</v>
      </c>
      <c r="S92" s="31">
        <v>38.707000000000001</v>
      </c>
      <c r="T92" s="31">
        <v>41.261999999999993</v>
      </c>
      <c r="U92" s="31">
        <v>49.234999999999999</v>
      </c>
      <c r="V92" s="31">
        <v>31.479999999999997</v>
      </c>
      <c r="W92" s="31">
        <v>59.817000000000007</v>
      </c>
      <c r="X92" s="31">
        <v>32.569000000000003</v>
      </c>
      <c r="Y92" s="31">
        <v>36.483000000000004</v>
      </c>
      <c r="Z92" s="31">
        <v>40.796999999999997</v>
      </c>
      <c r="AA92" s="31">
        <v>23.379000000000001</v>
      </c>
      <c r="AB92" s="31">
        <v>28.223000000000006</v>
      </c>
      <c r="AC92" s="31">
        <v>66.538999999999987</v>
      </c>
      <c r="AD92" s="31">
        <v>42.491142857142847</v>
      </c>
    </row>
    <row r="93" spans="1:30" x14ac:dyDescent="0.3">
      <c r="A93" s="39" t="s">
        <v>755</v>
      </c>
      <c r="B93" s="31">
        <v>163.845</v>
      </c>
      <c r="C93" s="31">
        <v>212.477</v>
      </c>
      <c r="D93" s="31">
        <v>206.69499999999999</v>
      </c>
      <c r="E93" s="31">
        <v>145.93699999999998</v>
      </c>
      <c r="F93" s="31">
        <v>179.15299999999996</v>
      </c>
      <c r="G93" s="31">
        <v>151.04799999999997</v>
      </c>
      <c r="H93" s="31">
        <v>190.57499999999999</v>
      </c>
      <c r="I93" s="31">
        <v>190.23700000000002</v>
      </c>
      <c r="J93" s="31">
        <v>143.95099999999999</v>
      </c>
      <c r="K93" s="31">
        <v>193.40899999999999</v>
      </c>
      <c r="L93" s="31">
        <v>158.71799999999999</v>
      </c>
      <c r="M93" s="31">
        <v>154.00799999999998</v>
      </c>
      <c r="N93" s="31">
        <v>140.46499999999997</v>
      </c>
      <c r="O93" s="31">
        <v>164.89500000000001</v>
      </c>
      <c r="P93" s="31">
        <v>195.47200000000004</v>
      </c>
      <c r="Q93" s="31">
        <v>213.976</v>
      </c>
      <c r="R93" s="31">
        <v>235.05799999999999</v>
      </c>
      <c r="S93" s="31">
        <v>139.04400000000001</v>
      </c>
      <c r="T93" s="31">
        <v>177.196</v>
      </c>
      <c r="U93" s="31">
        <v>190.92700000000005</v>
      </c>
      <c r="V93" s="31">
        <v>158.29300000000003</v>
      </c>
      <c r="W93" s="31">
        <v>86.027999999999963</v>
      </c>
      <c r="X93" s="31">
        <v>138.56700000000004</v>
      </c>
      <c r="Y93" s="31">
        <v>138.93700000000001</v>
      </c>
      <c r="Z93" s="31">
        <v>135.00399999999996</v>
      </c>
      <c r="AA93" s="31">
        <v>146.56</v>
      </c>
      <c r="AB93" s="31">
        <v>125.00899999999999</v>
      </c>
      <c r="AC93" s="31">
        <v>113.06600000000003</v>
      </c>
      <c r="AD93" s="31">
        <v>163.87678571428575</v>
      </c>
    </row>
    <row r="94" spans="1:30" x14ac:dyDescent="0.3">
      <c r="A94" s="39" t="s">
        <v>756</v>
      </c>
      <c r="B94" s="31">
        <v>28.977</v>
      </c>
      <c r="C94" s="31">
        <v>48.47</v>
      </c>
      <c r="D94" s="31">
        <v>49.258000000000003</v>
      </c>
      <c r="E94" s="31">
        <v>52.88000000000001</v>
      </c>
      <c r="F94" s="31">
        <v>67.367000000000004</v>
      </c>
      <c r="G94" s="31">
        <v>40.549999999999997</v>
      </c>
      <c r="H94" s="31">
        <v>36.695999999999998</v>
      </c>
      <c r="I94" s="31">
        <v>55.747</v>
      </c>
      <c r="J94" s="31">
        <v>39.953000000000003</v>
      </c>
      <c r="K94" s="31">
        <v>35.397999999999996</v>
      </c>
      <c r="L94" s="31">
        <v>46.438000000000002</v>
      </c>
      <c r="M94" s="31">
        <v>32.166000000000004</v>
      </c>
      <c r="N94" s="31">
        <v>35.496000000000002</v>
      </c>
      <c r="O94" s="31">
        <v>39.56900000000001</v>
      </c>
      <c r="P94" s="31">
        <v>32.729999999999997</v>
      </c>
      <c r="Q94" s="31">
        <v>39.384</v>
      </c>
      <c r="R94" s="31">
        <v>63.112000000000002</v>
      </c>
      <c r="S94" s="31">
        <v>58.058000000000007</v>
      </c>
      <c r="T94" s="31">
        <v>46.161000000000001</v>
      </c>
      <c r="U94" s="31">
        <v>43.791000000000004</v>
      </c>
      <c r="V94" s="31">
        <v>23.152999999999999</v>
      </c>
      <c r="W94" s="31">
        <v>34.280999999999999</v>
      </c>
      <c r="X94" s="31">
        <v>46.583000000000006</v>
      </c>
      <c r="Y94" s="31">
        <v>45.108999999999995</v>
      </c>
      <c r="Z94" s="31">
        <v>55.353999999999999</v>
      </c>
      <c r="AA94" s="31">
        <v>45.51</v>
      </c>
      <c r="AB94" s="31">
        <v>26.798999999999999</v>
      </c>
      <c r="AC94" s="31">
        <v>42.317000000000007</v>
      </c>
      <c r="AD94" s="31">
        <v>43.260964285714287</v>
      </c>
    </row>
    <row r="95" spans="1:30" x14ac:dyDescent="0.3">
      <c r="A95" s="39" t="s">
        <v>757</v>
      </c>
      <c r="B95" s="31">
        <v>201.85400000000004</v>
      </c>
      <c r="C95" s="31">
        <v>192.17900000000003</v>
      </c>
      <c r="D95" s="31">
        <v>255.26100000000002</v>
      </c>
      <c r="E95" s="31">
        <v>209.27300000000005</v>
      </c>
      <c r="F95" s="31">
        <v>197.79999999999993</v>
      </c>
      <c r="G95" s="31">
        <v>217.44800000000004</v>
      </c>
      <c r="H95" s="31">
        <v>255.85300000000001</v>
      </c>
      <c r="I95" s="31">
        <v>250.3550000000001</v>
      </c>
      <c r="J95" s="31">
        <v>256.2240000000001</v>
      </c>
      <c r="K95" s="31">
        <v>232.78100000000001</v>
      </c>
      <c r="L95" s="31">
        <v>217.863</v>
      </c>
      <c r="M95" s="31">
        <v>245.62200000000001</v>
      </c>
      <c r="N95" s="31">
        <v>212.97499999999999</v>
      </c>
      <c r="O95" s="31">
        <v>240.07799999999989</v>
      </c>
      <c r="P95" s="31">
        <v>249.72600000000011</v>
      </c>
      <c r="Q95" s="31">
        <v>229.03100000000003</v>
      </c>
      <c r="R95" s="31">
        <v>221.239</v>
      </c>
      <c r="S95" s="31">
        <v>252.24599999999995</v>
      </c>
      <c r="T95" s="31">
        <v>280.46300000000002</v>
      </c>
      <c r="U95" s="31">
        <v>266.04500000000007</v>
      </c>
      <c r="V95" s="31">
        <v>236.88399999999999</v>
      </c>
      <c r="W95" s="31">
        <v>280.96799999999996</v>
      </c>
      <c r="X95" s="31">
        <v>200.98000000000005</v>
      </c>
      <c r="Y95" s="31">
        <v>205.02</v>
      </c>
      <c r="Z95" s="31">
        <v>219.41299999999998</v>
      </c>
      <c r="AA95" s="31">
        <v>223.44799999999998</v>
      </c>
      <c r="AB95" s="31">
        <v>282.971</v>
      </c>
      <c r="AC95" s="31">
        <v>245.75600000000009</v>
      </c>
      <c r="AD95" s="31">
        <v>234.99128571428574</v>
      </c>
    </row>
    <row r="96" spans="1:30" x14ac:dyDescent="0.3">
      <c r="A96" s="39" t="s">
        <v>904</v>
      </c>
      <c r="B96" s="31">
        <v>2.9569999999999999</v>
      </c>
      <c r="C96" s="31">
        <v>0</v>
      </c>
      <c r="D96" s="31">
        <v>4.6040000000000001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2.1930000000000001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7.5679999999999996</v>
      </c>
      <c r="X96" s="31">
        <v>10.434999999999999</v>
      </c>
      <c r="Y96" s="31">
        <v>38.894999999999996</v>
      </c>
      <c r="Z96" s="31">
        <v>40.112000000000002</v>
      </c>
      <c r="AA96" s="31">
        <v>14.019</v>
      </c>
      <c r="AB96" s="31">
        <v>36.542999999999999</v>
      </c>
      <c r="AC96" s="31">
        <v>22.334</v>
      </c>
      <c r="AD96" s="31">
        <v>6.4164285714285709</v>
      </c>
    </row>
    <row r="97" spans="1:30" x14ac:dyDescent="0.3">
      <c r="A97" s="39" t="s">
        <v>758</v>
      </c>
      <c r="B97" s="31">
        <v>136.64100000000002</v>
      </c>
      <c r="C97" s="31">
        <v>146.35900000000001</v>
      </c>
      <c r="D97" s="31">
        <v>134.38299999999998</v>
      </c>
      <c r="E97" s="31">
        <v>107.24299999999998</v>
      </c>
      <c r="F97" s="31">
        <v>175.82500000000002</v>
      </c>
      <c r="G97" s="31">
        <v>169.179</v>
      </c>
      <c r="H97" s="31">
        <v>148.32299999999998</v>
      </c>
      <c r="I97" s="31">
        <v>120.63200000000002</v>
      </c>
      <c r="J97" s="31">
        <v>155.17000000000002</v>
      </c>
      <c r="K97" s="31">
        <v>129.84</v>
      </c>
      <c r="L97" s="31">
        <v>114.77099999999999</v>
      </c>
      <c r="M97" s="31">
        <v>143.00499999999997</v>
      </c>
      <c r="N97" s="31">
        <v>142.17300000000003</v>
      </c>
      <c r="O97" s="31">
        <v>101.84300000000002</v>
      </c>
      <c r="P97" s="31">
        <v>123.16300000000001</v>
      </c>
      <c r="Q97" s="31">
        <v>162.29500000000002</v>
      </c>
      <c r="R97" s="31">
        <v>100.23099999999999</v>
      </c>
      <c r="S97" s="31">
        <v>124.072</v>
      </c>
      <c r="T97" s="31">
        <v>112.62100000000002</v>
      </c>
      <c r="U97" s="31">
        <v>162.364</v>
      </c>
      <c r="V97" s="31">
        <v>117.85400000000001</v>
      </c>
      <c r="W97" s="31">
        <v>134.49699999999999</v>
      </c>
      <c r="X97" s="31">
        <v>113.26500000000003</v>
      </c>
      <c r="Y97" s="31">
        <v>104.45400000000001</v>
      </c>
      <c r="Z97" s="31">
        <v>159.62600000000003</v>
      </c>
      <c r="AA97" s="31">
        <v>119.33000000000001</v>
      </c>
      <c r="AB97" s="31">
        <v>119.05200000000001</v>
      </c>
      <c r="AC97" s="31">
        <v>144.45199999999997</v>
      </c>
      <c r="AD97" s="31">
        <v>132.95224999999999</v>
      </c>
    </row>
    <row r="98" spans="1:30" x14ac:dyDescent="0.3">
      <c r="A98" s="39" t="s">
        <v>759</v>
      </c>
      <c r="B98" s="31">
        <v>66.908000000000001</v>
      </c>
      <c r="C98" s="31">
        <v>48.178000000000004</v>
      </c>
      <c r="D98" s="31">
        <v>75.307999999999993</v>
      </c>
      <c r="E98" s="31">
        <v>52.947000000000003</v>
      </c>
      <c r="F98" s="31">
        <v>82.033000000000001</v>
      </c>
      <c r="G98" s="31">
        <v>74.715000000000003</v>
      </c>
      <c r="H98" s="31">
        <v>55.057000000000002</v>
      </c>
      <c r="I98" s="31">
        <v>111.90999999999998</v>
      </c>
      <c r="J98" s="31">
        <v>67.089999999999989</v>
      </c>
      <c r="K98" s="31">
        <v>66.25800000000001</v>
      </c>
      <c r="L98" s="31">
        <v>91.836999999999989</v>
      </c>
      <c r="M98" s="31">
        <v>98.768000000000001</v>
      </c>
      <c r="N98" s="31">
        <v>51.422999999999988</v>
      </c>
      <c r="O98" s="31">
        <v>148.95999999999998</v>
      </c>
      <c r="P98" s="31">
        <v>61.176000000000002</v>
      </c>
      <c r="Q98" s="31">
        <v>142.85699999999997</v>
      </c>
      <c r="R98" s="31">
        <v>89.211999999999989</v>
      </c>
      <c r="S98" s="31">
        <v>142.93899999999996</v>
      </c>
      <c r="T98" s="31">
        <v>133.14000000000001</v>
      </c>
      <c r="U98" s="31">
        <v>109.26200000000001</v>
      </c>
      <c r="V98" s="31">
        <v>147.65900000000002</v>
      </c>
      <c r="W98" s="31">
        <v>105.82899999999998</v>
      </c>
      <c r="X98" s="31">
        <v>100.20599999999999</v>
      </c>
      <c r="Y98" s="31">
        <v>128.82699999999997</v>
      </c>
      <c r="Z98" s="31">
        <v>121.85100000000001</v>
      </c>
      <c r="AA98" s="31">
        <v>93.59</v>
      </c>
      <c r="AB98" s="31">
        <v>25.472999999999995</v>
      </c>
      <c r="AC98" s="31">
        <v>93.341000000000008</v>
      </c>
      <c r="AD98" s="31">
        <v>92.384071428571431</v>
      </c>
    </row>
    <row r="99" spans="1:30" x14ac:dyDescent="0.3">
      <c r="A99" s="39" t="s">
        <v>760</v>
      </c>
      <c r="B99" s="31">
        <v>223.64100000000002</v>
      </c>
      <c r="C99" s="31">
        <v>179.04000000000002</v>
      </c>
      <c r="D99" s="31">
        <v>135.36499999999998</v>
      </c>
      <c r="E99" s="31">
        <v>134.547</v>
      </c>
      <c r="F99" s="31">
        <v>200.31499999999994</v>
      </c>
      <c r="G99" s="31">
        <v>134.35300000000001</v>
      </c>
      <c r="H99" s="31">
        <v>181.73900000000003</v>
      </c>
      <c r="I99" s="31">
        <v>136.58100000000002</v>
      </c>
      <c r="J99" s="31">
        <v>158.48600000000002</v>
      </c>
      <c r="K99" s="31">
        <v>165.40299999999999</v>
      </c>
      <c r="L99" s="31">
        <v>204.916</v>
      </c>
      <c r="M99" s="31">
        <v>168.56800000000001</v>
      </c>
      <c r="N99" s="31">
        <v>168.34799999999998</v>
      </c>
      <c r="O99" s="31">
        <v>157.44399999999999</v>
      </c>
      <c r="P99" s="31">
        <v>150.98699999999997</v>
      </c>
      <c r="Q99" s="31">
        <v>230.64599999999996</v>
      </c>
      <c r="R99" s="31">
        <v>177.90199999999996</v>
      </c>
      <c r="S99" s="31">
        <v>196.136</v>
      </c>
      <c r="T99" s="31">
        <v>281.923</v>
      </c>
      <c r="U99" s="31">
        <v>270.738</v>
      </c>
      <c r="V99" s="31">
        <v>228.27500000000003</v>
      </c>
      <c r="W99" s="31">
        <v>213.35500000000005</v>
      </c>
      <c r="X99" s="31">
        <v>160.39900000000003</v>
      </c>
      <c r="Y99" s="31">
        <v>200.44</v>
      </c>
      <c r="Z99" s="31">
        <v>225.83900000000003</v>
      </c>
      <c r="AA99" s="31">
        <v>183.05200000000005</v>
      </c>
      <c r="AB99" s="31">
        <v>174.44600000000003</v>
      </c>
      <c r="AC99" s="31">
        <v>204.24499999999998</v>
      </c>
      <c r="AD99" s="31">
        <v>187.39746428571428</v>
      </c>
    </row>
    <row r="100" spans="1:30" x14ac:dyDescent="0.3">
      <c r="A100" s="39" t="s">
        <v>761</v>
      </c>
      <c r="B100" s="31">
        <v>828.51699999999971</v>
      </c>
      <c r="C100" s="31">
        <v>747.19200000000023</v>
      </c>
      <c r="D100" s="31">
        <v>771.76899999999989</v>
      </c>
      <c r="E100" s="31">
        <v>658.41500000000008</v>
      </c>
      <c r="F100" s="31">
        <v>773.84100000000012</v>
      </c>
      <c r="G100" s="31">
        <v>841.14999999999975</v>
      </c>
      <c r="H100" s="31">
        <v>794.42299999999989</v>
      </c>
      <c r="I100" s="31">
        <v>611.97900000000004</v>
      </c>
      <c r="J100" s="31">
        <v>775.76499999999987</v>
      </c>
      <c r="K100" s="31">
        <v>597.37699999999995</v>
      </c>
      <c r="L100" s="31">
        <v>710.5029999999997</v>
      </c>
      <c r="M100" s="31">
        <v>744.87300000000005</v>
      </c>
      <c r="N100" s="31">
        <v>799.10400000000027</v>
      </c>
      <c r="O100" s="31">
        <v>660.64699999999982</v>
      </c>
      <c r="P100" s="31">
        <v>788.62300000000005</v>
      </c>
      <c r="Q100" s="31">
        <v>836.71699999999987</v>
      </c>
      <c r="R100" s="31">
        <v>780.65900000000011</v>
      </c>
      <c r="S100" s="31">
        <v>702.85900000000004</v>
      </c>
      <c r="T100" s="31">
        <v>897.32300000000021</v>
      </c>
      <c r="U100" s="31">
        <v>849.93599999999958</v>
      </c>
      <c r="V100" s="31">
        <v>765.16099999999994</v>
      </c>
      <c r="W100" s="31">
        <v>695.77800000000013</v>
      </c>
      <c r="X100" s="31">
        <v>548.08899999999994</v>
      </c>
      <c r="Y100" s="31">
        <v>582.93399999999963</v>
      </c>
      <c r="Z100" s="31">
        <v>820.06200000000024</v>
      </c>
      <c r="AA100" s="31">
        <v>660.51800000000003</v>
      </c>
      <c r="AB100" s="31">
        <v>611.97</v>
      </c>
      <c r="AC100" s="31">
        <v>864.0930000000003</v>
      </c>
      <c r="AD100" s="31">
        <v>740.00989285714297</v>
      </c>
    </row>
    <row r="101" spans="1:30" x14ac:dyDescent="0.3">
      <c r="A101" s="39" t="s">
        <v>762</v>
      </c>
      <c r="B101" s="31">
        <v>146.69999999999999</v>
      </c>
      <c r="C101" s="31">
        <v>135.52000000000001</v>
      </c>
      <c r="D101" s="31">
        <v>81.34</v>
      </c>
      <c r="E101" s="31">
        <v>168.143</v>
      </c>
      <c r="F101" s="31">
        <v>156.29599999999994</v>
      </c>
      <c r="G101" s="31">
        <v>168.93299999999996</v>
      </c>
      <c r="H101" s="31">
        <v>177.136</v>
      </c>
      <c r="I101" s="31">
        <v>150.21899999999999</v>
      </c>
      <c r="J101" s="31">
        <v>78.891999999999996</v>
      </c>
      <c r="K101" s="31">
        <v>51.234999999999999</v>
      </c>
      <c r="L101" s="31">
        <v>128.62000000000003</v>
      </c>
      <c r="M101" s="31">
        <v>146.33700000000002</v>
      </c>
      <c r="N101" s="31">
        <v>120.99300000000001</v>
      </c>
      <c r="O101" s="31">
        <v>160.029</v>
      </c>
      <c r="P101" s="31">
        <v>99.99</v>
      </c>
      <c r="Q101" s="31">
        <v>118.50899999999999</v>
      </c>
      <c r="R101" s="31">
        <v>26.393999999999998</v>
      </c>
      <c r="S101" s="31">
        <v>103.40299999999999</v>
      </c>
      <c r="T101" s="31">
        <v>134.10599999999997</v>
      </c>
      <c r="U101" s="31">
        <v>148.85300000000001</v>
      </c>
      <c r="V101" s="31">
        <v>157.81400000000002</v>
      </c>
      <c r="W101" s="31">
        <v>142.85400000000001</v>
      </c>
      <c r="X101" s="31">
        <v>115.32100000000001</v>
      </c>
      <c r="Y101" s="31">
        <v>45.922999999999995</v>
      </c>
      <c r="Z101" s="31">
        <v>144.38500000000002</v>
      </c>
      <c r="AA101" s="31">
        <v>148.10700000000003</v>
      </c>
      <c r="AB101" s="31">
        <v>119.19700000000002</v>
      </c>
      <c r="AC101" s="31">
        <v>98.033000000000015</v>
      </c>
      <c r="AD101" s="31">
        <v>124.04578571428567</v>
      </c>
    </row>
    <row r="102" spans="1:30" x14ac:dyDescent="0.3">
      <c r="A102" s="39" t="s">
        <v>763</v>
      </c>
      <c r="B102" s="31">
        <v>49.188000000000002</v>
      </c>
      <c r="C102" s="31">
        <v>45.481000000000002</v>
      </c>
      <c r="D102" s="31">
        <v>47.826999999999998</v>
      </c>
      <c r="E102" s="31">
        <v>56.755000000000003</v>
      </c>
      <c r="F102" s="31">
        <v>48.096000000000004</v>
      </c>
      <c r="G102" s="31">
        <v>46.969000000000001</v>
      </c>
      <c r="H102" s="31">
        <v>50.831999999999994</v>
      </c>
      <c r="I102" s="31">
        <v>23.552</v>
      </c>
      <c r="J102" s="31">
        <v>71.954999999999998</v>
      </c>
      <c r="K102" s="31">
        <v>27.078000000000007</v>
      </c>
      <c r="L102" s="31">
        <v>20.114000000000004</v>
      </c>
      <c r="M102" s="31">
        <v>38.303000000000004</v>
      </c>
      <c r="N102" s="31">
        <v>46.494</v>
      </c>
      <c r="O102" s="31">
        <v>31.511000000000003</v>
      </c>
      <c r="P102" s="31">
        <v>70.257000000000005</v>
      </c>
      <c r="Q102" s="31">
        <v>65.714999999999989</v>
      </c>
      <c r="R102" s="31">
        <v>78.472999999999999</v>
      </c>
      <c r="S102" s="31">
        <v>52.052999999999997</v>
      </c>
      <c r="T102" s="31">
        <v>40.668999999999997</v>
      </c>
      <c r="U102" s="31">
        <v>54.361999999999995</v>
      </c>
      <c r="V102" s="31">
        <v>32.82</v>
      </c>
      <c r="W102" s="31">
        <v>34.418000000000006</v>
      </c>
      <c r="X102" s="31">
        <v>13.651999999999997</v>
      </c>
      <c r="Y102" s="31">
        <v>48.150000000000006</v>
      </c>
      <c r="Z102" s="31">
        <v>27.987000000000002</v>
      </c>
      <c r="AA102" s="31">
        <v>34.823999999999998</v>
      </c>
      <c r="AB102" s="31">
        <v>6.4469999999999992</v>
      </c>
      <c r="AC102" s="31">
        <v>11.468</v>
      </c>
      <c r="AD102" s="31">
        <v>41.980357142857152</v>
      </c>
    </row>
    <row r="103" spans="1:30" x14ac:dyDescent="0.3">
      <c r="A103" s="39" t="s">
        <v>764</v>
      </c>
      <c r="B103" s="31">
        <v>356.56199999999995</v>
      </c>
      <c r="C103" s="31">
        <v>272.57400000000007</v>
      </c>
      <c r="D103" s="31">
        <v>174.82599999999996</v>
      </c>
      <c r="E103" s="31">
        <v>209.851</v>
      </c>
      <c r="F103" s="31">
        <v>305.63700000000011</v>
      </c>
      <c r="G103" s="31">
        <v>344.84500000000003</v>
      </c>
      <c r="H103" s="31">
        <v>361.22700000000015</v>
      </c>
      <c r="I103" s="31">
        <v>300.78499999999997</v>
      </c>
      <c r="J103" s="31">
        <v>276.06700000000006</v>
      </c>
      <c r="K103" s="31">
        <v>393.3060000000001</v>
      </c>
      <c r="L103" s="31">
        <v>342.21999999999991</v>
      </c>
      <c r="M103" s="31">
        <v>298.97300000000001</v>
      </c>
      <c r="N103" s="31">
        <v>342.00200000000007</v>
      </c>
      <c r="O103" s="31">
        <v>373.89799999999997</v>
      </c>
      <c r="P103" s="31">
        <v>300.59000000000009</v>
      </c>
      <c r="Q103" s="31">
        <v>301.5329999999999</v>
      </c>
      <c r="R103" s="31">
        <v>301.73900000000003</v>
      </c>
      <c r="S103" s="31">
        <v>289.93900000000008</v>
      </c>
      <c r="T103" s="31">
        <v>246.70400000000004</v>
      </c>
      <c r="U103" s="31">
        <v>261.27900000000005</v>
      </c>
      <c r="V103" s="31">
        <v>291.88900000000001</v>
      </c>
      <c r="W103" s="31">
        <v>264.04699999999997</v>
      </c>
      <c r="X103" s="31">
        <v>252.15699999999998</v>
      </c>
      <c r="Y103" s="31">
        <v>267.55899999999997</v>
      </c>
      <c r="Z103" s="31">
        <v>268.88000000000011</v>
      </c>
      <c r="AA103" s="31">
        <v>241.14000000000004</v>
      </c>
      <c r="AB103" s="31">
        <v>266.92000000000007</v>
      </c>
      <c r="AC103" s="31">
        <v>271.77400000000011</v>
      </c>
      <c r="AD103" s="31">
        <v>292.1043928571429</v>
      </c>
    </row>
    <row r="104" spans="1:30" x14ac:dyDescent="0.3">
      <c r="A104" s="39" t="s">
        <v>765</v>
      </c>
      <c r="B104" s="31">
        <v>52.747</v>
      </c>
      <c r="C104" s="31">
        <v>18.719000000000001</v>
      </c>
      <c r="D104" s="31">
        <v>29.606000000000002</v>
      </c>
      <c r="E104" s="31">
        <v>38.218000000000004</v>
      </c>
      <c r="F104" s="31">
        <v>27.617999999999999</v>
      </c>
      <c r="G104" s="31">
        <v>29.834</v>
      </c>
      <c r="H104" s="31">
        <v>21.895</v>
      </c>
      <c r="I104" s="31">
        <v>27.471000000000004</v>
      </c>
      <c r="J104" s="31">
        <v>53.110999999999997</v>
      </c>
      <c r="K104" s="31">
        <v>46.616999999999997</v>
      </c>
      <c r="L104" s="31">
        <v>22.688000000000002</v>
      </c>
      <c r="M104" s="31">
        <v>67.688000000000002</v>
      </c>
      <c r="N104" s="31">
        <v>18.898999999999997</v>
      </c>
      <c r="O104" s="31">
        <v>40.807000000000002</v>
      </c>
      <c r="P104" s="31">
        <v>46.591999999999999</v>
      </c>
      <c r="Q104" s="31">
        <v>61.414000000000001</v>
      </c>
      <c r="R104" s="31">
        <v>19.477</v>
      </c>
      <c r="S104" s="31">
        <v>57.064000000000007</v>
      </c>
      <c r="T104" s="31">
        <v>42.091000000000008</v>
      </c>
      <c r="U104" s="31">
        <v>59.442</v>
      </c>
      <c r="V104" s="31">
        <v>36.565999999999995</v>
      </c>
      <c r="W104" s="31">
        <v>24.454999999999998</v>
      </c>
      <c r="X104" s="31">
        <v>55.417000000000002</v>
      </c>
      <c r="Y104" s="31">
        <v>24.125</v>
      </c>
      <c r="Z104" s="31">
        <v>44.457000000000001</v>
      </c>
      <c r="AA104" s="31">
        <v>40.183</v>
      </c>
      <c r="AB104" s="31">
        <v>31.229999999999997</v>
      </c>
      <c r="AC104" s="31">
        <v>61.016000000000005</v>
      </c>
      <c r="AD104" s="31">
        <v>39.26596428571429</v>
      </c>
    </row>
    <row r="105" spans="1:30" x14ac:dyDescent="0.3">
      <c r="A105" s="39" t="s">
        <v>766</v>
      </c>
      <c r="B105" s="31">
        <v>113.65600000000002</v>
      </c>
      <c r="C105" s="31">
        <v>114.518</v>
      </c>
      <c r="D105" s="31">
        <v>121.52399999999999</v>
      </c>
      <c r="E105" s="31">
        <v>95.441999999999993</v>
      </c>
      <c r="F105" s="31">
        <v>160.04099999999997</v>
      </c>
      <c r="G105" s="31">
        <v>105.18600000000001</v>
      </c>
      <c r="H105" s="31">
        <v>111.41300000000001</v>
      </c>
      <c r="I105" s="31">
        <v>97.527999999999992</v>
      </c>
      <c r="J105" s="31">
        <v>82.005999999999986</v>
      </c>
      <c r="K105" s="31">
        <v>56.780999999999977</v>
      </c>
      <c r="L105" s="31">
        <v>101.42899999999999</v>
      </c>
      <c r="M105" s="31">
        <v>124.75800000000004</v>
      </c>
      <c r="N105" s="31">
        <v>92.475999999999999</v>
      </c>
      <c r="O105" s="31">
        <v>84.617999999999995</v>
      </c>
      <c r="P105" s="31">
        <v>59.433</v>
      </c>
      <c r="Q105" s="31">
        <v>71.664000000000001</v>
      </c>
      <c r="R105" s="31">
        <v>78.361999999999995</v>
      </c>
      <c r="S105" s="31">
        <v>83.603999999999999</v>
      </c>
      <c r="T105" s="31">
        <v>89.202000000000012</v>
      </c>
      <c r="U105" s="31">
        <v>83.187000000000012</v>
      </c>
      <c r="V105" s="31">
        <v>70.262</v>
      </c>
      <c r="W105" s="31">
        <v>75.692999999999998</v>
      </c>
      <c r="X105" s="31">
        <v>76.90600000000002</v>
      </c>
      <c r="Y105" s="31">
        <v>68.908000000000001</v>
      </c>
      <c r="Z105" s="31">
        <v>65.679999999999993</v>
      </c>
      <c r="AA105" s="31">
        <v>72.495000000000005</v>
      </c>
      <c r="AB105" s="31">
        <v>67.64</v>
      </c>
      <c r="AC105" s="31">
        <v>102.33999999999999</v>
      </c>
      <c r="AD105" s="31">
        <v>90.241142857142862</v>
      </c>
    </row>
    <row r="106" spans="1:30" x14ac:dyDescent="0.3">
      <c r="A106" s="39" t="s">
        <v>767</v>
      </c>
      <c r="B106" s="31">
        <v>139.31199999999998</v>
      </c>
      <c r="C106" s="31">
        <v>120.374</v>
      </c>
      <c r="D106" s="31">
        <v>132.92499999999998</v>
      </c>
      <c r="E106" s="31">
        <v>150.82899999999995</v>
      </c>
      <c r="F106" s="31">
        <v>156.55299999999997</v>
      </c>
      <c r="G106" s="31">
        <v>155.61700000000002</v>
      </c>
      <c r="H106" s="31">
        <v>145.87399999999997</v>
      </c>
      <c r="I106" s="31">
        <v>150.06</v>
      </c>
      <c r="J106" s="31">
        <v>141.14499999999998</v>
      </c>
      <c r="K106" s="31">
        <v>118.747</v>
      </c>
      <c r="L106" s="31">
        <v>139.08000000000001</v>
      </c>
      <c r="M106" s="31">
        <v>135.51700000000002</v>
      </c>
      <c r="N106" s="31">
        <v>150.822</v>
      </c>
      <c r="O106" s="31">
        <v>148.583</v>
      </c>
      <c r="P106" s="31">
        <v>118.88499999999999</v>
      </c>
      <c r="Q106" s="31">
        <v>151.49299999999999</v>
      </c>
      <c r="R106" s="31">
        <v>173.345</v>
      </c>
      <c r="S106" s="31">
        <v>155.42400000000004</v>
      </c>
      <c r="T106" s="31">
        <v>121.14399999999998</v>
      </c>
      <c r="U106" s="31">
        <v>136.74199999999999</v>
      </c>
      <c r="V106" s="31">
        <v>156.83799999999997</v>
      </c>
      <c r="W106" s="31">
        <v>123.69799999999998</v>
      </c>
      <c r="X106" s="31">
        <v>107.66800000000002</v>
      </c>
      <c r="Y106" s="31">
        <v>200.08399999999997</v>
      </c>
      <c r="Z106" s="31">
        <v>144.25199999999998</v>
      </c>
      <c r="AA106" s="31">
        <v>157.42300000000003</v>
      </c>
      <c r="AB106" s="31">
        <v>130.67099999999999</v>
      </c>
      <c r="AC106" s="31">
        <v>157.59200000000001</v>
      </c>
      <c r="AD106" s="31">
        <v>143.59632142857143</v>
      </c>
    </row>
    <row r="107" spans="1:30" x14ac:dyDescent="0.3">
      <c r="A107" s="39" t="s">
        <v>714</v>
      </c>
      <c r="B107" s="31">
        <v>100.16600000000003</v>
      </c>
      <c r="C107" s="31">
        <v>68.298000000000016</v>
      </c>
      <c r="D107" s="31">
        <v>83.259</v>
      </c>
      <c r="E107" s="31">
        <v>96.492000000000004</v>
      </c>
      <c r="F107" s="31">
        <v>82.174000000000007</v>
      </c>
      <c r="G107" s="31">
        <v>76.567000000000007</v>
      </c>
      <c r="H107" s="31">
        <v>67.606999999999999</v>
      </c>
      <c r="I107" s="31">
        <v>83.957000000000008</v>
      </c>
      <c r="J107" s="31">
        <v>75.605000000000004</v>
      </c>
      <c r="K107" s="31">
        <v>84.573999999999984</v>
      </c>
      <c r="L107" s="31">
        <v>96.237000000000009</v>
      </c>
      <c r="M107" s="31">
        <v>85.394999999999996</v>
      </c>
      <c r="N107" s="31">
        <v>74.457999999999998</v>
      </c>
      <c r="O107" s="31">
        <v>90.725999999999999</v>
      </c>
      <c r="P107" s="31">
        <v>45.030000000000008</v>
      </c>
      <c r="Q107" s="31">
        <v>97.39100000000002</v>
      </c>
      <c r="R107" s="31">
        <v>56.031999999999996</v>
      </c>
      <c r="S107" s="31">
        <v>139.928</v>
      </c>
      <c r="T107" s="31">
        <v>61.750999999999998</v>
      </c>
      <c r="U107" s="31">
        <v>64.661000000000001</v>
      </c>
      <c r="V107" s="31">
        <v>118.79500000000002</v>
      </c>
      <c r="W107" s="31">
        <v>76.724999999999994</v>
      </c>
      <c r="X107" s="31">
        <v>77.65000000000002</v>
      </c>
      <c r="Y107" s="31">
        <v>84.393999999999991</v>
      </c>
      <c r="Z107" s="31">
        <v>65.009</v>
      </c>
      <c r="AA107" s="31">
        <v>74.90300000000002</v>
      </c>
      <c r="AB107" s="31">
        <v>73.018999999999991</v>
      </c>
      <c r="AC107" s="31">
        <v>79.453000000000003</v>
      </c>
      <c r="AD107" s="31">
        <v>81.437714285714264</v>
      </c>
    </row>
    <row r="108" spans="1:30" x14ac:dyDescent="0.3">
      <c r="A108" s="39" t="s">
        <v>768</v>
      </c>
      <c r="B108" s="31">
        <v>74.575000000000003</v>
      </c>
      <c r="C108" s="31">
        <v>66.691999999999993</v>
      </c>
      <c r="D108" s="31">
        <v>71.839999999999989</v>
      </c>
      <c r="E108" s="31">
        <v>77.728999999999999</v>
      </c>
      <c r="F108" s="31">
        <v>71.201999999999998</v>
      </c>
      <c r="G108" s="31">
        <v>88.243999999999986</v>
      </c>
      <c r="H108" s="31">
        <v>65.658999999999992</v>
      </c>
      <c r="I108" s="31">
        <v>82.869</v>
      </c>
      <c r="J108" s="31">
        <v>68.277000000000001</v>
      </c>
      <c r="K108" s="31">
        <v>73.045999999999992</v>
      </c>
      <c r="L108" s="31">
        <v>88.600999999999999</v>
      </c>
      <c r="M108" s="31">
        <v>73.613000000000014</v>
      </c>
      <c r="N108" s="31">
        <v>43.429000000000002</v>
      </c>
      <c r="O108" s="31">
        <v>53.791999999999994</v>
      </c>
      <c r="P108" s="31">
        <v>70.268999999999991</v>
      </c>
      <c r="Q108" s="31">
        <v>80.560999999999993</v>
      </c>
      <c r="R108" s="31">
        <v>55.06600000000001</v>
      </c>
      <c r="S108" s="31">
        <v>81.836000000000013</v>
      </c>
      <c r="T108" s="31">
        <v>59.25</v>
      </c>
      <c r="U108" s="31">
        <v>50.804999999999993</v>
      </c>
      <c r="V108" s="31">
        <v>73.829000000000008</v>
      </c>
      <c r="W108" s="31">
        <v>93.838999999999984</v>
      </c>
      <c r="X108" s="31">
        <v>51.908000000000008</v>
      </c>
      <c r="Y108" s="31">
        <v>69.25500000000001</v>
      </c>
      <c r="Z108" s="31">
        <v>75.011999999999986</v>
      </c>
      <c r="AA108" s="31">
        <v>56.353000000000002</v>
      </c>
      <c r="AB108" s="31">
        <v>56.233000000000004</v>
      </c>
      <c r="AC108" s="31">
        <v>67.942999999999998</v>
      </c>
      <c r="AD108" s="31">
        <v>69.34739285714285</v>
      </c>
    </row>
    <row r="109" spans="1:30" x14ac:dyDescent="0.3">
      <c r="A109" s="39" t="s">
        <v>769</v>
      </c>
      <c r="B109" s="31">
        <v>61.406999999999996</v>
      </c>
      <c r="C109" s="31">
        <v>40.967999999999996</v>
      </c>
      <c r="D109" s="31">
        <v>47.542000000000002</v>
      </c>
      <c r="E109" s="31">
        <v>38.378</v>
      </c>
      <c r="F109" s="31">
        <v>27.388999999999996</v>
      </c>
      <c r="G109" s="31">
        <v>17.643999999999998</v>
      </c>
      <c r="H109" s="31">
        <v>40.384999999999998</v>
      </c>
      <c r="I109" s="31">
        <v>57.587999999999994</v>
      </c>
      <c r="J109" s="31">
        <v>42.926000000000002</v>
      </c>
      <c r="K109" s="31">
        <v>49.355999999999995</v>
      </c>
      <c r="L109" s="31">
        <v>73.427000000000007</v>
      </c>
      <c r="M109" s="31">
        <v>30.306000000000001</v>
      </c>
      <c r="N109" s="31">
        <v>64.731000000000009</v>
      </c>
      <c r="O109" s="31">
        <v>61.329999999999991</v>
      </c>
      <c r="P109" s="31">
        <v>60.515000000000001</v>
      </c>
      <c r="Q109" s="31">
        <v>44.802999999999997</v>
      </c>
      <c r="R109" s="31">
        <v>73.858000000000004</v>
      </c>
      <c r="S109" s="31">
        <v>66.994</v>
      </c>
      <c r="T109" s="31">
        <v>106.303</v>
      </c>
      <c r="U109" s="31">
        <v>90.477999999999994</v>
      </c>
      <c r="V109" s="31">
        <v>67.703000000000003</v>
      </c>
      <c r="W109" s="31">
        <v>88.503000000000014</v>
      </c>
      <c r="X109" s="31">
        <v>67.289000000000016</v>
      </c>
      <c r="Y109" s="31">
        <v>92.024999999999991</v>
      </c>
      <c r="Z109" s="31">
        <v>101.69000000000001</v>
      </c>
      <c r="AA109" s="31">
        <v>85.091999999999999</v>
      </c>
      <c r="AB109" s="31">
        <v>69.426000000000002</v>
      </c>
      <c r="AC109" s="31">
        <v>87.925000000000011</v>
      </c>
      <c r="AD109" s="31">
        <v>62.71360714285715</v>
      </c>
    </row>
    <row r="110" spans="1:30" x14ac:dyDescent="0.3">
      <c r="A110" s="39" t="s">
        <v>770</v>
      </c>
      <c r="B110" s="31">
        <v>150.60599999999999</v>
      </c>
      <c r="C110" s="31">
        <v>161.70300000000003</v>
      </c>
      <c r="D110" s="31">
        <v>158.91699999999997</v>
      </c>
      <c r="E110" s="31">
        <v>159.03800000000001</v>
      </c>
      <c r="F110" s="31">
        <v>220.79100000000003</v>
      </c>
      <c r="G110" s="31">
        <v>140.50399999999999</v>
      </c>
      <c r="H110" s="31">
        <v>168.64600000000002</v>
      </c>
      <c r="I110" s="31">
        <v>177.21600000000004</v>
      </c>
      <c r="J110" s="31">
        <v>169.66500000000002</v>
      </c>
      <c r="K110" s="31">
        <v>145.52600000000001</v>
      </c>
      <c r="L110" s="31">
        <v>187.48600000000002</v>
      </c>
      <c r="M110" s="31">
        <v>178.42500000000001</v>
      </c>
      <c r="N110" s="31">
        <v>153.19800000000001</v>
      </c>
      <c r="O110" s="31">
        <v>139.82500000000002</v>
      </c>
      <c r="P110" s="31">
        <v>161.804</v>
      </c>
      <c r="Q110" s="31">
        <v>156.643</v>
      </c>
      <c r="R110" s="31">
        <v>99.89100000000002</v>
      </c>
      <c r="S110" s="31">
        <v>191.77099999999993</v>
      </c>
      <c r="T110" s="31">
        <v>134.01500000000001</v>
      </c>
      <c r="U110" s="31">
        <v>145.72400000000002</v>
      </c>
      <c r="V110" s="31">
        <v>150.17199999999997</v>
      </c>
      <c r="W110" s="31">
        <v>125.32199999999999</v>
      </c>
      <c r="X110" s="31">
        <v>138.39600000000004</v>
      </c>
      <c r="Y110" s="31">
        <v>124.82500000000003</v>
      </c>
      <c r="Z110" s="31">
        <v>162.13</v>
      </c>
      <c r="AA110" s="31">
        <v>153.91100000000003</v>
      </c>
      <c r="AB110" s="31">
        <v>159.51000000000008</v>
      </c>
      <c r="AC110" s="31">
        <v>129.11200000000002</v>
      </c>
      <c r="AD110" s="31">
        <v>155.1704285714286</v>
      </c>
    </row>
    <row r="111" spans="1:30" x14ac:dyDescent="0.3">
      <c r="A111" s="70" t="s">
        <v>914</v>
      </c>
      <c r="B111" s="31">
        <v>25.539000000000001</v>
      </c>
      <c r="C111" s="31">
        <v>24.574000000000002</v>
      </c>
      <c r="D111" s="31">
        <v>24.990000000000002</v>
      </c>
      <c r="E111" s="31">
        <v>19.667999999999999</v>
      </c>
      <c r="F111" s="31">
        <v>20.91</v>
      </c>
      <c r="G111" s="31">
        <v>22.184999999999999</v>
      </c>
      <c r="H111" s="31">
        <v>12.122999999999999</v>
      </c>
      <c r="I111" s="31">
        <v>31.463999999999999</v>
      </c>
      <c r="J111" s="31">
        <v>36.123000000000005</v>
      </c>
      <c r="K111" s="31">
        <v>20.163</v>
      </c>
      <c r="L111" s="31">
        <v>13.255000000000001</v>
      </c>
      <c r="M111" s="31">
        <v>31.323</v>
      </c>
      <c r="N111" s="31">
        <v>13.4</v>
      </c>
      <c r="O111" s="31">
        <v>18.716999999999999</v>
      </c>
      <c r="P111" s="31">
        <v>12.654999999999999</v>
      </c>
      <c r="Q111" s="31">
        <v>6.3719999999999999</v>
      </c>
      <c r="R111" s="31">
        <v>11.557</v>
      </c>
      <c r="S111" s="31">
        <v>22.249000000000002</v>
      </c>
      <c r="T111" s="31">
        <v>11.991</v>
      </c>
      <c r="U111" s="31">
        <v>32.843000000000004</v>
      </c>
      <c r="V111" s="31">
        <v>39.104999999999997</v>
      </c>
      <c r="W111" s="31">
        <v>74.112999999999985</v>
      </c>
      <c r="X111" s="31">
        <v>36.803000000000004</v>
      </c>
      <c r="Y111" s="31">
        <v>26.610000000000003</v>
      </c>
      <c r="Z111" s="31">
        <v>17.91</v>
      </c>
      <c r="AA111" s="31">
        <v>14.576999999999998</v>
      </c>
      <c r="AB111" s="31">
        <v>29.338000000000001</v>
      </c>
      <c r="AC111" s="31">
        <v>36.463000000000001</v>
      </c>
      <c r="AD111" s="31">
        <v>24.536428571428566</v>
      </c>
    </row>
    <row r="112" spans="1:30" x14ac:dyDescent="0.3">
      <c r="A112" s="70" t="s">
        <v>913</v>
      </c>
      <c r="B112" s="31">
        <v>0</v>
      </c>
      <c r="C112" s="31">
        <v>0</v>
      </c>
      <c r="D112" s="31">
        <v>0</v>
      </c>
      <c r="E112" s="31">
        <v>0</v>
      </c>
      <c r="F112" s="31">
        <v>18.792999999999999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2.04</v>
      </c>
      <c r="M112" s="31">
        <v>0</v>
      </c>
      <c r="N112" s="31">
        <v>0</v>
      </c>
      <c r="O112" s="31">
        <v>7.7320000000000002</v>
      </c>
      <c r="P112" s="31">
        <v>0</v>
      </c>
      <c r="Q112" s="31">
        <v>0</v>
      </c>
      <c r="R112" s="31">
        <v>0</v>
      </c>
      <c r="S112" s="31">
        <v>0</v>
      </c>
      <c r="T112" s="31">
        <v>0</v>
      </c>
      <c r="U112" s="31">
        <v>0</v>
      </c>
      <c r="V112" s="31">
        <v>0</v>
      </c>
      <c r="W112" s="31">
        <v>0</v>
      </c>
      <c r="X112" s="31">
        <v>0</v>
      </c>
      <c r="Y112" s="31">
        <v>0</v>
      </c>
      <c r="Z112" s="31">
        <v>39.984000000000002</v>
      </c>
      <c r="AA112" s="31">
        <v>20.050999999999998</v>
      </c>
      <c r="AB112" s="31">
        <v>0</v>
      </c>
      <c r="AC112" s="31">
        <v>0</v>
      </c>
      <c r="AD112" s="31">
        <v>3.1642857142857146</v>
      </c>
    </row>
    <row r="113" spans="1:30" x14ac:dyDescent="0.3">
      <c r="A113" s="70" t="s">
        <v>912</v>
      </c>
      <c r="B113" s="31">
        <v>0</v>
      </c>
      <c r="C113" s="31">
        <v>0</v>
      </c>
      <c r="D113" s="31">
        <v>0</v>
      </c>
      <c r="E113" s="31">
        <v>17.550000000000004</v>
      </c>
      <c r="F113" s="31">
        <v>38.85</v>
      </c>
      <c r="G113" s="31">
        <v>39.729999999999997</v>
      </c>
      <c r="H113" s="31">
        <v>29.27</v>
      </c>
      <c r="I113" s="31">
        <v>30.11</v>
      </c>
      <c r="J113" s="31">
        <v>0</v>
      </c>
      <c r="K113" s="31">
        <v>0</v>
      </c>
      <c r="L113" s="31">
        <v>0.01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19.509999999999998</v>
      </c>
      <c r="S113" s="31">
        <v>41.720000000000006</v>
      </c>
      <c r="T113" s="31">
        <v>18.669999999999998</v>
      </c>
      <c r="U113" s="31">
        <v>0</v>
      </c>
      <c r="V113" s="31">
        <v>0</v>
      </c>
      <c r="W113" s="31">
        <v>0</v>
      </c>
      <c r="X113" s="31">
        <v>0</v>
      </c>
      <c r="Y113" s="31">
        <v>7.73</v>
      </c>
      <c r="Z113" s="31">
        <v>17.850000000000001</v>
      </c>
      <c r="AA113" s="31">
        <v>30.57</v>
      </c>
      <c r="AB113" s="31">
        <v>23.32</v>
      </c>
      <c r="AC113" s="31">
        <v>9.43</v>
      </c>
      <c r="AD113" s="31">
        <v>11.58285714285714</v>
      </c>
    </row>
    <row r="114" spans="1:30" x14ac:dyDescent="0.3">
      <c r="A114" s="70" t="s">
        <v>918</v>
      </c>
      <c r="B114" s="31"/>
      <c r="C114" s="31"/>
      <c r="D114" s="31"/>
      <c r="E114" s="31"/>
      <c r="F114" s="31"/>
      <c r="G114" s="31"/>
      <c r="H114" s="31"/>
      <c r="I114" s="31">
        <v>1.294</v>
      </c>
      <c r="J114" s="31">
        <v>0</v>
      </c>
      <c r="K114" s="31">
        <v>3.2170000000000001</v>
      </c>
      <c r="L114" s="31">
        <v>0</v>
      </c>
      <c r="M114" s="31">
        <v>0</v>
      </c>
      <c r="N114" s="31">
        <v>3.1829999999999998</v>
      </c>
      <c r="O114" s="31">
        <v>33.957999999999998</v>
      </c>
      <c r="P114" s="31">
        <v>2.8450000000000002</v>
      </c>
      <c r="Q114" s="31">
        <v>69.643999999999991</v>
      </c>
      <c r="R114" s="31">
        <v>4.0220000000000002</v>
      </c>
      <c r="S114" s="31">
        <v>1.4410000000000001</v>
      </c>
      <c r="T114" s="31">
        <v>39.738</v>
      </c>
      <c r="U114" s="31">
        <v>2.3940000000000001</v>
      </c>
      <c r="V114" s="31">
        <v>39.863</v>
      </c>
      <c r="W114" s="31">
        <v>0</v>
      </c>
      <c r="X114" s="31">
        <v>0</v>
      </c>
      <c r="Y114" s="31">
        <v>9.3449999999999989</v>
      </c>
      <c r="Z114" s="31">
        <v>0</v>
      </c>
      <c r="AA114" s="31">
        <v>4.0680000000000005</v>
      </c>
      <c r="AB114" s="31">
        <v>26.602</v>
      </c>
      <c r="AC114" s="31">
        <v>2.4809999999999999</v>
      </c>
      <c r="AD114" s="31">
        <v>11.623571428571427</v>
      </c>
    </row>
    <row r="115" spans="1:30" x14ac:dyDescent="0.3">
      <c r="A115" s="70" t="s">
        <v>917</v>
      </c>
      <c r="B115" s="31"/>
      <c r="C115" s="31"/>
      <c r="D115" s="31"/>
      <c r="E115" s="31"/>
      <c r="F115" s="31"/>
      <c r="G115" s="31"/>
      <c r="H115" s="31"/>
      <c r="I115" s="31">
        <v>0.04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31">
        <v>0</v>
      </c>
      <c r="P115" s="31">
        <v>0</v>
      </c>
      <c r="Q115" s="31">
        <v>0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31">
        <v>0</v>
      </c>
      <c r="AD115" s="31">
        <v>1.9047619047619048E-3</v>
      </c>
    </row>
    <row r="116" spans="1:30" x14ac:dyDescent="0.3">
      <c r="A116" s="70" t="s">
        <v>922</v>
      </c>
      <c r="B116" s="31">
        <v>0</v>
      </c>
      <c r="C116" s="31">
        <v>0</v>
      </c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10.020000000000001</v>
      </c>
      <c r="L116" s="31">
        <v>3.84</v>
      </c>
      <c r="M116" s="31">
        <v>0</v>
      </c>
      <c r="N116" s="31">
        <v>22.1</v>
      </c>
      <c r="O116" s="31">
        <v>25.34</v>
      </c>
      <c r="P116" s="31">
        <v>30.240000000000002</v>
      </c>
      <c r="Q116" s="31">
        <v>0</v>
      </c>
      <c r="R116" s="31">
        <v>8.85</v>
      </c>
      <c r="S116" s="31">
        <v>13.739999999999998</v>
      </c>
      <c r="T116" s="31">
        <v>19.8</v>
      </c>
      <c r="U116" s="31">
        <v>0</v>
      </c>
      <c r="V116" s="31">
        <v>0</v>
      </c>
      <c r="W116" s="31">
        <v>0</v>
      </c>
      <c r="X116" s="31">
        <v>0</v>
      </c>
      <c r="Y116" s="31">
        <v>15.4</v>
      </c>
      <c r="Z116" s="31">
        <v>51.088999999999999</v>
      </c>
      <c r="AA116" s="31">
        <v>44.42</v>
      </c>
      <c r="AB116" s="31">
        <v>41.050000000000004</v>
      </c>
      <c r="AC116" s="31">
        <v>81.739999999999981</v>
      </c>
      <c r="AD116" s="31">
        <v>13.129607142857143</v>
      </c>
    </row>
    <row r="117" spans="1:30" x14ac:dyDescent="0.3">
      <c r="A117" s="70" t="s">
        <v>983</v>
      </c>
      <c r="B117" s="31">
        <v>72.84</v>
      </c>
      <c r="C117" s="31">
        <v>48.819999999999993</v>
      </c>
      <c r="D117" s="31">
        <v>61.580000000000005</v>
      </c>
      <c r="E117" s="31">
        <v>97.98</v>
      </c>
      <c r="F117" s="31">
        <v>166.91</v>
      </c>
      <c r="G117" s="31">
        <v>91.54000000000002</v>
      </c>
      <c r="H117" s="31">
        <v>168.75000000000006</v>
      </c>
      <c r="I117" s="31">
        <v>103.14999999999999</v>
      </c>
      <c r="J117" s="31">
        <v>96.100999999999999</v>
      </c>
      <c r="K117" s="31">
        <v>101.58999999999999</v>
      </c>
      <c r="L117" s="31">
        <v>98.04</v>
      </c>
      <c r="M117" s="31">
        <v>162.55100000000002</v>
      </c>
      <c r="N117" s="31">
        <v>40.179999999999993</v>
      </c>
      <c r="O117" s="31">
        <v>51.680000000000007</v>
      </c>
      <c r="P117" s="31">
        <v>126.94000000000001</v>
      </c>
      <c r="Q117" s="31">
        <v>70.329999999999984</v>
      </c>
      <c r="R117" s="31">
        <v>53.659999999999989</v>
      </c>
      <c r="S117" s="31">
        <v>0</v>
      </c>
      <c r="T117" s="31">
        <v>48.43</v>
      </c>
      <c r="U117" s="31">
        <v>15.190000000000001</v>
      </c>
      <c r="V117" s="31">
        <v>101.50999999999999</v>
      </c>
      <c r="W117" s="31">
        <v>189.88000000000002</v>
      </c>
      <c r="X117" s="31">
        <v>182.98</v>
      </c>
      <c r="Y117" s="31">
        <v>230.91999999999996</v>
      </c>
      <c r="Z117" s="31">
        <v>195.36999999999998</v>
      </c>
      <c r="AA117" s="31">
        <v>112.93999999999998</v>
      </c>
      <c r="AB117" s="31">
        <v>47.65</v>
      </c>
      <c r="AC117" s="31">
        <v>34.549999999999997</v>
      </c>
      <c r="AD117" s="31">
        <v>99.002214285714317</v>
      </c>
    </row>
    <row r="118" spans="1:30" x14ac:dyDescent="0.3">
      <c r="A118" s="70" t="s">
        <v>958</v>
      </c>
      <c r="B118" s="31">
        <v>2.7440000000000002</v>
      </c>
      <c r="C118" s="31">
        <v>0</v>
      </c>
      <c r="D118" s="31">
        <v>0</v>
      </c>
      <c r="E118" s="31">
        <v>0</v>
      </c>
      <c r="F118" s="31">
        <v>0</v>
      </c>
      <c r="G118" s="31">
        <v>3.39</v>
      </c>
      <c r="H118" s="31">
        <v>0</v>
      </c>
      <c r="I118" s="31">
        <v>0</v>
      </c>
      <c r="J118" s="31">
        <v>3.4140000000000001</v>
      </c>
      <c r="K118" s="31">
        <v>0</v>
      </c>
      <c r="L118" s="31">
        <v>0</v>
      </c>
      <c r="M118" s="31">
        <v>0</v>
      </c>
      <c r="N118" s="31">
        <v>0</v>
      </c>
      <c r="O118" s="31">
        <v>0</v>
      </c>
      <c r="P118" s="31">
        <v>0</v>
      </c>
      <c r="Q118" s="31">
        <v>2.38</v>
      </c>
      <c r="R118" s="31">
        <v>0</v>
      </c>
      <c r="S118" s="31">
        <v>0</v>
      </c>
      <c r="T118" s="31">
        <v>0</v>
      </c>
      <c r="U118" s="31">
        <v>0</v>
      </c>
      <c r="V118" s="31">
        <v>0</v>
      </c>
      <c r="W118" s="31">
        <v>0</v>
      </c>
      <c r="X118" s="31">
        <v>0</v>
      </c>
      <c r="Y118" s="31">
        <v>0</v>
      </c>
      <c r="Z118" s="31">
        <v>0</v>
      </c>
      <c r="AA118" s="31">
        <v>3.3620000000000001</v>
      </c>
      <c r="AB118" s="31">
        <v>0</v>
      </c>
      <c r="AC118" s="31">
        <v>0</v>
      </c>
      <c r="AD118" s="31">
        <v>0.54607142857142865</v>
      </c>
    </row>
    <row r="119" spans="1:30" x14ac:dyDescent="0.3">
      <c r="A119" s="70" t="s">
        <v>984</v>
      </c>
      <c r="B119" s="31">
        <v>0</v>
      </c>
      <c r="C119" s="31">
        <v>0</v>
      </c>
      <c r="D119" s="31">
        <v>0</v>
      </c>
      <c r="E119" s="31">
        <v>1E-3</v>
      </c>
      <c r="F119" s="31">
        <v>0</v>
      </c>
      <c r="G119" s="31">
        <v>0</v>
      </c>
      <c r="H119" s="31">
        <v>0</v>
      </c>
      <c r="I119" s="31">
        <v>1E-3</v>
      </c>
      <c r="J119" s="31">
        <v>0</v>
      </c>
      <c r="K119" s="31">
        <v>0.20300000000000001</v>
      </c>
      <c r="L119" s="31">
        <v>0</v>
      </c>
      <c r="M119" s="31">
        <v>0</v>
      </c>
      <c r="N119" s="31">
        <v>7.8550000000000004</v>
      </c>
      <c r="O119" s="31">
        <v>0</v>
      </c>
      <c r="P119" s="31">
        <v>6.5270000000000001</v>
      </c>
      <c r="Q119" s="31">
        <v>0</v>
      </c>
      <c r="R119" s="31">
        <v>0</v>
      </c>
      <c r="S119" s="31">
        <v>0</v>
      </c>
      <c r="T119" s="31">
        <v>0</v>
      </c>
      <c r="U119" s="31">
        <v>0</v>
      </c>
      <c r="V119" s="31">
        <v>0</v>
      </c>
      <c r="W119" s="31">
        <v>0</v>
      </c>
      <c r="X119" s="31">
        <v>0</v>
      </c>
      <c r="Y119" s="31">
        <v>0</v>
      </c>
      <c r="Z119" s="31">
        <v>0</v>
      </c>
      <c r="AA119" s="31">
        <v>0</v>
      </c>
      <c r="AB119" s="31">
        <v>0</v>
      </c>
      <c r="AC119" s="31">
        <v>0</v>
      </c>
      <c r="AD119" s="31">
        <v>0.52096428571428566</v>
      </c>
    </row>
    <row r="120" spans="1:30" x14ac:dyDescent="0.3">
      <c r="A120" s="70" t="s">
        <v>985</v>
      </c>
      <c r="B120" s="31">
        <v>0</v>
      </c>
      <c r="C120" s="31">
        <v>0</v>
      </c>
      <c r="D120" s="31">
        <v>0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O120" s="31">
        <v>0</v>
      </c>
      <c r="P120" s="31">
        <v>0</v>
      </c>
      <c r="Q120" s="31">
        <v>0</v>
      </c>
      <c r="R120" s="31">
        <v>0</v>
      </c>
      <c r="S120" s="31">
        <v>0</v>
      </c>
      <c r="T120" s="31">
        <v>0</v>
      </c>
      <c r="U120" s="31">
        <v>0</v>
      </c>
      <c r="V120" s="31">
        <v>0</v>
      </c>
      <c r="W120" s="31">
        <v>0</v>
      </c>
      <c r="X120" s="31">
        <v>0</v>
      </c>
      <c r="Y120" s="31">
        <v>0</v>
      </c>
      <c r="Z120" s="31">
        <v>0</v>
      </c>
      <c r="AA120" s="31">
        <v>0</v>
      </c>
      <c r="AB120" s="31">
        <v>0</v>
      </c>
      <c r="AC120" s="31">
        <v>0</v>
      </c>
      <c r="AD120" s="31">
        <v>0</v>
      </c>
    </row>
    <row r="121" spans="1:30" x14ac:dyDescent="0.3">
      <c r="A121" s="70" t="s">
        <v>986</v>
      </c>
      <c r="B121" s="31">
        <v>0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0</v>
      </c>
      <c r="P121" s="31">
        <v>0</v>
      </c>
      <c r="Q121" s="31">
        <v>0</v>
      </c>
      <c r="R121" s="31">
        <v>0</v>
      </c>
      <c r="S121" s="31">
        <v>0</v>
      </c>
      <c r="T121" s="31">
        <v>0</v>
      </c>
      <c r="U121" s="31">
        <v>0</v>
      </c>
      <c r="V121" s="31">
        <v>0</v>
      </c>
      <c r="W121" s="31">
        <v>0</v>
      </c>
      <c r="X121" s="31">
        <v>0</v>
      </c>
      <c r="Y121" s="31">
        <v>0</v>
      </c>
      <c r="Z121" s="31">
        <v>0</v>
      </c>
      <c r="AA121" s="31">
        <v>0</v>
      </c>
      <c r="AB121" s="31">
        <v>0</v>
      </c>
      <c r="AC121" s="31">
        <v>0</v>
      </c>
      <c r="AD121" s="31">
        <v>0</v>
      </c>
    </row>
    <row r="122" spans="1:30" x14ac:dyDescent="0.3">
      <c r="A122" s="70" t="s">
        <v>982</v>
      </c>
      <c r="B122" s="31">
        <v>83.75</v>
      </c>
      <c r="C122" s="31">
        <v>109.4</v>
      </c>
      <c r="D122" s="31">
        <v>66.52</v>
      </c>
      <c r="E122" s="31">
        <v>147.429</v>
      </c>
      <c r="F122" s="31">
        <v>94.87</v>
      </c>
      <c r="G122" s="31">
        <v>128.53</v>
      </c>
      <c r="H122" s="31">
        <v>137.36000000000001</v>
      </c>
      <c r="I122" s="31">
        <v>93.829999999999984</v>
      </c>
      <c r="J122" s="31">
        <v>35.14</v>
      </c>
      <c r="K122" s="31">
        <v>60.451000000000001</v>
      </c>
      <c r="L122" s="31">
        <v>153.37700000000001</v>
      </c>
      <c r="M122" s="31">
        <v>110.78999999999999</v>
      </c>
      <c r="N122" s="31">
        <v>119.31099999999999</v>
      </c>
      <c r="O122" s="31">
        <v>90.40900000000002</v>
      </c>
      <c r="P122" s="31">
        <v>148.98100000000002</v>
      </c>
      <c r="Q122" s="31">
        <v>95.218999999999994</v>
      </c>
      <c r="R122" s="31">
        <v>82.28</v>
      </c>
      <c r="S122" s="31">
        <v>127.63999999999999</v>
      </c>
      <c r="T122" s="31">
        <v>109.96000000000001</v>
      </c>
      <c r="U122" s="31">
        <v>101.45</v>
      </c>
      <c r="V122" s="31">
        <v>107.10199999999999</v>
      </c>
      <c r="W122" s="31">
        <v>114.779</v>
      </c>
      <c r="X122" s="31">
        <v>75.819000000000003</v>
      </c>
      <c r="Y122" s="31">
        <v>95.240000000000009</v>
      </c>
      <c r="Z122" s="31">
        <v>81.34</v>
      </c>
      <c r="AA122" s="31">
        <v>114.30099999999999</v>
      </c>
      <c r="AB122" s="31">
        <v>99.039999999999992</v>
      </c>
      <c r="AC122" s="31">
        <v>86.579999999999984</v>
      </c>
      <c r="AD122" s="31">
        <v>102.53207142857144</v>
      </c>
    </row>
    <row r="123" spans="1:30" x14ac:dyDescent="0.3">
      <c r="A123" s="70" t="s">
        <v>981</v>
      </c>
      <c r="B123" s="31">
        <v>262.262</v>
      </c>
      <c r="C123" s="31">
        <v>163.67600000000002</v>
      </c>
      <c r="D123" s="31">
        <v>364.04200000000003</v>
      </c>
      <c r="E123" s="31">
        <v>625.32200000000012</v>
      </c>
      <c r="F123" s="31">
        <v>519.19100000000003</v>
      </c>
      <c r="G123" s="31">
        <v>420.26699999999994</v>
      </c>
      <c r="H123" s="31">
        <v>430.60799999999995</v>
      </c>
      <c r="I123" s="31">
        <v>303.87200000000007</v>
      </c>
      <c r="J123" s="31">
        <v>67.827999999999989</v>
      </c>
      <c r="K123" s="31">
        <v>316.99999999999994</v>
      </c>
      <c r="L123" s="31">
        <v>493.56400000000008</v>
      </c>
      <c r="M123" s="31">
        <v>455.44200000000006</v>
      </c>
      <c r="N123" s="31">
        <v>341.25</v>
      </c>
      <c r="O123" s="31">
        <v>449.762</v>
      </c>
      <c r="P123" s="31">
        <v>209.98599999999996</v>
      </c>
      <c r="Q123" s="31">
        <v>180.12900000000002</v>
      </c>
      <c r="R123" s="31">
        <v>352.50700000000006</v>
      </c>
      <c r="S123" s="31">
        <v>485.35600000000005</v>
      </c>
      <c r="T123" s="31">
        <v>398.35599999999999</v>
      </c>
      <c r="U123" s="31">
        <v>412.94400000000007</v>
      </c>
      <c r="V123" s="31">
        <v>364.45799999999997</v>
      </c>
      <c r="W123" s="31">
        <v>219.01399999999998</v>
      </c>
      <c r="X123" s="31">
        <v>132.11599999999999</v>
      </c>
      <c r="Y123" s="31">
        <v>272.67600000000004</v>
      </c>
      <c r="Z123" s="31">
        <v>369.17399999999986</v>
      </c>
      <c r="AA123" s="31">
        <v>433.72599999999994</v>
      </c>
      <c r="AB123" s="31">
        <v>357.90999999999997</v>
      </c>
      <c r="AC123" s="31">
        <v>372.755</v>
      </c>
      <c r="AD123" s="31">
        <v>349.11403571428565</v>
      </c>
    </row>
    <row r="124" spans="1:30" x14ac:dyDescent="0.3">
      <c r="A124" s="70" t="s">
        <v>980</v>
      </c>
      <c r="B124" s="31">
        <v>156.70000000000002</v>
      </c>
      <c r="C124" s="31">
        <v>56.414999999999992</v>
      </c>
      <c r="D124" s="31">
        <v>234.39700000000002</v>
      </c>
      <c r="E124" s="31">
        <v>240.06400000000002</v>
      </c>
      <c r="F124" s="31">
        <v>158.46199999999999</v>
      </c>
      <c r="G124" s="31">
        <v>271.649</v>
      </c>
      <c r="H124" s="31">
        <v>213.53700000000001</v>
      </c>
      <c r="I124" s="31">
        <v>226.58599999999998</v>
      </c>
      <c r="J124" s="31">
        <v>100.14399999999999</v>
      </c>
      <c r="K124" s="31">
        <v>26.082999999999998</v>
      </c>
      <c r="L124" s="31">
        <v>64.671999999999997</v>
      </c>
      <c r="M124" s="31">
        <v>203.43599999999998</v>
      </c>
      <c r="N124" s="31">
        <v>182.60799999999998</v>
      </c>
      <c r="O124" s="31">
        <v>190.03700000000001</v>
      </c>
      <c r="P124" s="31">
        <v>103.495</v>
      </c>
      <c r="Q124" s="31">
        <v>21.282</v>
      </c>
      <c r="R124" s="31">
        <v>114.07300000000001</v>
      </c>
      <c r="S124" s="31">
        <v>82.859999999999985</v>
      </c>
      <c r="T124" s="31">
        <v>49.89</v>
      </c>
      <c r="U124" s="31">
        <v>183.15900000000002</v>
      </c>
      <c r="V124" s="31">
        <v>146.26900000000001</v>
      </c>
      <c r="W124" s="31">
        <v>125.321</v>
      </c>
      <c r="X124" s="31">
        <v>43.747</v>
      </c>
      <c r="Y124" s="31">
        <v>155.66899999999998</v>
      </c>
      <c r="Z124" s="31">
        <v>117.15</v>
      </c>
      <c r="AA124" s="31">
        <v>144.12400000000002</v>
      </c>
      <c r="AB124" s="31">
        <v>72.400999999999996</v>
      </c>
      <c r="AC124" s="31">
        <v>150.297</v>
      </c>
      <c r="AD124" s="31">
        <v>136.94739285714283</v>
      </c>
    </row>
    <row r="125" spans="1:30" x14ac:dyDescent="0.3">
      <c r="A125" s="70" t="s">
        <v>967</v>
      </c>
      <c r="B125" s="31">
        <v>4.9400000000000004</v>
      </c>
      <c r="C125" s="31">
        <v>0</v>
      </c>
      <c r="D125" s="31">
        <v>0</v>
      </c>
      <c r="E125" s="31">
        <v>0</v>
      </c>
      <c r="F125" s="31">
        <v>0</v>
      </c>
      <c r="G125" s="31">
        <v>0</v>
      </c>
      <c r="H125" s="31">
        <v>0</v>
      </c>
      <c r="I125" s="31">
        <v>3.88</v>
      </c>
      <c r="J125" s="31">
        <v>4.21</v>
      </c>
      <c r="K125" s="31">
        <v>0</v>
      </c>
      <c r="L125" s="31">
        <v>0</v>
      </c>
      <c r="M125" s="31">
        <v>0</v>
      </c>
      <c r="N125" s="31">
        <v>0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3.55</v>
      </c>
      <c r="Y125" s="31">
        <v>0</v>
      </c>
      <c r="Z125" s="31">
        <v>0</v>
      </c>
      <c r="AA125" s="31">
        <v>0</v>
      </c>
      <c r="AB125" s="31">
        <v>0</v>
      </c>
      <c r="AC125" s="31">
        <v>0</v>
      </c>
      <c r="AD125" s="31">
        <v>0.59214285714285719</v>
      </c>
    </row>
    <row r="126" spans="1:30" x14ac:dyDescent="0.3">
      <c r="A126" s="70" t="s">
        <v>963</v>
      </c>
      <c r="B126" s="31">
        <v>0</v>
      </c>
      <c r="C126" s="31">
        <v>0</v>
      </c>
      <c r="D126" s="31">
        <v>0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O126" s="31">
        <v>0</v>
      </c>
      <c r="P126" s="31">
        <v>0</v>
      </c>
      <c r="Q126" s="31">
        <v>0</v>
      </c>
      <c r="R126" s="31">
        <v>0</v>
      </c>
      <c r="S126" s="31">
        <v>0</v>
      </c>
      <c r="T126" s="31">
        <v>0</v>
      </c>
      <c r="U126" s="31">
        <v>0</v>
      </c>
      <c r="V126" s="31">
        <v>0</v>
      </c>
      <c r="W126" s="31">
        <v>0</v>
      </c>
      <c r="X126" s="31">
        <v>0</v>
      </c>
      <c r="Y126" s="31">
        <v>0</v>
      </c>
      <c r="Z126" s="31">
        <v>0</v>
      </c>
      <c r="AA126" s="31">
        <v>0</v>
      </c>
      <c r="AB126" s="31">
        <v>0</v>
      </c>
      <c r="AC126" s="31">
        <v>0</v>
      </c>
      <c r="AD126" s="31">
        <v>0</v>
      </c>
    </row>
    <row r="127" spans="1:30" x14ac:dyDescent="0.3">
      <c r="A127" s="70" t="s">
        <v>987</v>
      </c>
      <c r="B127" s="31">
        <v>0</v>
      </c>
      <c r="C127" s="31">
        <v>0</v>
      </c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9.9699999999999989</v>
      </c>
      <c r="N127" s="31">
        <v>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8.7330000000000005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31">
        <v>0</v>
      </c>
      <c r="AD127" s="31">
        <v>0.66796428571428568</v>
      </c>
    </row>
    <row r="128" spans="1:30" x14ac:dyDescent="0.3">
      <c r="A128" s="70" t="s">
        <v>988</v>
      </c>
      <c r="B128" s="31">
        <v>249.62499999999997</v>
      </c>
      <c r="C128" s="31">
        <v>80.50500000000001</v>
      </c>
      <c r="D128" s="31">
        <v>165.56200000000004</v>
      </c>
      <c r="E128" s="31">
        <v>265.24400000000003</v>
      </c>
      <c r="F128" s="31">
        <v>260.86799999999994</v>
      </c>
      <c r="G128" s="31">
        <v>170.928</v>
      </c>
      <c r="H128" s="31">
        <v>180.26100000000002</v>
      </c>
      <c r="I128" s="31">
        <v>144.786</v>
      </c>
      <c r="J128" s="31">
        <v>44.170999999999999</v>
      </c>
      <c r="K128" s="31">
        <v>215.30499999999995</v>
      </c>
      <c r="L128" s="31">
        <v>366.80800000000005</v>
      </c>
      <c r="M128" s="31">
        <v>370.37100000000009</v>
      </c>
      <c r="N128" s="31">
        <v>407.05999999999995</v>
      </c>
      <c r="O128" s="31">
        <v>328.161</v>
      </c>
      <c r="P128" s="31">
        <v>257.83100000000002</v>
      </c>
      <c r="Q128" s="31">
        <v>65.869</v>
      </c>
      <c r="R128" s="31">
        <v>107.776</v>
      </c>
      <c r="S128" s="31">
        <v>212.48400000000001</v>
      </c>
      <c r="T128" s="31">
        <v>196.142</v>
      </c>
      <c r="U128" s="31">
        <v>209.82</v>
      </c>
      <c r="V128" s="31">
        <v>0</v>
      </c>
      <c r="W128" s="31">
        <v>240.90499999999997</v>
      </c>
      <c r="X128" s="31">
        <v>152.86600000000004</v>
      </c>
      <c r="Y128" s="31">
        <v>230.39400000000001</v>
      </c>
      <c r="Z128" s="31">
        <v>395.82099999999991</v>
      </c>
      <c r="AA128" s="31">
        <v>346.62400000000002</v>
      </c>
      <c r="AB128" s="31">
        <v>347.44599999999991</v>
      </c>
      <c r="AC128" s="31">
        <v>330.27500000000003</v>
      </c>
      <c r="AD128" s="31">
        <v>226.56814285714285</v>
      </c>
    </row>
    <row r="129" spans="1:30" x14ac:dyDescent="0.3">
      <c r="A129" s="70" t="s">
        <v>969</v>
      </c>
      <c r="B129" s="31">
        <v>0</v>
      </c>
      <c r="C129" s="31">
        <v>0</v>
      </c>
      <c r="D129" s="31">
        <v>0</v>
      </c>
      <c r="E129" s="31">
        <v>3.07</v>
      </c>
      <c r="F129" s="31">
        <v>0</v>
      </c>
      <c r="G129" s="31">
        <v>0</v>
      </c>
      <c r="H129" s="31">
        <v>0</v>
      </c>
      <c r="I129" s="31">
        <v>0</v>
      </c>
      <c r="J129" s="31">
        <v>1.323</v>
      </c>
      <c r="K129" s="31">
        <v>0</v>
      </c>
      <c r="L129" s="31">
        <v>2.89</v>
      </c>
      <c r="M129" s="31">
        <v>0</v>
      </c>
      <c r="N129" s="31">
        <v>0</v>
      </c>
      <c r="O129" s="31">
        <v>0</v>
      </c>
      <c r="P129" s="31">
        <v>0.45700000000000002</v>
      </c>
      <c r="Q129" s="31">
        <v>0</v>
      </c>
      <c r="R129" s="31">
        <v>0</v>
      </c>
      <c r="S129" s="31">
        <v>0.69899999999999995</v>
      </c>
      <c r="T129" s="31">
        <v>0</v>
      </c>
      <c r="U129" s="31">
        <v>2.778</v>
      </c>
      <c r="V129" s="31">
        <v>0</v>
      </c>
      <c r="W129" s="31">
        <v>0</v>
      </c>
      <c r="X129" s="31">
        <v>2.569</v>
      </c>
      <c r="Y129" s="31">
        <v>0</v>
      </c>
      <c r="Z129" s="31">
        <v>0</v>
      </c>
      <c r="AA129" s="31">
        <v>0</v>
      </c>
      <c r="AB129" s="31">
        <v>0</v>
      </c>
      <c r="AC129" s="31">
        <v>0</v>
      </c>
      <c r="AD129" s="31">
        <v>0.49235714285714288</v>
      </c>
    </row>
    <row r="130" spans="1:30" x14ac:dyDescent="0.3">
      <c r="A130" s="70" t="s">
        <v>991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>
        <v>2.89</v>
      </c>
      <c r="O130" s="31">
        <v>0</v>
      </c>
      <c r="P130" s="31">
        <v>0.57099999999999995</v>
      </c>
      <c r="Q130" s="31">
        <v>0</v>
      </c>
      <c r="R130" s="31">
        <v>0</v>
      </c>
      <c r="S130" s="31">
        <v>0</v>
      </c>
      <c r="T130" s="31">
        <v>0</v>
      </c>
      <c r="U130" s="31">
        <v>8.14</v>
      </c>
      <c r="V130" s="31">
        <v>0</v>
      </c>
      <c r="W130" s="31">
        <v>0</v>
      </c>
      <c r="X130" s="31">
        <v>0</v>
      </c>
      <c r="Y130" s="31">
        <v>0</v>
      </c>
      <c r="Z130" s="31">
        <v>7.6689999999999996</v>
      </c>
      <c r="AA130" s="31">
        <v>0</v>
      </c>
      <c r="AB130" s="31">
        <v>0</v>
      </c>
      <c r="AC130" s="31">
        <v>0</v>
      </c>
      <c r="AD130" s="31">
        <v>1.204375</v>
      </c>
    </row>
    <row r="131" spans="1:30" x14ac:dyDescent="0.3">
      <c r="A131" s="70" t="s">
        <v>970</v>
      </c>
      <c r="B131" s="31">
        <v>0</v>
      </c>
      <c r="C131" s="31">
        <v>0</v>
      </c>
      <c r="D131" s="31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0</v>
      </c>
      <c r="V131" s="31">
        <v>0</v>
      </c>
      <c r="W131" s="31">
        <v>0</v>
      </c>
      <c r="X131" s="31">
        <v>0</v>
      </c>
      <c r="Y131" s="31">
        <v>0</v>
      </c>
      <c r="Z131" s="31">
        <v>0</v>
      </c>
      <c r="AA131" s="31">
        <v>0</v>
      </c>
      <c r="AB131" s="31">
        <v>0</v>
      </c>
      <c r="AC131" s="31">
        <v>0</v>
      </c>
      <c r="AD131" s="31">
        <v>0</v>
      </c>
    </row>
    <row r="132" spans="1:30" x14ac:dyDescent="0.3">
      <c r="A132" s="70" t="s">
        <v>953</v>
      </c>
      <c r="B132" s="31">
        <v>0</v>
      </c>
      <c r="C132" s="31">
        <v>0</v>
      </c>
      <c r="D132" s="31">
        <v>0</v>
      </c>
      <c r="E132" s="31">
        <v>0</v>
      </c>
      <c r="F132" s="31">
        <v>0</v>
      </c>
      <c r="G132" s="31">
        <v>0</v>
      </c>
      <c r="H132" s="31">
        <v>7.29</v>
      </c>
      <c r="I132" s="31">
        <v>16.809999999999999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0.152</v>
      </c>
      <c r="P132" s="31">
        <v>10.797000000000001</v>
      </c>
      <c r="Q132" s="31">
        <v>13.824999999999999</v>
      </c>
      <c r="R132" s="31">
        <v>0</v>
      </c>
      <c r="S132" s="31">
        <v>14.878</v>
      </c>
      <c r="T132" s="31">
        <v>13.321000000000002</v>
      </c>
      <c r="U132" s="31">
        <v>0</v>
      </c>
      <c r="V132" s="31">
        <v>6.0000000000000001E-3</v>
      </c>
      <c r="W132" s="31">
        <v>17.802</v>
      </c>
      <c r="X132" s="31">
        <v>0</v>
      </c>
      <c r="Y132" s="31">
        <v>1.3499999999999999</v>
      </c>
      <c r="Z132" s="31">
        <v>21.837</v>
      </c>
      <c r="AA132" s="31">
        <v>6.1559999999999997</v>
      </c>
      <c r="AB132" s="31">
        <v>6.612000000000001</v>
      </c>
      <c r="AC132" s="31">
        <v>0</v>
      </c>
      <c r="AD132" s="31">
        <v>4.672714285714286</v>
      </c>
    </row>
    <row r="133" spans="1:30" x14ac:dyDescent="0.3">
      <c r="A133" s="70" t="s">
        <v>956</v>
      </c>
      <c r="B133" s="31">
        <v>0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0</v>
      </c>
      <c r="V133" s="31">
        <v>0</v>
      </c>
      <c r="W133" s="31">
        <v>0</v>
      </c>
      <c r="X133" s="31">
        <v>0</v>
      </c>
      <c r="Y133" s="31">
        <v>0</v>
      </c>
      <c r="Z133" s="31">
        <v>0</v>
      </c>
      <c r="AA133" s="31">
        <v>0</v>
      </c>
      <c r="AB133" s="31">
        <v>0</v>
      </c>
      <c r="AC133" s="31">
        <v>0</v>
      </c>
      <c r="AD133" s="31">
        <v>0</v>
      </c>
    </row>
    <row r="134" spans="1:30" x14ac:dyDescent="0.3">
      <c r="A134" s="70" t="s">
        <v>955</v>
      </c>
      <c r="B134" s="31">
        <v>0</v>
      </c>
      <c r="C134" s="31">
        <v>0</v>
      </c>
      <c r="D134" s="31">
        <v>0</v>
      </c>
      <c r="E134" s="31">
        <v>0</v>
      </c>
      <c r="F134" s="31">
        <v>0</v>
      </c>
      <c r="G134" s="31">
        <v>0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0</v>
      </c>
      <c r="V134" s="31">
        <v>0</v>
      </c>
      <c r="W134" s="31">
        <v>0</v>
      </c>
      <c r="X134" s="31">
        <v>0</v>
      </c>
      <c r="Y134" s="31">
        <v>0</v>
      </c>
      <c r="Z134" s="31">
        <v>0</v>
      </c>
      <c r="AA134" s="31">
        <v>0</v>
      </c>
      <c r="AB134" s="31">
        <v>0</v>
      </c>
      <c r="AC134" s="31">
        <v>0</v>
      </c>
      <c r="AD134" s="31">
        <v>0</v>
      </c>
    </row>
    <row r="135" spans="1:30" x14ac:dyDescent="0.3">
      <c r="A135" s="70" t="s">
        <v>951</v>
      </c>
      <c r="B135" s="31">
        <v>0</v>
      </c>
      <c r="C135" s="31">
        <v>0</v>
      </c>
      <c r="D135" s="31">
        <v>0</v>
      </c>
      <c r="E135" s="31">
        <v>0</v>
      </c>
      <c r="F135" s="31">
        <v>0</v>
      </c>
      <c r="G135" s="31">
        <v>0</v>
      </c>
      <c r="H135" s="31">
        <v>0</v>
      </c>
      <c r="I135" s="31">
        <v>0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0</v>
      </c>
      <c r="U135" s="31">
        <v>0</v>
      </c>
      <c r="V135" s="31">
        <v>0</v>
      </c>
      <c r="W135" s="31">
        <v>0</v>
      </c>
      <c r="X135" s="31">
        <v>0</v>
      </c>
      <c r="Y135" s="31">
        <v>0</v>
      </c>
      <c r="Z135" s="31">
        <v>0</v>
      </c>
      <c r="AA135" s="31">
        <v>0</v>
      </c>
      <c r="AB135" s="31">
        <v>0</v>
      </c>
      <c r="AC135" s="31">
        <v>0</v>
      </c>
      <c r="AD135" s="31">
        <v>0</v>
      </c>
    </row>
    <row r="136" spans="1:30" x14ac:dyDescent="0.3">
      <c r="A136" s="70" t="s">
        <v>952</v>
      </c>
      <c r="B136" s="31">
        <v>0</v>
      </c>
      <c r="C136" s="31">
        <v>0</v>
      </c>
      <c r="D136" s="31">
        <v>0</v>
      </c>
      <c r="E136" s="31">
        <v>0</v>
      </c>
      <c r="F136" s="31">
        <v>0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2.7519999999999998</v>
      </c>
      <c r="Q136" s="31">
        <v>0</v>
      </c>
      <c r="R136" s="31">
        <v>0</v>
      </c>
      <c r="S136" s="31">
        <v>0</v>
      </c>
      <c r="T136" s="31">
        <v>0</v>
      </c>
      <c r="U136" s="31">
        <v>0</v>
      </c>
      <c r="V136" s="31">
        <v>0</v>
      </c>
      <c r="W136" s="31">
        <v>0</v>
      </c>
      <c r="X136" s="31">
        <v>0</v>
      </c>
      <c r="Y136" s="31">
        <v>0</v>
      </c>
      <c r="Z136" s="31">
        <v>0</v>
      </c>
      <c r="AA136" s="31">
        <v>0</v>
      </c>
      <c r="AB136" s="31">
        <v>0</v>
      </c>
      <c r="AC136" s="31">
        <v>0</v>
      </c>
      <c r="AD136" s="31">
        <v>9.8285714285714282E-2</v>
      </c>
    </row>
    <row r="137" spans="1:30" x14ac:dyDescent="0.3">
      <c r="A137" s="70" t="s">
        <v>989</v>
      </c>
      <c r="B137" s="31"/>
      <c r="C137" s="31"/>
      <c r="D137" s="31"/>
      <c r="E137" s="31"/>
      <c r="F137" s="31"/>
      <c r="G137" s="31"/>
      <c r="H137" s="31"/>
      <c r="I137" s="31">
        <v>13.86</v>
      </c>
      <c r="J137" s="31">
        <v>19</v>
      </c>
      <c r="K137" s="31">
        <v>0</v>
      </c>
      <c r="L137" s="31">
        <v>11.7</v>
      </c>
      <c r="M137" s="31">
        <v>22.099999999999998</v>
      </c>
      <c r="N137" s="31">
        <v>1.07</v>
      </c>
      <c r="O137" s="31">
        <v>0</v>
      </c>
      <c r="P137" s="31">
        <v>9.16</v>
      </c>
      <c r="Q137" s="31">
        <v>4.82</v>
      </c>
      <c r="R137" s="31">
        <v>20.09</v>
      </c>
      <c r="S137" s="31">
        <v>13.55</v>
      </c>
      <c r="T137" s="31">
        <v>37.89</v>
      </c>
      <c r="U137" s="31">
        <v>0</v>
      </c>
      <c r="V137" s="31">
        <v>21.39</v>
      </c>
      <c r="W137" s="31">
        <v>21.65</v>
      </c>
      <c r="X137" s="31">
        <v>15.89</v>
      </c>
      <c r="Y137" s="31">
        <v>26.64</v>
      </c>
      <c r="Z137" s="31">
        <v>31.419999999999998</v>
      </c>
      <c r="AA137" s="31">
        <v>28.36</v>
      </c>
      <c r="AB137" s="31">
        <v>26.61</v>
      </c>
      <c r="AC137" s="31">
        <v>0</v>
      </c>
      <c r="AD137" s="31">
        <v>15.485714285714288</v>
      </c>
    </row>
    <row r="138" spans="1:30" x14ac:dyDescent="0.3">
      <c r="A138" s="70" t="s">
        <v>990</v>
      </c>
      <c r="B138" s="31">
        <v>0</v>
      </c>
      <c r="C138" s="31">
        <v>0</v>
      </c>
      <c r="D138" s="31">
        <v>0</v>
      </c>
      <c r="E138" s="31">
        <v>0</v>
      </c>
      <c r="F138" s="31">
        <v>0</v>
      </c>
      <c r="G138" s="31">
        <v>0</v>
      </c>
      <c r="H138" s="31">
        <v>19.884</v>
      </c>
      <c r="I138" s="31">
        <v>0</v>
      </c>
      <c r="J138" s="31">
        <v>0</v>
      </c>
      <c r="K138" s="31">
        <v>0</v>
      </c>
      <c r="L138" s="31">
        <v>0</v>
      </c>
      <c r="M138" s="31">
        <v>13.233000000000001</v>
      </c>
      <c r="N138" s="31">
        <v>2.9239999999999999</v>
      </c>
      <c r="O138" s="31">
        <v>38.991999999999997</v>
      </c>
      <c r="P138" s="31">
        <v>0</v>
      </c>
      <c r="Q138" s="31">
        <v>35.164000000000001</v>
      </c>
      <c r="R138" s="31">
        <v>0</v>
      </c>
      <c r="S138" s="31">
        <v>0</v>
      </c>
      <c r="T138" s="31">
        <v>0</v>
      </c>
      <c r="U138" s="31">
        <v>15.571</v>
      </c>
      <c r="V138" s="31">
        <v>0</v>
      </c>
      <c r="W138" s="31">
        <v>8.282</v>
      </c>
      <c r="X138" s="31">
        <v>0</v>
      </c>
      <c r="Y138" s="31">
        <v>41.360999999999997</v>
      </c>
      <c r="Z138" s="31">
        <v>0</v>
      </c>
      <c r="AA138" s="31">
        <v>0</v>
      </c>
      <c r="AB138" s="31">
        <v>31.962</v>
      </c>
      <c r="AC138" s="31">
        <v>0</v>
      </c>
      <c r="AD138" s="31">
        <v>7.4061785714285708</v>
      </c>
    </row>
    <row r="139" spans="1:30" x14ac:dyDescent="0.3">
      <c r="A139" s="70" t="s">
        <v>946</v>
      </c>
      <c r="B139" s="31">
        <v>7.81</v>
      </c>
      <c r="C139" s="31">
        <v>27.604999999999997</v>
      </c>
      <c r="D139" s="31">
        <v>0</v>
      </c>
      <c r="E139" s="31">
        <v>0</v>
      </c>
      <c r="F139" s="31">
        <v>0</v>
      </c>
      <c r="G139" s="31">
        <v>21.496000000000002</v>
      </c>
      <c r="H139" s="31">
        <v>9.141</v>
      </c>
      <c r="I139" s="31">
        <v>31.664999999999999</v>
      </c>
      <c r="J139" s="31">
        <v>0</v>
      </c>
      <c r="K139" s="31">
        <v>11.96</v>
      </c>
      <c r="L139" s="31">
        <v>19.518999999999998</v>
      </c>
      <c r="M139" s="31">
        <v>12.1</v>
      </c>
      <c r="N139" s="31">
        <v>17.125</v>
      </c>
      <c r="O139" s="31">
        <v>0</v>
      </c>
      <c r="P139" s="31">
        <v>14.526</v>
      </c>
      <c r="Q139" s="31">
        <v>30.943999999999996</v>
      </c>
      <c r="R139" s="31">
        <v>0</v>
      </c>
      <c r="S139" s="31">
        <v>0</v>
      </c>
      <c r="T139" s="31">
        <v>0</v>
      </c>
      <c r="U139" s="31">
        <v>0</v>
      </c>
      <c r="V139" s="31">
        <v>12.07</v>
      </c>
      <c r="W139" s="31">
        <v>18.835000000000001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  <c r="AC139" s="31">
        <v>18.762</v>
      </c>
      <c r="AD139" s="31">
        <v>9.0556428571428587</v>
      </c>
    </row>
    <row r="140" spans="1:30" x14ac:dyDescent="0.3">
      <c r="A140" s="70" t="s">
        <v>938</v>
      </c>
      <c r="B140" s="31">
        <v>0</v>
      </c>
      <c r="C140" s="31">
        <v>0</v>
      </c>
      <c r="D140" s="31">
        <v>0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31">
        <v>0</v>
      </c>
      <c r="P140" s="31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31">
        <v>0</v>
      </c>
      <c r="AA140" s="31">
        <v>0</v>
      </c>
      <c r="AB140" s="31">
        <v>0</v>
      </c>
      <c r="AC140" s="31">
        <v>0</v>
      </c>
      <c r="AD140" s="31">
        <v>0</v>
      </c>
    </row>
    <row r="141" spans="1:30" x14ac:dyDescent="0.3">
      <c r="A141" s="70" t="s">
        <v>944</v>
      </c>
      <c r="B141" s="31">
        <v>0</v>
      </c>
      <c r="C141" s="31">
        <v>0</v>
      </c>
      <c r="D141" s="31">
        <v>0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11.71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16.149999999999999</v>
      </c>
      <c r="U141" s="31">
        <v>6.53</v>
      </c>
      <c r="V141" s="31">
        <v>0</v>
      </c>
      <c r="W141" s="31">
        <v>19.29</v>
      </c>
      <c r="X141" s="31">
        <v>19.880000000000003</v>
      </c>
      <c r="Y141" s="31">
        <v>12.46</v>
      </c>
      <c r="Z141" s="31">
        <v>7.94</v>
      </c>
      <c r="AA141" s="31">
        <v>11.92</v>
      </c>
      <c r="AB141" s="31">
        <v>0</v>
      </c>
      <c r="AC141" s="31">
        <v>13.89</v>
      </c>
      <c r="AD141" s="31">
        <v>4.2775000000000007</v>
      </c>
    </row>
    <row r="142" spans="1:30" x14ac:dyDescent="0.3">
      <c r="A142" s="70" t="s">
        <v>927</v>
      </c>
      <c r="B142" s="31">
        <v>0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</row>
    <row r="143" spans="1:30" x14ac:dyDescent="0.3">
      <c r="A143" s="70" t="s">
        <v>926</v>
      </c>
      <c r="B143" s="31">
        <v>0</v>
      </c>
      <c r="C143" s="31">
        <v>0</v>
      </c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</row>
    <row r="144" spans="1:30" x14ac:dyDescent="0.3">
      <c r="A144" s="70" t="s">
        <v>928</v>
      </c>
      <c r="B144" s="31">
        <v>0</v>
      </c>
      <c r="C144" s="31">
        <v>0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</row>
    <row r="145" spans="1:30" x14ac:dyDescent="0.3">
      <c r="A145" s="70" t="s">
        <v>929</v>
      </c>
      <c r="B145" s="31">
        <v>12.052</v>
      </c>
      <c r="C145" s="31">
        <v>21.710999999999999</v>
      </c>
      <c r="D145" s="31">
        <v>9.1440000000000001</v>
      </c>
      <c r="E145" s="31">
        <v>16.334</v>
      </c>
      <c r="F145" s="31">
        <v>18.709</v>
      </c>
      <c r="G145" s="31">
        <v>1.86</v>
      </c>
      <c r="H145" s="31">
        <v>12.777999999999999</v>
      </c>
      <c r="I145" s="31">
        <v>0.95199999999999996</v>
      </c>
      <c r="J145" s="31">
        <v>21.542000000000002</v>
      </c>
      <c r="K145" s="31">
        <v>8.6310000000000002</v>
      </c>
      <c r="L145" s="31">
        <v>17.577999999999999</v>
      </c>
      <c r="M145" s="31">
        <v>8.1980000000000004</v>
      </c>
      <c r="N145" s="31">
        <v>15.952999999999999</v>
      </c>
      <c r="O145" s="31">
        <v>17.405999999999999</v>
      </c>
      <c r="P145" s="31">
        <v>0</v>
      </c>
      <c r="Q145" s="31">
        <v>9.9939999999999998</v>
      </c>
      <c r="R145" s="31">
        <v>2.7850000000000001</v>
      </c>
      <c r="S145" s="31">
        <v>8.6980000000000004</v>
      </c>
      <c r="T145" s="31">
        <v>12.984</v>
      </c>
      <c r="U145" s="31">
        <v>2.7170000000000001</v>
      </c>
      <c r="V145" s="31">
        <v>9.5830000000000002</v>
      </c>
      <c r="W145" s="31">
        <v>0</v>
      </c>
      <c r="X145" s="31">
        <v>20.393000000000001</v>
      </c>
      <c r="Y145" s="31">
        <v>6.9939999999999998</v>
      </c>
      <c r="Z145" s="31">
        <v>20.237000000000002</v>
      </c>
      <c r="AA145" s="31">
        <v>15.147</v>
      </c>
      <c r="AB145" s="31">
        <v>10.843</v>
      </c>
      <c r="AC145" s="31">
        <v>21.184999999999999</v>
      </c>
      <c r="AD145" s="31">
        <v>11.586000000000002</v>
      </c>
    </row>
    <row r="146" spans="1:30" x14ac:dyDescent="0.3">
      <c r="A146" s="70" t="s">
        <v>930</v>
      </c>
      <c r="B146" s="31">
        <v>0</v>
      </c>
      <c r="C146" s="31">
        <v>0</v>
      </c>
      <c r="D146" s="31">
        <v>0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1">
        <v>0</v>
      </c>
      <c r="AD146" s="31">
        <v>0</v>
      </c>
    </row>
    <row r="147" spans="1:30" x14ac:dyDescent="0.3">
      <c r="A147" s="70" t="s">
        <v>931</v>
      </c>
      <c r="B147" s="31">
        <v>0</v>
      </c>
      <c r="C147" s="31">
        <v>0</v>
      </c>
      <c r="D147" s="31">
        <v>0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31">
        <v>0</v>
      </c>
      <c r="AD147" s="31">
        <v>0</v>
      </c>
    </row>
    <row r="148" spans="1:30" x14ac:dyDescent="0.3">
      <c r="A148" s="70" t="s">
        <v>948</v>
      </c>
      <c r="B148" s="31">
        <v>0</v>
      </c>
      <c r="C148" s="31">
        <v>0</v>
      </c>
      <c r="D148" s="31">
        <v>0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22.09</v>
      </c>
      <c r="N148" s="31">
        <v>6.31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31">
        <v>0</v>
      </c>
      <c r="AD148" s="31">
        <v>1.0142857142857142</v>
      </c>
    </row>
    <row r="149" spans="1:30" x14ac:dyDescent="0.3">
      <c r="A149" s="70" t="s">
        <v>932</v>
      </c>
      <c r="B149" s="31">
        <v>0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14.783000000000001</v>
      </c>
      <c r="S149" s="31">
        <v>0</v>
      </c>
      <c r="T149" s="31">
        <v>13.996999999999998</v>
      </c>
      <c r="U149" s="31">
        <v>4.1859999999999999</v>
      </c>
      <c r="V149" s="31">
        <v>5.4790000000000001</v>
      </c>
      <c r="W149" s="31">
        <v>0</v>
      </c>
      <c r="X149" s="31">
        <v>0</v>
      </c>
      <c r="Y149" s="31">
        <v>7.2610000000000001</v>
      </c>
      <c r="Z149" s="31">
        <v>0</v>
      </c>
      <c r="AA149" s="31">
        <v>0</v>
      </c>
      <c r="AB149" s="31">
        <v>10.308999999999999</v>
      </c>
      <c r="AC149" s="31">
        <v>8.7149999999999999</v>
      </c>
      <c r="AD149" s="31">
        <v>2.3117857142857146</v>
      </c>
    </row>
    <row r="150" spans="1:30" x14ac:dyDescent="0.3">
      <c r="A150" s="70" t="s">
        <v>933</v>
      </c>
      <c r="B150" s="31">
        <v>0</v>
      </c>
      <c r="C150" s="31">
        <v>0</v>
      </c>
      <c r="D150" s="31">
        <v>13.558</v>
      </c>
      <c r="E150" s="31">
        <v>7.6980000000000004</v>
      </c>
      <c r="F150" s="31">
        <v>0</v>
      </c>
      <c r="G150" s="31">
        <v>10.009</v>
      </c>
      <c r="H150" s="31">
        <v>0</v>
      </c>
      <c r="I150" s="31">
        <v>0</v>
      </c>
      <c r="J150" s="31">
        <v>0</v>
      </c>
      <c r="K150" s="31">
        <v>8.5370000000000008</v>
      </c>
      <c r="L150" s="31">
        <v>6.9550000000000001</v>
      </c>
      <c r="M150" s="31">
        <v>6.4459999999999997</v>
      </c>
      <c r="N150" s="31">
        <v>6.52</v>
      </c>
      <c r="O150" s="31">
        <v>7.2409999999999997</v>
      </c>
      <c r="P150" s="31">
        <v>0</v>
      </c>
      <c r="Q150" s="31">
        <v>0</v>
      </c>
      <c r="R150" s="31">
        <v>0</v>
      </c>
      <c r="S150" s="31">
        <v>12.786</v>
      </c>
      <c r="T150" s="31">
        <v>0</v>
      </c>
      <c r="U150" s="31">
        <v>0</v>
      </c>
      <c r="V150" s="31">
        <v>11.98</v>
      </c>
      <c r="W150" s="31">
        <v>0</v>
      </c>
      <c r="X150" s="31">
        <v>0</v>
      </c>
      <c r="Y150" s="31">
        <v>0</v>
      </c>
      <c r="Z150" s="31">
        <v>0</v>
      </c>
      <c r="AA150" s="31">
        <v>0</v>
      </c>
      <c r="AB150" s="31">
        <v>11.515000000000001</v>
      </c>
      <c r="AC150" s="31">
        <v>0</v>
      </c>
      <c r="AD150" s="31">
        <v>3.6873214285714289</v>
      </c>
    </row>
    <row r="151" spans="1:30" x14ac:dyDescent="0.3">
      <c r="A151" s="70" t="s">
        <v>934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31">
        <v>1E-3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1">
        <v>0</v>
      </c>
      <c r="AD151" s="31">
        <v>3.5714285714285717E-5</v>
      </c>
    </row>
    <row r="152" spans="1:30" x14ac:dyDescent="0.3">
      <c r="A152" s="70" t="s">
        <v>936</v>
      </c>
      <c r="B152" s="31">
        <v>0</v>
      </c>
      <c r="C152" s="31">
        <v>0</v>
      </c>
      <c r="D152" s="31">
        <v>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31">
        <v>0</v>
      </c>
      <c r="AD152" s="31">
        <v>0</v>
      </c>
    </row>
    <row r="153" spans="1:30" x14ac:dyDescent="0.3">
      <c r="A153" s="70" t="s">
        <v>937</v>
      </c>
      <c r="B153" s="31">
        <v>90.229000000000013</v>
      </c>
      <c r="C153" s="31">
        <v>84.037000000000006</v>
      </c>
      <c r="D153" s="31">
        <v>81.687999999999988</v>
      </c>
      <c r="E153" s="31">
        <v>93.509</v>
      </c>
      <c r="F153" s="31">
        <v>53.164999999999999</v>
      </c>
      <c r="G153" s="31">
        <v>104.54200000000002</v>
      </c>
      <c r="H153" s="31">
        <v>119.54900000000001</v>
      </c>
      <c r="I153" s="31">
        <v>148.785</v>
      </c>
      <c r="J153" s="31">
        <v>104.867</v>
      </c>
      <c r="K153" s="31">
        <v>85.651999999999987</v>
      </c>
      <c r="L153" s="31">
        <v>146.62199999999999</v>
      </c>
      <c r="M153" s="31">
        <v>73.825999999999993</v>
      </c>
      <c r="N153" s="31">
        <v>131.20599999999999</v>
      </c>
      <c r="O153" s="31">
        <v>90.216999999999999</v>
      </c>
      <c r="P153" s="31">
        <v>107.31899999999999</v>
      </c>
      <c r="Q153" s="31">
        <v>70.998000000000005</v>
      </c>
      <c r="R153" s="31">
        <v>84.612000000000009</v>
      </c>
      <c r="S153" s="31">
        <v>101.29199999999999</v>
      </c>
      <c r="T153" s="31">
        <v>77.799000000000007</v>
      </c>
      <c r="U153" s="31">
        <v>115.64500000000001</v>
      </c>
      <c r="V153" s="31">
        <v>100.85300000000001</v>
      </c>
      <c r="W153" s="31">
        <v>103.32</v>
      </c>
      <c r="X153" s="31">
        <v>82.915000000000006</v>
      </c>
      <c r="Y153" s="31">
        <v>109.98399999999999</v>
      </c>
      <c r="Z153" s="31">
        <v>121.29300000000001</v>
      </c>
      <c r="AA153" s="31">
        <v>107.511</v>
      </c>
      <c r="AB153" s="31">
        <v>109.953</v>
      </c>
      <c r="AC153" s="31">
        <v>131.25700000000001</v>
      </c>
      <c r="AD153" s="31">
        <v>101.16589285714285</v>
      </c>
    </row>
    <row r="154" spans="1:30" x14ac:dyDescent="0.3">
      <c r="A154" s="70" t="s">
        <v>940</v>
      </c>
      <c r="B154" s="31">
        <v>0</v>
      </c>
      <c r="C154" s="31">
        <v>0</v>
      </c>
      <c r="D154" s="31">
        <v>0</v>
      </c>
      <c r="E154" s="31">
        <v>0</v>
      </c>
      <c r="F154" s="31">
        <v>0</v>
      </c>
      <c r="G154" s="31">
        <v>0</v>
      </c>
      <c r="H154" s="31">
        <v>0</v>
      </c>
      <c r="I154" s="31">
        <v>0</v>
      </c>
      <c r="J154" s="31">
        <v>0</v>
      </c>
      <c r="K154" s="31">
        <v>0</v>
      </c>
      <c r="L154" s="31">
        <v>0</v>
      </c>
      <c r="M154" s="31">
        <v>0</v>
      </c>
      <c r="N154" s="31">
        <v>0</v>
      </c>
      <c r="O154" s="31">
        <v>0</v>
      </c>
      <c r="P154" s="31">
        <v>0</v>
      </c>
      <c r="Q154" s="31">
        <v>0</v>
      </c>
      <c r="R154" s="31">
        <v>40.949999999999996</v>
      </c>
      <c r="S154" s="31">
        <v>37.230000000000004</v>
      </c>
      <c r="T154" s="31">
        <v>42.629999999999995</v>
      </c>
      <c r="U154" s="31">
        <v>35.15</v>
      </c>
      <c r="V154" s="31">
        <v>43.25</v>
      </c>
      <c r="W154" s="31">
        <v>24.86</v>
      </c>
      <c r="X154" s="31">
        <v>19.13</v>
      </c>
      <c r="Y154" s="31">
        <v>0</v>
      </c>
      <c r="Z154" s="31">
        <v>19.789999999999996</v>
      </c>
      <c r="AA154" s="31">
        <v>0</v>
      </c>
      <c r="AB154" s="31">
        <v>0</v>
      </c>
      <c r="AC154" s="31">
        <v>0</v>
      </c>
      <c r="AD154" s="31">
        <v>9.3925000000000001</v>
      </c>
    </row>
    <row r="155" spans="1:30" x14ac:dyDescent="0.3">
      <c r="A155" s="70" t="s">
        <v>950</v>
      </c>
      <c r="B155" s="31">
        <v>0</v>
      </c>
      <c r="C155" s="31">
        <v>1E-3</v>
      </c>
      <c r="D155" s="31">
        <v>0</v>
      </c>
      <c r="E155" s="31">
        <v>0</v>
      </c>
      <c r="F155" s="31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0</v>
      </c>
      <c r="AD155" s="31">
        <v>3.5714285714285717E-5</v>
      </c>
    </row>
    <row r="156" spans="1:30" x14ac:dyDescent="0.3">
      <c r="A156" s="26" t="s">
        <v>1007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>
        <v>1.0069999999999999</v>
      </c>
      <c r="AC156" s="31">
        <v>0</v>
      </c>
      <c r="AD156" s="31">
        <v>0.50349999999999995</v>
      </c>
    </row>
    <row r="157" spans="1:30" x14ac:dyDescent="0.3">
      <c r="A157" s="26" t="s">
        <v>1009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>
        <v>0</v>
      </c>
      <c r="AC157" s="31">
        <v>0</v>
      </c>
      <c r="AD157" s="31">
        <v>0</v>
      </c>
    </row>
    <row r="158" spans="1:30" x14ac:dyDescent="0.3">
      <c r="A158" s="39" t="s">
        <v>83</v>
      </c>
      <c r="B158" s="31">
        <v>7165.8519999999999</v>
      </c>
      <c r="C158" s="31">
        <v>6166.0640000000003</v>
      </c>
      <c r="D158" s="31">
        <v>6460.670000000001</v>
      </c>
      <c r="E158" s="31">
        <v>6850.0539999999992</v>
      </c>
      <c r="F158" s="31">
        <v>7520.3079999999991</v>
      </c>
      <c r="G158" s="31">
        <v>7045.9029999999993</v>
      </c>
      <c r="H158" s="31">
        <v>7488.116</v>
      </c>
      <c r="I158" s="31">
        <v>6777.0480000000016</v>
      </c>
      <c r="J158" s="31">
        <v>6211.0010000000002</v>
      </c>
      <c r="K158" s="31">
        <v>6547.1190000000015</v>
      </c>
      <c r="L158" s="31">
        <v>7071.9050000000007</v>
      </c>
      <c r="M158" s="31">
        <v>7487.8880000000026</v>
      </c>
      <c r="N158" s="31">
        <v>7210.380000000001</v>
      </c>
      <c r="O158" s="31">
        <v>7126.5829999999996</v>
      </c>
      <c r="P158" s="31">
        <v>6501.6210000000001</v>
      </c>
      <c r="Q158" s="31">
        <v>6509.8399999999983</v>
      </c>
      <c r="R158" s="31">
        <v>6592.8360000000002</v>
      </c>
      <c r="S158" s="31">
        <v>6884.3440000000001</v>
      </c>
      <c r="T158" s="31">
        <v>7156.122000000003</v>
      </c>
      <c r="U158" s="31">
        <v>7368.969000000001</v>
      </c>
      <c r="V158" s="31">
        <v>7110.9229999999989</v>
      </c>
      <c r="W158" s="31">
        <v>6662.6489999999994</v>
      </c>
      <c r="X158" s="31">
        <v>5709.9340000000011</v>
      </c>
      <c r="Y158" s="31">
        <v>6689.2529999999997</v>
      </c>
      <c r="Z158" s="31">
        <v>7314.7040000000006</v>
      </c>
      <c r="AA158" s="31">
        <v>6836.5609999999988</v>
      </c>
      <c r="AB158" s="31">
        <v>6415.3990000000013</v>
      </c>
      <c r="AC158" s="31">
        <v>7107.2369999999992</v>
      </c>
      <c r="AD158" s="31">
        <v>6865.8983869047606</v>
      </c>
    </row>
    <row r="159" spans="1:30" x14ac:dyDescent="0.3">
      <c r="A159" s="26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</row>
    <row r="160" spans="1:30" x14ac:dyDescent="0.3">
      <c r="A160" s="26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</row>
    <row r="161" spans="1:29" x14ac:dyDescent="0.3">
      <c r="A161" s="26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</row>
    <row r="162" spans="1:29" x14ac:dyDescent="0.3">
      <c r="A162" s="26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</row>
    <row r="163" spans="1:29" x14ac:dyDescent="0.3">
      <c r="A163" s="26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</row>
    <row r="164" spans="1:29" x14ac:dyDescent="0.3">
      <c r="A164" s="26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</row>
    <row r="165" spans="1:29" x14ac:dyDescent="0.3">
      <c r="A165" s="26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</row>
    <row r="166" spans="1:29" x14ac:dyDescent="0.3">
      <c r="A166" s="26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</row>
    <row r="167" spans="1:29" x14ac:dyDescent="0.3">
      <c r="A167" s="26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</row>
    <row r="168" spans="1:29" x14ac:dyDescent="0.3">
      <c r="A168" s="26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</row>
    <row r="169" spans="1:29" x14ac:dyDescent="0.3">
      <c r="A169" s="26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</row>
    <row r="170" spans="1:29" x14ac:dyDescent="0.3">
      <c r="A170" s="26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</row>
    <row r="171" spans="1:29" x14ac:dyDescent="0.3">
      <c r="A171" s="26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</row>
    <row r="172" spans="1:29" x14ac:dyDescent="0.3">
      <c r="A172" s="26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</row>
    <row r="174" spans="1:29" x14ac:dyDescent="0.3">
      <c r="A174" s="106" t="s">
        <v>158</v>
      </c>
      <c r="B174" s="10" t="s">
        <v>907</v>
      </c>
      <c r="C174" s="10" t="s">
        <v>908</v>
      </c>
      <c r="D174" s="10" t="s">
        <v>909</v>
      </c>
      <c r="E174" s="10" t="s">
        <v>910</v>
      </c>
      <c r="F174" s="10" t="s">
        <v>911</v>
      </c>
      <c r="G174" s="10" t="s">
        <v>915</v>
      </c>
      <c r="H174" s="10" t="s">
        <v>916</v>
      </c>
      <c r="I174" s="10" t="s">
        <v>920</v>
      </c>
      <c r="J174" s="10" t="s">
        <v>921</v>
      </c>
      <c r="K174" s="10" t="s">
        <v>923</v>
      </c>
      <c r="L174" s="10" t="s">
        <v>924</v>
      </c>
      <c r="M174" s="10" t="s">
        <v>925</v>
      </c>
      <c r="N174" s="10" t="s">
        <v>992</v>
      </c>
      <c r="O174" s="10" t="s">
        <v>993</v>
      </c>
      <c r="P174" s="10" t="s">
        <v>994</v>
      </c>
      <c r="Q174" s="10" t="s">
        <v>995</v>
      </c>
      <c r="R174" s="10" t="s">
        <v>996</v>
      </c>
      <c r="S174" s="10" t="s">
        <v>997</v>
      </c>
      <c r="T174" s="10" t="s">
        <v>998</v>
      </c>
      <c r="U174" s="10" t="s">
        <v>999</v>
      </c>
      <c r="V174" s="10" t="s">
        <v>1000</v>
      </c>
      <c r="W174" s="10" t="s">
        <v>1001</v>
      </c>
      <c r="X174" s="10" t="s">
        <v>1002</v>
      </c>
      <c r="Y174" s="10" t="s">
        <v>1003</v>
      </c>
      <c r="Z174" s="10" t="s">
        <v>1005</v>
      </c>
      <c r="AA174" s="10" t="s">
        <v>1006</v>
      </c>
      <c r="AB174" s="10" t="s">
        <v>1010</v>
      </c>
      <c r="AC174" s="10" t="s">
        <v>1011</v>
      </c>
    </row>
    <row r="175" spans="1:29" x14ac:dyDescent="0.3">
      <c r="A175" s="10" t="s">
        <v>589</v>
      </c>
      <c r="B175" s="138">
        <v>2033.2040000000002</v>
      </c>
      <c r="C175" s="138">
        <v>1881.9660000000003</v>
      </c>
      <c r="D175" s="138">
        <v>1566.6379999999999</v>
      </c>
      <c r="E175" s="138">
        <v>1389.4290000000001</v>
      </c>
      <c r="F175" s="138">
        <v>1564.6320000000001</v>
      </c>
      <c r="G175" s="138">
        <v>1627.7179999999996</v>
      </c>
      <c r="H175" s="138">
        <v>1752.634</v>
      </c>
      <c r="I175" s="138">
        <v>1826.1580000000004</v>
      </c>
      <c r="J175" s="138">
        <v>1803.1229999999998</v>
      </c>
      <c r="K175" s="138">
        <v>1603.0949999999998</v>
      </c>
      <c r="L175" s="138">
        <v>1391.3130000000001</v>
      </c>
      <c r="M175" s="138">
        <v>1597.731</v>
      </c>
      <c r="N175" s="138">
        <v>1764.0929999999998</v>
      </c>
      <c r="O175" s="138">
        <v>1603.2740000000001</v>
      </c>
      <c r="P175" s="138">
        <v>1643.7450000000001</v>
      </c>
      <c r="Q175" s="138">
        <v>1601.0100000000002</v>
      </c>
      <c r="R175" s="138">
        <v>1618.5730000000001</v>
      </c>
      <c r="S175" s="138">
        <v>1355.3240000000001</v>
      </c>
      <c r="T175" s="138">
        <v>1678.4140000000002</v>
      </c>
      <c r="U175" s="138">
        <v>1552.2390000000003</v>
      </c>
      <c r="V175" s="138">
        <v>1755.5819999999997</v>
      </c>
      <c r="W175" s="138">
        <v>1535.981</v>
      </c>
      <c r="X175" s="138">
        <v>1487.7259999999999</v>
      </c>
      <c r="Y175" s="138">
        <v>1447.5490000000002</v>
      </c>
      <c r="Z175" s="138">
        <v>1456.1880000000001</v>
      </c>
      <c r="AA175" s="138">
        <v>1468.9949999999999</v>
      </c>
      <c r="AB175" s="138">
        <v>1498.6880000000001</v>
      </c>
      <c r="AC175" s="138">
        <v>1538.6849999999999</v>
      </c>
    </row>
    <row r="176" spans="1:29" x14ac:dyDescent="0.3">
      <c r="A176" s="10" t="s">
        <v>273</v>
      </c>
      <c r="B176" s="138">
        <v>3960.3189999999991</v>
      </c>
      <c r="C176" s="138">
        <v>3571.1469999999995</v>
      </c>
      <c r="D176" s="138">
        <v>3583.2879999999986</v>
      </c>
      <c r="E176" s="138">
        <v>3647.612000000001</v>
      </c>
      <c r="F176" s="138">
        <v>4049.6190000000001</v>
      </c>
      <c r="G176" s="138">
        <v>3806.5549999999998</v>
      </c>
      <c r="H176" s="138">
        <v>4219.9509999999991</v>
      </c>
      <c r="I176" s="138">
        <v>3843.7910000000002</v>
      </c>
      <c r="J176" s="138">
        <v>3669.9710000000009</v>
      </c>
      <c r="K176" s="138">
        <v>3679.9620000000004</v>
      </c>
      <c r="L176" s="138">
        <v>3920.5540000000001</v>
      </c>
      <c r="M176" s="138">
        <v>3958.2950000000005</v>
      </c>
      <c r="N176" s="138">
        <v>3696.1560000000009</v>
      </c>
      <c r="O176" s="138">
        <v>3676.9979999999996</v>
      </c>
      <c r="P176" s="138">
        <v>3755.7939999999999</v>
      </c>
      <c r="Q176" s="138">
        <v>4030.0910000000003</v>
      </c>
      <c r="R176" s="138">
        <v>3661.9160000000002</v>
      </c>
      <c r="S176" s="138">
        <v>3975.3320000000003</v>
      </c>
      <c r="T176" s="138">
        <v>4037.2020000000007</v>
      </c>
      <c r="U176" s="138">
        <v>4141.8100000000013</v>
      </c>
      <c r="V176" s="138">
        <v>3993.8390000000004</v>
      </c>
      <c r="W176" s="138">
        <v>3948.5380000000005</v>
      </c>
      <c r="X176" s="138">
        <v>3478.8810000000008</v>
      </c>
      <c r="Y176" s="138">
        <v>3779.706999999999</v>
      </c>
      <c r="Z176" s="138">
        <v>4070.5560000000005</v>
      </c>
      <c r="AA176" s="138">
        <v>3611.7100000000005</v>
      </c>
      <c r="AB176" s="138">
        <v>3322.9040000000009</v>
      </c>
      <c r="AC176" s="138">
        <v>3908.4260000000013</v>
      </c>
    </row>
    <row r="177" spans="1:29" x14ac:dyDescent="0.3">
      <c r="A177" s="10" t="s">
        <v>160</v>
      </c>
      <c r="B177" s="138">
        <v>1132.0269999999998</v>
      </c>
      <c r="C177" s="138">
        <v>706.64099999999996</v>
      </c>
      <c r="D177" s="138">
        <v>1261.3999999999999</v>
      </c>
      <c r="E177" s="138">
        <v>1757.5160000000001</v>
      </c>
      <c r="F177" s="138">
        <v>1897.857</v>
      </c>
      <c r="G177" s="138">
        <v>1561.1039999999998</v>
      </c>
      <c r="H177" s="138">
        <v>1486.3330000000001</v>
      </c>
      <c r="I177" s="138">
        <v>1087.7060000000001</v>
      </c>
      <c r="J177" s="138">
        <v>705.01100000000008</v>
      </c>
      <c r="K177" s="138">
        <v>1216.7880000000002</v>
      </c>
      <c r="L177" s="138">
        <v>1698.134</v>
      </c>
      <c r="M177" s="138">
        <v>1847.8170000000002</v>
      </c>
      <c r="N177" s="138">
        <v>1711.5099999999998</v>
      </c>
      <c r="O177" s="138">
        <v>1754.8220000000001</v>
      </c>
      <c r="P177" s="138">
        <v>1056.8520000000001</v>
      </c>
      <c r="Q177" s="138">
        <v>779.95700000000011</v>
      </c>
      <c r="R177" s="138">
        <v>1251.6530000000005</v>
      </c>
      <c r="S177" s="138">
        <v>1439.0439999999999</v>
      </c>
      <c r="T177" s="138">
        <v>1300.6130000000001</v>
      </c>
      <c r="U177" s="138">
        <v>1580.2010000000002</v>
      </c>
      <c r="V177" s="138">
        <v>1248.7090000000003</v>
      </c>
      <c r="W177" s="138">
        <v>1130.78</v>
      </c>
      <c r="X177" s="138">
        <v>709.16800000000001</v>
      </c>
      <c r="Y177" s="138">
        <v>1379.1690000000006</v>
      </c>
      <c r="Z177" s="138">
        <v>1687.3229999999999</v>
      </c>
      <c r="AA177" s="138">
        <v>1696.837</v>
      </c>
      <c r="AB177" s="138">
        <v>1476.7549999999999</v>
      </c>
      <c r="AC177" s="138">
        <v>1608.7180000000001</v>
      </c>
    </row>
    <row r="178" spans="1:29" x14ac:dyDescent="0.3">
      <c r="A178" s="10" t="s">
        <v>590</v>
      </c>
      <c r="B178" s="138">
        <v>40.302</v>
      </c>
      <c r="C178" s="138">
        <v>6.3100000000000005</v>
      </c>
      <c r="D178" s="138">
        <v>49.343999999999994</v>
      </c>
      <c r="E178" s="138">
        <v>55.497000000000007</v>
      </c>
      <c r="F178" s="138">
        <v>8.1999999999999993</v>
      </c>
      <c r="G178" s="138">
        <v>50.525999999999996</v>
      </c>
      <c r="H178" s="138">
        <v>29.198</v>
      </c>
      <c r="I178" s="138">
        <v>19.393000000000001</v>
      </c>
      <c r="J178" s="138">
        <v>32.896000000000001</v>
      </c>
      <c r="K178" s="138">
        <v>47.274000000000001</v>
      </c>
      <c r="L178" s="138">
        <v>61.903999999999996</v>
      </c>
      <c r="M178" s="138">
        <v>84.045000000000002</v>
      </c>
      <c r="N178" s="138">
        <v>38.621000000000009</v>
      </c>
      <c r="O178" s="138">
        <v>91.489000000000004</v>
      </c>
      <c r="P178" s="138">
        <v>45.22999999999999</v>
      </c>
      <c r="Q178" s="138">
        <v>98.782000000000011</v>
      </c>
      <c r="R178" s="138">
        <v>60.694000000000003</v>
      </c>
      <c r="S178" s="138">
        <v>114.64400000000001</v>
      </c>
      <c r="T178" s="138">
        <v>139.893</v>
      </c>
      <c r="U178" s="138">
        <v>94.71899999999998</v>
      </c>
      <c r="V178" s="138">
        <v>112.79300000000001</v>
      </c>
      <c r="W178" s="138">
        <v>47.349999999999994</v>
      </c>
      <c r="X178" s="138">
        <v>34.158999999999999</v>
      </c>
      <c r="Y178" s="138">
        <v>82.828000000000003</v>
      </c>
      <c r="Z178" s="138">
        <v>100.637</v>
      </c>
      <c r="AA178" s="138">
        <v>59.019000000000005</v>
      </c>
      <c r="AB178" s="138">
        <v>117.05199999999999</v>
      </c>
      <c r="AC178" s="138">
        <v>51.407999999999994</v>
      </c>
    </row>
    <row r="179" spans="1:29" x14ac:dyDescent="0.3">
      <c r="A179" s="10" t="s">
        <v>83</v>
      </c>
      <c r="B179" s="138">
        <v>7165.851999999999</v>
      </c>
      <c r="C179" s="138">
        <v>6166.0639999999994</v>
      </c>
      <c r="D179" s="138">
        <v>6460.6699999999983</v>
      </c>
      <c r="E179" s="138">
        <v>6850.054000000001</v>
      </c>
      <c r="F179" s="138">
        <v>7520.308</v>
      </c>
      <c r="G179" s="138">
        <v>7045.9029999999984</v>
      </c>
      <c r="H179" s="138">
        <v>7488.116</v>
      </c>
      <c r="I179" s="138">
        <v>6777.0480000000007</v>
      </c>
      <c r="J179" s="138">
        <v>6211.0010000000011</v>
      </c>
      <c r="K179" s="138">
        <v>6547.1190000000015</v>
      </c>
      <c r="L179" s="138">
        <v>7071.9050000000007</v>
      </c>
      <c r="M179" s="138">
        <v>7487.8880000000008</v>
      </c>
      <c r="N179" s="138">
        <v>7210.38</v>
      </c>
      <c r="O179" s="138">
        <v>7126.5829999999996</v>
      </c>
      <c r="P179" s="138">
        <v>6501.6209999999992</v>
      </c>
      <c r="Q179" s="138">
        <v>6509.8400000000011</v>
      </c>
      <c r="R179" s="138">
        <v>6592.8360000000011</v>
      </c>
      <c r="S179" s="138">
        <v>6884.344000000001</v>
      </c>
      <c r="T179" s="138">
        <v>7156.1220000000012</v>
      </c>
      <c r="U179" s="138">
        <v>7368.9690000000019</v>
      </c>
      <c r="V179" s="138">
        <v>7110.9230000000007</v>
      </c>
      <c r="W179" s="138">
        <v>6662.6490000000003</v>
      </c>
      <c r="X179" s="138">
        <v>5709.9340000000002</v>
      </c>
      <c r="Y179" s="138">
        <v>6689.2530000000006</v>
      </c>
      <c r="Z179" s="138">
        <v>7314.7040000000006</v>
      </c>
      <c r="AA179" s="138">
        <v>6836.5609999999997</v>
      </c>
      <c r="AB179" s="138">
        <v>6415.3990000000003</v>
      </c>
      <c r="AC179" s="138">
        <v>7107.237000000001</v>
      </c>
    </row>
  </sheetData>
  <pageMargins left="0.7" right="0.7" top="0.75" bottom="0.75" header="0.3" footer="0.3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N176"/>
  <sheetViews>
    <sheetView zoomScale="86" zoomScaleNormal="86" workbookViewId="0">
      <pane xSplit="9" topLeftCell="AJ1" activePane="topRight" state="frozen"/>
      <selection activeCell="G150" sqref="G150"/>
      <selection pane="topRight" activeCell="AN170" sqref="AN170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customWidth="1"/>
    <col min="4" max="4" width="58.109375" customWidth="1"/>
    <col min="5" max="5" width="15.5546875" customWidth="1"/>
    <col min="6" max="6" width="12.6640625" bestFit="1" customWidth="1"/>
    <col min="7" max="7" width="9.33203125" customWidth="1"/>
    <col min="8" max="8" width="10.6640625" bestFit="1" customWidth="1"/>
    <col min="9" max="9" width="8.88671875" bestFit="1" customWidth="1"/>
    <col min="10" max="10" width="21" bestFit="1" customWidth="1"/>
    <col min="11" max="11" width="12.33203125" style="28" customWidth="1"/>
    <col min="12" max="12" width="12" style="27" customWidth="1"/>
    <col min="13" max="13" width="12.44140625" style="28" customWidth="1"/>
    <col min="14" max="14" width="12.33203125" customWidth="1"/>
    <col min="15" max="15" width="12.5546875" customWidth="1"/>
    <col min="16" max="16" width="13.109375" customWidth="1"/>
    <col min="17" max="17" width="15" bestFit="1" customWidth="1"/>
    <col min="18" max="18" width="12.88671875" customWidth="1"/>
    <col min="19" max="19" width="17.109375" bestFit="1" customWidth="1"/>
    <col min="20" max="21" width="15" bestFit="1" customWidth="1"/>
    <col min="22" max="22" width="17.109375" bestFit="1" customWidth="1"/>
    <col min="23" max="23" width="13.44140625" customWidth="1"/>
    <col min="24" max="24" width="12.33203125" customWidth="1"/>
    <col min="25" max="25" width="11.5546875" customWidth="1"/>
    <col min="26" max="26" width="14.44140625" customWidth="1"/>
    <col min="27" max="27" width="13.6640625" customWidth="1"/>
    <col min="28" max="28" width="12.88671875" customWidth="1"/>
    <col min="29" max="29" width="13" customWidth="1"/>
    <col min="30" max="30" width="11.88671875" customWidth="1"/>
    <col min="31" max="31" width="12.44140625" customWidth="1"/>
    <col min="32" max="32" width="12.109375" customWidth="1"/>
    <col min="33" max="33" width="11.6640625" customWidth="1"/>
    <col min="34" max="34" width="12.5546875" customWidth="1"/>
    <col min="35" max="35" width="15" bestFit="1" customWidth="1"/>
    <col min="36" max="36" width="13.33203125" customWidth="1"/>
    <col min="37" max="37" width="11.88671875" customWidth="1"/>
    <col min="38" max="38" width="13.33203125" customWidth="1"/>
    <col min="39" max="39" width="9.33203125" bestFit="1" customWidth="1"/>
    <col min="40" max="40" width="13.88671875" customWidth="1"/>
  </cols>
  <sheetData>
    <row r="1" spans="1:40" ht="30.75" customHeight="1" x14ac:dyDescent="0.3">
      <c r="A1" s="13" t="s">
        <v>0</v>
      </c>
      <c r="B1" s="14" t="s">
        <v>1</v>
      </c>
      <c r="C1" s="111" t="s">
        <v>599</v>
      </c>
      <c r="D1" s="111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3" t="s">
        <v>7</v>
      </c>
      <c r="J1" s="13" t="s">
        <v>158</v>
      </c>
      <c r="K1" s="99">
        <v>45689</v>
      </c>
      <c r="L1" s="99">
        <v>45690</v>
      </c>
      <c r="M1" s="99">
        <v>45691</v>
      </c>
      <c r="N1" s="99">
        <v>45692</v>
      </c>
      <c r="O1" s="99">
        <v>45693</v>
      </c>
      <c r="P1" s="99">
        <v>45694</v>
      </c>
      <c r="Q1" s="99">
        <v>45695</v>
      </c>
      <c r="R1" s="99">
        <v>45696</v>
      </c>
      <c r="S1" s="99">
        <v>45697</v>
      </c>
      <c r="T1" s="99">
        <v>45698</v>
      </c>
      <c r="U1" s="99">
        <v>45699</v>
      </c>
      <c r="V1" s="99">
        <v>45700</v>
      </c>
      <c r="W1" s="99">
        <v>45701</v>
      </c>
      <c r="X1" s="99">
        <v>45702</v>
      </c>
      <c r="Y1" s="99">
        <v>45703</v>
      </c>
      <c r="Z1" s="99">
        <v>45704</v>
      </c>
      <c r="AA1" s="99">
        <v>45705</v>
      </c>
      <c r="AB1" s="99">
        <v>45706</v>
      </c>
      <c r="AC1" s="99">
        <v>45707</v>
      </c>
      <c r="AD1" s="99">
        <v>45708</v>
      </c>
      <c r="AE1" s="99">
        <v>45709</v>
      </c>
      <c r="AF1" s="99">
        <v>45710</v>
      </c>
      <c r="AG1" s="99">
        <v>45711</v>
      </c>
      <c r="AH1" s="99">
        <v>45712</v>
      </c>
      <c r="AI1" s="99">
        <v>45713</v>
      </c>
      <c r="AJ1" s="99">
        <v>45714</v>
      </c>
      <c r="AK1" s="99">
        <v>45715</v>
      </c>
      <c r="AL1" s="99">
        <v>45716</v>
      </c>
      <c r="AM1" s="13" t="s">
        <v>8</v>
      </c>
      <c r="AN1" s="12" t="s">
        <v>154</v>
      </c>
    </row>
    <row r="2" spans="1:40" x14ac:dyDescent="0.3">
      <c r="A2" s="5">
        <v>1</v>
      </c>
      <c r="B2" s="107" t="s">
        <v>9</v>
      </c>
      <c r="C2" s="112" t="s">
        <v>600</v>
      </c>
      <c r="D2" s="112" t="s">
        <v>739</v>
      </c>
      <c r="E2" s="110" t="s">
        <v>11</v>
      </c>
      <c r="F2" s="6" t="s">
        <v>12</v>
      </c>
      <c r="G2" s="6" t="s">
        <v>976</v>
      </c>
      <c r="H2" s="6" t="s">
        <v>35</v>
      </c>
      <c r="I2" s="5">
        <v>6</v>
      </c>
      <c r="J2" s="67" t="s">
        <v>160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46">
        <f t="shared" ref="AM2:AM33" si="0">AVERAGE(K2:AL2)</f>
        <v>0</v>
      </c>
      <c r="AN2" s="7">
        <f t="shared" ref="AN2:AN33" si="1">AM2/I2</f>
        <v>0</v>
      </c>
    </row>
    <row r="3" spans="1:40" x14ac:dyDescent="0.3">
      <c r="A3" s="5">
        <v>2</v>
      </c>
      <c r="B3" s="107" t="s">
        <v>9</v>
      </c>
      <c r="C3" s="112" t="s">
        <v>601</v>
      </c>
      <c r="D3" s="112" t="s">
        <v>740</v>
      </c>
      <c r="E3" s="110" t="s">
        <v>11</v>
      </c>
      <c r="F3" s="6" t="s">
        <v>12</v>
      </c>
      <c r="G3" s="6" t="s">
        <v>976</v>
      </c>
      <c r="H3" s="6" t="s">
        <v>35</v>
      </c>
      <c r="I3" s="5">
        <v>9</v>
      </c>
      <c r="J3" s="67" t="s">
        <v>160</v>
      </c>
      <c r="K3" s="46">
        <v>200.511</v>
      </c>
      <c r="L3" s="46">
        <v>172.29200000000003</v>
      </c>
      <c r="M3" s="46">
        <v>152.613</v>
      </c>
      <c r="N3" s="46">
        <v>117.61999999999996</v>
      </c>
      <c r="O3" s="46">
        <v>219.34700000000007</v>
      </c>
      <c r="P3" s="46">
        <v>176.17200000000003</v>
      </c>
      <c r="Q3" s="46">
        <v>167.63799999999998</v>
      </c>
      <c r="R3" s="46">
        <v>123.54500000000002</v>
      </c>
      <c r="S3" s="46">
        <v>172.78500000000003</v>
      </c>
      <c r="T3" s="46">
        <v>195.48599999999996</v>
      </c>
      <c r="U3" s="46">
        <v>150.316</v>
      </c>
      <c r="V3" s="46">
        <v>152.50800000000001</v>
      </c>
      <c r="W3" s="46">
        <v>123.556</v>
      </c>
      <c r="X3" s="46">
        <v>160.29999999999995</v>
      </c>
      <c r="Y3" s="46">
        <v>140.81100000000001</v>
      </c>
      <c r="Z3" s="46">
        <v>146.00200000000001</v>
      </c>
      <c r="AA3" s="46">
        <v>160.68100000000004</v>
      </c>
      <c r="AB3" s="46">
        <v>135.14400000000001</v>
      </c>
      <c r="AC3" s="46">
        <v>130.66199999999998</v>
      </c>
      <c r="AD3" s="46">
        <v>154.51000000000002</v>
      </c>
      <c r="AE3" s="46">
        <v>156.911</v>
      </c>
      <c r="AF3" s="46">
        <v>135.74900000000002</v>
      </c>
      <c r="AG3" s="46">
        <v>125.53299999999999</v>
      </c>
      <c r="AH3" s="46">
        <v>157.79100000000003</v>
      </c>
      <c r="AI3" s="46">
        <v>128.47300000000004</v>
      </c>
      <c r="AJ3" s="46">
        <v>164.80699999999999</v>
      </c>
      <c r="AK3" s="46">
        <v>161.26400000000001</v>
      </c>
      <c r="AL3" s="46">
        <v>184.46899999999999</v>
      </c>
      <c r="AM3" s="46">
        <f t="shared" si="0"/>
        <v>155.982</v>
      </c>
      <c r="AN3" s="7">
        <f t="shared" si="1"/>
        <v>17.331333333333333</v>
      </c>
    </row>
    <row r="4" spans="1:40" x14ac:dyDescent="0.3">
      <c r="A4" s="5">
        <v>3</v>
      </c>
      <c r="B4" s="107" t="s">
        <v>9</v>
      </c>
      <c r="C4" s="112" t="s">
        <v>602</v>
      </c>
      <c r="D4" s="112" t="s">
        <v>741</v>
      </c>
      <c r="E4" s="110" t="s">
        <v>11</v>
      </c>
      <c r="F4" s="6" t="s">
        <v>12</v>
      </c>
      <c r="G4" s="6" t="s">
        <v>976</v>
      </c>
      <c r="H4" s="6" t="s">
        <v>35</v>
      </c>
      <c r="I4" s="5">
        <v>3</v>
      </c>
      <c r="J4" s="67" t="s">
        <v>160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f t="shared" si="0"/>
        <v>0</v>
      </c>
      <c r="AN4" s="7">
        <f t="shared" si="1"/>
        <v>0</v>
      </c>
    </row>
    <row r="5" spans="1:40" ht="15" customHeight="1" x14ac:dyDescent="0.3">
      <c r="A5" s="5">
        <v>4</v>
      </c>
      <c r="B5" s="107" t="s">
        <v>9</v>
      </c>
      <c r="C5" s="112" t="s">
        <v>603</v>
      </c>
      <c r="D5" s="112" t="s">
        <v>729</v>
      </c>
      <c r="E5" s="110" t="s">
        <v>30</v>
      </c>
      <c r="F5" s="6" t="s">
        <v>12</v>
      </c>
      <c r="G5" s="6" t="s">
        <v>976</v>
      </c>
      <c r="H5" s="6" t="s">
        <v>35</v>
      </c>
      <c r="I5" s="5">
        <v>8</v>
      </c>
      <c r="J5" s="94" t="s">
        <v>589</v>
      </c>
      <c r="K5" s="46">
        <v>186.995</v>
      </c>
      <c r="L5" s="46">
        <v>111.688</v>
      </c>
      <c r="M5" s="46">
        <v>19.862000000000002</v>
      </c>
      <c r="N5" s="46">
        <v>190.78700000000001</v>
      </c>
      <c r="O5" s="46">
        <v>104.73799999999999</v>
      </c>
      <c r="P5" s="46">
        <v>99.575999999999993</v>
      </c>
      <c r="Q5" s="46">
        <v>141.24600000000001</v>
      </c>
      <c r="R5" s="46">
        <v>127.49900000000001</v>
      </c>
      <c r="S5" s="46">
        <v>122.49999999999999</v>
      </c>
      <c r="T5" s="46">
        <v>132.57599999999999</v>
      </c>
      <c r="U5" s="46">
        <v>102.44699999999999</v>
      </c>
      <c r="V5" s="46">
        <v>109.501</v>
      </c>
      <c r="W5" s="46">
        <v>137.13900000000001</v>
      </c>
      <c r="X5" s="46">
        <v>88.872</v>
      </c>
      <c r="Y5" s="46">
        <v>129.31</v>
      </c>
      <c r="Z5" s="46">
        <v>69.572000000000003</v>
      </c>
      <c r="AA5" s="46">
        <v>132.51400000000001</v>
      </c>
      <c r="AB5" s="46">
        <v>53.865000000000002</v>
      </c>
      <c r="AC5" s="46">
        <v>76.734999999999999</v>
      </c>
      <c r="AD5" s="46">
        <v>0</v>
      </c>
      <c r="AE5" s="46">
        <v>111.44300000000001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f t="shared" si="0"/>
        <v>80.316607142857137</v>
      </c>
      <c r="AN5" s="7">
        <f t="shared" si="1"/>
        <v>10.039575892857142</v>
      </c>
    </row>
    <row r="6" spans="1:40" ht="15" customHeight="1" x14ac:dyDescent="0.3">
      <c r="A6" s="5">
        <v>5</v>
      </c>
      <c r="B6" s="107" t="s">
        <v>9</v>
      </c>
      <c r="C6" s="112" t="s">
        <v>604</v>
      </c>
      <c r="D6" s="112" t="s">
        <v>761</v>
      </c>
      <c r="E6" s="110" t="s">
        <v>128</v>
      </c>
      <c r="F6" s="6" t="s">
        <v>12</v>
      </c>
      <c r="G6" s="6" t="s">
        <v>976</v>
      </c>
      <c r="H6" s="6" t="s">
        <v>35</v>
      </c>
      <c r="I6" s="5">
        <v>29</v>
      </c>
      <c r="J6" s="94" t="s">
        <v>273</v>
      </c>
      <c r="K6" s="46">
        <v>828.51699999999971</v>
      </c>
      <c r="L6" s="46">
        <v>747.19200000000023</v>
      </c>
      <c r="M6" s="46">
        <v>771.76899999999989</v>
      </c>
      <c r="N6" s="46">
        <v>658.41500000000008</v>
      </c>
      <c r="O6" s="46">
        <v>773.84100000000012</v>
      </c>
      <c r="P6" s="46">
        <v>841.14999999999975</v>
      </c>
      <c r="Q6" s="46">
        <v>794.42299999999989</v>
      </c>
      <c r="R6" s="46">
        <v>611.97900000000004</v>
      </c>
      <c r="S6" s="46">
        <v>775.76499999999987</v>
      </c>
      <c r="T6" s="46">
        <v>597.37699999999995</v>
      </c>
      <c r="U6" s="46">
        <v>710.5029999999997</v>
      </c>
      <c r="V6" s="46">
        <v>744.87300000000005</v>
      </c>
      <c r="W6" s="46">
        <v>799.10400000000027</v>
      </c>
      <c r="X6" s="46">
        <v>660.64699999999982</v>
      </c>
      <c r="Y6" s="46">
        <v>788.62300000000005</v>
      </c>
      <c r="Z6" s="46">
        <v>836.71699999999987</v>
      </c>
      <c r="AA6" s="46">
        <v>780.65900000000011</v>
      </c>
      <c r="AB6" s="46">
        <v>702.85900000000004</v>
      </c>
      <c r="AC6" s="46">
        <v>897.32300000000021</v>
      </c>
      <c r="AD6" s="46">
        <v>849.93599999999958</v>
      </c>
      <c r="AE6" s="46">
        <v>765.16099999999994</v>
      </c>
      <c r="AF6" s="46">
        <v>695.77800000000013</v>
      </c>
      <c r="AG6" s="46">
        <v>548.08899999999994</v>
      </c>
      <c r="AH6" s="46">
        <v>582.93399999999963</v>
      </c>
      <c r="AI6" s="46">
        <v>820.06200000000024</v>
      </c>
      <c r="AJ6" s="46">
        <v>660.51800000000003</v>
      </c>
      <c r="AK6" s="46">
        <v>611.97</v>
      </c>
      <c r="AL6" s="46">
        <v>864.0930000000003</v>
      </c>
      <c r="AM6" s="46">
        <f t="shared" si="0"/>
        <v>740.00989285714297</v>
      </c>
      <c r="AN6" s="7">
        <f t="shared" si="1"/>
        <v>25.517582512315276</v>
      </c>
    </row>
    <row r="7" spans="1:40" x14ac:dyDescent="0.3">
      <c r="A7" s="5">
        <v>6</v>
      </c>
      <c r="B7" s="107" t="s">
        <v>9</v>
      </c>
      <c r="C7" s="112" t="s">
        <v>961</v>
      </c>
      <c r="D7" s="112" t="s">
        <v>983</v>
      </c>
      <c r="E7" s="110" t="s">
        <v>128</v>
      </c>
      <c r="F7" s="6" t="s">
        <v>12</v>
      </c>
      <c r="G7" s="6" t="s">
        <v>971</v>
      </c>
      <c r="H7" s="6" t="s">
        <v>80</v>
      </c>
      <c r="I7" s="5">
        <v>8</v>
      </c>
      <c r="J7" s="94" t="s">
        <v>273</v>
      </c>
      <c r="K7" s="46">
        <v>72.84</v>
      </c>
      <c r="L7" s="46">
        <v>48.819999999999993</v>
      </c>
      <c r="M7" s="46">
        <v>61.580000000000005</v>
      </c>
      <c r="N7" s="46">
        <v>97.98</v>
      </c>
      <c r="O7" s="46">
        <v>166.91</v>
      </c>
      <c r="P7" s="46">
        <v>91.54000000000002</v>
      </c>
      <c r="Q7" s="46">
        <v>168.75000000000006</v>
      </c>
      <c r="R7" s="46">
        <v>103.14999999999999</v>
      </c>
      <c r="S7" s="46">
        <v>96.100999999999999</v>
      </c>
      <c r="T7" s="46">
        <v>101.58999999999999</v>
      </c>
      <c r="U7" s="46">
        <v>98.04</v>
      </c>
      <c r="V7" s="46">
        <v>162.55100000000002</v>
      </c>
      <c r="W7" s="46">
        <v>40.179999999999993</v>
      </c>
      <c r="X7" s="46">
        <v>51.680000000000007</v>
      </c>
      <c r="Y7" s="46">
        <v>126.94000000000001</v>
      </c>
      <c r="Z7" s="46">
        <v>70.329999999999984</v>
      </c>
      <c r="AA7" s="46">
        <v>53.659999999999989</v>
      </c>
      <c r="AB7" s="46">
        <v>0</v>
      </c>
      <c r="AC7" s="46">
        <v>48.43</v>
      </c>
      <c r="AD7" s="46">
        <v>15.190000000000001</v>
      </c>
      <c r="AE7" s="46">
        <v>101.50999999999999</v>
      </c>
      <c r="AF7" s="46">
        <v>189.88000000000002</v>
      </c>
      <c r="AG7" s="46">
        <v>182.98</v>
      </c>
      <c r="AH7" s="46">
        <v>230.91999999999996</v>
      </c>
      <c r="AI7" s="46">
        <v>195.36999999999998</v>
      </c>
      <c r="AJ7" s="46">
        <v>112.93999999999998</v>
      </c>
      <c r="AK7" s="46">
        <v>47.65</v>
      </c>
      <c r="AL7" s="46">
        <v>34.549999999999997</v>
      </c>
      <c r="AM7" s="46">
        <f t="shared" si="0"/>
        <v>99.002214285714317</v>
      </c>
      <c r="AN7" s="7">
        <f t="shared" si="1"/>
        <v>12.37527678571429</v>
      </c>
    </row>
    <row r="8" spans="1:40" x14ac:dyDescent="0.3">
      <c r="A8" s="5">
        <v>7</v>
      </c>
      <c r="B8" s="107" t="s">
        <v>9</v>
      </c>
      <c r="C8" s="112" t="s">
        <v>605</v>
      </c>
      <c r="D8" s="112" t="s">
        <v>750</v>
      </c>
      <c r="E8" s="110" t="s">
        <v>128</v>
      </c>
      <c r="F8" s="6" t="s">
        <v>12</v>
      </c>
      <c r="G8" s="6" t="s">
        <v>976</v>
      </c>
      <c r="H8" s="6" t="s">
        <v>35</v>
      </c>
      <c r="I8" s="5">
        <v>6</v>
      </c>
      <c r="J8" s="94" t="s">
        <v>273</v>
      </c>
      <c r="K8" s="46">
        <v>40.122999999999998</v>
      </c>
      <c r="L8" s="46">
        <v>28.149000000000001</v>
      </c>
      <c r="M8" s="46">
        <v>65.564000000000007</v>
      </c>
      <c r="N8" s="46">
        <v>42.204999999999998</v>
      </c>
      <c r="O8" s="46">
        <v>39.181000000000004</v>
      </c>
      <c r="P8" s="46">
        <v>37.518999999999998</v>
      </c>
      <c r="Q8" s="46">
        <v>43.953000000000003</v>
      </c>
      <c r="R8" s="46">
        <v>53.222000000000008</v>
      </c>
      <c r="S8" s="46">
        <v>35.83</v>
      </c>
      <c r="T8" s="46">
        <v>50.945</v>
      </c>
      <c r="U8" s="46">
        <v>30.726999999999997</v>
      </c>
      <c r="V8" s="46">
        <v>48.045999999999999</v>
      </c>
      <c r="W8" s="46">
        <v>25.391999999999999</v>
      </c>
      <c r="X8" s="46">
        <v>48.476999999999997</v>
      </c>
      <c r="Y8" s="46">
        <v>44.738</v>
      </c>
      <c r="Z8" s="46">
        <v>34.420999999999999</v>
      </c>
      <c r="AA8" s="46">
        <v>39.428000000000004</v>
      </c>
      <c r="AB8" s="46">
        <v>31.486000000000001</v>
      </c>
      <c r="AC8" s="46">
        <v>49.628</v>
      </c>
      <c r="AD8" s="46">
        <v>28.954999999999998</v>
      </c>
      <c r="AE8" s="46">
        <v>52.004999999999995</v>
      </c>
      <c r="AF8" s="46">
        <v>49.672999999999995</v>
      </c>
      <c r="AG8" s="46">
        <v>56.550999999999995</v>
      </c>
      <c r="AH8" s="46">
        <v>43.165000000000006</v>
      </c>
      <c r="AI8" s="46">
        <v>32.484999999999999</v>
      </c>
      <c r="AJ8" s="46">
        <v>52.543000000000006</v>
      </c>
      <c r="AK8" s="46">
        <v>47.693999999999996</v>
      </c>
      <c r="AL8" s="46">
        <v>51.112000000000002</v>
      </c>
      <c r="AM8" s="46">
        <f t="shared" si="0"/>
        <v>42.972035714285717</v>
      </c>
      <c r="AN8" s="7">
        <f t="shared" si="1"/>
        <v>7.1620059523809525</v>
      </c>
    </row>
    <row r="9" spans="1:40" x14ac:dyDescent="0.3">
      <c r="A9" s="5">
        <v>8</v>
      </c>
      <c r="B9" s="107" t="s">
        <v>9</v>
      </c>
      <c r="C9" s="112" t="s">
        <v>606</v>
      </c>
      <c r="D9" s="112" t="s">
        <v>728</v>
      </c>
      <c r="E9" s="110" t="s">
        <v>30</v>
      </c>
      <c r="F9" s="6" t="s">
        <v>12</v>
      </c>
      <c r="G9" s="6" t="s">
        <v>976</v>
      </c>
      <c r="H9" s="6" t="s">
        <v>35</v>
      </c>
      <c r="I9" s="5">
        <v>3</v>
      </c>
      <c r="J9" s="94" t="s">
        <v>589</v>
      </c>
      <c r="K9" s="46">
        <v>92.987000000000023</v>
      </c>
      <c r="L9" s="46">
        <v>105.92900000000002</v>
      </c>
      <c r="M9" s="46">
        <v>109.657</v>
      </c>
      <c r="N9" s="46">
        <v>51.290000000000006</v>
      </c>
      <c r="O9" s="46">
        <v>95.896999999999991</v>
      </c>
      <c r="P9" s="46">
        <v>83.695000000000007</v>
      </c>
      <c r="Q9" s="46">
        <v>99.876999999999995</v>
      </c>
      <c r="R9" s="46">
        <v>111.35499999999998</v>
      </c>
      <c r="S9" s="46">
        <v>121.06600000000002</v>
      </c>
      <c r="T9" s="46">
        <v>116.178</v>
      </c>
      <c r="U9" s="46">
        <v>102.43200000000002</v>
      </c>
      <c r="V9" s="46">
        <v>121.53800000000001</v>
      </c>
      <c r="W9" s="46">
        <v>123.21399999999998</v>
      </c>
      <c r="X9" s="46">
        <v>71.962000000000003</v>
      </c>
      <c r="Y9" s="46">
        <v>95.882000000000005</v>
      </c>
      <c r="Z9" s="46">
        <v>107.59799999999998</v>
      </c>
      <c r="AA9" s="46">
        <v>90.082999999999984</v>
      </c>
      <c r="AB9" s="46">
        <v>94.554000000000002</v>
      </c>
      <c r="AC9" s="46">
        <v>64.567000000000007</v>
      </c>
      <c r="AD9" s="46">
        <v>86.457999999999998</v>
      </c>
      <c r="AE9" s="46">
        <v>119.02700000000002</v>
      </c>
      <c r="AF9" s="46">
        <v>76.736000000000004</v>
      </c>
      <c r="AG9" s="46">
        <v>92.053000000000011</v>
      </c>
      <c r="AH9" s="46">
        <v>123.77899999999998</v>
      </c>
      <c r="AI9" s="46">
        <v>141.87099999999998</v>
      </c>
      <c r="AJ9" s="46">
        <v>100.759</v>
      </c>
      <c r="AK9" s="46">
        <v>112.09100000000001</v>
      </c>
      <c r="AL9" s="46">
        <v>106.89500000000001</v>
      </c>
      <c r="AM9" s="46">
        <f t="shared" si="0"/>
        <v>100.69392857142857</v>
      </c>
      <c r="AN9" s="7">
        <f t="shared" si="1"/>
        <v>33.564642857142857</v>
      </c>
    </row>
    <row r="10" spans="1:40" x14ac:dyDescent="0.3">
      <c r="A10" s="5">
        <v>9</v>
      </c>
      <c r="B10" s="107" t="s">
        <v>9</v>
      </c>
      <c r="C10" s="112" t="s">
        <v>607</v>
      </c>
      <c r="D10" s="112" t="s">
        <v>958</v>
      </c>
      <c r="E10" s="110" t="s">
        <v>128</v>
      </c>
      <c r="F10" s="6" t="s">
        <v>19</v>
      </c>
      <c r="G10" s="6" t="s">
        <v>976</v>
      </c>
      <c r="H10" s="6" t="s">
        <v>35</v>
      </c>
      <c r="I10" s="5">
        <v>1</v>
      </c>
      <c r="J10" s="12" t="s">
        <v>590</v>
      </c>
      <c r="K10" s="46">
        <v>2.7440000000000002</v>
      </c>
      <c r="L10" s="46">
        <v>0</v>
      </c>
      <c r="M10" s="46">
        <v>0</v>
      </c>
      <c r="N10" s="46">
        <v>0</v>
      </c>
      <c r="O10" s="46">
        <v>0</v>
      </c>
      <c r="P10" s="46">
        <v>3.39</v>
      </c>
      <c r="Q10" s="46">
        <v>0</v>
      </c>
      <c r="R10" s="46">
        <v>0</v>
      </c>
      <c r="S10" s="46">
        <v>3.4140000000000001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2.38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3.3620000000000001</v>
      </c>
      <c r="AK10" s="46">
        <v>0</v>
      </c>
      <c r="AL10" s="46">
        <v>0</v>
      </c>
      <c r="AM10" s="46">
        <f t="shared" si="0"/>
        <v>0.54607142857142865</v>
      </c>
      <c r="AN10" s="7">
        <f t="shared" si="1"/>
        <v>0.54607142857142865</v>
      </c>
    </row>
    <row r="11" spans="1:40" x14ac:dyDescent="0.3">
      <c r="A11" s="5">
        <v>10</v>
      </c>
      <c r="B11" s="107" t="s">
        <v>9</v>
      </c>
      <c r="C11" s="112" t="s">
        <v>608</v>
      </c>
      <c r="D11" s="113" t="s">
        <v>984</v>
      </c>
      <c r="E11" s="110" t="s">
        <v>128</v>
      </c>
      <c r="F11" s="6" t="s">
        <v>12</v>
      </c>
      <c r="G11" s="6" t="s">
        <v>979</v>
      </c>
      <c r="H11" s="6" t="s">
        <v>35</v>
      </c>
      <c r="I11" s="5">
        <v>2</v>
      </c>
      <c r="J11" s="67" t="s">
        <v>160</v>
      </c>
      <c r="K11" s="46">
        <v>0</v>
      </c>
      <c r="L11" s="46">
        <v>0</v>
      </c>
      <c r="M11" s="46">
        <v>0</v>
      </c>
      <c r="N11" s="46">
        <v>1E-3</v>
      </c>
      <c r="O11" s="46">
        <v>0</v>
      </c>
      <c r="P11" s="46">
        <v>0</v>
      </c>
      <c r="Q11" s="46">
        <v>0</v>
      </c>
      <c r="R11" s="46">
        <v>1E-3</v>
      </c>
      <c r="S11" s="46">
        <v>0</v>
      </c>
      <c r="T11" s="46">
        <v>0.20300000000000001</v>
      </c>
      <c r="U11" s="46">
        <v>0</v>
      </c>
      <c r="V11" s="46">
        <v>0</v>
      </c>
      <c r="W11" s="46">
        <v>7.8550000000000004</v>
      </c>
      <c r="X11" s="46">
        <v>0</v>
      </c>
      <c r="Y11" s="46">
        <v>6.5270000000000001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f t="shared" si="0"/>
        <v>0.52096428571428566</v>
      </c>
      <c r="AN11" s="7">
        <f t="shared" si="1"/>
        <v>0.26048214285714283</v>
      </c>
    </row>
    <row r="12" spans="1:40" x14ac:dyDescent="0.3">
      <c r="A12" s="5">
        <v>11</v>
      </c>
      <c r="B12" s="107" t="s">
        <v>9</v>
      </c>
      <c r="C12" s="112" t="s">
        <v>608</v>
      </c>
      <c r="D12" s="113" t="s">
        <v>772</v>
      </c>
      <c r="E12" s="110" t="s">
        <v>128</v>
      </c>
      <c r="F12" s="6" t="s">
        <v>12</v>
      </c>
      <c r="G12" s="6" t="s">
        <v>973</v>
      </c>
      <c r="H12" s="6" t="s">
        <v>80</v>
      </c>
      <c r="I12" s="5">
        <v>2</v>
      </c>
      <c r="J12" s="67" t="s">
        <v>160</v>
      </c>
      <c r="K12" s="46">
        <v>0</v>
      </c>
      <c r="L12" s="46">
        <v>0</v>
      </c>
      <c r="M12" s="46">
        <v>0</v>
      </c>
      <c r="N12" s="46">
        <v>0</v>
      </c>
      <c r="O12" s="46">
        <v>14.709999999999999</v>
      </c>
      <c r="P12" s="46">
        <v>13.59</v>
      </c>
      <c r="Q12" s="46">
        <v>7.89</v>
      </c>
      <c r="R12" s="46">
        <v>34.04</v>
      </c>
      <c r="S12" s="46">
        <v>23.17</v>
      </c>
      <c r="T12" s="46">
        <v>55.62</v>
      </c>
      <c r="U12" s="46">
        <v>33.07</v>
      </c>
      <c r="V12" s="46">
        <v>33.650000000000006</v>
      </c>
      <c r="W12" s="46">
        <v>57.36</v>
      </c>
      <c r="X12" s="46">
        <v>36.58</v>
      </c>
      <c r="Y12" s="46">
        <v>17.32</v>
      </c>
      <c r="Z12" s="46">
        <v>24.38</v>
      </c>
      <c r="AA12" s="46">
        <v>50.27</v>
      </c>
      <c r="AB12" s="46">
        <v>26.09</v>
      </c>
      <c r="AC12" s="46">
        <v>0</v>
      </c>
      <c r="AD12" s="46">
        <v>0</v>
      </c>
      <c r="AE12" s="46">
        <v>0</v>
      </c>
      <c r="AF12" s="46">
        <v>13.55</v>
      </c>
      <c r="AG12" s="46">
        <v>12.15</v>
      </c>
      <c r="AH12" s="46">
        <v>25.73</v>
      </c>
      <c r="AI12" s="46">
        <v>22.82</v>
      </c>
      <c r="AJ12" s="46">
        <v>8.77</v>
      </c>
      <c r="AK12" s="46">
        <v>32.93</v>
      </c>
      <c r="AL12" s="46">
        <v>40.699999999999996</v>
      </c>
      <c r="AM12" s="46">
        <f t="shared" si="0"/>
        <v>20.871071428571423</v>
      </c>
      <c r="AN12" s="7">
        <f t="shared" si="1"/>
        <v>10.435535714285711</v>
      </c>
    </row>
    <row r="13" spans="1:40" x14ac:dyDescent="0.3">
      <c r="A13" s="5">
        <v>12</v>
      </c>
      <c r="B13" s="107" t="s">
        <v>9</v>
      </c>
      <c r="C13" s="112" t="s">
        <v>609</v>
      </c>
      <c r="D13" s="112" t="s">
        <v>745</v>
      </c>
      <c r="E13" s="110" t="s">
        <v>128</v>
      </c>
      <c r="F13" s="6" t="s">
        <v>12</v>
      </c>
      <c r="G13" s="6" t="s">
        <v>976</v>
      </c>
      <c r="H13" s="6" t="s">
        <v>35</v>
      </c>
      <c r="I13" s="5">
        <v>7</v>
      </c>
      <c r="J13" s="94" t="s">
        <v>273</v>
      </c>
      <c r="K13" s="46">
        <v>70.302000000000007</v>
      </c>
      <c r="L13" s="46">
        <v>59.512</v>
      </c>
      <c r="M13" s="46">
        <v>90.622</v>
      </c>
      <c r="N13" s="46">
        <v>53.400999999999989</v>
      </c>
      <c r="O13" s="46">
        <v>89.561000000000007</v>
      </c>
      <c r="P13" s="46">
        <v>72.927999999999997</v>
      </c>
      <c r="Q13" s="46">
        <v>105.84399999999999</v>
      </c>
      <c r="R13" s="46">
        <v>85.263000000000005</v>
      </c>
      <c r="S13" s="46">
        <v>30.684999999999999</v>
      </c>
      <c r="T13" s="46">
        <v>124.102</v>
      </c>
      <c r="U13" s="46">
        <v>59.761000000000003</v>
      </c>
      <c r="V13" s="46">
        <v>92.455999999999989</v>
      </c>
      <c r="W13" s="46">
        <v>66.977000000000004</v>
      </c>
      <c r="X13" s="46">
        <v>84.965000000000003</v>
      </c>
      <c r="Y13" s="46">
        <v>71.36</v>
      </c>
      <c r="Z13" s="46">
        <v>54.313000000000002</v>
      </c>
      <c r="AA13" s="46">
        <v>74.516999999999996</v>
      </c>
      <c r="AB13" s="46">
        <v>83.971000000000004</v>
      </c>
      <c r="AC13" s="46">
        <v>89.620000000000019</v>
      </c>
      <c r="AD13" s="46">
        <v>141.34399999999999</v>
      </c>
      <c r="AE13" s="46">
        <v>83.004000000000005</v>
      </c>
      <c r="AF13" s="46">
        <v>153.08699999999999</v>
      </c>
      <c r="AG13" s="46">
        <v>101.95599999999999</v>
      </c>
      <c r="AH13" s="46">
        <v>102.964</v>
      </c>
      <c r="AI13" s="46">
        <v>101.75999999999999</v>
      </c>
      <c r="AJ13" s="46">
        <v>82.701000000000008</v>
      </c>
      <c r="AK13" s="46">
        <v>79.884</v>
      </c>
      <c r="AL13" s="46">
        <v>126.39700000000001</v>
      </c>
      <c r="AM13" s="46">
        <f t="shared" si="0"/>
        <v>86.902035714285702</v>
      </c>
      <c r="AN13" s="7">
        <f t="shared" si="1"/>
        <v>12.414576530612242</v>
      </c>
    </row>
    <row r="14" spans="1:40" x14ac:dyDescent="0.3">
      <c r="A14" s="5">
        <v>13</v>
      </c>
      <c r="B14" s="107" t="s">
        <v>9</v>
      </c>
      <c r="C14" s="112" t="s">
        <v>960</v>
      </c>
      <c r="D14" s="112" t="s">
        <v>985</v>
      </c>
      <c r="E14" s="110" t="s">
        <v>128</v>
      </c>
      <c r="F14" s="6" t="s">
        <v>12</v>
      </c>
      <c r="G14" s="6" t="s">
        <v>971</v>
      </c>
      <c r="H14" s="6" t="s">
        <v>80</v>
      </c>
      <c r="I14" s="5">
        <v>1</v>
      </c>
      <c r="J14" s="94" t="s">
        <v>273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f t="shared" si="0"/>
        <v>0</v>
      </c>
      <c r="AN14" s="7">
        <f t="shared" si="1"/>
        <v>0</v>
      </c>
    </row>
    <row r="15" spans="1:40" x14ac:dyDescent="0.3">
      <c r="A15" s="5">
        <v>14</v>
      </c>
      <c r="B15" s="107" t="s">
        <v>9</v>
      </c>
      <c r="C15" s="112" t="s">
        <v>965</v>
      </c>
      <c r="D15" s="112" t="s">
        <v>914</v>
      </c>
      <c r="E15" s="110" t="s">
        <v>128</v>
      </c>
      <c r="F15" s="6" t="s">
        <v>12</v>
      </c>
      <c r="G15" s="6" t="s">
        <v>976</v>
      </c>
      <c r="H15" s="6" t="s">
        <v>35</v>
      </c>
      <c r="I15" s="5">
        <v>4</v>
      </c>
      <c r="J15" s="67" t="s">
        <v>160</v>
      </c>
      <c r="K15" s="46">
        <v>25.539000000000001</v>
      </c>
      <c r="L15" s="46">
        <v>24.574000000000002</v>
      </c>
      <c r="M15" s="46">
        <v>24.990000000000002</v>
      </c>
      <c r="N15" s="46">
        <v>19.667999999999999</v>
      </c>
      <c r="O15" s="46">
        <v>20.91</v>
      </c>
      <c r="P15" s="46">
        <v>22.184999999999999</v>
      </c>
      <c r="Q15" s="46">
        <v>12.122999999999999</v>
      </c>
      <c r="R15" s="46">
        <v>31.463999999999999</v>
      </c>
      <c r="S15" s="46">
        <v>36.123000000000005</v>
      </c>
      <c r="T15" s="46">
        <v>20.163</v>
      </c>
      <c r="U15" s="46">
        <v>13.255000000000001</v>
      </c>
      <c r="V15" s="46">
        <v>31.323</v>
      </c>
      <c r="W15" s="46">
        <v>13.4</v>
      </c>
      <c r="X15" s="46">
        <v>18.716999999999999</v>
      </c>
      <c r="Y15" s="46">
        <v>12.654999999999999</v>
      </c>
      <c r="Z15" s="46">
        <v>6.3719999999999999</v>
      </c>
      <c r="AA15" s="46">
        <v>11.557</v>
      </c>
      <c r="AB15" s="46">
        <v>22.249000000000002</v>
      </c>
      <c r="AC15" s="46">
        <v>11.991</v>
      </c>
      <c r="AD15" s="46">
        <v>32.843000000000004</v>
      </c>
      <c r="AE15" s="46">
        <v>39.104999999999997</v>
      </c>
      <c r="AF15" s="46">
        <v>74.112999999999985</v>
      </c>
      <c r="AG15" s="46">
        <v>36.803000000000004</v>
      </c>
      <c r="AH15" s="46">
        <v>26.610000000000003</v>
      </c>
      <c r="AI15" s="46">
        <v>17.91</v>
      </c>
      <c r="AJ15" s="46">
        <v>14.576999999999998</v>
      </c>
      <c r="AK15" s="46">
        <v>29.338000000000001</v>
      </c>
      <c r="AL15" s="46">
        <v>36.463000000000001</v>
      </c>
      <c r="AM15" s="46">
        <f t="shared" si="0"/>
        <v>24.536428571428566</v>
      </c>
      <c r="AN15" s="7">
        <f t="shared" si="1"/>
        <v>6.1341071428571414</v>
      </c>
    </row>
    <row r="16" spans="1:40" x14ac:dyDescent="0.3">
      <c r="A16" s="5">
        <v>15</v>
      </c>
      <c r="B16" s="107" t="s">
        <v>9</v>
      </c>
      <c r="C16" s="112" t="s">
        <v>965</v>
      </c>
      <c r="D16" s="112" t="s">
        <v>986</v>
      </c>
      <c r="E16" s="110" t="s">
        <v>128</v>
      </c>
      <c r="F16" s="6" t="s">
        <v>12</v>
      </c>
      <c r="G16" s="6" t="s">
        <v>979</v>
      </c>
      <c r="H16" s="6" t="s">
        <v>35</v>
      </c>
      <c r="I16" s="5">
        <v>1</v>
      </c>
      <c r="J16" s="67" t="s">
        <v>160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5">
        <v>0</v>
      </c>
      <c r="V16" s="45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6">
        <f t="shared" si="0"/>
        <v>0</v>
      </c>
      <c r="AN16" s="7">
        <f t="shared" si="1"/>
        <v>0</v>
      </c>
    </row>
    <row r="17" spans="1:40" x14ac:dyDescent="0.3">
      <c r="A17" s="5">
        <v>16</v>
      </c>
      <c r="B17" s="107" t="s">
        <v>9</v>
      </c>
      <c r="C17" s="112" t="s">
        <v>611</v>
      </c>
      <c r="D17" s="112" t="s">
        <v>747</v>
      </c>
      <c r="E17" s="110" t="s">
        <v>128</v>
      </c>
      <c r="F17" s="6" t="s">
        <v>12</v>
      </c>
      <c r="G17" s="6" t="s">
        <v>976</v>
      </c>
      <c r="H17" s="6" t="s">
        <v>35</v>
      </c>
      <c r="I17" s="5">
        <v>19</v>
      </c>
      <c r="J17" s="94" t="s">
        <v>273</v>
      </c>
      <c r="K17" s="46">
        <v>168.90200000000002</v>
      </c>
      <c r="L17" s="46">
        <v>156.51399999999998</v>
      </c>
      <c r="M17" s="46">
        <v>150.85700000000003</v>
      </c>
      <c r="N17" s="46">
        <v>204.78200000000004</v>
      </c>
      <c r="O17" s="46">
        <v>199.04400000000001</v>
      </c>
      <c r="P17" s="46">
        <v>153.191</v>
      </c>
      <c r="Q17" s="46">
        <v>147.45900000000003</v>
      </c>
      <c r="R17" s="46">
        <v>192.68199999999999</v>
      </c>
      <c r="S17" s="46">
        <v>221.33700000000002</v>
      </c>
      <c r="T17" s="46">
        <v>225.21300000000002</v>
      </c>
      <c r="U17" s="46">
        <v>186.203</v>
      </c>
      <c r="V17" s="46">
        <v>201</v>
      </c>
      <c r="W17" s="46">
        <v>168.685</v>
      </c>
      <c r="X17" s="46">
        <v>148.80100000000002</v>
      </c>
      <c r="Y17" s="46">
        <v>181.41400000000004</v>
      </c>
      <c r="Z17" s="46">
        <v>172.20100000000002</v>
      </c>
      <c r="AA17" s="46">
        <v>196.15499999999997</v>
      </c>
      <c r="AB17" s="46">
        <v>191.446</v>
      </c>
      <c r="AC17" s="46">
        <v>157.92099999999999</v>
      </c>
      <c r="AD17" s="46">
        <v>174.18500000000003</v>
      </c>
      <c r="AE17" s="46">
        <v>182.911</v>
      </c>
      <c r="AF17" s="46">
        <v>200.47000000000003</v>
      </c>
      <c r="AG17" s="46">
        <v>252.49199999999996</v>
      </c>
      <c r="AH17" s="46">
        <v>255.60700000000006</v>
      </c>
      <c r="AI17" s="46">
        <v>168.137</v>
      </c>
      <c r="AJ17" s="46">
        <v>173.249</v>
      </c>
      <c r="AK17" s="46">
        <v>131.25399999999999</v>
      </c>
      <c r="AL17" s="46">
        <v>178.58199999999997</v>
      </c>
      <c r="AM17" s="46">
        <f t="shared" si="0"/>
        <v>183.5962142857143</v>
      </c>
      <c r="AN17" s="7">
        <f t="shared" si="1"/>
        <v>9.6629586466165414</v>
      </c>
    </row>
    <row r="18" spans="1:40" x14ac:dyDescent="0.3">
      <c r="A18" s="5">
        <v>17</v>
      </c>
      <c r="B18" s="107" t="s">
        <v>9</v>
      </c>
      <c r="C18" s="112" t="s">
        <v>964</v>
      </c>
      <c r="D18" s="112" t="s">
        <v>982</v>
      </c>
      <c r="E18" s="110" t="s">
        <v>128</v>
      </c>
      <c r="F18" s="6" t="s">
        <v>12</v>
      </c>
      <c r="G18" s="6" t="s">
        <v>973</v>
      </c>
      <c r="H18" s="6" t="s">
        <v>80</v>
      </c>
      <c r="I18" s="5">
        <v>1</v>
      </c>
      <c r="J18" s="94" t="s">
        <v>273</v>
      </c>
      <c r="K18" s="46">
        <v>63.129999999999995</v>
      </c>
      <c r="L18" s="46">
        <v>84.06</v>
      </c>
      <c r="M18" s="46">
        <v>48.349999999999994</v>
      </c>
      <c r="N18" s="46">
        <v>99.249000000000009</v>
      </c>
      <c r="O18" s="46">
        <v>56.419999999999995</v>
      </c>
      <c r="P18" s="46">
        <v>74.39</v>
      </c>
      <c r="Q18" s="46">
        <v>62.140000000000008</v>
      </c>
      <c r="R18" s="46">
        <v>68.439999999999984</v>
      </c>
      <c r="S18" s="46">
        <v>0</v>
      </c>
      <c r="T18" s="46">
        <v>27.631</v>
      </c>
      <c r="U18" s="46">
        <v>89.519000000000005</v>
      </c>
      <c r="V18" s="46">
        <v>75.19</v>
      </c>
      <c r="W18" s="46">
        <v>67.930999999999997</v>
      </c>
      <c r="X18" s="46">
        <v>73.129000000000019</v>
      </c>
      <c r="Y18" s="46">
        <v>102.19100000000002</v>
      </c>
      <c r="Z18" s="46">
        <v>57.069000000000003</v>
      </c>
      <c r="AA18" s="46">
        <v>59.949999999999996</v>
      </c>
      <c r="AB18" s="46">
        <v>77.819999999999993</v>
      </c>
      <c r="AC18" s="46">
        <v>69.02000000000001</v>
      </c>
      <c r="AD18" s="46">
        <v>60.81</v>
      </c>
      <c r="AE18" s="46">
        <v>74.170999999999992</v>
      </c>
      <c r="AF18" s="46">
        <v>79.259</v>
      </c>
      <c r="AG18" s="46">
        <v>75.819000000000003</v>
      </c>
      <c r="AH18" s="46">
        <v>82.7</v>
      </c>
      <c r="AI18" s="46">
        <v>31.799999999999997</v>
      </c>
      <c r="AJ18" s="46">
        <v>46.480999999999995</v>
      </c>
      <c r="AK18" s="46">
        <v>55.5</v>
      </c>
      <c r="AL18" s="46">
        <v>36.199999999999996</v>
      </c>
      <c r="AM18" s="46">
        <f t="shared" si="0"/>
        <v>64.227464285714291</v>
      </c>
      <c r="AN18" s="7">
        <f t="shared" si="1"/>
        <v>64.227464285714291</v>
      </c>
    </row>
    <row r="19" spans="1:40" x14ac:dyDescent="0.3">
      <c r="A19" s="5">
        <v>18</v>
      </c>
      <c r="B19" s="107" t="s">
        <v>9</v>
      </c>
      <c r="C19" s="112" t="s">
        <v>964</v>
      </c>
      <c r="D19" s="112" t="s">
        <v>982</v>
      </c>
      <c r="E19" s="110" t="s">
        <v>128</v>
      </c>
      <c r="F19" s="6" t="s">
        <v>12</v>
      </c>
      <c r="G19" s="6" t="s">
        <v>971</v>
      </c>
      <c r="H19" s="6" t="s">
        <v>80</v>
      </c>
      <c r="I19" s="5">
        <v>2</v>
      </c>
      <c r="J19" s="94" t="s">
        <v>273</v>
      </c>
      <c r="K19" s="46">
        <v>20.619999999999997</v>
      </c>
      <c r="L19" s="46">
        <v>25.340000000000003</v>
      </c>
      <c r="M19" s="46">
        <v>18.170000000000002</v>
      </c>
      <c r="N19" s="46">
        <v>48.18</v>
      </c>
      <c r="O19" s="46">
        <v>38.450000000000003</v>
      </c>
      <c r="P19" s="46">
        <v>54.140000000000008</v>
      </c>
      <c r="Q19" s="46">
        <v>75.220000000000013</v>
      </c>
      <c r="R19" s="46">
        <v>25.389999999999993</v>
      </c>
      <c r="S19" s="46">
        <v>35.14</v>
      </c>
      <c r="T19" s="46">
        <v>32.82</v>
      </c>
      <c r="U19" s="46">
        <v>63.85799999999999</v>
      </c>
      <c r="V19" s="46">
        <v>35.6</v>
      </c>
      <c r="W19" s="46">
        <v>51.379999999999995</v>
      </c>
      <c r="X19" s="46">
        <v>17.28</v>
      </c>
      <c r="Y19" s="46">
        <v>46.790000000000006</v>
      </c>
      <c r="Z19" s="46">
        <v>38.15</v>
      </c>
      <c r="AA19" s="46">
        <v>22.330000000000002</v>
      </c>
      <c r="AB19" s="46">
        <v>49.819999999999993</v>
      </c>
      <c r="AC19" s="46">
        <v>40.94</v>
      </c>
      <c r="AD19" s="46">
        <v>40.64</v>
      </c>
      <c r="AE19" s="46">
        <v>32.930999999999997</v>
      </c>
      <c r="AF19" s="46">
        <v>35.519999999999996</v>
      </c>
      <c r="AG19" s="46">
        <v>0</v>
      </c>
      <c r="AH19" s="46">
        <v>12.54</v>
      </c>
      <c r="AI19" s="46">
        <v>49.54</v>
      </c>
      <c r="AJ19" s="46">
        <v>67.819999999999993</v>
      </c>
      <c r="AK19" s="46">
        <v>43.54</v>
      </c>
      <c r="AL19" s="46">
        <v>50.379999999999995</v>
      </c>
      <c r="AM19" s="46">
        <f t="shared" si="0"/>
        <v>38.304607142857144</v>
      </c>
      <c r="AN19" s="7">
        <f t="shared" si="1"/>
        <v>19.152303571428572</v>
      </c>
    </row>
    <row r="20" spans="1:40" x14ac:dyDescent="0.3">
      <c r="A20" s="5">
        <v>19</v>
      </c>
      <c r="B20" s="107" t="s">
        <v>9</v>
      </c>
      <c r="C20" s="112" t="s">
        <v>959</v>
      </c>
      <c r="D20" s="112" t="s">
        <v>755</v>
      </c>
      <c r="E20" s="110" t="s">
        <v>128</v>
      </c>
      <c r="F20" s="6" t="s">
        <v>12</v>
      </c>
      <c r="G20" s="6" t="s">
        <v>976</v>
      </c>
      <c r="H20" s="6" t="s">
        <v>35</v>
      </c>
      <c r="I20" s="5">
        <v>8</v>
      </c>
      <c r="J20" s="94" t="s">
        <v>273</v>
      </c>
      <c r="K20" s="46">
        <v>163.845</v>
      </c>
      <c r="L20" s="46">
        <v>212.477</v>
      </c>
      <c r="M20" s="46">
        <v>206.69499999999999</v>
      </c>
      <c r="N20" s="46">
        <v>145.93699999999998</v>
      </c>
      <c r="O20" s="46">
        <v>179.15299999999996</v>
      </c>
      <c r="P20" s="46">
        <v>151.04799999999997</v>
      </c>
      <c r="Q20" s="46">
        <v>190.57499999999999</v>
      </c>
      <c r="R20" s="46">
        <v>190.23700000000002</v>
      </c>
      <c r="S20" s="46">
        <v>143.95099999999999</v>
      </c>
      <c r="T20" s="46">
        <v>193.40899999999999</v>
      </c>
      <c r="U20" s="46">
        <v>158.71799999999999</v>
      </c>
      <c r="V20" s="46">
        <v>154.00799999999998</v>
      </c>
      <c r="W20" s="46">
        <v>140.46499999999997</v>
      </c>
      <c r="X20" s="46">
        <v>164.89500000000001</v>
      </c>
      <c r="Y20" s="46">
        <v>195.47200000000004</v>
      </c>
      <c r="Z20" s="46">
        <v>213.976</v>
      </c>
      <c r="AA20" s="46">
        <v>235.05799999999999</v>
      </c>
      <c r="AB20" s="46">
        <v>139.04400000000001</v>
      </c>
      <c r="AC20" s="46">
        <v>177.196</v>
      </c>
      <c r="AD20" s="46">
        <v>190.92700000000005</v>
      </c>
      <c r="AE20" s="46">
        <v>158.29300000000003</v>
      </c>
      <c r="AF20" s="46">
        <v>86.027999999999963</v>
      </c>
      <c r="AG20" s="46">
        <v>138.56700000000004</v>
      </c>
      <c r="AH20" s="46">
        <v>138.93700000000001</v>
      </c>
      <c r="AI20" s="46">
        <v>135.00399999999996</v>
      </c>
      <c r="AJ20" s="46">
        <v>146.56</v>
      </c>
      <c r="AK20" s="46">
        <v>125.00899999999999</v>
      </c>
      <c r="AL20" s="46">
        <v>113.06600000000003</v>
      </c>
      <c r="AM20" s="46">
        <f t="shared" si="0"/>
        <v>163.87678571428575</v>
      </c>
      <c r="AN20" s="7">
        <f t="shared" si="1"/>
        <v>20.484598214285718</v>
      </c>
    </row>
    <row r="21" spans="1:40" x14ac:dyDescent="0.3">
      <c r="A21" s="5">
        <v>20</v>
      </c>
      <c r="B21" s="107" t="s">
        <v>9</v>
      </c>
      <c r="C21" s="112" t="s">
        <v>612</v>
      </c>
      <c r="D21" s="112" t="s">
        <v>771</v>
      </c>
      <c r="E21" s="110" t="s">
        <v>128</v>
      </c>
      <c r="F21" s="6" t="s">
        <v>12</v>
      </c>
      <c r="G21" s="6" t="s">
        <v>979</v>
      </c>
      <c r="H21" s="6" t="s">
        <v>35</v>
      </c>
      <c r="I21" s="5">
        <v>1</v>
      </c>
      <c r="J21" s="67" t="s">
        <v>160</v>
      </c>
      <c r="K21" s="46">
        <v>5.0000000000000001E-3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f t="shared" si="0"/>
        <v>1.7857142857142857E-4</v>
      </c>
      <c r="AN21" s="7">
        <f t="shared" si="1"/>
        <v>1.7857142857142857E-4</v>
      </c>
    </row>
    <row r="22" spans="1:40" x14ac:dyDescent="0.3">
      <c r="A22" s="5">
        <v>21</v>
      </c>
      <c r="B22" s="107" t="s">
        <v>9</v>
      </c>
      <c r="C22" s="112" t="s">
        <v>612</v>
      </c>
      <c r="D22" s="112" t="s">
        <v>981</v>
      </c>
      <c r="E22" s="110" t="s">
        <v>128</v>
      </c>
      <c r="F22" s="6" t="s">
        <v>12</v>
      </c>
      <c r="G22" s="6" t="s">
        <v>971</v>
      </c>
      <c r="H22" s="6" t="s">
        <v>80</v>
      </c>
      <c r="I22" s="5">
        <v>1</v>
      </c>
      <c r="J22" s="67" t="s">
        <v>160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0.01</v>
      </c>
      <c r="R22" s="46">
        <v>0</v>
      </c>
      <c r="S22" s="46">
        <v>0</v>
      </c>
      <c r="T22" s="46">
        <v>0</v>
      </c>
      <c r="U22" s="46">
        <v>25.14</v>
      </c>
      <c r="V22" s="46">
        <v>0</v>
      </c>
      <c r="W22" s="46">
        <v>0</v>
      </c>
      <c r="X22" s="46">
        <v>0.18</v>
      </c>
      <c r="Y22" s="46">
        <v>7.0000000000000007E-2</v>
      </c>
      <c r="Z22" s="46">
        <v>0.02</v>
      </c>
      <c r="AA22" s="46">
        <v>0.02</v>
      </c>
      <c r="AB22" s="46">
        <v>1.51</v>
      </c>
      <c r="AC22" s="46">
        <v>20.939999999999998</v>
      </c>
      <c r="AD22" s="46">
        <v>12.1</v>
      </c>
      <c r="AE22" s="46">
        <v>48.16</v>
      </c>
      <c r="AF22" s="46">
        <v>55.839999999999996</v>
      </c>
      <c r="AG22" s="46">
        <v>61.040000000000006</v>
      </c>
      <c r="AH22" s="46">
        <v>47.849999999999994</v>
      </c>
      <c r="AI22" s="46">
        <v>33.22</v>
      </c>
      <c r="AJ22" s="46">
        <v>40.700000000000003</v>
      </c>
      <c r="AK22" s="46">
        <v>27.51</v>
      </c>
      <c r="AL22" s="46">
        <v>26.819000000000003</v>
      </c>
      <c r="AM22" s="46">
        <f t="shared" si="0"/>
        <v>14.326035714285714</v>
      </c>
      <c r="AN22" s="7">
        <f t="shared" si="1"/>
        <v>14.326035714285714</v>
      </c>
    </row>
    <row r="23" spans="1:40" x14ac:dyDescent="0.3">
      <c r="A23" s="5">
        <v>22</v>
      </c>
      <c r="B23" s="107" t="s">
        <v>9</v>
      </c>
      <c r="C23" s="112" t="s">
        <v>612</v>
      </c>
      <c r="D23" s="112" t="s">
        <v>981</v>
      </c>
      <c r="E23" s="110" t="s">
        <v>128</v>
      </c>
      <c r="F23" s="6" t="s">
        <v>12</v>
      </c>
      <c r="G23" s="6" t="s">
        <v>973</v>
      </c>
      <c r="H23" s="6" t="s">
        <v>80</v>
      </c>
      <c r="I23" s="5">
        <v>1</v>
      </c>
      <c r="J23" s="67" t="s">
        <v>160</v>
      </c>
      <c r="K23" s="46">
        <v>19.059999999999999</v>
      </c>
      <c r="L23" s="46">
        <v>0</v>
      </c>
      <c r="M23" s="46">
        <v>54.42</v>
      </c>
      <c r="N23" s="46">
        <v>48.35</v>
      </c>
      <c r="O23" s="46">
        <v>32.918999999999997</v>
      </c>
      <c r="P23" s="46">
        <v>34.640999999999998</v>
      </c>
      <c r="Q23" s="46">
        <v>31.15</v>
      </c>
      <c r="R23" s="46">
        <v>5.25</v>
      </c>
      <c r="S23" s="46">
        <v>0</v>
      </c>
      <c r="T23" s="46">
        <v>0</v>
      </c>
      <c r="U23" s="46">
        <v>26.5</v>
      </c>
      <c r="V23" s="46">
        <v>23.39</v>
      </c>
      <c r="W23" s="46">
        <v>31.199999999999996</v>
      </c>
      <c r="X23" s="46">
        <v>12.51</v>
      </c>
      <c r="Y23" s="46">
        <v>3.69</v>
      </c>
      <c r="Z23" s="46">
        <v>3.9590000000000001</v>
      </c>
      <c r="AA23" s="46">
        <v>26.861000000000001</v>
      </c>
      <c r="AB23" s="46">
        <v>25.17</v>
      </c>
      <c r="AC23" s="46">
        <v>14.04</v>
      </c>
      <c r="AD23" s="46">
        <v>34.42</v>
      </c>
      <c r="AE23" s="46">
        <v>18.05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14.51</v>
      </c>
      <c r="AM23" s="46">
        <f t="shared" si="0"/>
        <v>16.431785714285716</v>
      </c>
      <c r="AN23" s="7">
        <f t="shared" si="1"/>
        <v>16.431785714285716</v>
      </c>
    </row>
    <row r="24" spans="1:40" x14ac:dyDescent="0.3">
      <c r="A24" s="5">
        <v>23</v>
      </c>
      <c r="B24" s="107" t="s">
        <v>9</v>
      </c>
      <c r="C24" s="112" t="s">
        <v>612</v>
      </c>
      <c r="D24" s="112" t="s">
        <v>981</v>
      </c>
      <c r="E24" s="110" t="s">
        <v>128</v>
      </c>
      <c r="F24" s="6" t="s">
        <v>12</v>
      </c>
      <c r="G24" s="6" t="s">
        <v>290</v>
      </c>
      <c r="H24" s="6" t="s">
        <v>80</v>
      </c>
      <c r="I24" s="5">
        <v>1</v>
      </c>
      <c r="J24" s="67" t="s">
        <v>160</v>
      </c>
      <c r="K24" s="46">
        <v>243.20200000000003</v>
      </c>
      <c r="L24" s="46">
        <v>163.67600000000002</v>
      </c>
      <c r="M24" s="46">
        <v>309.62200000000001</v>
      </c>
      <c r="N24" s="46">
        <v>576.97200000000009</v>
      </c>
      <c r="O24" s="46">
        <v>486.27200000000005</v>
      </c>
      <c r="P24" s="46">
        <v>385.62599999999992</v>
      </c>
      <c r="Q24" s="46">
        <v>399.44799999999992</v>
      </c>
      <c r="R24" s="46">
        <v>298.62200000000007</v>
      </c>
      <c r="S24" s="46">
        <v>67.827999999999989</v>
      </c>
      <c r="T24" s="46">
        <v>316.99999999999994</v>
      </c>
      <c r="U24" s="46">
        <v>441.92400000000009</v>
      </c>
      <c r="V24" s="46">
        <v>432.05200000000008</v>
      </c>
      <c r="W24" s="46">
        <v>310.05</v>
      </c>
      <c r="X24" s="46">
        <v>437.072</v>
      </c>
      <c r="Y24" s="46">
        <v>206.22599999999997</v>
      </c>
      <c r="Z24" s="46">
        <v>176.15</v>
      </c>
      <c r="AA24" s="46">
        <v>325.62600000000003</v>
      </c>
      <c r="AB24" s="46">
        <v>458.67600000000004</v>
      </c>
      <c r="AC24" s="46">
        <v>363.37599999999998</v>
      </c>
      <c r="AD24" s="46">
        <v>366.42400000000009</v>
      </c>
      <c r="AE24" s="46">
        <v>298.24799999999999</v>
      </c>
      <c r="AF24" s="46">
        <v>163.17399999999998</v>
      </c>
      <c r="AG24" s="46">
        <v>71.075999999999993</v>
      </c>
      <c r="AH24" s="46">
        <v>224.82600000000005</v>
      </c>
      <c r="AI24" s="46">
        <v>335.95399999999984</v>
      </c>
      <c r="AJ24" s="46">
        <v>393.02599999999995</v>
      </c>
      <c r="AK24" s="46">
        <v>330.4</v>
      </c>
      <c r="AL24" s="46">
        <v>331.42599999999999</v>
      </c>
      <c r="AM24" s="46">
        <f t="shared" si="0"/>
        <v>318.3562142857142</v>
      </c>
      <c r="AN24" s="7">
        <f t="shared" si="1"/>
        <v>318.3562142857142</v>
      </c>
    </row>
    <row r="25" spans="1:40" x14ac:dyDescent="0.3">
      <c r="A25" s="5">
        <v>24</v>
      </c>
      <c r="B25" s="107" t="s">
        <v>9</v>
      </c>
      <c r="C25" s="112" t="s">
        <v>612</v>
      </c>
      <c r="D25" s="112" t="s">
        <v>771</v>
      </c>
      <c r="E25" s="110" t="s">
        <v>128</v>
      </c>
      <c r="F25" s="6" t="s">
        <v>12</v>
      </c>
      <c r="G25" s="6" t="s">
        <v>972</v>
      </c>
      <c r="H25" s="6" t="s">
        <v>80</v>
      </c>
      <c r="I25" s="5">
        <v>1</v>
      </c>
      <c r="J25" s="67" t="s">
        <v>160</v>
      </c>
      <c r="K25" s="46">
        <v>182.36999999999998</v>
      </c>
      <c r="L25" s="46">
        <v>116.27</v>
      </c>
      <c r="M25" s="46">
        <v>295.11999999999995</v>
      </c>
      <c r="N25" s="46">
        <v>444.09000000000003</v>
      </c>
      <c r="O25" s="46">
        <v>559.13999999999987</v>
      </c>
      <c r="P25" s="46">
        <v>414.74000000000007</v>
      </c>
      <c r="Q25" s="46">
        <v>408.66</v>
      </c>
      <c r="R25" s="46">
        <v>169.70999999999998</v>
      </c>
      <c r="S25" s="46">
        <v>168.12</v>
      </c>
      <c r="T25" s="46">
        <v>343.91999999999996</v>
      </c>
      <c r="U25" s="46">
        <v>424.71</v>
      </c>
      <c r="V25" s="46">
        <v>481.81000000000006</v>
      </c>
      <c r="W25" s="46">
        <v>448.28000000000009</v>
      </c>
      <c r="X25" s="46">
        <v>444.30000000000007</v>
      </c>
      <c r="Y25" s="46">
        <v>232.10000000000002</v>
      </c>
      <c r="Z25" s="46">
        <v>210.18</v>
      </c>
      <c r="AA25" s="46">
        <v>374.78999999999996</v>
      </c>
      <c r="AB25" s="46">
        <v>389.87</v>
      </c>
      <c r="AC25" s="46">
        <v>428.60999999999996</v>
      </c>
      <c r="AD25" s="46">
        <v>528.82000000000005</v>
      </c>
      <c r="AE25" s="46">
        <v>462.60000000000008</v>
      </c>
      <c r="AF25" s="46">
        <v>232.24</v>
      </c>
      <c r="AG25" s="46">
        <v>166.47</v>
      </c>
      <c r="AH25" s="46">
        <v>349.6400000000001</v>
      </c>
      <c r="AI25" s="46">
        <v>505.45</v>
      </c>
      <c r="AJ25" s="46">
        <v>483.85</v>
      </c>
      <c r="AK25" s="46">
        <v>371.69999999999993</v>
      </c>
      <c r="AL25" s="46">
        <v>405.64</v>
      </c>
      <c r="AM25" s="46">
        <f t="shared" si="0"/>
        <v>358.68571428571431</v>
      </c>
      <c r="AN25" s="7">
        <f t="shared" si="1"/>
        <v>358.68571428571431</v>
      </c>
    </row>
    <row r="26" spans="1:40" x14ac:dyDescent="0.3">
      <c r="A26" s="5">
        <v>25</v>
      </c>
      <c r="B26" s="107" t="s">
        <v>9</v>
      </c>
      <c r="C26" s="112" t="s">
        <v>612</v>
      </c>
      <c r="D26" s="112" t="s">
        <v>771</v>
      </c>
      <c r="E26" s="110" t="s">
        <v>128</v>
      </c>
      <c r="F26" s="6" t="s">
        <v>12</v>
      </c>
      <c r="G26" s="6" t="s">
        <v>1004</v>
      </c>
      <c r="H26" s="6" t="s">
        <v>80</v>
      </c>
      <c r="I26" s="5">
        <v>1</v>
      </c>
      <c r="J26" s="67" t="s">
        <v>160</v>
      </c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>
        <v>6.4249999999999998</v>
      </c>
      <c r="AJ26" s="46">
        <v>0</v>
      </c>
      <c r="AK26" s="46">
        <v>0</v>
      </c>
      <c r="AL26" s="46">
        <v>0</v>
      </c>
      <c r="AM26" s="46">
        <f t="shared" si="0"/>
        <v>1.60625</v>
      </c>
      <c r="AN26" s="7">
        <f t="shared" si="1"/>
        <v>1.60625</v>
      </c>
    </row>
    <row r="27" spans="1:40" x14ac:dyDescent="0.3">
      <c r="A27" s="5">
        <v>26</v>
      </c>
      <c r="B27" s="107" t="s">
        <v>9</v>
      </c>
      <c r="C27" s="112" t="s">
        <v>614</v>
      </c>
      <c r="D27" s="112" t="s">
        <v>760</v>
      </c>
      <c r="E27" s="110" t="s">
        <v>128</v>
      </c>
      <c r="F27" s="6" t="s">
        <v>12</v>
      </c>
      <c r="G27" s="6" t="s">
        <v>976</v>
      </c>
      <c r="H27" s="6" t="s">
        <v>35</v>
      </c>
      <c r="I27" s="5">
        <v>7</v>
      </c>
      <c r="J27" s="94" t="s">
        <v>273</v>
      </c>
      <c r="K27" s="46">
        <v>223.64100000000002</v>
      </c>
      <c r="L27" s="46">
        <v>179.04000000000002</v>
      </c>
      <c r="M27" s="46">
        <v>135.36499999999998</v>
      </c>
      <c r="N27" s="46">
        <v>134.547</v>
      </c>
      <c r="O27" s="46">
        <v>200.31499999999994</v>
      </c>
      <c r="P27" s="46">
        <v>134.35300000000001</v>
      </c>
      <c r="Q27" s="46">
        <v>181.73900000000003</v>
      </c>
      <c r="R27" s="46">
        <v>136.58100000000002</v>
      </c>
      <c r="S27" s="46">
        <v>158.48600000000002</v>
      </c>
      <c r="T27" s="46">
        <v>165.40299999999999</v>
      </c>
      <c r="U27" s="46">
        <v>204.916</v>
      </c>
      <c r="V27" s="46">
        <v>168.56800000000001</v>
      </c>
      <c r="W27" s="46">
        <v>168.34799999999998</v>
      </c>
      <c r="X27" s="46">
        <v>157.44399999999999</v>
      </c>
      <c r="Y27" s="46">
        <v>150.98699999999997</v>
      </c>
      <c r="Z27" s="46">
        <v>230.64599999999996</v>
      </c>
      <c r="AA27" s="46">
        <v>177.90199999999996</v>
      </c>
      <c r="AB27" s="46">
        <v>196.136</v>
      </c>
      <c r="AC27" s="46">
        <v>281.923</v>
      </c>
      <c r="AD27" s="46">
        <v>270.738</v>
      </c>
      <c r="AE27" s="46">
        <v>228.27500000000003</v>
      </c>
      <c r="AF27" s="46">
        <v>213.35500000000005</v>
      </c>
      <c r="AG27" s="46">
        <v>160.39900000000003</v>
      </c>
      <c r="AH27" s="46">
        <v>200.44</v>
      </c>
      <c r="AI27" s="46">
        <v>225.83900000000003</v>
      </c>
      <c r="AJ27" s="46">
        <v>183.05200000000005</v>
      </c>
      <c r="AK27" s="46">
        <v>174.44600000000003</v>
      </c>
      <c r="AL27" s="46">
        <v>204.24499999999998</v>
      </c>
      <c r="AM27" s="46">
        <f t="shared" si="0"/>
        <v>187.39746428571428</v>
      </c>
      <c r="AN27" s="7">
        <f t="shared" si="1"/>
        <v>26.771066326530612</v>
      </c>
    </row>
    <row r="28" spans="1:40" x14ac:dyDescent="0.3">
      <c r="A28" s="5">
        <v>27</v>
      </c>
      <c r="B28" s="107" t="s">
        <v>9</v>
      </c>
      <c r="C28" s="112" t="s">
        <v>613</v>
      </c>
      <c r="D28" s="112" t="s">
        <v>742</v>
      </c>
      <c r="E28" s="110" t="s">
        <v>128</v>
      </c>
      <c r="F28" s="6" t="s">
        <v>12</v>
      </c>
      <c r="G28" s="6" t="s">
        <v>976</v>
      </c>
      <c r="H28" s="6" t="s">
        <v>35</v>
      </c>
      <c r="I28" s="5">
        <v>1</v>
      </c>
      <c r="J28" s="67" t="s">
        <v>160</v>
      </c>
      <c r="K28" s="46">
        <v>15.663999999999998</v>
      </c>
      <c r="L28" s="46">
        <v>2.4790000000000001</v>
      </c>
      <c r="M28" s="46">
        <v>8.5359999999999996</v>
      </c>
      <c r="N28" s="46">
        <v>6.1579999999999995</v>
      </c>
      <c r="O28" s="46">
        <v>10.248000000000001</v>
      </c>
      <c r="P28" s="46">
        <v>18.442</v>
      </c>
      <c r="Q28" s="46">
        <v>15.824</v>
      </c>
      <c r="R28" s="46">
        <v>17.387</v>
      </c>
      <c r="S28" s="46">
        <v>5.0220000000000002</v>
      </c>
      <c r="T28" s="46">
        <v>9.8559999999999999</v>
      </c>
      <c r="U28" s="46">
        <v>19.356999999999999</v>
      </c>
      <c r="V28" s="46">
        <v>14.178999999999998</v>
      </c>
      <c r="W28" s="46">
        <v>18.218</v>
      </c>
      <c r="X28" s="46">
        <v>10.504999999999999</v>
      </c>
      <c r="Y28" s="46">
        <v>19.628999999999998</v>
      </c>
      <c r="Z28" s="46">
        <v>12.405999999999999</v>
      </c>
      <c r="AA28" s="46">
        <v>16.583000000000002</v>
      </c>
      <c r="AB28" s="46">
        <v>4.9390000000000001</v>
      </c>
      <c r="AC28" s="46">
        <v>17.919</v>
      </c>
      <c r="AD28" s="46">
        <v>10.102999999999998</v>
      </c>
      <c r="AE28" s="46">
        <v>7.6010000000000009</v>
      </c>
      <c r="AF28" s="46">
        <v>19.63</v>
      </c>
      <c r="AG28" s="46">
        <v>5.4689999999999994</v>
      </c>
      <c r="AH28" s="46">
        <v>13.147</v>
      </c>
      <c r="AI28" s="46">
        <v>18.427999999999997</v>
      </c>
      <c r="AJ28" s="46">
        <v>9.093</v>
      </c>
      <c r="AK28" s="46">
        <v>8.2320000000000011</v>
      </c>
      <c r="AL28" s="46">
        <v>11.734</v>
      </c>
      <c r="AM28" s="46">
        <f t="shared" si="0"/>
        <v>12.385285714285715</v>
      </c>
      <c r="AN28" s="7">
        <f t="shared" si="1"/>
        <v>12.385285714285715</v>
      </c>
    </row>
    <row r="29" spans="1:40" x14ac:dyDescent="0.3">
      <c r="A29" s="5">
        <v>28</v>
      </c>
      <c r="B29" s="107" t="s">
        <v>9</v>
      </c>
      <c r="C29" s="112" t="s">
        <v>613</v>
      </c>
      <c r="D29" s="112" t="s">
        <v>742</v>
      </c>
      <c r="E29" s="110" t="s">
        <v>128</v>
      </c>
      <c r="F29" s="6" t="s">
        <v>12</v>
      </c>
      <c r="G29" s="6" t="s">
        <v>979</v>
      </c>
      <c r="H29" s="6" t="s">
        <v>35</v>
      </c>
      <c r="I29" s="5">
        <v>1</v>
      </c>
      <c r="J29" s="67" t="s">
        <v>160</v>
      </c>
      <c r="K29" s="46">
        <v>0</v>
      </c>
      <c r="L29" s="46">
        <v>0</v>
      </c>
      <c r="M29" s="46">
        <v>0</v>
      </c>
      <c r="N29" s="46">
        <v>10.556000000000001</v>
      </c>
      <c r="O29" s="46">
        <v>31.09</v>
      </c>
      <c r="P29" s="46">
        <v>0</v>
      </c>
      <c r="Q29" s="46">
        <v>0</v>
      </c>
      <c r="R29" s="46">
        <v>0</v>
      </c>
      <c r="S29" s="46">
        <v>32.173999999999999</v>
      </c>
      <c r="T29" s="46">
        <v>0</v>
      </c>
      <c r="U29" s="46">
        <v>50.433999999999997</v>
      </c>
      <c r="V29" s="46">
        <v>0</v>
      </c>
      <c r="W29" s="46">
        <v>14.715</v>
      </c>
      <c r="X29" s="46">
        <v>31.346</v>
      </c>
      <c r="Y29" s="46">
        <v>7.0000000000000001E-3</v>
      </c>
      <c r="Z29" s="46">
        <v>33.564</v>
      </c>
      <c r="AA29" s="46">
        <v>22.391000000000002</v>
      </c>
      <c r="AB29" s="46">
        <v>63.647000000000006</v>
      </c>
      <c r="AC29" s="46">
        <v>47.561999999999998</v>
      </c>
      <c r="AD29" s="46">
        <v>22.8</v>
      </c>
      <c r="AE29" s="46">
        <v>12.428000000000001</v>
      </c>
      <c r="AF29" s="46">
        <v>0</v>
      </c>
      <c r="AG29" s="46">
        <v>0</v>
      </c>
      <c r="AH29" s="46">
        <v>29.716000000000001</v>
      </c>
      <c r="AI29" s="46">
        <v>22.117999999999999</v>
      </c>
      <c r="AJ29" s="46">
        <v>17.700000000000003</v>
      </c>
      <c r="AK29" s="46">
        <v>34.183999999999997</v>
      </c>
      <c r="AL29" s="46">
        <v>17.844000000000001</v>
      </c>
      <c r="AM29" s="46">
        <f t="shared" si="0"/>
        <v>17.652714285714286</v>
      </c>
      <c r="AN29" s="7">
        <f t="shared" si="1"/>
        <v>17.652714285714286</v>
      </c>
    </row>
    <row r="30" spans="1:40" x14ac:dyDescent="0.3">
      <c r="A30" s="5">
        <v>29</v>
      </c>
      <c r="B30" s="107" t="s">
        <v>9</v>
      </c>
      <c r="C30" s="112" t="s">
        <v>613</v>
      </c>
      <c r="D30" s="112" t="s">
        <v>980</v>
      </c>
      <c r="E30" s="110" t="s">
        <v>128</v>
      </c>
      <c r="F30" s="6" t="s">
        <v>12</v>
      </c>
      <c r="G30" s="6" t="s">
        <v>971</v>
      </c>
      <c r="H30" s="6" t="s">
        <v>80</v>
      </c>
      <c r="I30" s="5">
        <v>3</v>
      </c>
      <c r="J30" s="67" t="s">
        <v>160</v>
      </c>
      <c r="K30" s="46">
        <v>0</v>
      </c>
      <c r="L30" s="46">
        <v>0</v>
      </c>
      <c r="M30" s="46">
        <v>35.44</v>
      </c>
      <c r="N30" s="46">
        <v>16.68</v>
      </c>
      <c r="O30" s="46">
        <v>37.129999999999995</v>
      </c>
      <c r="P30" s="46">
        <v>21.9</v>
      </c>
      <c r="Q30" s="46">
        <v>8.9400000000000013</v>
      </c>
      <c r="R30" s="46">
        <v>40.29</v>
      </c>
      <c r="S30" s="46">
        <v>6.15</v>
      </c>
      <c r="T30" s="46">
        <v>12.18</v>
      </c>
      <c r="U30" s="46">
        <v>0</v>
      </c>
      <c r="V30" s="46">
        <v>52.649999999999984</v>
      </c>
      <c r="W30" s="46">
        <v>50.579999999999991</v>
      </c>
      <c r="X30" s="46">
        <v>43.23</v>
      </c>
      <c r="Y30" s="46">
        <v>0</v>
      </c>
      <c r="Z30" s="46">
        <v>0</v>
      </c>
      <c r="AA30" s="46">
        <v>33.119999999999997</v>
      </c>
      <c r="AB30" s="46">
        <v>21.07</v>
      </c>
      <c r="AC30" s="46">
        <v>31.730000000000004</v>
      </c>
      <c r="AD30" s="46">
        <v>66.59</v>
      </c>
      <c r="AE30" s="46">
        <v>46.809999999999995</v>
      </c>
      <c r="AF30" s="46">
        <v>67.039999999999992</v>
      </c>
      <c r="AG30" s="46">
        <v>21.479999999999997</v>
      </c>
      <c r="AH30" s="46">
        <v>37.25</v>
      </c>
      <c r="AI30" s="46">
        <v>57.52000000000001</v>
      </c>
      <c r="AJ30" s="46">
        <v>32.49</v>
      </c>
      <c r="AK30" s="46">
        <v>0</v>
      </c>
      <c r="AL30" s="46">
        <v>29.79</v>
      </c>
      <c r="AM30" s="46">
        <f t="shared" si="0"/>
        <v>27.502142857142854</v>
      </c>
      <c r="AN30" s="7">
        <f t="shared" si="1"/>
        <v>9.1673809523809506</v>
      </c>
    </row>
    <row r="31" spans="1:40" x14ac:dyDescent="0.3">
      <c r="A31" s="5">
        <v>30</v>
      </c>
      <c r="B31" s="107" t="s">
        <v>9</v>
      </c>
      <c r="C31" s="112" t="s">
        <v>613</v>
      </c>
      <c r="D31" s="112" t="s">
        <v>980</v>
      </c>
      <c r="E31" s="110" t="s">
        <v>128</v>
      </c>
      <c r="F31" s="6" t="s">
        <v>12</v>
      </c>
      <c r="G31" s="6" t="s">
        <v>975</v>
      </c>
      <c r="H31" s="6" t="s">
        <v>80</v>
      </c>
      <c r="I31" s="5">
        <v>2</v>
      </c>
      <c r="J31" s="67" t="s">
        <v>160</v>
      </c>
      <c r="K31" s="46">
        <v>156.70000000000002</v>
      </c>
      <c r="L31" s="46">
        <v>56.414999999999992</v>
      </c>
      <c r="M31" s="46">
        <v>198.95700000000002</v>
      </c>
      <c r="N31" s="46">
        <v>223.38400000000001</v>
      </c>
      <c r="O31" s="46">
        <v>121.33200000000001</v>
      </c>
      <c r="P31" s="46">
        <v>249.74900000000002</v>
      </c>
      <c r="Q31" s="46">
        <v>204.59700000000001</v>
      </c>
      <c r="R31" s="46">
        <v>186.29599999999999</v>
      </c>
      <c r="S31" s="46">
        <v>93.993999999999986</v>
      </c>
      <c r="T31" s="46">
        <v>13.903</v>
      </c>
      <c r="U31" s="46">
        <v>64.671999999999997</v>
      </c>
      <c r="V31" s="46">
        <v>150.786</v>
      </c>
      <c r="W31" s="46">
        <v>132.02799999999999</v>
      </c>
      <c r="X31" s="46">
        <v>146.80700000000002</v>
      </c>
      <c r="Y31" s="46">
        <v>103.495</v>
      </c>
      <c r="Z31" s="46">
        <v>21.282</v>
      </c>
      <c r="AA31" s="46">
        <v>80.953000000000003</v>
      </c>
      <c r="AB31" s="46">
        <v>61.789999999999992</v>
      </c>
      <c r="AC31" s="46">
        <v>18.16</v>
      </c>
      <c r="AD31" s="46">
        <v>116.56900000000002</v>
      </c>
      <c r="AE31" s="46">
        <v>99.459000000000003</v>
      </c>
      <c r="AF31" s="46">
        <v>58.281000000000006</v>
      </c>
      <c r="AG31" s="46">
        <v>22.266999999999999</v>
      </c>
      <c r="AH31" s="46">
        <v>118.419</v>
      </c>
      <c r="AI31" s="46">
        <v>59.629999999999995</v>
      </c>
      <c r="AJ31" s="46">
        <v>111.63400000000001</v>
      </c>
      <c r="AK31" s="46">
        <v>72.400999999999996</v>
      </c>
      <c r="AL31" s="46">
        <v>120.50700000000001</v>
      </c>
      <c r="AM31" s="46">
        <f t="shared" si="0"/>
        <v>109.44524999999999</v>
      </c>
      <c r="AN31" s="7">
        <f t="shared" si="1"/>
        <v>54.722624999999994</v>
      </c>
    </row>
    <row r="32" spans="1:40" x14ac:dyDescent="0.3">
      <c r="A32" s="5">
        <v>31</v>
      </c>
      <c r="B32" s="107" t="s">
        <v>9</v>
      </c>
      <c r="C32" s="112" t="s">
        <v>615</v>
      </c>
      <c r="D32" s="112" t="s">
        <v>770</v>
      </c>
      <c r="E32" s="110" t="s">
        <v>128</v>
      </c>
      <c r="F32" s="6" t="s">
        <v>12</v>
      </c>
      <c r="G32" s="6" t="s">
        <v>976</v>
      </c>
      <c r="H32" s="6" t="s">
        <v>35</v>
      </c>
      <c r="I32" s="5">
        <v>9</v>
      </c>
      <c r="J32" s="94" t="s">
        <v>273</v>
      </c>
      <c r="K32" s="46">
        <v>150.60599999999999</v>
      </c>
      <c r="L32" s="46">
        <v>161.70300000000003</v>
      </c>
      <c r="M32" s="46">
        <v>158.91699999999997</v>
      </c>
      <c r="N32" s="46">
        <v>159.03800000000001</v>
      </c>
      <c r="O32" s="46">
        <v>220.79100000000003</v>
      </c>
      <c r="P32" s="46">
        <v>140.50399999999999</v>
      </c>
      <c r="Q32" s="46">
        <v>168.64600000000002</v>
      </c>
      <c r="R32" s="46">
        <v>177.21600000000004</v>
      </c>
      <c r="S32" s="46">
        <v>169.66500000000002</v>
      </c>
      <c r="T32" s="46">
        <v>145.52600000000001</v>
      </c>
      <c r="U32" s="46">
        <v>187.48600000000002</v>
      </c>
      <c r="V32" s="46">
        <v>178.42500000000001</v>
      </c>
      <c r="W32" s="46">
        <v>153.19800000000001</v>
      </c>
      <c r="X32" s="46">
        <v>139.82500000000002</v>
      </c>
      <c r="Y32" s="46">
        <v>161.804</v>
      </c>
      <c r="Z32" s="46">
        <v>156.643</v>
      </c>
      <c r="AA32" s="46">
        <v>99.89100000000002</v>
      </c>
      <c r="AB32" s="46">
        <v>191.77099999999993</v>
      </c>
      <c r="AC32" s="46">
        <v>134.01500000000001</v>
      </c>
      <c r="AD32" s="46">
        <v>145.72400000000002</v>
      </c>
      <c r="AE32" s="46">
        <v>150.17199999999997</v>
      </c>
      <c r="AF32" s="46">
        <v>125.32199999999999</v>
      </c>
      <c r="AG32" s="46">
        <v>138.39600000000004</v>
      </c>
      <c r="AH32" s="46">
        <v>124.82500000000003</v>
      </c>
      <c r="AI32" s="46">
        <v>162.13</v>
      </c>
      <c r="AJ32" s="46">
        <v>153.91100000000003</v>
      </c>
      <c r="AK32" s="46">
        <v>159.51000000000008</v>
      </c>
      <c r="AL32" s="46">
        <v>129.11200000000002</v>
      </c>
      <c r="AM32" s="46">
        <f t="shared" si="0"/>
        <v>155.1704285714286</v>
      </c>
      <c r="AN32" s="7">
        <f t="shared" si="1"/>
        <v>17.241158730158734</v>
      </c>
    </row>
    <row r="33" spans="1:40" ht="14.25" customHeight="1" x14ac:dyDescent="0.3">
      <c r="A33" s="5">
        <v>32</v>
      </c>
      <c r="B33" s="107" t="s">
        <v>9</v>
      </c>
      <c r="C33" s="112" t="s">
        <v>966</v>
      </c>
      <c r="D33" s="112" t="s">
        <v>967</v>
      </c>
      <c r="E33" s="110" t="s">
        <v>128</v>
      </c>
      <c r="F33" s="6" t="s">
        <v>12</v>
      </c>
      <c r="G33" s="6" t="s">
        <v>973</v>
      </c>
      <c r="H33" s="6" t="s">
        <v>80</v>
      </c>
      <c r="I33" s="5">
        <v>1</v>
      </c>
      <c r="J33" s="94" t="s">
        <v>273</v>
      </c>
      <c r="K33" s="46">
        <v>4.9400000000000004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3.88</v>
      </c>
      <c r="S33" s="46">
        <v>4.21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3.55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f t="shared" si="0"/>
        <v>0.59214285714285719</v>
      </c>
      <c r="AN33" s="7">
        <f t="shared" si="1"/>
        <v>0.59214285714285719</v>
      </c>
    </row>
    <row r="34" spans="1:40" x14ac:dyDescent="0.3">
      <c r="A34" s="5">
        <v>33</v>
      </c>
      <c r="B34" s="107" t="s">
        <v>9</v>
      </c>
      <c r="C34" s="112" t="s">
        <v>616</v>
      </c>
      <c r="D34" s="112" t="s">
        <v>748</v>
      </c>
      <c r="E34" s="110" t="s">
        <v>128</v>
      </c>
      <c r="F34" s="6" t="s">
        <v>12</v>
      </c>
      <c r="G34" s="6" t="s">
        <v>976</v>
      </c>
      <c r="H34" s="6" t="s">
        <v>35</v>
      </c>
      <c r="I34" s="5">
        <v>8</v>
      </c>
      <c r="J34" s="94" t="s">
        <v>273</v>
      </c>
      <c r="K34" s="46">
        <v>130.48100000000002</v>
      </c>
      <c r="L34" s="46">
        <v>138.88900000000004</v>
      </c>
      <c r="M34" s="46">
        <v>114.145</v>
      </c>
      <c r="N34" s="46">
        <v>146.09700000000001</v>
      </c>
      <c r="O34" s="46">
        <v>99.253000000000014</v>
      </c>
      <c r="P34" s="46">
        <v>67.72</v>
      </c>
      <c r="Q34" s="46">
        <v>148.786</v>
      </c>
      <c r="R34" s="46">
        <v>119.92400000000001</v>
      </c>
      <c r="S34" s="46">
        <v>134.19900000000001</v>
      </c>
      <c r="T34" s="46">
        <v>104.99100000000003</v>
      </c>
      <c r="U34" s="46">
        <v>129.00400000000002</v>
      </c>
      <c r="V34" s="46">
        <v>108.24699999999997</v>
      </c>
      <c r="W34" s="46">
        <v>129.88800000000001</v>
      </c>
      <c r="X34" s="46">
        <v>60.914999999999999</v>
      </c>
      <c r="Y34" s="46">
        <v>125.62600000000002</v>
      </c>
      <c r="Z34" s="46">
        <v>115.15100000000001</v>
      </c>
      <c r="AA34" s="46">
        <v>78.770999999999987</v>
      </c>
      <c r="AB34" s="46">
        <v>105.19</v>
      </c>
      <c r="AC34" s="46">
        <v>101.41900000000001</v>
      </c>
      <c r="AD34" s="46">
        <v>87.882999999999996</v>
      </c>
      <c r="AE34" s="46">
        <v>118.53800000000001</v>
      </c>
      <c r="AF34" s="46">
        <v>109.562</v>
      </c>
      <c r="AG34" s="46">
        <v>84.775000000000006</v>
      </c>
      <c r="AH34" s="46">
        <v>75.85499999999999</v>
      </c>
      <c r="AI34" s="46">
        <v>89.546000000000021</v>
      </c>
      <c r="AJ34" s="46">
        <v>71.513000000000005</v>
      </c>
      <c r="AK34" s="46">
        <v>85.487000000000023</v>
      </c>
      <c r="AL34" s="46">
        <v>101.05600000000003</v>
      </c>
      <c r="AM34" s="46">
        <f t="shared" ref="AM34:AM65" si="2">AVERAGE(K34:AL34)</f>
        <v>106.5325357142857</v>
      </c>
      <c r="AN34" s="7">
        <f t="shared" ref="AN34:AN65" si="3">AM34/I34</f>
        <v>13.316566964285713</v>
      </c>
    </row>
    <row r="35" spans="1:40" ht="13.5" customHeight="1" x14ac:dyDescent="0.3">
      <c r="A35" s="5">
        <v>34</v>
      </c>
      <c r="B35" s="107" t="s">
        <v>9</v>
      </c>
      <c r="C35" s="10" t="s">
        <v>616</v>
      </c>
      <c r="D35" s="39" t="s">
        <v>748</v>
      </c>
      <c r="E35" s="110" t="s">
        <v>128</v>
      </c>
      <c r="F35" s="6" t="s">
        <v>12</v>
      </c>
      <c r="G35" s="6" t="s">
        <v>979</v>
      </c>
      <c r="H35" s="6" t="s">
        <v>35</v>
      </c>
      <c r="I35" s="5">
        <v>2</v>
      </c>
      <c r="J35" s="94" t="s">
        <v>273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f t="shared" si="2"/>
        <v>0</v>
      </c>
      <c r="AN35" s="7">
        <f t="shared" si="3"/>
        <v>0</v>
      </c>
    </row>
    <row r="36" spans="1:40" ht="15.75" customHeight="1" x14ac:dyDescent="0.3">
      <c r="A36" s="5">
        <v>35</v>
      </c>
      <c r="B36" s="107" t="s">
        <v>9</v>
      </c>
      <c r="C36" s="112" t="s">
        <v>617</v>
      </c>
      <c r="D36" s="112" t="s">
        <v>722</v>
      </c>
      <c r="E36" s="110" t="s">
        <v>128</v>
      </c>
      <c r="F36" s="6" t="s">
        <v>12</v>
      </c>
      <c r="G36" s="6" t="s">
        <v>976</v>
      </c>
      <c r="H36" s="6" t="s">
        <v>35</v>
      </c>
      <c r="I36" s="5">
        <v>2</v>
      </c>
      <c r="J36" s="12" t="s">
        <v>589</v>
      </c>
      <c r="K36" s="46">
        <v>22.486999999999998</v>
      </c>
      <c r="L36" s="46">
        <v>13.562999999999999</v>
      </c>
      <c r="M36" s="46">
        <v>11.542999999999999</v>
      </c>
      <c r="N36" s="46">
        <v>27.134</v>
      </c>
      <c r="O36" s="46">
        <v>15.891</v>
      </c>
      <c r="P36" s="46">
        <v>3.0219999999999998</v>
      </c>
      <c r="Q36" s="46">
        <v>16.71</v>
      </c>
      <c r="R36" s="46">
        <v>24.507999999999999</v>
      </c>
      <c r="S36" s="46">
        <v>18.740000000000002</v>
      </c>
      <c r="T36" s="46">
        <v>3.4639999999999995</v>
      </c>
      <c r="U36" s="46">
        <v>20.771000000000001</v>
      </c>
      <c r="V36" s="46">
        <v>11.276</v>
      </c>
      <c r="W36" s="46">
        <v>19.401</v>
      </c>
      <c r="X36" s="46">
        <v>22.878</v>
      </c>
      <c r="Y36" s="46">
        <v>10.388</v>
      </c>
      <c r="Z36" s="46">
        <v>6.7809999999999997</v>
      </c>
      <c r="AA36" s="46">
        <v>13.751999999999999</v>
      </c>
      <c r="AB36" s="46">
        <v>22.003999999999998</v>
      </c>
      <c r="AC36" s="46">
        <v>6.7719999999999994</v>
      </c>
      <c r="AD36" s="46">
        <v>15.673</v>
      </c>
      <c r="AE36" s="46">
        <v>6.2110000000000003</v>
      </c>
      <c r="AF36" s="46">
        <v>9.3410000000000011</v>
      </c>
      <c r="AG36" s="46">
        <v>7.8560000000000008</v>
      </c>
      <c r="AH36" s="46">
        <v>18.067</v>
      </c>
      <c r="AI36" s="46">
        <v>24.496000000000006</v>
      </c>
      <c r="AJ36" s="46">
        <v>13.439</v>
      </c>
      <c r="AK36" s="46">
        <v>14.32</v>
      </c>
      <c r="AL36" s="46">
        <v>15.048999999999999</v>
      </c>
      <c r="AM36" s="46">
        <f t="shared" si="2"/>
        <v>14.840607142857143</v>
      </c>
      <c r="AN36" s="7">
        <f t="shared" si="3"/>
        <v>7.4203035714285717</v>
      </c>
    </row>
    <row r="37" spans="1:40" x14ac:dyDescent="0.3">
      <c r="A37" s="5">
        <v>36</v>
      </c>
      <c r="B37" s="107" t="s">
        <v>9</v>
      </c>
      <c r="C37" s="112" t="s">
        <v>618</v>
      </c>
      <c r="D37" s="112" t="s">
        <v>762</v>
      </c>
      <c r="E37" s="110" t="s">
        <v>128</v>
      </c>
      <c r="F37" s="6" t="s">
        <v>12</v>
      </c>
      <c r="G37" s="6" t="s">
        <v>976</v>
      </c>
      <c r="H37" s="6" t="s">
        <v>35</v>
      </c>
      <c r="I37" s="5">
        <v>11</v>
      </c>
      <c r="J37" s="94" t="s">
        <v>273</v>
      </c>
      <c r="K37" s="46">
        <v>146.69999999999999</v>
      </c>
      <c r="L37" s="46">
        <v>135.52000000000001</v>
      </c>
      <c r="M37" s="46">
        <v>81.34</v>
      </c>
      <c r="N37" s="46">
        <v>168.143</v>
      </c>
      <c r="O37" s="46">
        <v>156.29599999999994</v>
      </c>
      <c r="P37" s="46">
        <v>168.93299999999996</v>
      </c>
      <c r="Q37" s="46">
        <v>177.136</v>
      </c>
      <c r="R37" s="46">
        <v>150.21899999999999</v>
      </c>
      <c r="S37" s="46">
        <v>78.891999999999996</v>
      </c>
      <c r="T37" s="46">
        <v>51.234999999999999</v>
      </c>
      <c r="U37" s="46">
        <v>128.62000000000003</v>
      </c>
      <c r="V37" s="46">
        <v>146.33700000000002</v>
      </c>
      <c r="W37" s="46">
        <v>120.99300000000001</v>
      </c>
      <c r="X37" s="46">
        <v>160.029</v>
      </c>
      <c r="Y37" s="46">
        <v>99.99</v>
      </c>
      <c r="Z37" s="46">
        <v>118.50899999999999</v>
      </c>
      <c r="AA37" s="46">
        <v>26.393999999999998</v>
      </c>
      <c r="AB37" s="46">
        <v>103.40299999999999</v>
      </c>
      <c r="AC37" s="46">
        <v>134.10599999999997</v>
      </c>
      <c r="AD37" s="46">
        <v>148.85300000000001</v>
      </c>
      <c r="AE37" s="46">
        <v>157.81400000000002</v>
      </c>
      <c r="AF37" s="46">
        <v>142.85400000000001</v>
      </c>
      <c r="AG37" s="46">
        <v>115.32100000000001</v>
      </c>
      <c r="AH37" s="46">
        <v>45.922999999999995</v>
      </c>
      <c r="AI37" s="46">
        <v>144.38500000000002</v>
      </c>
      <c r="AJ37" s="46">
        <v>148.10700000000003</v>
      </c>
      <c r="AK37" s="46">
        <v>119.19700000000002</v>
      </c>
      <c r="AL37" s="46">
        <v>98.033000000000015</v>
      </c>
      <c r="AM37" s="46">
        <f t="shared" si="2"/>
        <v>124.04578571428567</v>
      </c>
      <c r="AN37" s="7">
        <f t="shared" si="3"/>
        <v>11.276889610389606</v>
      </c>
    </row>
    <row r="38" spans="1:40" x14ac:dyDescent="0.3">
      <c r="A38" s="5">
        <v>37</v>
      </c>
      <c r="B38" s="107" t="s">
        <v>9</v>
      </c>
      <c r="C38" s="112" t="s">
        <v>962</v>
      </c>
      <c r="D38" s="112" t="s">
        <v>963</v>
      </c>
      <c r="E38" s="110" t="s">
        <v>128</v>
      </c>
      <c r="F38" s="6" t="s">
        <v>12</v>
      </c>
      <c r="G38" s="6" t="s">
        <v>971</v>
      </c>
      <c r="H38" s="6" t="s">
        <v>80</v>
      </c>
      <c r="I38" s="5">
        <v>1</v>
      </c>
      <c r="J38" s="94" t="s">
        <v>273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f t="shared" si="2"/>
        <v>0</v>
      </c>
      <c r="AN38" s="7">
        <f t="shared" si="3"/>
        <v>0</v>
      </c>
    </row>
    <row r="39" spans="1:40" x14ac:dyDescent="0.3">
      <c r="A39" s="5">
        <v>38</v>
      </c>
      <c r="B39" s="107" t="s">
        <v>9</v>
      </c>
      <c r="C39" s="112" t="s">
        <v>619</v>
      </c>
      <c r="D39" s="112" t="s">
        <v>736</v>
      </c>
      <c r="E39" s="110" t="s">
        <v>128</v>
      </c>
      <c r="F39" s="6" t="s">
        <v>12</v>
      </c>
      <c r="G39" s="6" t="s">
        <v>976</v>
      </c>
      <c r="H39" s="6" t="s">
        <v>35</v>
      </c>
      <c r="I39" s="5">
        <v>1</v>
      </c>
      <c r="J39" s="12" t="s">
        <v>590</v>
      </c>
      <c r="K39" s="46">
        <v>0</v>
      </c>
      <c r="L39" s="46">
        <v>0</v>
      </c>
      <c r="M39" s="46">
        <v>0</v>
      </c>
      <c r="N39" s="46">
        <v>0</v>
      </c>
      <c r="O39" s="46">
        <v>2.6949999999999998</v>
      </c>
      <c r="P39" s="46">
        <v>0</v>
      </c>
      <c r="Q39" s="46">
        <v>2.2080000000000002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1.6919999999999999</v>
      </c>
      <c r="Y39" s="46">
        <v>0</v>
      </c>
      <c r="Z39" s="46">
        <v>0</v>
      </c>
      <c r="AA39" s="46">
        <v>0</v>
      </c>
      <c r="AB39" s="46">
        <v>2.2410000000000001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1.587</v>
      </c>
      <c r="AK39" s="46">
        <v>0</v>
      </c>
      <c r="AL39" s="46">
        <v>0</v>
      </c>
      <c r="AM39" s="46">
        <f t="shared" si="2"/>
        <v>0.37225000000000003</v>
      </c>
      <c r="AN39" s="7">
        <f t="shared" si="3"/>
        <v>0.37225000000000003</v>
      </c>
    </row>
    <row r="40" spans="1:40" x14ac:dyDescent="0.3">
      <c r="A40" s="5">
        <v>39</v>
      </c>
      <c r="B40" s="107" t="s">
        <v>9</v>
      </c>
      <c r="C40" s="112" t="s">
        <v>620</v>
      </c>
      <c r="D40" s="112" t="s">
        <v>768</v>
      </c>
      <c r="E40" s="110" t="s">
        <v>128</v>
      </c>
      <c r="F40" s="6" t="s">
        <v>12</v>
      </c>
      <c r="G40" s="6" t="s">
        <v>976</v>
      </c>
      <c r="H40" s="6" t="s">
        <v>35</v>
      </c>
      <c r="I40" s="5">
        <v>6</v>
      </c>
      <c r="J40" s="94" t="s">
        <v>273</v>
      </c>
      <c r="K40" s="46">
        <v>74.575000000000003</v>
      </c>
      <c r="L40" s="46">
        <v>66.691999999999993</v>
      </c>
      <c r="M40" s="46">
        <v>71.839999999999989</v>
      </c>
      <c r="N40" s="46">
        <v>77.728999999999999</v>
      </c>
      <c r="O40" s="46">
        <v>71.201999999999998</v>
      </c>
      <c r="P40" s="46">
        <v>88.243999999999986</v>
      </c>
      <c r="Q40" s="46">
        <v>65.658999999999992</v>
      </c>
      <c r="R40" s="46">
        <v>82.869</v>
      </c>
      <c r="S40" s="46">
        <v>68.277000000000001</v>
      </c>
      <c r="T40" s="46">
        <v>73.045999999999992</v>
      </c>
      <c r="U40" s="46">
        <v>88.600999999999999</v>
      </c>
      <c r="V40" s="46">
        <v>73.613000000000014</v>
      </c>
      <c r="W40" s="46">
        <v>43.429000000000002</v>
      </c>
      <c r="X40" s="46">
        <v>53.791999999999994</v>
      </c>
      <c r="Y40" s="46">
        <v>70.268999999999991</v>
      </c>
      <c r="Z40" s="46">
        <v>80.560999999999993</v>
      </c>
      <c r="AA40" s="46">
        <v>55.06600000000001</v>
      </c>
      <c r="AB40" s="46">
        <v>81.836000000000013</v>
      </c>
      <c r="AC40" s="46">
        <v>59.25</v>
      </c>
      <c r="AD40" s="46">
        <v>50.804999999999993</v>
      </c>
      <c r="AE40" s="46">
        <v>73.829000000000008</v>
      </c>
      <c r="AF40" s="46">
        <v>93.838999999999984</v>
      </c>
      <c r="AG40" s="46">
        <v>51.908000000000008</v>
      </c>
      <c r="AH40" s="46">
        <v>69.25500000000001</v>
      </c>
      <c r="AI40" s="46">
        <v>75.011999999999986</v>
      </c>
      <c r="AJ40" s="46">
        <v>56.353000000000002</v>
      </c>
      <c r="AK40" s="46">
        <v>56.233000000000004</v>
      </c>
      <c r="AL40" s="46">
        <v>67.942999999999998</v>
      </c>
      <c r="AM40" s="46">
        <f t="shared" si="2"/>
        <v>69.34739285714285</v>
      </c>
      <c r="AN40" s="7">
        <f t="shared" si="3"/>
        <v>11.557898809523808</v>
      </c>
    </row>
    <row r="41" spans="1:40" x14ac:dyDescent="0.3">
      <c r="A41" s="5">
        <v>40</v>
      </c>
      <c r="B41" s="107" t="s">
        <v>9</v>
      </c>
      <c r="C41" s="112" t="s">
        <v>621</v>
      </c>
      <c r="D41" s="112" t="s">
        <v>766</v>
      </c>
      <c r="E41" s="110" t="s">
        <v>128</v>
      </c>
      <c r="F41" s="6" t="s">
        <v>12</v>
      </c>
      <c r="G41" s="6" t="s">
        <v>976</v>
      </c>
      <c r="H41" s="6" t="s">
        <v>35</v>
      </c>
      <c r="I41" s="5">
        <v>13</v>
      </c>
      <c r="J41" s="94" t="s">
        <v>273</v>
      </c>
      <c r="K41" s="46">
        <v>113.65600000000002</v>
      </c>
      <c r="L41" s="46">
        <v>114.518</v>
      </c>
      <c r="M41" s="46">
        <v>121.52399999999999</v>
      </c>
      <c r="N41" s="46">
        <v>95.441999999999993</v>
      </c>
      <c r="O41" s="46">
        <v>160.04099999999997</v>
      </c>
      <c r="P41" s="46">
        <v>105.18600000000001</v>
      </c>
      <c r="Q41" s="46">
        <v>111.41300000000001</v>
      </c>
      <c r="R41" s="46">
        <v>97.527999999999992</v>
      </c>
      <c r="S41" s="46">
        <v>82.005999999999986</v>
      </c>
      <c r="T41" s="46">
        <v>56.780999999999977</v>
      </c>
      <c r="U41" s="46">
        <v>101.42899999999999</v>
      </c>
      <c r="V41" s="46">
        <v>124.75800000000004</v>
      </c>
      <c r="W41" s="46">
        <v>92.475999999999999</v>
      </c>
      <c r="X41" s="46">
        <v>84.617999999999995</v>
      </c>
      <c r="Y41" s="46">
        <v>59.433</v>
      </c>
      <c r="Z41" s="46">
        <v>71.664000000000001</v>
      </c>
      <c r="AA41" s="46">
        <v>78.361999999999995</v>
      </c>
      <c r="AB41" s="46">
        <v>83.603999999999999</v>
      </c>
      <c r="AC41" s="46">
        <v>89.202000000000012</v>
      </c>
      <c r="AD41" s="46">
        <v>83.187000000000012</v>
      </c>
      <c r="AE41" s="46">
        <v>70.262</v>
      </c>
      <c r="AF41" s="46">
        <v>75.692999999999998</v>
      </c>
      <c r="AG41" s="46">
        <v>76.90600000000002</v>
      </c>
      <c r="AH41" s="46">
        <v>68.908000000000001</v>
      </c>
      <c r="AI41" s="46">
        <v>65.679999999999993</v>
      </c>
      <c r="AJ41" s="46">
        <v>72.495000000000005</v>
      </c>
      <c r="AK41" s="46">
        <v>67.64</v>
      </c>
      <c r="AL41" s="46">
        <v>102.33999999999999</v>
      </c>
      <c r="AM41" s="46">
        <f t="shared" si="2"/>
        <v>90.241142857142862</v>
      </c>
      <c r="AN41" s="7">
        <f t="shared" si="3"/>
        <v>6.9416263736263737</v>
      </c>
    </row>
    <row r="42" spans="1:40" x14ac:dyDescent="0.3">
      <c r="A42" s="5">
        <v>41</v>
      </c>
      <c r="B42" s="107" t="s">
        <v>9</v>
      </c>
      <c r="C42" s="112" t="s">
        <v>622</v>
      </c>
      <c r="D42" s="112" t="s">
        <v>987</v>
      </c>
      <c r="E42" s="110" t="s">
        <v>128</v>
      </c>
      <c r="F42" s="6" t="s">
        <v>12</v>
      </c>
      <c r="G42" s="6" t="s">
        <v>974</v>
      </c>
      <c r="H42" s="6" t="s">
        <v>35</v>
      </c>
      <c r="I42" s="5">
        <v>1</v>
      </c>
      <c r="J42" s="12" t="s">
        <v>590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9.9699999999999989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8.7330000000000005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f t="shared" si="2"/>
        <v>0.66796428571428568</v>
      </c>
      <c r="AN42" s="7">
        <f t="shared" si="3"/>
        <v>0.66796428571428568</v>
      </c>
    </row>
    <row r="43" spans="1:40" x14ac:dyDescent="0.3">
      <c r="A43" s="5">
        <v>42</v>
      </c>
      <c r="B43" s="107" t="s">
        <v>9</v>
      </c>
      <c r="C43" s="112" t="s">
        <v>623</v>
      </c>
      <c r="D43" s="112" t="s">
        <v>752</v>
      </c>
      <c r="E43" s="110" t="s">
        <v>128</v>
      </c>
      <c r="F43" s="6" t="s">
        <v>12</v>
      </c>
      <c r="G43" s="6" t="s">
        <v>976</v>
      </c>
      <c r="H43" s="6" t="s">
        <v>35</v>
      </c>
      <c r="I43" s="5">
        <v>5</v>
      </c>
      <c r="J43" s="94" t="s">
        <v>273</v>
      </c>
      <c r="K43" s="46">
        <v>33.022000000000006</v>
      </c>
      <c r="L43" s="46">
        <v>18.004000000000001</v>
      </c>
      <c r="M43" s="46">
        <v>15.045999999999999</v>
      </c>
      <c r="N43" s="46">
        <v>45.874000000000002</v>
      </c>
      <c r="O43" s="46">
        <v>19.152000000000001</v>
      </c>
      <c r="P43" s="46">
        <v>25.820999999999998</v>
      </c>
      <c r="Q43" s="46">
        <v>33.986000000000004</v>
      </c>
      <c r="R43" s="46">
        <v>12.766999999999999</v>
      </c>
      <c r="S43" s="46">
        <v>25.015999999999998</v>
      </c>
      <c r="T43" s="46">
        <v>30.817999999999998</v>
      </c>
      <c r="U43" s="46">
        <v>17.544</v>
      </c>
      <c r="V43" s="46">
        <v>9.2100000000000009</v>
      </c>
      <c r="W43" s="46">
        <v>29.757999999999999</v>
      </c>
      <c r="X43" s="46">
        <v>7.7690000000000001</v>
      </c>
      <c r="Y43" s="46">
        <v>38.311</v>
      </c>
      <c r="Z43" s="46">
        <v>16.792000000000002</v>
      </c>
      <c r="AA43" s="46">
        <v>12.469999999999999</v>
      </c>
      <c r="AB43" s="46">
        <v>28.419000000000004</v>
      </c>
      <c r="AC43" s="46">
        <v>24.136000000000003</v>
      </c>
      <c r="AD43" s="46">
        <v>20.981000000000002</v>
      </c>
      <c r="AE43" s="46">
        <v>18.757000000000001</v>
      </c>
      <c r="AF43" s="46">
        <v>19.587000000000003</v>
      </c>
      <c r="AG43" s="46">
        <v>17.155000000000001</v>
      </c>
      <c r="AH43" s="46">
        <v>22.288999999999998</v>
      </c>
      <c r="AI43" s="46">
        <v>15.047000000000001</v>
      </c>
      <c r="AJ43" s="46">
        <v>20.466999999999999</v>
      </c>
      <c r="AK43" s="46">
        <v>9.9920000000000009</v>
      </c>
      <c r="AL43" s="46">
        <v>16.547000000000001</v>
      </c>
      <c r="AM43" s="46">
        <f t="shared" si="2"/>
        <v>21.597749999999998</v>
      </c>
      <c r="AN43" s="7">
        <f t="shared" si="3"/>
        <v>4.3195499999999996</v>
      </c>
    </row>
    <row r="44" spans="1:40" x14ac:dyDescent="0.3">
      <c r="A44" s="5">
        <v>43</v>
      </c>
      <c r="B44" s="107" t="s">
        <v>9</v>
      </c>
      <c r="C44" s="112" t="s">
        <v>624</v>
      </c>
      <c r="D44" s="112" t="s">
        <v>776</v>
      </c>
      <c r="E44" s="110" t="s">
        <v>30</v>
      </c>
      <c r="F44" s="6" t="s">
        <v>12</v>
      </c>
      <c r="G44" s="6" t="s">
        <v>976</v>
      </c>
      <c r="H44" s="6" t="s">
        <v>35</v>
      </c>
      <c r="I44" s="5">
        <v>1</v>
      </c>
      <c r="J44" s="12" t="s">
        <v>589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f t="shared" si="2"/>
        <v>0</v>
      </c>
      <c r="AN44" s="7">
        <f t="shared" si="3"/>
        <v>0</v>
      </c>
    </row>
    <row r="45" spans="1:40" x14ac:dyDescent="0.3">
      <c r="A45" s="5">
        <v>44</v>
      </c>
      <c r="B45" s="107" t="s">
        <v>9</v>
      </c>
      <c r="C45" s="112" t="s">
        <v>625</v>
      </c>
      <c r="D45" s="112" t="s">
        <v>777</v>
      </c>
      <c r="E45" s="110" t="s">
        <v>128</v>
      </c>
      <c r="F45" s="6" t="s">
        <v>12</v>
      </c>
      <c r="G45" s="6" t="s">
        <v>976</v>
      </c>
      <c r="H45" s="6" t="s">
        <v>35</v>
      </c>
      <c r="I45" s="5">
        <v>1</v>
      </c>
      <c r="J45" s="12" t="s">
        <v>590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f t="shared" si="2"/>
        <v>0</v>
      </c>
      <c r="AN45" s="7">
        <f t="shared" si="3"/>
        <v>0</v>
      </c>
    </row>
    <row r="46" spans="1:40" x14ac:dyDescent="0.3">
      <c r="A46" s="5">
        <v>45</v>
      </c>
      <c r="B46" s="107" t="s">
        <v>9</v>
      </c>
      <c r="C46" s="112" t="s">
        <v>626</v>
      </c>
      <c r="D46" s="112" t="s">
        <v>778</v>
      </c>
      <c r="E46" s="110" t="s">
        <v>30</v>
      </c>
      <c r="F46" s="6" t="s">
        <v>12</v>
      </c>
      <c r="G46" s="6" t="s">
        <v>976</v>
      </c>
      <c r="H46" s="6" t="s">
        <v>35</v>
      </c>
      <c r="I46" s="5">
        <v>1</v>
      </c>
      <c r="J46" s="12" t="s">
        <v>589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10.086</v>
      </c>
      <c r="AB46" s="46">
        <v>5.3280000000000003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0</v>
      </c>
      <c r="AL46" s="46">
        <v>0</v>
      </c>
      <c r="AM46" s="46">
        <f t="shared" si="2"/>
        <v>0.5505000000000001</v>
      </c>
      <c r="AN46" s="7">
        <f t="shared" si="3"/>
        <v>0.5505000000000001</v>
      </c>
    </row>
    <row r="47" spans="1:40" x14ac:dyDescent="0.3">
      <c r="A47" s="5">
        <v>46</v>
      </c>
      <c r="B47" s="107" t="s">
        <v>9</v>
      </c>
      <c r="C47" s="112" t="s">
        <v>627</v>
      </c>
      <c r="D47" s="112" t="s">
        <v>779</v>
      </c>
      <c r="E47" s="110" t="s">
        <v>30</v>
      </c>
      <c r="F47" s="6" t="s">
        <v>12</v>
      </c>
      <c r="G47" s="6" t="s">
        <v>976</v>
      </c>
      <c r="H47" s="6" t="s">
        <v>35</v>
      </c>
      <c r="I47" s="5">
        <v>1</v>
      </c>
      <c r="J47" s="12" t="s">
        <v>589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6.452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f t="shared" si="2"/>
        <v>0.23042857142857143</v>
      </c>
      <c r="AN47" s="7">
        <f t="shared" si="3"/>
        <v>0.23042857142857143</v>
      </c>
    </row>
    <row r="48" spans="1:40" ht="15.75" customHeight="1" x14ac:dyDescent="0.3">
      <c r="A48" s="5">
        <v>47</v>
      </c>
      <c r="B48" s="107" t="s">
        <v>9</v>
      </c>
      <c r="C48" s="112" t="s">
        <v>628</v>
      </c>
      <c r="D48" s="112" t="s">
        <v>988</v>
      </c>
      <c r="E48" s="110" t="s">
        <v>128</v>
      </c>
      <c r="F48" s="6" t="s">
        <v>12</v>
      </c>
      <c r="G48" s="6" t="s">
        <v>975</v>
      </c>
      <c r="H48" s="6" t="s">
        <v>80</v>
      </c>
      <c r="I48" s="5">
        <v>2</v>
      </c>
      <c r="J48" s="67" t="s">
        <v>160</v>
      </c>
      <c r="K48" s="46">
        <v>249.62499999999997</v>
      </c>
      <c r="L48" s="46">
        <v>80.50500000000001</v>
      </c>
      <c r="M48" s="46">
        <v>165.56200000000004</v>
      </c>
      <c r="N48" s="46">
        <v>265.24400000000003</v>
      </c>
      <c r="O48" s="46">
        <v>260.86799999999994</v>
      </c>
      <c r="P48" s="46">
        <v>170.928</v>
      </c>
      <c r="Q48" s="46">
        <v>180.26100000000002</v>
      </c>
      <c r="R48" s="46">
        <v>144.786</v>
      </c>
      <c r="S48" s="46">
        <v>44.170999999999999</v>
      </c>
      <c r="T48" s="46">
        <v>215.30499999999995</v>
      </c>
      <c r="U48" s="46">
        <v>366.80800000000005</v>
      </c>
      <c r="V48" s="46">
        <v>370.37100000000009</v>
      </c>
      <c r="W48" s="46">
        <v>407.05999999999995</v>
      </c>
      <c r="X48" s="46">
        <v>328.161</v>
      </c>
      <c r="Y48" s="46">
        <v>257.83100000000002</v>
      </c>
      <c r="Z48" s="46">
        <v>65.869</v>
      </c>
      <c r="AA48" s="46">
        <v>107.776</v>
      </c>
      <c r="AB48" s="46">
        <v>212.48400000000001</v>
      </c>
      <c r="AC48" s="46">
        <v>196.142</v>
      </c>
      <c r="AD48" s="46">
        <v>209.82</v>
      </c>
      <c r="AE48" s="46">
        <v>0</v>
      </c>
      <c r="AF48" s="46">
        <v>240.90499999999997</v>
      </c>
      <c r="AG48" s="46">
        <v>152.86600000000004</v>
      </c>
      <c r="AH48" s="46">
        <v>230.39400000000001</v>
      </c>
      <c r="AI48" s="46">
        <v>395.82099999999991</v>
      </c>
      <c r="AJ48" s="46">
        <v>346.62400000000002</v>
      </c>
      <c r="AK48" s="46">
        <v>347.44599999999991</v>
      </c>
      <c r="AL48" s="46">
        <v>330.27500000000003</v>
      </c>
      <c r="AM48" s="46">
        <f t="shared" si="2"/>
        <v>226.56814285714285</v>
      </c>
      <c r="AN48" s="7">
        <f t="shared" si="3"/>
        <v>113.28407142857142</v>
      </c>
    </row>
    <row r="49" spans="1:40" ht="16.5" customHeight="1" x14ac:dyDescent="0.3">
      <c r="A49" s="5">
        <v>48</v>
      </c>
      <c r="B49" s="107" t="s">
        <v>9</v>
      </c>
      <c r="C49" s="112" t="s">
        <v>629</v>
      </c>
      <c r="D49" s="112" t="s">
        <v>735</v>
      </c>
      <c r="E49" s="110" t="s">
        <v>128</v>
      </c>
      <c r="F49" s="6" t="s">
        <v>12</v>
      </c>
      <c r="G49" s="6" t="s">
        <v>976</v>
      </c>
      <c r="H49" s="6" t="s">
        <v>35</v>
      </c>
      <c r="I49" s="5">
        <v>5</v>
      </c>
      <c r="J49" s="12" t="s">
        <v>590</v>
      </c>
      <c r="K49" s="46">
        <v>22.811</v>
      </c>
      <c r="L49" s="46">
        <v>6.3100000000000005</v>
      </c>
      <c r="M49" s="46">
        <v>14.444999999999999</v>
      </c>
      <c r="N49" s="46">
        <v>17.584</v>
      </c>
      <c r="O49" s="46">
        <v>5.5049999999999999</v>
      </c>
      <c r="P49" s="46">
        <v>6.4260000000000002</v>
      </c>
      <c r="Q49" s="46">
        <v>7.4320000000000004</v>
      </c>
      <c r="R49" s="46">
        <v>4.1989999999999998</v>
      </c>
      <c r="S49" s="46">
        <v>9.1590000000000007</v>
      </c>
      <c r="T49" s="46">
        <v>17.559000000000001</v>
      </c>
      <c r="U49" s="46">
        <v>10.645000000000001</v>
      </c>
      <c r="V49" s="46">
        <v>33.702000000000005</v>
      </c>
      <c r="W49" s="46">
        <v>6.7620000000000005</v>
      </c>
      <c r="X49" s="46">
        <v>4.4909999999999997</v>
      </c>
      <c r="Y49" s="46">
        <v>5.4109999999999996</v>
      </c>
      <c r="Z49" s="46">
        <v>21.938000000000002</v>
      </c>
      <c r="AA49" s="46">
        <v>1.647</v>
      </c>
      <c r="AB49" s="46">
        <v>45.432000000000002</v>
      </c>
      <c r="AC49" s="46">
        <v>4.8550000000000004</v>
      </c>
      <c r="AD49" s="46">
        <v>26.167999999999999</v>
      </c>
      <c r="AE49" s="46">
        <v>7.2110000000000003</v>
      </c>
      <c r="AF49" s="46">
        <v>20.086999999999996</v>
      </c>
      <c r="AG49" s="46">
        <v>15.7</v>
      </c>
      <c r="AH49" s="46">
        <v>8.1379999999999999</v>
      </c>
      <c r="AI49" s="46">
        <v>17.198999999999998</v>
      </c>
      <c r="AJ49" s="46">
        <v>21.641999999999999</v>
      </c>
      <c r="AK49" s="46">
        <v>4.4829999999999997</v>
      </c>
      <c r="AL49" s="46">
        <v>4.782</v>
      </c>
      <c r="AM49" s="46">
        <f t="shared" si="2"/>
        <v>13.275821428571428</v>
      </c>
      <c r="AN49" s="7">
        <f t="shared" si="3"/>
        <v>2.6551642857142856</v>
      </c>
    </row>
    <row r="50" spans="1:40" x14ac:dyDescent="0.3">
      <c r="A50" s="5">
        <v>49</v>
      </c>
      <c r="B50" s="107" t="s">
        <v>9</v>
      </c>
      <c r="C50" s="112" t="s">
        <v>630</v>
      </c>
      <c r="D50" s="112" t="s">
        <v>780</v>
      </c>
      <c r="E50" s="110" t="s">
        <v>128</v>
      </c>
      <c r="F50" s="6" t="s">
        <v>12</v>
      </c>
      <c r="G50" s="6" t="s">
        <v>976</v>
      </c>
      <c r="H50" s="6" t="s">
        <v>35</v>
      </c>
      <c r="I50" s="5">
        <v>2</v>
      </c>
      <c r="J50" s="12" t="s">
        <v>590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f t="shared" si="2"/>
        <v>0</v>
      </c>
      <c r="AN50" s="7">
        <f t="shared" si="3"/>
        <v>0</v>
      </c>
    </row>
    <row r="51" spans="1:40" x14ac:dyDescent="0.3">
      <c r="A51" s="5">
        <v>50</v>
      </c>
      <c r="B51" s="107" t="s">
        <v>9</v>
      </c>
      <c r="C51" s="112" t="s">
        <v>630</v>
      </c>
      <c r="D51" s="112" t="s">
        <v>780</v>
      </c>
      <c r="E51" s="110" t="s">
        <v>128</v>
      </c>
      <c r="F51" s="6" t="s">
        <v>12</v>
      </c>
      <c r="G51" s="6" t="s">
        <v>974</v>
      </c>
      <c r="H51" s="6" t="s">
        <v>35</v>
      </c>
      <c r="I51" s="5">
        <v>2</v>
      </c>
      <c r="J51" s="12" t="s">
        <v>590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f t="shared" si="2"/>
        <v>0</v>
      </c>
      <c r="AN51" s="7">
        <f t="shared" si="3"/>
        <v>0</v>
      </c>
    </row>
    <row r="52" spans="1:40" x14ac:dyDescent="0.3">
      <c r="A52" s="5">
        <v>51</v>
      </c>
      <c r="B52" s="107" t="s">
        <v>9</v>
      </c>
      <c r="C52" s="112" t="s">
        <v>631</v>
      </c>
      <c r="D52" s="112" t="s">
        <v>743</v>
      </c>
      <c r="E52" s="110" t="s">
        <v>128</v>
      </c>
      <c r="F52" s="6" t="s">
        <v>12</v>
      </c>
      <c r="G52" s="6" t="s">
        <v>976</v>
      </c>
      <c r="H52" s="6" t="s">
        <v>35</v>
      </c>
      <c r="I52" s="5">
        <v>1</v>
      </c>
      <c r="J52" s="67" t="s">
        <v>160</v>
      </c>
      <c r="K52" s="46">
        <v>3.9590000000000001</v>
      </c>
      <c r="L52" s="46">
        <v>3.1829999999999998</v>
      </c>
      <c r="M52" s="46">
        <v>3.0129999999999999</v>
      </c>
      <c r="N52" s="46">
        <v>3.67</v>
      </c>
      <c r="O52" s="46">
        <v>4.2809999999999997</v>
      </c>
      <c r="P52" s="46">
        <v>2.9710000000000001</v>
      </c>
      <c r="Q52" s="46">
        <v>4.7160000000000002</v>
      </c>
      <c r="R52" s="46">
        <v>3.698</v>
      </c>
      <c r="S52" s="46">
        <v>1.3080000000000001</v>
      </c>
      <c r="T52" s="46">
        <v>9.8230000000000004</v>
      </c>
      <c r="U52" s="46">
        <v>9.1769999999999996</v>
      </c>
      <c r="V52" s="46">
        <v>13.696</v>
      </c>
      <c r="W52" s="46">
        <v>17.354999999999997</v>
      </c>
      <c r="X52" s="46">
        <v>13.943000000000001</v>
      </c>
      <c r="Y52" s="46">
        <v>3.12</v>
      </c>
      <c r="Z52" s="46">
        <v>3.6709999999999998</v>
      </c>
      <c r="AA52" s="46">
        <v>3.0529999999999999</v>
      </c>
      <c r="AB52" s="46">
        <v>3.9830000000000001</v>
      </c>
      <c r="AC52" s="46">
        <v>4.5119999999999996</v>
      </c>
      <c r="AD52" s="46">
        <v>2.573</v>
      </c>
      <c r="AE52" s="46">
        <v>2.7429999999999999</v>
      </c>
      <c r="AF52" s="46">
        <v>3.431</v>
      </c>
      <c r="AG52" s="46">
        <v>2.39</v>
      </c>
      <c r="AH52" s="46">
        <v>4.5060000000000002</v>
      </c>
      <c r="AI52" s="46">
        <v>2.359</v>
      </c>
      <c r="AJ52" s="46">
        <v>2.3540000000000001</v>
      </c>
      <c r="AK52" s="46">
        <v>5.4030000000000005</v>
      </c>
      <c r="AL52" s="46">
        <v>3.3730000000000002</v>
      </c>
      <c r="AM52" s="46">
        <f t="shared" si="2"/>
        <v>5.0808571428571421</v>
      </c>
      <c r="AN52" s="7">
        <f t="shared" si="3"/>
        <v>5.0808571428571421</v>
      </c>
    </row>
    <row r="53" spans="1:40" x14ac:dyDescent="0.3">
      <c r="A53" s="5">
        <v>52</v>
      </c>
      <c r="B53" s="107" t="s">
        <v>9</v>
      </c>
      <c r="C53" s="112" t="s">
        <v>631</v>
      </c>
      <c r="D53" s="112" t="s">
        <v>743</v>
      </c>
      <c r="E53" s="110" t="s">
        <v>128</v>
      </c>
      <c r="F53" s="6" t="s">
        <v>12</v>
      </c>
      <c r="G53" s="6" t="s">
        <v>979</v>
      </c>
      <c r="H53" s="6" t="s">
        <v>35</v>
      </c>
      <c r="I53" s="5">
        <v>1</v>
      </c>
      <c r="J53" s="67" t="s">
        <v>160</v>
      </c>
      <c r="K53" s="46">
        <v>0</v>
      </c>
      <c r="L53" s="46">
        <v>0</v>
      </c>
      <c r="M53" s="46">
        <v>3.9830000000000001</v>
      </c>
      <c r="N53" s="46">
        <v>0</v>
      </c>
      <c r="O53" s="46">
        <v>4.4720000000000004</v>
      </c>
      <c r="P53" s="46">
        <v>19.705000000000002</v>
      </c>
      <c r="Q53" s="46">
        <v>0.872</v>
      </c>
      <c r="R53" s="46">
        <v>0</v>
      </c>
      <c r="S53" s="46">
        <v>0</v>
      </c>
      <c r="T53" s="46">
        <v>2.738</v>
      </c>
      <c r="U53" s="46">
        <v>27.031000000000002</v>
      </c>
      <c r="V53" s="46">
        <v>0</v>
      </c>
      <c r="W53" s="46">
        <v>37.541000000000004</v>
      </c>
      <c r="X53" s="46">
        <v>0</v>
      </c>
      <c r="Y53" s="46">
        <v>0</v>
      </c>
      <c r="Z53" s="46">
        <v>0</v>
      </c>
      <c r="AA53" s="46">
        <v>0</v>
      </c>
      <c r="AB53" s="46">
        <v>3.7239999999999998</v>
      </c>
      <c r="AC53" s="46">
        <v>1.2649999999999999</v>
      </c>
      <c r="AD53" s="46">
        <v>1.1299999999999999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f t="shared" si="2"/>
        <v>3.6593214285714288</v>
      </c>
      <c r="AN53" s="7">
        <f t="shared" si="3"/>
        <v>3.6593214285714288</v>
      </c>
    </row>
    <row r="54" spans="1:40" x14ac:dyDescent="0.3">
      <c r="A54" s="5">
        <v>53</v>
      </c>
      <c r="B54" s="107" t="s">
        <v>9</v>
      </c>
      <c r="C54" s="112" t="s">
        <v>631</v>
      </c>
      <c r="D54" s="112" t="s">
        <v>743</v>
      </c>
      <c r="E54" s="110" t="s">
        <v>128</v>
      </c>
      <c r="F54" s="6" t="s">
        <v>12</v>
      </c>
      <c r="G54" s="6" t="s">
        <v>971</v>
      </c>
      <c r="H54" s="6" t="s">
        <v>80</v>
      </c>
      <c r="I54" s="5">
        <v>1</v>
      </c>
      <c r="J54" s="67" t="s">
        <v>160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f t="shared" si="2"/>
        <v>0</v>
      </c>
      <c r="AN54" s="7">
        <f t="shared" si="3"/>
        <v>0</v>
      </c>
    </row>
    <row r="55" spans="1:40" x14ac:dyDescent="0.3">
      <c r="A55" s="5">
        <v>54</v>
      </c>
      <c r="B55" s="107" t="s">
        <v>9</v>
      </c>
      <c r="C55" s="112" t="s">
        <v>632</v>
      </c>
      <c r="D55" s="112" t="s">
        <v>781</v>
      </c>
      <c r="E55" s="110" t="s">
        <v>128</v>
      </c>
      <c r="F55" s="6" t="s">
        <v>12</v>
      </c>
      <c r="G55" s="6" t="s">
        <v>976</v>
      </c>
      <c r="H55" s="6" t="s">
        <v>35</v>
      </c>
      <c r="I55" s="5">
        <v>9</v>
      </c>
      <c r="J55" s="12" t="s">
        <v>590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f t="shared" si="2"/>
        <v>0</v>
      </c>
      <c r="AN55" s="7">
        <f t="shared" si="3"/>
        <v>0</v>
      </c>
    </row>
    <row r="56" spans="1:40" x14ac:dyDescent="0.3">
      <c r="A56" s="5">
        <v>55</v>
      </c>
      <c r="B56" s="107" t="s">
        <v>9</v>
      </c>
      <c r="C56" s="112" t="s">
        <v>633</v>
      </c>
      <c r="D56" s="112" t="s">
        <v>782</v>
      </c>
      <c r="E56" s="110" t="s">
        <v>128</v>
      </c>
      <c r="F56" s="6" t="s">
        <v>12</v>
      </c>
      <c r="G56" s="6" t="s">
        <v>976</v>
      </c>
      <c r="H56" s="6" t="s">
        <v>35</v>
      </c>
      <c r="I56" s="5">
        <v>1</v>
      </c>
      <c r="J56" s="12" t="s">
        <v>590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0.95899999999999996</v>
      </c>
      <c r="U56" s="46">
        <v>0</v>
      </c>
      <c r="V56" s="46">
        <v>2.7269999999999999</v>
      </c>
      <c r="W56" s="46">
        <v>1E-3</v>
      </c>
      <c r="X56" s="46">
        <v>0</v>
      </c>
      <c r="Y56" s="46">
        <v>0.126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f t="shared" si="2"/>
        <v>0.13617857142857143</v>
      </c>
      <c r="AN56" s="7">
        <f t="shared" si="3"/>
        <v>0.13617857142857143</v>
      </c>
    </row>
    <row r="57" spans="1:40" x14ac:dyDescent="0.3">
      <c r="A57" s="5">
        <v>56</v>
      </c>
      <c r="B57" s="107" t="s">
        <v>498</v>
      </c>
      <c r="C57" s="112" t="s">
        <v>634</v>
      </c>
      <c r="D57" s="113" t="s">
        <v>783</v>
      </c>
      <c r="E57" s="110" t="s">
        <v>128</v>
      </c>
      <c r="F57" s="6" t="s">
        <v>12</v>
      </c>
      <c r="G57" s="6" t="s">
        <v>973</v>
      </c>
      <c r="H57" s="6" t="s">
        <v>80</v>
      </c>
      <c r="I57" s="5">
        <v>1</v>
      </c>
      <c r="J57" s="67" t="s">
        <v>160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f t="shared" si="2"/>
        <v>0</v>
      </c>
      <c r="AN57" s="7">
        <f t="shared" si="3"/>
        <v>0</v>
      </c>
    </row>
    <row r="58" spans="1:40" x14ac:dyDescent="0.3">
      <c r="A58" s="5">
        <v>57</v>
      </c>
      <c r="B58" s="107" t="s">
        <v>9</v>
      </c>
      <c r="C58" s="112" t="s">
        <v>635</v>
      </c>
      <c r="D58" s="112" t="s">
        <v>720</v>
      </c>
      <c r="E58" s="110" t="s">
        <v>128</v>
      </c>
      <c r="F58" s="6" t="s">
        <v>12</v>
      </c>
      <c r="G58" s="6" t="s">
        <v>976</v>
      </c>
      <c r="H58" s="6" t="s">
        <v>35</v>
      </c>
      <c r="I58" s="5">
        <v>1</v>
      </c>
      <c r="J58" s="12" t="s">
        <v>589</v>
      </c>
      <c r="K58" s="46">
        <v>3.1240000000000001</v>
      </c>
      <c r="L58" s="46">
        <v>0</v>
      </c>
      <c r="M58" s="46">
        <v>0</v>
      </c>
      <c r="N58" s="46">
        <v>1.798</v>
      </c>
      <c r="O58" s="46">
        <v>7.2780000000000005</v>
      </c>
      <c r="P58" s="46">
        <v>6.1069999999999993</v>
      </c>
      <c r="Q58" s="46">
        <v>3.4620000000000002</v>
      </c>
      <c r="R58" s="46">
        <v>3.1259999999999999</v>
      </c>
      <c r="S58" s="46">
        <v>0</v>
      </c>
      <c r="T58" s="46">
        <v>0</v>
      </c>
      <c r="U58" s="46">
        <v>7.2480000000000002</v>
      </c>
      <c r="V58" s="46">
        <v>7.7560000000000002</v>
      </c>
      <c r="W58" s="46">
        <v>3.52</v>
      </c>
      <c r="X58" s="46">
        <v>3.339</v>
      </c>
      <c r="Y58" s="46">
        <v>0</v>
      </c>
      <c r="Z58" s="46">
        <v>0</v>
      </c>
      <c r="AA58" s="46">
        <v>3.375</v>
      </c>
      <c r="AB58" s="46">
        <v>2.8620000000000001</v>
      </c>
      <c r="AC58" s="46">
        <v>3.0110000000000001</v>
      </c>
      <c r="AD58" s="46">
        <v>3.2199999999999998</v>
      </c>
      <c r="AE58" s="46">
        <v>3.2849999999999997</v>
      </c>
      <c r="AF58" s="46">
        <v>2.3140000000000001</v>
      </c>
      <c r="AG58" s="46">
        <v>6.0049999999999999</v>
      </c>
      <c r="AH58" s="46">
        <v>2.7679999999999998</v>
      </c>
      <c r="AI58" s="46">
        <v>7.93</v>
      </c>
      <c r="AJ58" s="46">
        <v>0</v>
      </c>
      <c r="AK58" s="46">
        <v>2.048</v>
      </c>
      <c r="AL58" s="46">
        <v>2.7090000000000001</v>
      </c>
      <c r="AM58" s="46">
        <f t="shared" si="2"/>
        <v>3.0816071428571425</v>
      </c>
      <c r="AN58" s="7">
        <f t="shared" si="3"/>
        <v>3.0816071428571425</v>
      </c>
    </row>
    <row r="59" spans="1:40" x14ac:dyDescent="0.3">
      <c r="A59" s="5">
        <v>58</v>
      </c>
      <c r="B59" s="107" t="s">
        <v>9</v>
      </c>
      <c r="C59" s="112" t="s">
        <v>636</v>
      </c>
      <c r="D59" s="112" t="s">
        <v>753</v>
      </c>
      <c r="E59" s="110" t="s">
        <v>128</v>
      </c>
      <c r="F59" s="6" t="s">
        <v>12</v>
      </c>
      <c r="G59" s="6" t="s">
        <v>976</v>
      </c>
      <c r="H59" s="6" t="s">
        <v>35</v>
      </c>
      <c r="I59" s="5">
        <v>10</v>
      </c>
      <c r="J59" s="94" t="s">
        <v>273</v>
      </c>
      <c r="K59" s="46">
        <v>73.460999999999984</v>
      </c>
      <c r="L59" s="46">
        <v>23.521999999999998</v>
      </c>
      <c r="M59" s="46">
        <v>58.824999999999996</v>
      </c>
      <c r="N59" s="46">
        <v>24.917999999999999</v>
      </c>
      <c r="O59" s="46">
        <v>43.176000000000002</v>
      </c>
      <c r="P59" s="46">
        <v>50.134999999999998</v>
      </c>
      <c r="Q59" s="46">
        <v>49.136000000000003</v>
      </c>
      <c r="R59" s="46">
        <v>25.967000000000006</v>
      </c>
      <c r="S59" s="46">
        <v>12.404</v>
      </c>
      <c r="T59" s="46">
        <v>39.948999999999998</v>
      </c>
      <c r="U59" s="46">
        <v>26.527999999999999</v>
      </c>
      <c r="V59" s="46">
        <v>67.498999999999995</v>
      </c>
      <c r="W59" s="46">
        <v>32.737000000000002</v>
      </c>
      <c r="X59" s="46">
        <v>58.585000000000001</v>
      </c>
      <c r="Y59" s="46">
        <v>44.314</v>
      </c>
      <c r="Z59" s="46">
        <v>39.916000000000004</v>
      </c>
      <c r="AA59" s="46">
        <v>26.584999999999997</v>
      </c>
      <c r="AB59" s="46">
        <v>31.917000000000002</v>
      </c>
      <c r="AC59" s="46">
        <v>42.136999999999993</v>
      </c>
      <c r="AD59" s="46">
        <v>43.702999999999996</v>
      </c>
      <c r="AE59" s="46">
        <v>34.617999999999995</v>
      </c>
      <c r="AF59" s="46">
        <v>31.271999999999998</v>
      </c>
      <c r="AG59" s="46">
        <v>7.0060000000000011</v>
      </c>
      <c r="AH59" s="46">
        <v>4.327</v>
      </c>
      <c r="AI59" s="46">
        <v>31.384000000000004</v>
      </c>
      <c r="AJ59" s="46">
        <v>10.504</v>
      </c>
      <c r="AK59" s="46">
        <v>26.602999999999998</v>
      </c>
      <c r="AL59" s="46">
        <v>24.765000000000001</v>
      </c>
      <c r="AM59" s="46">
        <f t="shared" si="2"/>
        <v>35.210464285714281</v>
      </c>
      <c r="AN59" s="7">
        <f t="shared" si="3"/>
        <v>3.5210464285714282</v>
      </c>
    </row>
    <row r="60" spans="1:40" x14ac:dyDescent="0.3">
      <c r="A60" s="5">
        <v>59</v>
      </c>
      <c r="B60" s="107" t="s">
        <v>9</v>
      </c>
      <c r="C60" s="112" t="s">
        <v>637</v>
      </c>
      <c r="D60" s="112" t="s">
        <v>721</v>
      </c>
      <c r="E60" s="110" t="s">
        <v>128</v>
      </c>
      <c r="F60" s="6" t="s">
        <v>12</v>
      </c>
      <c r="G60" s="6" t="s">
        <v>976</v>
      </c>
      <c r="H60" s="6" t="s">
        <v>35</v>
      </c>
      <c r="I60" s="5">
        <v>2</v>
      </c>
      <c r="J60" s="12" t="s">
        <v>589</v>
      </c>
      <c r="K60" s="46">
        <v>31.36</v>
      </c>
      <c r="L60" s="46">
        <v>28.652999999999999</v>
      </c>
      <c r="M60" s="46">
        <v>8.3670000000000009</v>
      </c>
      <c r="N60" s="46">
        <v>16.477</v>
      </c>
      <c r="O60" s="46">
        <v>23.416999999999998</v>
      </c>
      <c r="P60" s="46">
        <v>18.170000000000002</v>
      </c>
      <c r="Q60" s="46">
        <v>24.224</v>
      </c>
      <c r="R60" s="46">
        <v>16.309000000000001</v>
      </c>
      <c r="S60" s="46">
        <v>13.613000000000001</v>
      </c>
      <c r="T60" s="46">
        <v>29.631000000000004</v>
      </c>
      <c r="U60" s="46">
        <v>10.899000000000001</v>
      </c>
      <c r="V60" s="46">
        <v>18.168999999999997</v>
      </c>
      <c r="W60" s="46">
        <v>18.215</v>
      </c>
      <c r="X60" s="46">
        <v>19.270999999999997</v>
      </c>
      <c r="Y60" s="46">
        <v>39.054999999999993</v>
      </c>
      <c r="Z60" s="46">
        <v>21.108999999999998</v>
      </c>
      <c r="AA60" s="46">
        <v>20.013000000000002</v>
      </c>
      <c r="AB60" s="46">
        <v>30.457000000000001</v>
      </c>
      <c r="AC60" s="46">
        <v>18.236000000000001</v>
      </c>
      <c r="AD60" s="46">
        <v>28.621999999999996</v>
      </c>
      <c r="AE60" s="46">
        <v>15.103999999999999</v>
      </c>
      <c r="AF60" s="46">
        <v>24.318000000000001</v>
      </c>
      <c r="AG60" s="46">
        <v>13.309999999999999</v>
      </c>
      <c r="AH60" s="46">
        <v>26.167999999999999</v>
      </c>
      <c r="AI60" s="46">
        <v>28.92</v>
      </c>
      <c r="AJ60" s="46">
        <v>27.756</v>
      </c>
      <c r="AK60" s="46">
        <v>21.365000000000002</v>
      </c>
      <c r="AL60" s="46">
        <v>19.004999999999999</v>
      </c>
      <c r="AM60" s="46">
        <f t="shared" si="2"/>
        <v>21.793321428571424</v>
      </c>
      <c r="AN60" s="7">
        <f t="shared" si="3"/>
        <v>10.896660714285712</v>
      </c>
    </row>
    <row r="61" spans="1:40" x14ac:dyDescent="0.3">
      <c r="A61" s="5">
        <v>60</v>
      </c>
      <c r="B61" s="107" t="s">
        <v>9</v>
      </c>
      <c r="C61" s="5"/>
      <c r="D61" s="6" t="s">
        <v>93</v>
      </c>
      <c r="E61" s="110" t="s">
        <v>26</v>
      </c>
      <c r="F61" s="6" t="s">
        <v>19</v>
      </c>
      <c r="G61" s="6" t="s">
        <v>976</v>
      </c>
      <c r="H61" s="6" t="s">
        <v>14</v>
      </c>
      <c r="I61" s="5">
        <v>1</v>
      </c>
      <c r="J61" s="67" t="s">
        <v>160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0</v>
      </c>
      <c r="AE61" s="46">
        <v>0</v>
      </c>
      <c r="AF61" s="46">
        <v>0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46">
        <v>0</v>
      </c>
      <c r="AM61" s="46">
        <f t="shared" si="2"/>
        <v>0</v>
      </c>
      <c r="AN61" s="7">
        <f t="shared" si="3"/>
        <v>0</v>
      </c>
    </row>
    <row r="62" spans="1:40" x14ac:dyDescent="0.3">
      <c r="A62" s="5">
        <v>61</v>
      </c>
      <c r="B62" s="107" t="s">
        <v>9</v>
      </c>
      <c r="C62" s="112" t="s">
        <v>638</v>
      </c>
      <c r="D62" s="112" t="s">
        <v>759</v>
      </c>
      <c r="E62" s="110" t="s">
        <v>128</v>
      </c>
      <c r="F62" s="6" t="s">
        <v>12</v>
      </c>
      <c r="G62" s="6" t="s">
        <v>976</v>
      </c>
      <c r="H62" s="6" t="s">
        <v>35</v>
      </c>
      <c r="I62" s="5">
        <v>8</v>
      </c>
      <c r="J62" s="94" t="s">
        <v>273</v>
      </c>
      <c r="K62" s="46">
        <v>66.908000000000001</v>
      </c>
      <c r="L62" s="46">
        <v>48.178000000000004</v>
      </c>
      <c r="M62" s="46">
        <v>75.307999999999993</v>
      </c>
      <c r="N62" s="46">
        <v>52.947000000000003</v>
      </c>
      <c r="O62" s="46">
        <v>82.033000000000001</v>
      </c>
      <c r="P62" s="46">
        <v>74.715000000000003</v>
      </c>
      <c r="Q62" s="46">
        <v>55.057000000000002</v>
      </c>
      <c r="R62" s="46">
        <v>111.90999999999998</v>
      </c>
      <c r="S62" s="46">
        <v>67.089999999999989</v>
      </c>
      <c r="T62" s="46">
        <v>66.25800000000001</v>
      </c>
      <c r="U62" s="46">
        <v>91.836999999999989</v>
      </c>
      <c r="V62" s="46">
        <v>98.768000000000001</v>
      </c>
      <c r="W62" s="46">
        <v>51.422999999999988</v>
      </c>
      <c r="X62" s="46">
        <v>148.95999999999998</v>
      </c>
      <c r="Y62" s="46">
        <v>61.176000000000002</v>
      </c>
      <c r="Z62" s="46">
        <v>142.85699999999997</v>
      </c>
      <c r="AA62" s="46">
        <v>89.211999999999989</v>
      </c>
      <c r="AB62" s="46">
        <v>142.93899999999996</v>
      </c>
      <c r="AC62" s="46">
        <v>133.14000000000001</v>
      </c>
      <c r="AD62" s="46">
        <v>109.26200000000001</v>
      </c>
      <c r="AE62" s="46">
        <v>147.65900000000002</v>
      </c>
      <c r="AF62" s="46">
        <v>105.82899999999998</v>
      </c>
      <c r="AG62" s="46">
        <v>100.20599999999999</v>
      </c>
      <c r="AH62" s="46">
        <v>128.82699999999997</v>
      </c>
      <c r="AI62" s="46">
        <v>121.85100000000001</v>
      </c>
      <c r="AJ62" s="46">
        <v>93.59</v>
      </c>
      <c r="AK62" s="46">
        <v>25.472999999999995</v>
      </c>
      <c r="AL62" s="46">
        <v>93.341000000000008</v>
      </c>
      <c r="AM62" s="46">
        <f t="shared" si="2"/>
        <v>92.384071428571431</v>
      </c>
      <c r="AN62" s="7">
        <f t="shared" si="3"/>
        <v>11.548008928571429</v>
      </c>
    </row>
    <row r="63" spans="1:40" x14ac:dyDescent="0.3">
      <c r="A63" s="5">
        <v>62</v>
      </c>
      <c r="B63" s="107" t="s">
        <v>9</v>
      </c>
      <c r="C63" s="112" t="s">
        <v>713</v>
      </c>
      <c r="D63" s="112" t="s">
        <v>714</v>
      </c>
      <c r="E63" s="110" t="s">
        <v>128</v>
      </c>
      <c r="F63" s="6" t="s">
        <v>12</v>
      </c>
      <c r="G63" s="6" t="s">
        <v>976</v>
      </c>
      <c r="H63" s="6" t="s">
        <v>35</v>
      </c>
      <c r="I63" s="5">
        <v>6</v>
      </c>
      <c r="J63" s="94" t="s">
        <v>273</v>
      </c>
      <c r="K63" s="46">
        <v>100.16600000000003</v>
      </c>
      <c r="L63" s="46">
        <v>68.298000000000016</v>
      </c>
      <c r="M63" s="46">
        <v>83.259</v>
      </c>
      <c r="N63" s="46">
        <v>96.492000000000004</v>
      </c>
      <c r="O63" s="46">
        <v>82.174000000000007</v>
      </c>
      <c r="P63" s="46">
        <v>76.567000000000007</v>
      </c>
      <c r="Q63" s="46">
        <v>67.606999999999999</v>
      </c>
      <c r="R63" s="46">
        <v>83.957000000000008</v>
      </c>
      <c r="S63" s="46">
        <v>75.605000000000004</v>
      </c>
      <c r="T63" s="46">
        <v>84.573999999999984</v>
      </c>
      <c r="U63" s="46">
        <v>96.237000000000009</v>
      </c>
      <c r="V63" s="46">
        <v>85.394999999999996</v>
      </c>
      <c r="W63" s="46">
        <v>74.457999999999998</v>
      </c>
      <c r="X63" s="46">
        <v>90.725999999999999</v>
      </c>
      <c r="Y63" s="46">
        <v>45.030000000000008</v>
      </c>
      <c r="Z63" s="46">
        <v>97.39100000000002</v>
      </c>
      <c r="AA63" s="46">
        <v>56.031999999999996</v>
      </c>
      <c r="AB63" s="46">
        <v>139.928</v>
      </c>
      <c r="AC63" s="46">
        <v>61.750999999999998</v>
      </c>
      <c r="AD63" s="46">
        <v>64.661000000000001</v>
      </c>
      <c r="AE63" s="46">
        <v>118.79500000000002</v>
      </c>
      <c r="AF63" s="46">
        <v>76.724999999999994</v>
      </c>
      <c r="AG63" s="46">
        <v>77.65000000000002</v>
      </c>
      <c r="AH63" s="46">
        <v>84.393999999999991</v>
      </c>
      <c r="AI63" s="46">
        <v>65.009</v>
      </c>
      <c r="AJ63" s="46">
        <v>74.90300000000002</v>
      </c>
      <c r="AK63" s="46">
        <v>73.018999999999991</v>
      </c>
      <c r="AL63" s="46">
        <v>79.453000000000003</v>
      </c>
      <c r="AM63" s="46">
        <f t="shared" si="2"/>
        <v>81.437714285714264</v>
      </c>
      <c r="AN63" s="7">
        <f t="shared" si="3"/>
        <v>13.572952380952378</v>
      </c>
    </row>
    <row r="64" spans="1:40" x14ac:dyDescent="0.3">
      <c r="A64" s="5">
        <v>63</v>
      </c>
      <c r="B64" s="107" t="s">
        <v>9</v>
      </c>
      <c r="C64" s="112" t="s">
        <v>857</v>
      </c>
      <c r="D64" s="112" t="s">
        <v>856</v>
      </c>
      <c r="E64" s="110" t="s">
        <v>128</v>
      </c>
      <c r="F64" s="6" t="s">
        <v>12</v>
      </c>
      <c r="G64" s="6" t="s">
        <v>290</v>
      </c>
      <c r="H64" s="6" t="s">
        <v>80</v>
      </c>
      <c r="I64" s="5">
        <v>1</v>
      </c>
      <c r="J64" s="12" t="s">
        <v>590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f t="shared" si="2"/>
        <v>0</v>
      </c>
      <c r="AN64" s="7">
        <f t="shared" si="3"/>
        <v>0</v>
      </c>
    </row>
    <row r="65" spans="1:40" ht="15.6" x14ac:dyDescent="0.3">
      <c r="A65" s="5">
        <v>64</v>
      </c>
      <c r="B65" s="107" t="s">
        <v>9</v>
      </c>
      <c r="C65" s="112" t="s">
        <v>968</v>
      </c>
      <c r="D65" s="114" t="s">
        <v>969</v>
      </c>
      <c r="E65" s="110" t="s">
        <v>128</v>
      </c>
      <c r="F65" s="6" t="s">
        <v>12</v>
      </c>
      <c r="G65" s="6" t="s">
        <v>976</v>
      </c>
      <c r="H65" s="6" t="s">
        <v>35</v>
      </c>
      <c r="I65" s="5">
        <v>1</v>
      </c>
      <c r="J65" s="12" t="s">
        <v>590</v>
      </c>
      <c r="K65" s="46">
        <v>0</v>
      </c>
      <c r="L65" s="46">
        <v>0</v>
      </c>
      <c r="M65" s="46">
        <v>0</v>
      </c>
      <c r="N65" s="46">
        <v>3.07</v>
      </c>
      <c r="O65" s="46">
        <v>0</v>
      </c>
      <c r="P65" s="46">
        <v>0</v>
      </c>
      <c r="Q65" s="46">
        <v>0</v>
      </c>
      <c r="R65" s="46">
        <v>0</v>
      </c>
      <c r="S65" s="46">
        <v>1.323</v>
      </c>
      <c r="T65" s="46">
        <v>0</v>
      </c>
      <c r="U65" s="46">
        <v>2.89</v>
      </c>
      <c r="V65" s="46">
        <v>0</v>
      </c>
      <c r="W65" s="46">
        <v>0</v>
      </c>
      <c r="X65" s="46">
        <v>0</v>
      </c>
      <c r="Y65" s="46">
        <v>0.45700000000000002</v>
      </c>
      <c r="Z65" s="46">
        <v>0</v>
      </c>
      <c r="AA65" s="46">
        <v>0</v>
      </c>
      <c r="AB65" s="46">
        <v>0.69899999999999995</v>
      </c>
      <c r="AC65" s="46">
        <v>0</v>
      </c>
      <c r="AD65" s="46">
        <v>2.778</v>
      </c>
      <c r="AE65" s="46">
        <v>0</v>
      </c>
      <c r="AF65" s="46">
        <v>0</v>
      </c>
      <c r="AG65" s="46">
        <v>2.569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f t="shared" si="2"/>
        <v>0.49235714285714288</v>
      </c>
      <c r="AN65" s="7">
        <f t="shared" si="3"/>
        <v>0.49235714285714288</v>
      </c>
    </row>
    <row r="66" spans="1:40" x14ac:dyDescent="0.3">
      <c r="A66" s="5">
        <v>65</v>
      </c>
      <c r="B66" s="107" t="s">
        <v>9</v>
      </c>
      <c r="C66" s="10"/>
      <c r="D66" s="39" t="s">
        <v>918</v>
      </c>
      <c r="E66" s="110" t="s">
        <v>128</v>
      </c>
      <c r="F66" s="6" t="s">
        <v>12</v>
      </c>
      <c r="G66" s="6" t="s">
        <v>976</v>
      </c>
      <c r="H66" s="6" t="s">
        <v>35</v>
      </c>
      <c r="I66" s="92">
        <v>2</v>
      </c>
      <c r="J66" s="94" t="s">
        <v>590</v>
      </c>
      <c r="K66" s="46"/>
      <c r="L66" s="46"/>
      <c r="M66" s="46"/>
      <c r="N66" s="46"/>
      <c r="O66" s="46"/>
      <c r="P66" s="46"/>
      <c r="Q66" s="46"/>
      <c r="R66" s="46">
        <v>1.294</v>
      </c>
      <c r="S66" s="46">
        <v>0</v>
      </c>
      <c r="T66" s="46">
        <v>3.2170000000000001</v>
      </c>
      <c r="U66" s="46">
        <v>0</v>
      </c>
      <c r="V66" s="46">
        <v>0</v>
      </c>
      <c r="W66" s="46">
        <v>3.1829999999999998</v>
      </c>
      <c r="X66" s="46">
        <v>0.48799999999999999</v>
      </c>
      <c r="Y66" s="46">
        <v>2.8450000000000002</v>
      </c>
      <c r="Z66" s="46">
        <v>2.472</v>
      </c>
      <c r="AA66" s="46">
        <v>4.0220000000000002</v>
      </c>
      <c r="AB66" s="46">
        <v>1.4410000000000001</v>
      </c>
      <c r="AC66" s="46">
        <v>0</v>
      </c>
      <c r="AD66" s="46">
        <v>2.3940000000000001</v>
      </c>
      <c r="AE66" s="46">
        <v>4.335</v>
      </c>
      <c r="AF66" s="46">
        <v>0</v>
      </c>
      <c r="AG66" s="46">
        <v>0</v>
      </c>
      <c r="AH66" s="46">
        <v>9.3449999999999989</v>
      </c>
      <c r="AI66" s="46">
        <v>0</v>
      </c>
      <c r="AJ66" s="46">
        <v>4.0680000000000005</v>
      </c>
      <c r="AK66" s="46">
        <v>2.4889999999999999</v>
      </c>
      <c r="AL66" s="46">
        <v>2.4809999999999999</v>
      </c>
      <c r="AM66" s="46">
        <f t="shared" ref="AM66:AM97" si="4">AVERAGE(K66:AL66)</f>
        <v>2.0987619047619046</v>
      </c>
      <c r="AN66" s="7">
        <f t="shared" ref="AN66:AN97" si="5">AM66/I66</f>
        <v>1.0493809523809523</v>
      </c>
    </row>
    <row r="67" spans="1:40" x14ac:dyDescent="0.3">
      <c r="A67" s="5">
        <v>66</v>
      </c>
      <c r="B67" s="107" t="s">
        <v>9</v>
      </c>
      <c r="C67" s="10"/>
      <c r="D67" s="39" t="s">
        <v>918</v>
      </c>
      <c r="E67" s="110" t="s">
        <v>128</v>
      </c>
      <c r="F67" s="6" t="s">
        <v>12</v>
      </c>
      <c r="G67" s="6" t="s">
        <v>979</v>
      </c>
      <c r="H67" s="6" t="s">
        <v>35</v>
      </c>
      <c r="I67" s="92">
        <v>2</v>
      </c>
      <c r="J67" s="94" t="s">
        <v>590</v>
      </c>
      <c r="K67" s="46"/>
      <c r="L67" s="46"/>
      <c r="M67" s="46"/>
      <c r="N67" s="46"/>
      <c r="O67" s="46"/>
      <c r="P67" s="46"/>
      <c r="Q67" s="46"/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33.47</v>
      </c>
      <c r="Y67" s="46">
        <v>0</v>
      </c>
      <c r="Z67" s="46">
        <v>67.171999999999997</v>
      </c>
      <c r="AA67" s="46">
        <v>0</v>
      </c>
      <c r="AB67" s="46">
        <v>0</v>
      </c>
      <c r="AC67" s="46">
        <v>39.738</v>
      </c>
      <c r="AD67" s="46">
        <v>0</v>
      </c>
      <c r="AE67" s="46">
        <v>35.527999999999999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24.113</v>
      </c>
      <c r="AL67" s="46">
        <v>0</v>
      </c>
      <c r="AM67" s="46">
        <f t="shared" si="4"/>
        <v>9.5248095238095232</v>
      </c>
      <c r="AN67" s="7">
        <f t="shared" si="5"/>
        <v>4.7624047619047616</v>
      </c>
    </row>
    <row r="68" spans="1:40" x14ac:dyDescent="0.3">
      <c r="A68" s="5">
        <v>67</v>
      </c>
      <c r="B68" s="107" t="s">
        <v>9</v>
      </c>
      <c r="C68" s="10"/>
      <c r="D68" s="116" t="s">
        <v>991</v>
      </c>
      <c r="E68" s="6" t="s">
        <v>128</v>
      </c>
      <c r="F68" s="6" t="s">
        <v>12</v>
      </c>
      <c r="G68" s="6" t="s">
        <v>13</v>
      </c>
      <c r="H68" s="6" t="s">
        <v>35</v>
      </c>
      <c r="I68" s="92">
        <v>2</v>
      </c>
      <c r="J68" s="94" t="s">
        <v>590</v>
      </c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>
        <v>2.89</v>
      </c>
      <c r="X68" s="46">
        <v>0</v>
      </c>
      <c r="Y68" s="46">
        <v>0.57099999999999995</v>
      </c>
      <c r="Z68" s="46">
        <v>0</v>
      </c>
      <c r="AA68" s="46">
        <v>0</v>
      </c>
      <c r="AB68" s="46">
        <v>0</v>
      </c>
      <c r="AC68" s="46">
        <v>0</v>
      </c>
      <c r="AD68" s="46">
        <v>8.14</v>
      </c>
      <c r="AE68" s="46">
        <v>0</v>
      </c>
      <c r="AF68" s="46">
        <v>0</v>
      </c>
      <c r="AG68" s="46">
        <v>0</v>
      </c>
      <c r="AH68" s="46">
        <v>0</v>
      </c>
      <c r="AI68" s="46">
        <v>7.6689999999999996</v>
      </c>
      <c r="AJ68" s="46">
        <v>0</v>
      </c>
      <c r="AK68" s="46">
        <v>0</v>
      </c>
      <c r="AL68" s="46">
        <v>0</v>
      </c>
      <c r="AM68" s="46">
        <f t="shared" si="4"/>
        <v>1.204375</v>
      </c>
      <c r="AN68" s="7">
        <f t="shared" si="5"/>
        <v>0.60218749999999999</v>
      </c>
    </row>
    <row r="69" spans="1:40" x14ac:dyDescent="0.3">
      <c r="A69" s="5">
        <v>68</v>
      </c>
      <c r="B69" s="107" t="s">
        <v>536</v>
      </c>
      <c r="C69" s="112" t="s">
        <v>639</v>
      </c>
      <c r="D69" s="112" t="s">
        <v>784</v>
      </c>
      <c r="E69" s="110" t="s">
        <v>128</v>
      </c>
      <c r="F69" s="6" t="s">
        <v>12</v>
      </c>
      <c r="G69" s="6" t="s">
        <v>973</v>
      </c>
      <c r="H69" s="6" t="s">
        <v>80</v>
      </c>
      <c r="I69" s="5">
        <v>1</v>
      </c>
      <c r="J69" s="67" t="s">
        <v>160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0</v>
      </c>
      <c r="AL69" s="46">
        <v>0</v>
      </c>
      <c r="AM69" s="46">
        <f t="shared" si="4"/>
        <v>0</v>
      </c>
      <c r="AN69" s="7">
        <f t="shared" si="5"/>
        <v>0</v>
      </c>
    </row>
    <row r="70" spans="1:40" x14ac:dyDescent="0.3">
      <c r="A70" s="5">
        <v>69</v>
      </c>
      <c r="B70" s="107" t="s">
        <v>9</v>
      </c>
      <c r="C70" s="5"/>
      <c r="D70" s="6" t="s">
        <v>27</v>
      </c>
      <c r="E70" s="110" t="s">
        <v>28</v>
      </c>
      <c r="F70" s="6" t="s">
        <v>19</v>
      </c>
      <c r="G70" s="6" t="s">
        <v>976</v>
      </c>
      <c r="H70" s="6" t="s">
        <v>14</v>
      </c>
      <c r="I70" s="5">
        <v>4</v>
      </c>
      <c r="J70" s="67" t="s">
        <v>160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f t="shared" si="4"/>
        <v>0</v>
      </c>
      <c r="AN70" s="7">
        <f t="shared" si="5"/>
        <v>0</v>
      </c>
    </row>
    <row r="71" spans="1:40" x14ac:dyDescent="0.3">
      <c r="A71" s="5">
        <v>70</v>
      </c>
      <c r="B71" s="107" t="s">
        <v>9</v>
      </c>
      <c r="C71" s="5"/>
      <c r="D71" s="6" t="s">
        <v>94</v>
      </c>
      <c r="E71" s="110" t="s">
        <v>32</v>
      </c>
      <c r="F71" s="6" t="s">
        <v>19</v>
      </c>
      <c r="G71" s="6" t="s">
        <v>976</v>
      </c>
      <c r="H71" s="6" t="s">
        <v>14</v>
      </c>
      <c r="I71" s="5">
        <v>2</v>
      </c>
      <c r="J71" s="67" t="s">
        <v>160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0</v>
      </c>
      <c r="AL71" s="46">
        <v>0</v>
      </c>
      <c r="AM71" s="46">
        <f t="shared" si="4"/>
        <v>0</v>
      </c>
      <c r="AN71" s="7">
        <f t="shared" si="5"/>
        <v>0</v>
      </c>
    </row>
    <row r="72" spans="1:40" x14ac:dyDescent="0.3">
      <c r="A72" s="5">
        <v>71</v>
      </c>
      <c r="B72" s="107" t="s">
        <v>49</v>
      </c>
      <c r="C72" s="112" t="s">
        <v>640</v>
      </c>
      <c r="D72" s="112" t="s">
        <v>717</v>
      </c>
      <c r="E72" s="110" t="s">
        <v>128</v>
      </c>
      <c r="F72" s="6" t="s">
        <v>12</v>
      </c>
      <c r="G72" s="6" t="s">
        <v>976</v>
      </c>
      <c r="H72" s="6" t="s">
        <v>35</v>
      </c>
      <c r="I72" s="5">
        <v>5</v>
      </c>
      <c r="J72" s="12" t="s">
        <v>589</v>
      </c>
      <c r="K72" s="46">
        <v>2.1909999999999998</v>
      </c>
      <c r="L72" s="46">
        <v>0</v>
      </c>
      <c r="M72" s="46">
        <v>0</v>
      </c>
      <c r="N72" s="46">
        <v>0</v>
      </c>
      <c r="O72" s="46">
        <v>0</v>
      </c>
      <c r="P72" s="46">
        <v>9.1440000000000001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3.3210000000000002</v>
      </c>
      <c r="AI72" s="46">
        <v>0</v>
      </c>
      <c r="AJ72" s="46">
        <v>0</v>
      </c>
      <c r="AK72" s="46">
        <v>0</v>
      </c>
      <c r="AL72" s="46">
        <v>0</v>
      </c>
      <c r="AM72" s="46">
        <f t="shared" si="4"/>
        <v>0.52342857142857147</v>
      </c>
      <c r="AN72" s="7">
        <f t="shared" si="5"/>
        <v>0.1046857142857143</v>
      </c>
    </row>
    <row r="73" spans="1:40" x14ac:dyDescent="0.3">
      <c r="A73" s="5">
        <v>72</v>
      </c>
      <c r="B73" s="107" t="s">
        <v>49</v>
      </c>
      <c r="C73" s="112" t="s">
        <v>641</v>
      </c>
      <c r="D73" s="112" t="s">
        <v>725</v>
      </c>
      <c r="E73" s="110" t="s">
        <v>128</v>
      </c>
      <c r="F73" s="6" t="s">
        <v>12</v>
      </c>
      <c r="G73" s="6" t="s">
        <v>976</v>
      </c>
      <c r="H73" s="6" t="s">
        <v>35</v>
      </c>
      <c r="I73" s="5">
        <v>10</v>
      </c>
      <c r="J73" s="12" t="s">
        <v>589</v>
      </c>
      <c r="K73" s="46">
        <v>60.167000000000009</v>
      </c>
      <c r="L73" s="46">
        <v>73.587000000000003</v>
      </c>
      <c r="M73" s="46">
        <v>92.134999999999991</v>
      </c>
      <c r="N73" s="46">
        <v>79.279999999999987</v>
      </c>
      <c r="O73" s="46">
        <v>90.329000000000008</v>
      </c>
      <c r="P73" s="46">
        <v>88.266999999999996</v>
      </c>
      <c r="Q73" s="46">
        <v>89.900999999999982</v>
      </c>
      <c r="R73" s="46">
        <v>75.822000000000003</v>
      </c>
      <c r="S73" s="46">
        <v>81.768000000000001</v>
      </c>
      <c r="T73" s="46">
        <v>81.746999999999986</v>
      </c>
      <c r="U73" s="46">
        <v>90.186999999999998</v>
      </c>
      <c r="V73" s="46">
        <v>65.448000000000008</v>
      </c>
      <c r="W73" s="46">
        <v>84.069000000000017</v>
      </c>
      <c r="X73" s="46">
        <v>69.398999999999987</v>
      </c>
      <c r="Y73" s="46">
        <v>93.008999999999986</v>
      </c>
      <c r="Z73" s="46">
        <v>68.376999999999995</v>
      </c>
      <c r="AA73" s="46">
        <v>92.21599999999998</v>
      </c>
      <c r="AB73" s="46">
        <v>67.47999999999999</v>
      </c>
      <c r="AC73" s="46">
        <v>71.667000000000002</v>
      </c>
      <c r="AD73" s="46">
        <v>84.618000000000009</v>
      </c>
      <c r="AE73" s="46">
        <v>63.269999999999989</v>
      </c>
      <c r="AF73" s="46">
        <v>74.323999999999998</v>
      </c>
      <c r="AG73" s="46">
        <v>85.010999999999996</v>
      </c>
      <c r="AH73" s="46">
        <v>69.607000000000014</v>
      </c>
      <c r="AI73" s="46">
        <v>76.745999999999995</v>
      </c>
      <c r="AJ73" s="46">
        <v>60.73</v>
      </c>
      <c r="AK73" s="46">
        <v>94.424999999999997</v>
      </c>
      <c r="AL73" s="46">
        <v>96.431999999999988</v>
      </c>
      <c r="AM73" s="46">
        <f t="shared" si="4"/>
        <v>79.286357142857128</v>
      </c>
      <c r="AN73" s="7">
        <f t="shared" si="5"/>
        <v>7.9286357142857131</v>
      </c>
    </row>
    <row r="74" spans="1:40" x14ac:dyDescent="0.3">
      <c r="A74" s="5">
        <v>73</v>
      </c>
      <c r="B74" s="107" t="s">
        <v>52</v>
      </c>
      <c r="C74" s="112" t="s">
        <v>642</v>
      </c>
      <c r="D74" s="112" t="s">
        <v>970</v>
      </c>
      <c r="E74" s="110" t="s">
        <v>128</v>
      </c>
      <c r="F74" s="6" t="s">
        <v>12</v>
      </c>
      <c r="G74" s="6" t="s">
        <v>976</v>
      </c>
      <c r="H74" s="6" t="s">
        <v>35</v>
      </c>
      <c r="I74" s="5">
        <v>3</v>
      </c>
      <c r="J74" s="12" t="s">
        <v>589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6">
        <f t="shared" si="4"/>
        <v>0</v>
      </c>
      <c r="AN74" s="7">
        <f t="shared" si="5"/>
        <v>0</v>
      </c>
    </row>
    <row r="75" spans="1:40" x14ac:dyDescent="0.3">
      <c r="A75" s="5">
        <v>74</v>
      </c>
      <c r="B75" s="107" t="s">
        <v>52</v>
      </c>
      <c r="C75" s="112" t="s">
        <v>643</v>
      </c>
      <c r="D75" s="112" t="s">
        <v>749</v>
      </c>
      <c r="E75" s="110" t="s">
        <v>128</v>
      </c>
      <c r="F75" s="6" t="s">
        <v>12</v>
      </c>
      <c r="G75" s="6" t="s">
        <v>976</v>
      </c>
      <c r="H75" s="6" t="s">
        <v>35</v>
      </c>
      <c r="I75" s="5">
        <v>7</v>
      </c>
      <c r="J75" s="12" t="s">
        <v>273</v>
      </c>
      <c r="K75" s="46">
        <v>104.31099999999998</v>
      </c>
      <c r="L75" s="46">
        <v>110.13</v>
      </c>
      <c r="M75" s="46">
        <v>122.83900000000001</v>
      </c>
      <c r="N75" s="46">
        <v>89.278999999999996</v>
      </c>
      <c r="O75" s="46">
        <v>144.697</v>
      </c>
      <c r="P75" s="46">
        <v>58.552</v>
      </c>
      <c r="Q75" s="46">
        <v>130.36100000000002</v>
      </c>
      <c r="R75" s="46">
        <v>98.376000000000005</v>
      </c>
      <c r="S75" s="46">
        <v>87.310999999999979</v>
      </c>
      <c r="T75" s="46">
        <v>150.87200000000001</v>
      </c>
      <c r="U75" s="46">
        <v>115.92300000000002</v>
      </c>
      <c r="V75" s="46">
        <v>90.126000000000019</v>
      </c>
      <c r="W75" s="46">
        <v>99.069000000000017</v>
      </c>
      <c r="X75" s="46">
        <v>126.22</v>
      </c>
      <c r="Y75" s="46">
        <v>39.704999999999998</v>
      </c>
      <c r="Z75" s="46">
        <v>130.09799999999998</v>
      </c>
      <c r="AA75" s="46">
        <v>109.47499999999998</v>
      </c>
      <c r="AB75" s="46">
        <v>110.56299999999999</v>
      </c>
      <c r="AC75" s="46">
        <v>87.397000000000006</v>
      </c>
      <c r="AD75" s="46">
        <v>140.45400000000004</v>
      </c>
      <c r="AE75" s="46">
        <v>104.97300000000001</v>
      </c>
      <c r="AF75" s="46">
        <v>80.835999999999999</v>
      </c>
      <c r="AG75" s="46">
        <v>97.629999999999981</v>
      </c>
      <c r="AH75" s="46">
        <v>113.61500000000001</v>
      </c>
      <c r="AI75" s="46">
        <v>104.39400000000002</v>
      </c>
      <c r="AJ75" s="46">
        <v>116.10299999999999</v>
      </c>
      <c r="AK75" s="46">
        <v>86.557999999999993</v>
      </c>
      <c r="AL75" s="46">
        <v>91.461000000000027</v>
      </c>
      <c r="AM75" s="46">
        <f t="shared" si="4"/>
        <v>105.04742857142858</v>
      </c>
      <c r="AN75" s="7">
        <f t="shared" si="5"/>
        <v>15.006775510204083</v>
      </c>
    </row>
    <row r="76" spans="1:40" ht="16.5" customHeight="1" x14ac:dyDescent="0.3">
      <c r="A76" s="5">
        <v>75</v>
      </c>
      <c r="B76" s="107" t="s">
        <v>134</v>
      </c>
      <c r="C76" s="112" t="s">
        <v>644</v>
      </c>
      <c r="D76" s="112" t="s">
        <v>754</v>
      </c>
      <c r="E76" s="110" t="s">
        <v>128</v>
      </c>
      <c r="F76" s="6" t="s">
        <v>12</v>
      </c>
      <c r="G76" s="6" t="s">
        <v>976</v>
      </c>
      <c r="H76" s="6" t="s">
        <v>35</v>
      </c>
      <c r="I76" s="5">
        <v>7</v>
      </c>
      <c r="J76" s="12" t="s">
        <v>273</v>
      </c>
      <c r="K76" s="46">
        <v>36.368000000000002</v>
      </c>
      <c r="L76" s="46">
        <v>65.033999999999992</v>
      </c>
      <c r="M76" s="46">
        <v>37.078000000000003</v>
      </c>
      <c r="N76" s="46">
        <v>44.030999999999999</v>
      </c>
      <c r="O76" s="46">
        <v>33.396999999999998</v>
      </c>
      <c r="P76" s="46">
        <v>45.178000000000004</v>
      </c>
      <c r="Q76" s="46">
        <v>25.411999999999995</v>
      </c>
      <c r="R76" s="46">
        <v>49.771999999999998</v>
      </c>
      <c r="S76" s="46">
        <v>47.957999999999991</v>
      </c>
      <c r="T76" s="46">
        <v>52.617000000000004</v>
      </c>
      <c r="U76" s="46">
        <v>58.158999999999992</v>
      </c>
      <c r="V76" s="46">
        <v>63.37299999999999</v>
      </c>
      <c r="W76" s="46">
        <v>31.458000000000002</v>
      </c>
      <c r="X76" s="46">
        <v>29.788999999999998</v>
      </c>
      <c r="Y76" s="46">
        <v>28.542000000000002</v>
      </c>
      <c r="Z76" s="46">
        <v>56.687000000000005</v>
      </c>
      <c r="AA76" s="46">
        <v>36.408000000000001</v>
      </c>
      <c r="AB76" s="46">
        <v>38.707000000000001</v>
      </c>
      <c r="AC76" s="46">
        <v>41.261999999999993</v>
      </c>
      <c r="AD76" s="46">
        <v>49.234999999999999</v>
      </c>
      <c r="AE76" s="46">
        <v>31.479999999999997</v>
      </c>
      <c r="AF76" s="46">
        <v>59.817000000000007</v>
      </c>
      <c r="AG76" s="46">
        <v>32.569000000000003</v>
      </c>
      <c r="AH76" s="46">
        <v>36.483000000000004</v>
      </c>
      <c r="AI76" s="46">
        <v>40.796999999999997</v>
      </c>
      <c r="AJ76" s="46">
        <v>23.379000000000001</v>
      </c>
      <c r="AK76" s="46">
        <v>28.223000000000006</v>
      </c>
      <c r="AL76" s="46">
        <v>66.538999999999987</v>
      </c>
      <c r="AM76" s="46">
        <f t="shared" si="4"/>
        <v>42.491142857142847</v>
      </c>
      <c r="AN76" s="7">
        <f t="shared" si="5"/>
        <v>6.070163265306121</v>
      </c>
    </row>
    <row r="77" spans="1:40" x14ac:dyDescent="0.3">
      <c r="A77" s="5">
        <v>76</v>
      </c>
      <c r="B77" s="108" t="s">
        <v>246</v>
      </c>
      <c r="C77" s="112" t="s">
        <v>645</v>
      </c>
      <c r="D77" s="112" t="s">
        <v>765</v>
      </c>
      <c r="E77" s="110" t="s">
        <v>128</v>
      </c>
      <c r="F77" s="6" t="s">
        <v>12</v>
      </c>
      <c r="G77" s="6" t="s">
        <v>976</v>
      </c>
      <c r="H77" s="6" t="s">
        <v>35</v>
      </c>
      <c r="I77" s="5">
        <v>5</v>
      </c>
      <c r="J77" s="12" t="s">
        <v>273</v>
      </c>
      <c r="K77" s="46">
        <v>52.747</v>
      </c>
      <c r="L77" s="46">
        <v>18.719000000000001</v>
      </c>
      <c r="M77" s="46">
        <v>29.606000000000002</v>
      </c>
      <c r="N77" s="46">
        <v>38.218000000000004</v>
      </c>
      <c r="O77" s="46">
        <v>27.617999999999999</v>
      </c>
      <c r="P77" s="46">
        <v>29.834</v>
      </c>
      <c r="Q77" s="46">
        <v>21.895</v>
      </c>
      <c r="R77" s="46">
        <v>27.471000000000004</v>
      </c>
      <c r="S77" s="46">
        <v>53.110999999999997</v>
      </c>
      <c r="T77" s="46">
        <v>46.616999999999997</v>
      </c>
      <c r="U77" s="46">
        <v>22.688000000000002</v>
      </c>
      <c r="V77" s="46">
        <v>67.688000000000002</v>
      </c>
      <c r="W77" s="46">
        <v>18.898999999999997</v>
      </c>
      <c r="X77" s="46">
        <v>40.807000000000002</v>
      </c>
      <c r="Y77" s="46">
        <v>46.591999999999999</v>
      </c>
      <c r="Z77" s="46">
        <v>61.414000000000001</v>
      </c>
      <c r="AA77" s="46">
        <v>19.477</v>
      </c>
      <c r="AB77" s="46">
        <v>57.064000000000007</v>
      </c>
      <c r="AC77" s="46">
        <v>42.091000000000008</v>
      </c>
      <c r="AD77" s="46">
        <v>59.442</v>
      </c>
      <c r="AE77" s="46">
        <v>36.565999999999995</v>
      </c>
      <c r="AF77" s="46">
        <v>24.454999999999998</v>
      </c>
      <c r="AG77" s="46">
        <v>55.417000000000002</v>
      </c>
      <c r="AH77" s="46">
        <v>24.125</v>
      </c>
      <c r="AI77" s="46">
        <v>44.457000000000001</v>
      </c>
      <c r="AJ77" s="46">
        <v>40.183</v>
      </c>
      <c r="AK77" s="46">
        <v>31.229999999999997</v>
      </c>
      <c r="AL77" s="46">
        <v>61.016000000000005</v>
      </c>
      <c r="AM77" s="46">
        <f t="shared" si="4"/>
        <v>39.26596428571429</v>
      </c>
      <c r="AN77" s="7">
        <f t="shared" si="5"/>
        <v>7.853192857142858</v>
      </c>
    </row>
    <row r="78" spans="1:40" ht="17.25" customHeight="1" x14ac:dyDescent="0.3">
      <c r="A78" s="5">
        <v>77</v>
      </c>
      <c r="B78" s="107" t="s">
        <v>58</v>
      </c>
      <c r="C78" s="112" t="s">
        <v>646</v>
      </c>
      <c r="D78" s="112" t="s">
        <v>724</v>
      </c>
      <c r="E78" s="110" t="s">
        <v>61</v>
      </c>
      <c r="F78" s="6" t="s">
        <v>12</v>
      </c>
      <c r="G78" s="6" t="s">
        <v>976</v>
      </c>
      <c r="H78" s="6" t="s">
        <v>35</v>
      </c>
      <c r="I78" s="5">
        <v>4</v>
      </c>
      <c r="J78" s="12" t="s">
        <v>589</v>
      </c>
      <c r="K78" s="46">
        <v>62.442000000000007</v>
      </c>
      <c r="L78" s="46">
        <v>99.453000000000017</v>
      </c>
      <c r="M78" s="46">
        <v>81.96</v>
      </c>
      <c r="N78" s="46">
        <v>112.15199999999999</v>
      </c>
      <c r="O78" s="46">
        <v>91.826000000000008</v>
      </c>
      <c r="P78" s="46">
        <v>82.777999999999992</v>
      </c>
      <c r="Q78" s="46">
        <v>91.117999999999981</v>
      </c>
      <c r="R78" s="46">
        <v>108.44000000000001</v>
      </c>
      <c r="S78" s="46">
        <v>75.142999999999986</v>
      </c>
      <c r="T78" s="46">
        <v>87.609999999999985</v>
      </c>
      <c r="U78" s="46">
        <v>104.373</v>
      </c>
      <c r="V78" s="46">
        <v>81.459999999999994</v>
      </c>
      <c r="W78" s="46">
        <v>94.908000000000015</v>
      </c>
      <c r="X78" s="46">
        <v>73.794000000000011</v>
      </c>
      <c r="Y78" s="46">
        <v>79.015000000000015</v>
      </c>
      <c r="Z78" s="46">
        <v>83.262999999999991</v>
      </c>
      <c r="AA78" s="46">
        <v>94.122</v>
      </c>
      <c r="AB78" s="46">
        <v>88.72799999999998</v>
      </c>
      <c r="AC78" s="46">
        <v>74.988000000000014</v>
      </c>
      <c r="AD78" s="46">
        <v>76.512999999999991</v>
      </c>
      <c r="AE78" s="46">
        <v>69.707999999999998</v>
      </c>
      <c r="AF78" s="46">
        <v>99.777999999999992</v>
      </c>
      <c r="AG78" s="46">
        <v>79.585000000000008</v>
      </c>
      <c r="AH78" s="46">
        <v>78.467000000000041</v>
      </c>
      <c r="AI78" s="46">
        <v>90.216000000000008</v>
      </c>
      <c r="AJ78" s="46">
        <v>66.454999999999998</v>
      </c>
      <c r="AK78" s="46">
        <v>108.96000000000001</v>
      </c>
      <c r="AL78" s="46">
        <v>74.888000000000005</v>
      </c>
      <c r="AM78" s="46">
        <f t="shared" si="4"/>
        <v>86.147964285714281</v>
      </c>
      <c r="AN78" s="7">
        <f t="shared" si="5"/>
        <v>21.53699107142857</v>
      </c>
    </row>
    <row r="79" spans="1:40" x14ac:dyDescent="0.3">
      <c r="A79" s="5">
        <v>78</v>
      </c>
      <c r="B79" s="107" t="s">
        <v>58</v>
      </c>
      <c r="C79" s="112" t="s">
        <v>647</v>
      </c>
      <c r="D79" s="112" t="s">
        <v>727</v>
      </c>
      <c r="E79" s="110" t="s">
        <v>61</v>
      </c>
      <c r="F79" s="6" t="s">
        <v>12</v>
      </c>
      <c r="G79" s="6" t="s">
        <v>976</v>
      </c>
      <c r="H79" s="6" t="s">
        <v>35</v>
      </c>
      <c r="I79" s="5">
        <v>9</v>
      </c>
      <c r="J79" s="12" t="s">
        <v>589</v>
      </c>
      <c r="K79" s="46">
        <v>89.425000000000011</v>
      </c>
      <c r="L79" s="46">
        <v>92.855999999999995</v>
      </c>
      <c r="M79" s="46">
        <v>88.397999999999982</v>
      </c>
      <c r="N79" s="46">
        <v>69.918000000000021</v>
      </c>
      <c r="O79" s="46">
        <v>56.676000000000002</v>
      </c>
      <c r="P79" s="46">
        <v>59.459999999999994</v>
      </c>
      <c r="Q79" s="46">
        <v>52.986999999999995</v>
      </c>
      <c r="R79" s="46">
        <v>31.555</v>
      </c>
      <c r="S79" s="46">
        <v>9.020999999999999</v>
      </c>
      <c r="T79" s="46">
        <v>5.4749999999999996</v>
      </c>
      <c r="U79" s="46">
        <v>0</v>
      </c>
      <c r="V79" s="46">
        <v>49.594000000000008</v>
      </c>
      <c r="W79" s="46">
        <v>31.838999999999999</v>
      </c>
      <c r="X79" s="46">
        <v>40.832000000000001</v>
      </c>
      <c r="Y79" s="46">
        <v>43.756</v>
      </c>
      <c r="Z79" s="46">
        <v>32.227000000000004</v>
      </c>
      <c r="AA79" s="46">
        <v>41.298999999999999</v>
      </c>
      <c r="AB79" s="46">
        <v>39.268000000000001</v>
      </c>
      <c r="AC79" s="46">
        <v>39.191999999999993</v>
      </c>
      <c r="AD79" s="46">
        <v>45.265000000000008</v>
      </c>
      <c r="AE79" s="46">
        <v>58.72</v>
      </c>
      <c r="AF79" s="46">
        <v>23.907999999999998</v>
      </c>
      <c r="AG79" s="46">
        <v>49.972000000000001</v>
      </c>
      <c r="AH79" s="46">
        <v>22.338000000000001</v>
      </c>
      <c r="AI79" s="46">
        <v>39.633999999999993</v>
      </c>
      <c r="AJ79" s="46">
        <v>51.540000000000006</v>
      </c>
      <c r="AK79" s="46">
        <v>30.389000000000003</v>
      </c>
      <c r="AL79" s="46">
        <v>46.454999999999998</v>
      </c>
      <c r="AM79" s="46">
        <f t="shared" si="4"/>
        <v>44.357107142857139</v>
      </c>
      <c r="AN79" s="7">
        <f t="shared" si="5"/>
        <v>4.9285674603174598</v>
      </c>
    </row>
    <row r="80" spans="1:40" x14ac:dyDescent="0.3">
      <c r="A80" s="5">
        <v>79</v>
      </c>
      <c r="B80" s="107" t="s">
        <v>58</v>
      </c>
      <c r="C80" s="112" t="s">
        <v>648</v>
      </c>
      <c r="D80" s="113" t="s">
        <v>763</v>
      </c>
      <c r="E80" s="110" t="s">
        <v>63</v>
      </c>
      <c r="F80" s="6" t="s">
        <v>19</v>
      </c>
      <c r="G80" s="6" t="s">
        <v>976</v>
      </c>
      <c r="H80" s="12" t="s">
        <v>35</v>
      </c>
      <c r="I80" s="5">
        <v>8</v>
      </c>
      <c r="J80" s="94" t="s">
        <v>273</v>
      </c>
      <c r="K80" s="46">
        <v>49.188000000000002</v>
      </c>
      <c r="L80" s="46">
        <v>45.481000000000002</v>
      </c>
      <c r="M80" s="46">
        <v>47.826999999999998</v>
      </c>
      <c r="N80" s="46">
        <v>56.755000000000003</v>
      </c>
      <c r="O80" s="46">
        <v>48.096000000000004</v>
      </c>
      <c r="P80" s="46">
        <v>46.969000000000001</v>
      </c>
      <c r="Q80" s="46">
        <v>50.831999999999994</v>
      </c>
      <c r="R80" s="46">
        <v>23.552</v>
      </c>
      <c r="S80" s="46">
        <v>71.954999999999998</v>
      </c>
      <c r="T80" s="46">
        <v>27.078000000000007</v>
      </c>
      <c r="U80" s="46">
        <v>20.114000000000004</v>
      </c>
      <c r="V80" s="46">
        <v>38.303000000000004</v>
      </c>
      <c r="W80" s="46">
        <v>46.494</v>
      </c>
      <c r="X80" s="46">
        <v>31.511000000000003</v>
      </c>
      <c r="Y80" s="46">
        <v>70.257000000000005</v>
      </c>
      <c r="Z80" s="46">
        <v>65.714999999999989</v>
      </c>
      <c r="AA80" s="46">
        <v>78.472999999999999</v>
      </c>
      <c r="AB80" s="46">
        <v>52.052999999999997</v>
      </c>
      <c r="AC80" s="46">
        <v>40.668999999999997</v>
      </c>
      <c r="AD80" s="46">
        <v>54.361999999999995</v>
      </c>
      <c r="AE80" s="46">
        <v>32.82</v>
      </c>
      <c r="AF80" s="46">
        <v>34.418000000000006</v>
      </c>
      <c r="AG80" s="46">
        <v>13.651999999999997</v>
      </c>
      <c r="AH80" s="46">
        <v>48.150000000000006</v>
      </c>
      <c r="AI80" s="46">
        <v>27.987000000000002</v>
      </c>
      <c r="AJ80" s="46">
        <v>34.823999999999998</v>
      </c>
      <c r="AK80" s="46">
        <v>6.4469999999999992</v>
      </c>
      <c r="AL80" s="46">
        <v>11.468</v>
      </c>
      <c r="AM80" s="46">
        <f t="shared" si="4"/>
        <v>41.980357142857152</v>
      </c>
      <c r="AN80" s="7">
        <f t="shared" si="5"/>
        <v>5.2475446428571439</v>
      </c>
    </row>
    <row r="81" spans="1:40" ht="15" customHeight="1" x14ac:dyDescent="0.3">
      <c r="A81" s="5">
        <v>80</v>
      </c>
      <c r="B81" s="107" t="s">
        <v>58</v>
      </c>
      <c r="C81" s="10" t="s">
        <v>648</v>
      </c>
      <c r="D81" s="39" t="s">
        <v>763</v>
      </c>
      <c r="E81" s="110" t="s">
        <v>63</v>
      </c>
      <c r="F81" s="6" t="s">
        <v>19</v>
      </c>
      <c r="G81" s="6" t="s">
        <v>978</v>
      </c>
      <c r="H81" s="6" t="s">
        <v>80</v>
      </c>
      <c r="I81" s="5">
        <v>1</v>
      </c>
      <c r="J81" s="94" t="s">
        <v>273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f t="shared" si="4"/>
        <v>0</v>
      </c>
      <c r="AN81" s="7">
        <f t="shared" si="5"/>
        <v>0</v>
      </c>
    </row>
    <row r="82" spans="1:40" x14ac:dyDescent="0.3">
      <c r="A82" s="5">
        <v>81</v>
      </c>
      <c r="B82" s="107" t="s">
        <v>58</v>
      </c>
      <c r="C82" s="112" t="s">
        <v>649</v>
      </c>
      <c r="D82" s="112" t="s">
        <v>767</v>
      </c>
      <c r="E82" s="110" t="s">
        <v>128</v>
      </c>
      <c r="F82" s="6" t="s">
        <v>12</v>
      </c>
      <c r="G82" s="6" t="s">
        <v>976</v>
      </c>
      <c r="H82" s="12" t="s">
        <v>35</v>
      </c>
      <c r="I82" s="5">
        <v>7</v>
      </c>
      <c r="J82" s="94" t="s">
        <v>273</v>
      </c>
      <c r="K82" s="46">
        <v>139.31199999999998</v>
      </c>
      <c r="L82" s="46">
        <v>120.374</v>
      </c>
      <c r="M82" s="46">
        <v>132.92499999999998</v>
      </c>
      <c r="N82" s="46">
        <v>150.82899999999995</v>
      </c>
      <c r="O82" s="46">
        <v>156.55299999999997</v>
      </c>
      <c r="P82" s="46">
        <v>155.61700000000002</v>
      </c>
      <c r="Q82" s="46">
        <v>145.87399999999997</v>
      </c>
      <c r="R82" s="46">
        <v>150.06</v>
      </c>
      <c r="S82" s="46">
        <v>141.14499999999998</v>
      </c>
      <c r="T82" s="46">
        <v>118.747</v>
      </c>
      <c r="U82" s="46">
        <v>139.08000000000001</v>
      </c>
      <c r="V82" s="46">
        <v>135.51700000000002</v>
      </c>
      <c r="W82" s="46">
        <v>150.822</v>
      </c>
      <c r="X82" s="46">
        <v>148.583</v>
      </c>
      <c r="Y82" s="46">
        <v>118.88499999999999</v>
      </c>
      <c r="Z82" s="46">
        <v>151.49299999999999</v>
      </c>
      <c r="AA82" s="46">
        <v>173.345</v>
      </c>
      <c r="AB82" s="46">
        <v>155.42400000000004</v>
      </c>
      <c r="AC82" s="46">
        <v>121.14399999999998</v>
      </c>
      <c r="AD82" s="46">
        <v>136.74199999999999</v>
      </c>
      <c r="AE82" s="46">
        <v>156.83799999999997</v>
      </c>
      <c r="AF82" s="46">
        <v>123.69799999999998</v>
      </c>
      <c r="AG82" s="46">
        <v>107.66800000000002</v>
      </c>
      <c r="AH82" s="46">
        <v>200.08399999999997</v>
      </c>
      <c r="AI82" s="46">
        <v>144.25199999999998</v>
      </c>
      <c r="AJ82" s="46">
        <v>157.42300000000003</v>
      </c>
      <c r="AK82" s="46">
        <v>130.67099999999999</v>
      </c>
      <c r="AL82" s="46">
        <v>157.59200000000001</v>
      </c>
      <c r="AM82" s="46">
        <f t="shared" si="4"/>
        <v>143.59632142857143</v>
      </c>
      <c r="AN82" s="7">
        <f t="shared" si="5"/>
        <v>20.513760204081631</v>
      </c>
    </row>
    <row r="83" spans="1:40" x14ac:dyDescent="0.3">
      <c r="A83" s="5">
        <v>82</v>
      </c>
      <c r="B83" s="107" t="s">
        <v>58</v>
      </c>
      <c r="C83" s="112" t="s">
        <v>650</v>
      </c>
      <c r="D83" s="112" t="s">
        <v>758</v>
      </c>
      <c r="E83" s="110" t="s">
        <v>128</v>
      </c>
      <c r="F83" s="6" t="s">
        <v>12</v>
      </c>
      <c r="G83" s="6" t="s">
        <v>976</v>
      </c>
      <c r="H83" s="12" t="s">
        <v>35</v>
      </c>
      <c r="I83" s="5">
        <v>10</v>
      </c>
      <c r="J83" s="94" t="s">
        <v>273</v>
      </c>
      <c r="K83" s="46">
        <v>136.64100000000002</v>
      </c>
      <c r="L83" s="46">
        <v>146.35900000000001</v>
      </c>
      <c r="M83" s="46">
        <v>134.38299999999998</v>
      </c>
      <c r="N83" s="46">
        <v>107.24299999999998</v>
      </c>
      <c r="O83" s="46">
        <v>175.82500000000002</v>
      </c>
      <c r="P83" s="46">
        <v>169.179</v>
      </c>
      <c r="Q83" s="46">
        <v>148.32299999999998</v>
      </c>
      <c r="R83" s="46">
        <v>120.63200000000002</v>
      </c>
      <c r="S83" s="46">
        <v>155.17000000000002</v>
      </c>
      <c r="T83" s="46">
        <v>129.84</v>
      </c>
      <c r="U83" s="46">
        <v>114.77099999999999</v>
      </c>
      <c r="V83" s="46">
        <v>143.00499999999997</v>
      </c>
      <c r="W83" s="46">
        <v>142.17300000000003</v>
      </c>
      <c r="X83" s="46">
        <v>101.84300000000002</v>
      </c>
      <c r="Y83" s="46">
        <v>123.16300000000001</v>
      </c>
      <c r="Z83" s="46">
        <v>162.29500000000002</v>
      </c>
      <c r="AA83" s="46">
        <v>100.23099999999999</v>
      </c>
      <c r="AB83" s="46">
        <v>124.072</v>
      </c>
      <c r="AC83" s="46">
        <v>112.62100000000002</v>
      </c>
      <c r="AD83" s="46">
        <v>162.364</v>
      </c>
      <c r="AE83" s="46">
        <v>117.85400000000001</v>
      </c>
      <c r="AF83" s="46">
        <v>134.49699999999999</v>
      </c>
      <c r="AG83" s="46">
        <v>113.26500000000003</v>
      </c>
      <c r="AH83" s="46">
        <v>104.45400000000001</v>
      </c>
      <c r="AI83" s="46">
        <v>159.62600000000003</v>
      </c>
      <c r="AJ83" s="46">
        <v>119.33000000000001</v>
      </c>
      <c r="AK83" s="46">
        <v>119.05200000000001</v>
      </c>
      <c r="AL83" s="46">
        <v>144.45199999999997</v>
      </c>
      <c r="AM83" s="46">
        <f t="shared" si="4"/>
        <v>132.95224999999999</v>
      </c>
      <c r="AN83" s="7">
        <f t="shared" si="5"/>
        <v>13.295224999999999</v>
      </c>
    </row>
    <row r="84" spans="1:40" x14ac:dyDescent="0.3">
      <c r="A84" s="5">
        <v>83</v>
      </c>
      <c r="B84" s="107" t="s">
        <v>58</v>
      </c>
      <c r="C84" s="112" t="s">
        <v>651</v>
      </c>
      <c r="D84" s="112" t="s">
        <v>756</v>
      </c>
      <c r="E84" s="110" t="s">
        <v>128</v>
      </c>
      <c r="F84" s="6" t="s">
        <v>12</v>
      </c>
      <c r="G84" s="6" t="s">
        <v>976</v>
      </c>
      <c r="H84" s="12" t="s">
        <v>35</v>
      </c>
      <c r="I84" s="5">
        <v>8</v>
      </c>
      <c r="J84" s="94" t="s">
        <v>273</v>
      </c>
      <c r="K84" s="46">
        <v>28.977</v>
      </c>
      <c r="L84" s="46">
        <v>48.47</v>
      </c>
      <c r="M84" s="46">
        <v>49.258000000000003</v>
      </c>
      <c r="N84" s="46">
        <v>52.88000000000001</v>
      </c>
      <c r="O84" s="46">
        <v>67.367000000000004</v>
      </c>
      <c r="P84" s="46">
        <v>40.549999999999997</v>
      </c>
      <c r="Q84" s="46">
        <v>36.695999999999998</v>
      </c>
      <c r="R84" s="46">
        <v>55.747</v>
      </c>
      <c r="S84" s="46">
        <v>39.953000000000003</v>
      </c>
      <c r="T84" s="46">
        <v>35.397999999999996</v>
      </c>
      <c r="U84" s="46">
        <v>46.438000000000002</v>
      </c>
      <c r="V84" s="46">
        <v>32.166000000000004</v>
      </c>
      <c r="W84" s="46">
        <v>35.496000000000002</v>
      </c>
      <c r="X84" s="46">
        <v>39.56900000000001</v>
      </c>
      <c r="Y84" s="46">
        <v>32.729999999999997</v>
      </c>
      <c r="Z84" s="46">
        <v>39.384</v>
      </c>
      <c r="AA84" s="46">
        <v>63.112000000000002</v>
      </c>
      <c r="AB84" s="46">
        <v>58.058000000000007</v>
      </c>
      <c r="AC84" s="46">
        <v>46.161000000000001</v>
      </c>
      <c r="AD84" s="46">
        <v>43.791000000000004</v>
      </c>
      <c r="AE84" s="46">
        <v>23.152999999999999</v>
      </c>
      <c r="AF84" s="46">
        <v>34.280999999999999</v>
      </c>
      <c r="AG84" s="46">
        <v>46.583000000000006</v>
      </c>
      <c r="AH84" s="46">
        <v>45.108999999999995</v>
      </c>
      <c r="AI84" s="46">
        <v>55.353999999999999</v>
      </c>
      <c r="AJ84" s="46">
        <v>45.51</v>
      </c>
      <c r="AK84" s="46">
        <v>26.798999999999999</v>
      </c>
      <c r="AL84" s="46">
        <v>42.317000000000007</v>
      </c>
      <c r="AM84" s="46">
        <f t="shared" si="4"/>
        <v>43.260964285714287</v>
      </c>
      <c r="AN84" s="7">
        <f t="shared" si="5"/>
        <v>5.4076205357142859</v>
      </c>
    </row>
    <row r="85" spans="1:40" x14ac:dyDescent="0.3">
      <c r="A85" s="5">
        <v>84</v>
      </c>
      <c r="B85" s="107" t="s">
        <v>58</v>
      </c>
      <c r="C85" s="112" t="s">
        <v>652</v>
      </c>
      <c r="D85" s="112" t="s">
        <v>786</v>
      </c>
      <c r="E85" s="110" t="s">
        <v>128</v>
      </c>
      <c r="F85" s="6" t="s">
        <v>12</v>
      </c>
      <c r="G85" s="6" t="s">
        <v>976</v>
      </c>
      <c r="H85" s="12" t="s">
        <v>35</v>
      </c>
      <c r="I85" s="5">
        <v>6</v>
      </c>
      <c r="J85" s="94" t="s">
        <v>273</v>
      </c>
      <c r="K85" s="46">
        <v>21.434000000000001</v>
      </c>
      <c r="L85" s="46">
        <v>6.8949999999999996</v>
      </c>
      <c r="M85" s="46">
        <v>17.11</v>
      </c>
      <c r="N85" s="46">
        <v>21.721</v>
      </c>
      <c r="O85" s="46">
        <v>8.6939999999999991</v>
      </c>
      <c r="P85" s="46">
        <v>22.1</v>
      </c>
      <c r="Q85" s="46">
        <v>24.16</v>
      </c>
      <c r="R85" s="46">
        <v>24.061</v>
      </c>
      <c r="S85" s="46">
        <v>19.93</v>
      </c>
      <c r="T85" s="46">
        <v>16.236000000000001</v>
      </c>
      <c r="U85" s="46">
        <v>8.2070000000000007</v>
      </c>
      <c r="V85" s="46">
        <v>24.149000000000001</v>
      </c>
      <c r="W85" s="46">
        <v>16.080000000000002</v>
      </c>
      <c r="X85" s="46">
        <v>7.9379999999999997</v>
      </c>
      <c r="Y85" s="46">
        <v>12.314000000000002</v>
      </c>
      <c r="Z85" s="46">
        <v>18.420999999999999</v>
      </c>
      <c r="AA85" s="46">
        <v>17.744999999999997</v>
      </c>
      <c r="AB85" s="46">
        <v>15.047000000000001</v>
      </c>
      <c r="AC85" s="46">
        <v>1.9059999999999999</v>
      </c>
      <c r="AD85" s="46">
        <v>14.425000000000001</v>
      </c>
      <c r="AE85" s="46">
        <v>1.617</v>
      </c>
      <c r="AF85" s="46">
        <v>11.795</v>
      </c>
      <c r="AG85" s="46">
        <v>20.446999999999999</v>
      </c>
      <c r="AH85" s="46">
        <v>16.417000000000002</v>
      </c>
      <c r="AI85" s="46">
        <v>11.850000000000001</v>
      </c>
      <c r="AJ85" s="46">
        <v>14.317</v>
      </c>
      <c r="AK85" s="46">
        <v>7.4740000000000002</v>
      </c>
      <c r="AL85" s="46">
        <v>9.3509999999999991</v>
      </c>
      <c r="AM85" s="46">
        <f t="shared" si="4"/>
        <v>14.708607142857145</v>
      </c>
      <c r="AN85" s="7">
        <f t="shared" si="5"/>
        <v>2.4514345238095241</v>
      </c>
    </row>
    <row r="86" spans="1:40" x14ac:dyDescent="0.3">
      <c r="A86" s="5">
        <v>85</v>
      </c>
      <c r="B86" s="107" t="s">
        <v>58</v>
      </c>
      <c r="C86" s="112" t="s">
        <v>653</v>
      </c>
      <c r="D86" s="112" t="s">
        <v>953</v>
      </c>
      <c r="E86" s="110" t="s">
        <v>128</v>
      </c>
      <c r="F86" s="6" t="s">
        <v>12</v>
      </c>
      <c r="G86" s="6" t="s">
        <v>976</v>
      </c>
      <c r="H86" s="12" t="s">
        <v>35</v>
      </c>
      <c r="I86" s="5">
        <v>2</v>
      </c>
      <c r="J86" s="94" t="s">
        <v>273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46">
        <v>0</v>
      </c>
      <c r="Q86" s="46">
        <v>7.29</v>
      </c>
      <c r="R86" s="46">
        <v>16.809999999999999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0.152</v>
      </c>
      <c r="Y86" s="46">
        <v>10.797000000000001</v>
      </c>
      <c r="Z86" s="46">
        <v>13.824999999999999</v>
      </c>
      <c r="AA86" s="46">
        <v>0</v>
      </c>
      <c r="AB86" s="46">
        <v>14.878</v>
      </c>
      <c r="AC86" s="46">
        <v>13.321000000000002</v>
      </c>
      <c r="AD86" s="46">
        <v>0</v>
      </c>
      <c r="AE86" s="46">
        <v>6.0000000000000001E-3</v>
      </c>
      <c r="AF86" s="46">
        <v>17.802</v>
      </c>
      <c r="AG86" s="46">
        <v>0</v>
      </c>
      <c r="AH86" s="46">
        <v>1.3499999999999999</v>
      </c>
      <c r="AI86" s="46">
        <v>21.837</v>
      </c>
      <c r="AJ86" s="46">
        <v>6.1559999999999997</v>
      </c>
      <c r="AK86" s="46">
        <v>6.612000000000001</v>
      </c>
      <c r="AL86" s="46">
        <v>0</v>
      </c>
      <c r="AM86" s="46">
        <f t="shared" si="4"/>
        <v>4.672714285714286</v>
      </c>
      <c r="AN86" s="7">
        <f t="shared" si="5"/>
        <v>2.336357142857143</v>
      </c>
    </row>
    <row r="87" spans="1:40" x14ac:dyDescent="0.3">
      <c r="A87" s="5">
        <v>86</v>
      </c>
      <c r="B87" s="107" t="s">
        <v>58</v>
      </c>
      <c r="C87" s="10"/>
      <c r="D87" s="39" t="s">
        <v>917</v>
      </c>
      <c r="E87" s="110" t="s">
        <v>128</v>
      </c>
      <c r="F87" s="6" t="s">
        <v>12</v>
      </c>
      <c r="G87" s="6" t="s">
        <v>973</v>
      </c>
      <c r="H87" s="6" t="s">
        <v>80</v>
      </c>
      <c r="I87" s="92">
        <v>1</v>
      </c>
      <c r="J87" s="67" t="s">
        <v>590</v>
      </c>
      <c r="K87" s="46"/>
      <c r="L87" s="46"/>
      <c r="M87" s="46"/>
      <c r="N87" s="46"/>
      <c r="O87" s="46"/>
      <c r="P87" s="46"/>
      <c r="Q87" s="46"/>
      <c r="R87" s="46">
        <v>0.04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0</v>
      </c>
      <c r="AJ87" s="46">
        <v>0</v>
      </c>
      <c r="AK87" s="46">
        <v>0</v>
      </c>
      <c r="AL87" s="46">
        <v>0</v>
      </c>
      <c r="AM87" s="46">
        <f t="shared" si="4"/>
        <v>1.9047619047619048E-3</v>
      </c>
      <c r="AN87" s="7">
        <f t="shared" si="5"/>
        <v>1.9047619047619048E-3</v>
      </c>
    </row>
    <row r="88" spans="1:40" x14ac:dyDescent="0.3">
      <c r="A88" s="5">
        <v>86</v>
      </c>
      <c r="B88" s="107" t="s">
        <v>58</v>
      </c>
      <c r="C88" s="10"/>
      <c r="D88" s="10" t="s">
        <v>1007</v>
      </c>
      <c r="E88" s="110" t="s">
        <v>128</v>
      </c>
      <c r="F88" s="6" t="s">
        <v>12</v>
      </c>
      <c r="G88" s="6" t="s">
        <v>353</v>
      </c>
      <c r="H88" s="12" t="s">
        <v>35</v>
      </c>
      <c r="I88" s="5">
        <v>2</v>
      </c>
      <c r="J88" s="67" t="s">
        <v>590</v>
      </c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>
        <v>1.0069999999999999</v>
      </c>
      <c r="AL88" s="46">
        <v>0</v>
      </c>
      <c r="AM88" s="46">
        <f t="shared" si="4"/>
        <v>0.50349999999999995</v>
      </c>
      <c r="AN88" s="7">
        <f t="shared" si="5"/>
        <v>0.25174999999999997</v>
      </c>
    </row>
    <row r="89" spans="1:40" ht="15.6" x14ac:dyDescent="0.3">
      <c r="A89" s="5">
        <v>87</v>
      </c>
      <c r="B89" s="107" t="s">
        <v>476</v>
      </c>
      <c r="C89" s="112" t="s">
        <v>698</v>
      </c>
      <c r="D89" s="114" t="s">
        <v>956</v>
      </c>
      <c r="E89" s="110" t="s">
        <v>128</v>
      </c>
      <c r="F89" s="6" t="s">
        <v>12</v>
      </c>
      <c r="G89" s="6" t="s">
        <v>976</v>
      </c>
      <c r="H89" s="12" t="s">
        <v>35</v>
      </c>
      <c r="I89" s="5">
        <v>1</v>
      </c>
      <c r="J89" s="67" t="s">
        <v>590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f t="shared" si="4"/>
        <v>0</v>
      </c>
      <c r="AN89" s="7">
        <f t="shared" si="5"/>
        <v>0</v>
      </c>
    </row>
    <row r="90" spans="1:40" ht="15.6" x14ac:dyDescent="0.3">
      <c r="A90" s="5">
        <v>88</v>
      </c>
      <c r="B90" s="107" t="s">
        <v>569</v>
      </c>
      <c r="C90" s="112" t="s">
        <v>656</v>
      </c>
      <c r="D90" s="114" t="s">
        <v>955</v>
      </c>
      <c r="E90" s="110" t="s">
        <v>61</v>
      </c>
      <c r="F90" s="6" t="s">
        <v>12</v>
      </c>
      <c r="G90" s="6" t="s">
        <v>976</v>
      </c>
      <c r="H90" s="12" t="s">
        <v>35</v>
      </c>
      <c r="I90" s="5">
        <v>14</v>
      </c>
      <c r="J90" s="67" t="s">
        <v>160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f t="shared" si="4"/>
        <v>0</v>
      </c>
      <c r="AN90" s="7">
        <f t="shared" si="5"/>
        <v>0</v>
      </c>
    </row>
    <row r="91" spans="1:40" x14ac:dyDescent="0.3">
      <c r="A91" s="5">
        <v>89</v>
      </c>
      <c r="B91" s="107" t="s">
        <v>829</v>
      </c>
      <c r="C91" s="112" t="s">
        <v>831</v>
      </c>
      <c r="D91" s="112" t="s">
        <v>830</v>
      </c>
      <c r="E91" s="110" t="s">
        <v>128</v>
      </c>
      <c r="F91" s="6" t="s">
        <v>12</v>
      </c>
      <c r="G91" s="6" t="s">
        <v>973</v>
      </c>
      <c r="H91" s="6" t="s">
        <v>80</v>
      </c>
      <c r="I91" s="5">
        <v>1</v>
      </c>
      <c r="J91" s="67" t="s">
        <v>160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1.2129999999999999</v>
      </c>
      <c r="AL91" s="46">
        <v>15.221000000000002</v>
      </c>
      <c r="AM91" s="46">
        <f t="shared" si="4"/>
        <v>0.58692857142857147</v>
      </c>
      <c r="AN91" s="7">
        <f t="shared" si="5"/>
        <v>0.58692857142857147</v>
      </c>
    </row>
    <row r="92" spans="1:40" x14ac:dyDescent="0.3">
      <c r="A92" s="5">
        <v>90</v>
      </c>
      <c r="B92" s="107" t="s">
        <v>866</v>
      </c>
      <c r="C92" s="112" t="s">
        <v>957</v>
      </c>
      <c r="D92" s="112" t="s">
        <v>867</v>
      </c>
      <c r="E92" s="110" t="s">
        <v>128</v>
      </c>
      <c r="F92" s="6" t="s">
        <v>12</v>
      </c>
      <c r="G92" s="6" t="s">
        <v>973</v>
      </c>
      <c r="H92" s="6" t="s">
        <v>80</v>
      </c>
      <c r="I92" s="5">
        <v>1</v>
      </c>
      <c r="J92" s="67" t="s">
        <v>160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2.48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0.64</v>
      </c>
      <c r="AI92" s="46">
        <v>0</v>
      </c>
      <c r="AJ92" s="46">
        <v>0</v>
      </c>
      <c r="AK92" s="46">
        <v>0</v>
      </c>
      <c r="AL92" s="46">
        <v>0</v>
      </c>
      <c r="AM92" s="46">
        <f t="shared" si="4"/>
        <v>0.11142857142857143</v>
      </c>
      <c r="AN92" s="7">
        <f t="shared" si="5"/>
        <v>0.11142857142857143</v>
      </c>
    </row>
    <row r="93" spans="1:40" x14ac:dyDescent="0.3">
      <c r="A93" s="5">
        <v>91</v>
      </c>
      <c r="B93" s="107" t="s">
        <v>892</v>
      </c>
      <c r="C93" s="112" t="s">
        <v>954</v>
      </c>
      <c r="D93" s="112" t="s">
        <v>893</v>
      </c>
      <c r="E93" s="110" t="s">
        <v>128</v>
      </c>
      <c r="F93" s="6" t="s">
        <v>12</v>
      </c>
      <c r="G93" s="6" t="s">
        <v>973</v>
      </c>
      <c r="H93" s="6" t="s">
        <v>80</v>
      </c>
      <c r="I93" s="5">
        <v>1</v>
      </c>
      <c r="J93" s="67" t="s">
        <v>160</v>
      </c>
      <c r="K93" s="46">
        <v>0</v>
      </c>
      <c r="L93" s="46">
        <v>0</v>
      </c>
      <c r="M93" s="46">
        <v>0</v>
      </c>
      <c r="N93" s="46">
        <v>8.7889999999999997</v>
      </c>
      <c r="O93" s="46">
        <v>19.939999999999998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0.95099999999999996</v>
      </c>
      <c r="AE93" s="46">
        <v>0</v>
      </c>
      <c r="AF93" s="46">
        <v>0</v>
      </c>
      <c r="AG93" s="46">
        <v>0</v>
      </c>
      <c r="AH93" s="46">
        <v>0</v>
      </c>
      <c r="AI93" s="46">
        <v>7.4489999999999998</v>
      </c>
      <c r="AJ93" s="46">
        <v>0</v>
      </c>
      <c r="AK93" s="46">
        <v>0</v>
      </c>
      <c r="AL93" s="46">
        <v>0</v>
      </c>
      <c r="AM93" s="46">
        <f t="shared" si="4"/>
        <v>1.3260357142857142</v>
      </c>
      <c r="AN93" s="7">
        <f t="shared" si="5"/>
        <v>1.3260357142857142</v>
      </c>
    </row>
    <row r="94" spans="1:40" x14ac:dyDescent="0.3">
      <c r="A94" s="5">
        <v>92</v>
      </c>
      <c r="B94" s="107" t="s">
        <v>895</v>
      </c>
      <c r="C94" s="115"/>
      <c r="D94" s="39" t="s">
        <v>896</v>
      </c>
      <c r="E94" s="110" t="s">
        <v>128</v>
      </c>
      <c r="F94" s="6" t="s">
        <v>12</v>
      </c>
      <c r="G94" s="6" t="s">
        <v>973</v>
      </c>
      <c r="H94" s="6" t="s">
        <v>80</v>
      </c>
      <c r="I94" s="5">
        <v>1</v>
      </c>
      <c r="J94" s="67" t="s">
        <v>160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0</v>
      </c>
      <c r="AL94" s="46">
        <v>0</v>
      </c>
      <c r="AM94" s="46">
        <f t="shared" si="4"/>
        <v>0</v>
      </c>
      <c r="AN94" s="7">
        <f t="shared" si="5"/>
        <v>0</v>
      </c>
    </row>
    <row r="95" spans="1:40" x14ac:dyDescent="0.3">
      <c r="A95" s="5">
        <v>93</v>
      </c>
      <c r="B95" s="107" t="s">
        <v>844</v>
      </c>
      <c r="C95" s="112" t="s">
        <v>845</v>
      </c>
      <c r="D95" s="112" t="s">
        <v>843</v>
      </c>
      <c r="E95" s="110" t="s">
        <v>128</v>
      </c>
      <c r="F95" s="6" t="s">
        <v>12</v>
      </c>
      <c r="G95" s="6" t="s">
        <v>973</v>
      </c>
      <c r="H95" s="6" t="s">
        <v>80</v>
      </c>
      <c r="I95" s="92">
        <v>1</v>
      </c>
      <c r="J95" s="67" t="s">
        <v>160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5.22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3.6399999999999997</v>
      </c>
      <c r="AB95" s="46">
        <v>0</v>
      </c>
      <c r="AC95" s="46">
        <v>0</v>
      </c>
      <c r="AD95" s="46">
        <v>2.2600000000000002</v>
      </c>
      <c r="AE95" s="46">
        <v>0</v>
      </c>
      <c r="AF95" s="46">
        <v>0</v>
      </c>
      <c r="AG95" s="46">
        <v>11.231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f t="shared" si="4"/>
        <v>0.79825000000000002</v>
      </c>
      <c r="AN95" s="7">
        <f t="shared" si="5"/>
        <v>0.79825000000000002</v>
      </c>
    </row>
    <row r="96" spans="1:40" x14ac:dyDescent="0.3">
      <c r="A96" s="5">
        <v>94</v>
      </c>
      <c r="B96" s="107" t="s">
        <v>119</v>
      </c>
      <c r="C96" s="112" t="s">
        <v>654</v>
      </c>
      <c r="D96" s="112" t="s">
        <v>716</v>
      </c>
      <c r="E96" s="110" t="s">
        <v>30</v>
      </c>
      <c r="F96" s="6" t="s">
        <v>12</v>
      </c>
      <c r="G96" s="6" t="s">
        <v>976</v>
      </c>
      <c r="H96" s="6" t="s">
        <v>35</v>
      </c>
      <c r="I96" s="5">
        <v>20</v>
      </c>
      <c r="J96" s="12" t="s">
        <v>589</v>
      </c>
      <c r="K96" s="46">
        <v>25.492999999999999</v>
      </c>
      <c r="L96" s="46">
        <v>36.865000000000002</v>
      </c>
      <c r="M96" s="46">
        <v>38.326999999999998</v>
      </c>
      <c r="N96" s="46">
        <v>24.149000000000001</v>
      </c>
      <c r="O96" s="46">
        <v>10.913</v>
      </c>
      <c r="P96" s="46">
        <v>100.075</v>
      </c>
      <c r="Q96" s="46">
        <v>51.359999999999992</v>
      </c>
      <c r="R96" s="46">
        <v>57.054999999999993</v>
      </c>
      <c r="S96" s="46">
        <v>46.731999999999999</v>
      </c>
      <c r="T96" s="46">
        <v>42.000999999999991</v>
      </c>
      <c r="U96" s="46">
        <v>46.966000000000001</v>
      </c>
      <c r="V96" s="46">
        <v>31.774000000000001</v>
      </c>
      <c r="W96" s="46">
        <v>23.684000000000001</v>
      </c>
      <c r="X96" s="46">
        <v>31.636000000000003</v>
      </c>
      <c r="Y96" s="46">
        <v>0.36199999999999999</v>
      </c>
      <c r="Z96" s="46">
        <v>0</v>
      </c>
      <c r="AA96" s="46">
        <v>10.802</v>
      </c>
      <c r="AB96" s="46">
        <v>22.326999999999998</v>
      </c>
      <c r="AC96" s="46">
        <v>15.092000000000001</v>
      </c>
      <c r="AD96" s="46">
        <v>13.581999999999999</v>
      </c>
      <c r="AE96" s="46">
        <v>24.314</v>
      </c>
      <c r="AF96" s="46">
        <v>8.2070000000000007</v>
      </c>
      <c r="AG96" s="46">
        <v>0</v>
      </c>
      <c r="AH96" s="46">
        <v>0</v>
      </c>
      <c r="AI96" s="46">
        <v>24.263000000000002</v>
      </c>
      <c r="AJ96" s="46">
        <v>0</v>
      </c>
      <c r="AK96" s="46">
        <v>7.4669999999999996</v>
      </c>
      <c r="AL96" s="46">
        <v>162.702</v>
      </c>
      <c r="AM96" s="46">
        <f t="shared" si="4"/>
        <v>30.576714285714282</v>
      </c>
      <c r="AN96" s="7">
        <f t="shared" si="5"/>
        <v>1.5288357142857141</v>
      </c>
    </row>
    <row r="97" spans="1:40" x14ac:dyDescent="0.3">
      <c r="A97" s="5">
        <v>95</v>
      </c>
      <c r="B97" s="107" t="s">
        <v>119</v>
      </c>
      <c r="C97" s="112" t="s">
        <v>655</v>
      </c>
      <c r="D97" s="112" t="s">
        <v>726</v>
      </c>
      <c r="E97" s="110" t="s">
        <v>30</v>
      </c>
      <c r="F97" s="6" t="s">
        <v>12</v>
      </c>
      <c r="G97" s="6" t="s">
        <v>976</v>
      </c>
      <c r="H97" s="6" t="s">
        <v>35</v>
      </c>
      <c r="I97" s="5">
        <v>3</v>
      </c>
      <c r="J97" s="12" t="s">
        <v>589</v>
      </c>
      <c r="K97" s="46">
        <v>28.405000000000001</v>
      </c>
      <c r="L97" s="46">
        <v>39.488</v>
      </c>
      <c r="M97" s="46">
        <v>39.070999999999998</v>
      </c>
      <c r="N97" s="46">
        <v>37.108000000000004</v>
      </c>
      <c r="O97" s="46">
        <v>29.478999999999999</v>
      </c>
      <c r="P97" s="46">
        <v>42.55</v>
      </c>
      <c r="Q97" s="46">
        <v>35.942</v>
      </c>
      <c r="R97" s="46">
        <v>20.853999999999999</v>
      </c>
      <c r="S97" s="46">
        <v>31.962</v>
      </c>
      <c r="T97" s="46">
        <v>19.125</v>
      </c>
      <c r="U97" s="46">
        <v>34.668000000000006</v>
      </c>
      <c r="V97" s="46">
        <v>10.373000000000001</v>
      </c>
      <c r="W97" s="46">
        <v>13.24</v>
      </c>
      <c r="X97" s="46">
        <v>11.920999999999999</v>
      </c>
      <c r="Y97" s="46">
        <v>6.4809999999999999</v>
      </c>
      <c r="Z97" s="46">
        <v>13.234999999999999</v>
      </c>
      <c r="AA97" s="46">
        <v>15.843</v>
      </c>
      <c r="AB97" s="46">
        <v>11.192</v>
      </c>
      <c r="AC97" s="46">
        <v>0</v>
      </c>
      <c r="AD97" s="46">
        <v>7.0520000000000005</v>
      </c>
      <c r="AE97" s="46">
        <v>7.9020000000000001</v>
      </c>
      <c r="AF97" s="46">
        <v>10.431999999999999</v>
      </c>
      <c r="AG97" s="46">
        <v>6.5590000000000002</v>
      </c>
      <c r="AH97" s="46">
        <v>14.164000000000001</v>
      </c>
      <c r="AI97" s="46">
        <v>4.875</v>
      </c>
      <c r="AJ97" s="46">
        <v>8.827</v>
      </c>
      <c r="AK97" s="46">
        <v>7.8970000000000002</v>
      </c>
      <c r="AL97" s="46">
        <v>12.285</v>
      </c>
      <c r="AM97" s="46">
        <f t="shared" si="4"/>
        <v>18.60464285714286</v>
      </c>
      <c r="AN97" s="7">
        <f t="shared" si="5"/>
        <v>6.20154761904762</v>
      </c>
    </row>
    <row r="98" spans="1:40" x14ac:dyDescent="0.3">
      <c r="A98" s="5">
        <v>96</v>
      </c>
      <c r="B98" s="107" t="s">
        <v>578</v>
      </c>
      <c r="C98" s="112" t="s">
        <v>657</v>
      </c>
      <c r="D98" s="113" t="s">
        <v>951</v>
      </c>
      <c r="E98" s="110" t="s">
        <v>128</v>
      </c>
      <c r="F98" s="6" t="s">
        <v>12</v>
      </c>
      <c r="G98" s="6" t="s">
        <v>973</v>
      </c>
      <c r="H98" s="6" t="s">
        <v>80</v>
      </c>
      <c r="I98" s="5">
        <v>1</v>
      </c>
      <c r="J98" s="67" t="s">
        <v>160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f t="shared" ref="AM98:AM129" si="6">AVERAGE(K98:AL98)</f>
        <v>0</v>
      </c>
      <c r="AN98" s="7">
        <f t="shared" ref="AN98:AN129" si="7">AM98/I98</f>
        <v>0</v>
      </c>
    </row>
    <row r="99" spans="1:40" x14ac:dyDescent="0.3">
      <c r="A99" s="5">
        <v>97</v>
      </c>
      <c r="B99" s="107" t="s">
        <v>576</v>
      </c>
      <c r="C99" s="112" t="s">
        <v>658</v>
      </c>
      <c r="D99" s="112" t="s">
        <v>788</v>
      </c>
      <c r="E99" s="110" t="s">
        <v>128</v>
      </c>
      <c r="F99" s="6" t="s">
        <v>12</v>
      </c>
      <c r="G99" s="6" t="s">
        <v>973</v>
      </c>
      <c r="H99" s="6" t="s">
        <v>80</v>
      </c>
      <c r="I99" s="5">
        <v>1</v>
      </c>
      <c r="J99" s="67" t="s">
        <v>160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f t="shared" si="6"/>
        <v>0</v>
      </c>
      <c r="AN99" s="7">
        <f t="shared" si="7"/>
        <v>0</v>
      </c>
    </row>
    <row r="100" spans="1:40" x14ac:dyDescent="0.3">
      <c r="A100" s="5">
        <v>98</v>
      </c>
      <c r="B100" s="107" t="s">
        <v>499</v>
      </c>
      <c r="C100" s="10" t="s">
        <v>660</v>
      </c>
      <c r="D100" s="39" t="s">
        <v>789</v>
      </c>
      <c r="E100" s="110" t="s">
        <v>128</v>
      </c>
      <c r="F100" s="6" t="s">
        <v>12</v>
      </c>
      <c r="G100" s="6" t="s">
        <v>973</v>
      </c>
      <c r="H100" s="6" t="s">
        <v>80</v>
      </c>
      <c r="I100" s="5">
        <v>1</v>
      </c>
      <c r="J100" s="67" t="s">
        <v>160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f t="shared" si="6"/>
        <v>0</v>
      </c>
      <c r="AN100" s="7">
        <f t="shared" si="7"/>
        <v>0</v>
      </c>
    </row>
    <row r="101" spans="1:40" x14ac:dyDescent="0.3">
      <c r="A101" s="5">
        <v>99</v>
      </c>
      <c r="B101" s="109" t="s">
        <v>560</v>
      </c>
      <c r="C101" s="112" t="s">
        <v>661</v>
      </c>
      <c r="D101" s="112" t="s">
        <v>913</v>
      </c>
      <c r="E101" s="110" t="s">
        <v>128</v>
      </c>
      <c r="F101" s="6" t="s">
        <v>12</v>
      </c>
      <c r="G101" s="6" t="s">
        <v>973</v>
      </c>
      <c r="H101" s="6" t="s">
        <v>80</v>
      </c>
      <c r="I101" s="5">
        <v>1</v>
      </c>
      <c r="J101" s="67" t="s">
        <v>160</v>
      </c>
      <c r="K101" s="46">
        <v>0</v>
      </c>
      <c r="L101" s="46">
        <v>0</v>
      </c>
      <c r="M101" s="46">
        <v>0</v>
      </c>
      <c r="N101" s="46">
        <v>0</v>
      </c>
      <c r="O101" s="46">
        <v>18.792999999999999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2.04</v>
      </c>
      <c r="V101" s="46">
        <v>0</v>
      </c>
      <c r="W101" s="46">
        <v>0</v>
      </c>
      <c r="X101" s="46">
        <v>7.7320000000000002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39.984000000000002</v>
      </c>
      <c r="AJ101" s="46">
        <v>20.050999999999998</v>
      </c>
      <c r="AK101" s="46">
        <v>0</v>
      </c>
      <c r="AL101" s="46">
        <v>0</v>
      </c>
      <c r="AM101" s="46">
        <f t="shared" si="6"/>
        <v>3.1642857142857146</v>
      </c>
      <c r="AN101" s="7">
        <f t="shared" si="7"/>
        <v>3.1642857142857146</v>
      </c>
    </row>
    <row r="102" spans="1:40" x14ac:dyDescent="0.3">
      <c r="A102" s="5">
        <v>100</v>
      </c>
      <c r="B102" s="107" t="s">
        <v>862</v>
      </c>
      <c r="C102" s="112" t="s">
        <v>864</v>
      </c>
      <c r="D102" s="112" t="s">
        <v>952</v>
      </c>
      <c r="E102" s="110" t="s">
        <v>128</v>
      </c>
      <c r="F102" s="6" t="s">
        <v>12</v>
      </c>
      <c r="G102" s="6" t="s">
        <v>973</v>
      </c>
      <c r="H102" s="6" t="s">
        <v>80</v>
      </c>
      <c r="I102" s="5">
        <v>1</v>
      </c>
      <c r="J102" s="67" t="s">
        <v>160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2.7519999999999998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f t="shared" si="6"/>
        <v>9.8285714285714282E-2</v>
      </c>
      <c r="AN102" s="7">
        <f t="shared" si="7"/>
        <v>9.8285714285714282E-2</v>
      </c>
    </row>
    <row r="103" spans="1:40" x14ac:dyDescent="0.3">
      <c r="A103" s="5">
        <v>101</v>
      </c>
      <c r="B103" s="107" t="s">
        <v>905</v>
      </c>
      <c r="C103" s="10"/>
      <c r="D103" s="39" t="s">
        <v>906</v>
      </c>
      <c r="E103" s="110" t="s">
        <v>128</v>
      </c>
      <c r="F103" s="6" t="s">
        <v>12</v>
      </c>
      <c r="G103" s="6" t="s">
        <v>973</v>
      </c>
      <c r="H103" s="6" t="s">
        <v>80</v>
      </c>
      <c r="I103" s="5">
        <v>2</v>
      </c>
      <c r="J103" s="67" t="s">
        <v>590</v>
      </c>
      <c r="K103" s="46">
        <v>5.57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33.26</v>
      </c>
      <c r="Y103" s="46">
        <v>26.659999999999997</v>
      </c>
      <c r="Z103" s="46">
        <v>0</v>
      </c>
      <c r="AA103" s="46">
        <v>0</v>
      </c>
      <c r="AB103" s="46">
        <v>28.81</v>
      </c>
      <c r="AC103" s="46">
        <v>29.49</v>
      </c>
      <c r="AD103" s="46">
        <v>39.489999999999995</v>
      </c>
      <c r="AE103" s="46">
        <v>18.52</v>
      </c>
      <c r="AF103" s="46">
        <v>0</v>
      </c>
      <c r="AG103" s="46">
        <v>0</v>
      </c>
      <c r="AH103" s="46">
        <v>7.58</v>
      </c>
      <c r="AI103" s="46">
        <v>21.490000000000002</v>
      </c>
      <c r="AJ103" s="46">
        <v>0</v>
      </c>
      <c r="AK103" s="46">
        <v>12.66</v>
      </c>
      <c r="AL103" s="46">
        <v>15.149999999999999</v>
      </c>
      <c r="AM103" s="46">
        <f t="shared" si="6"/>
        <v>8.524285714285714</v>
      </c>
      <c r="AN103" s="7">
        <f t="shared" si="7"/>
        <v>4.262142857142857</v>
      </c>
    </row>
    <row r="104" spans="1:40" x14ac:dyDescent="0.3">
      <c r="A104" s="5">
        <v>102</v>
      </c>
      <c r="B104" s="109" t="s">
        <v>563</v>
      </c>
      <c r="C104" s="112" t="s">
        <v>659</v>
      </c>
      <c r="D104" s="112" t="s">
        <v>791</v>
      </c>
      <c r="E104" s="110" t="s">
        <v>128</v>
      </c>
      <c r="F104" s="6" t="s">
        <v>12</v>
      </c>
      <c r="G104" s="6" t="s">
        <v>973</v>
      </c>
      <c r="H104" s="6" t="s">
        <v>80</v>
      </c>
      <c r="I104" s="5">
        <v>1</v>
      </c>
      <c r="J104" s="67" t="s">
        <v>160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f t="shared" si="6"/>
        <v>0</v>
      </c>
      <c r="AN104" s="7">
        <f t="shared" si="7"/>
        <v>0</v>
      </c>
    </row>
    <row r="105" spans="1:40" x14ac:dyDescent="0.3">
      <c r="A105" s="5">
        <v>103</v>
      </c>
      <c r="B105" s="101" t="s">
        <v>832</v>
      </c>
      <c r="C105" s="112" t="s">
        <v>833</v>
      </c>
      <c r="D105" s="112" t="s">
        <v>834</v>
      </c>
      <c r="E105" s="110" t="s">
        <v>128</v>
      </c>
      <c r="F105" s="6" t="s">
        <v>12</v>
      </c>
      <c r="G105" s="6" t="s">
        <v>973</v>
      </c>
      <c r="H105" s="6" t="s">
        <v>80</v>
      </c>
      <c r="I105" s="92">
        <v>1</v>
      </c>
      <c r="J105" s="67" t="s">
        <v>160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0</v>
      </c>
      <c r="AL105" s="46">
        <v>0</v>
      </c>
      <c r="AM105" s="46">
        <f t="shared" si="6"/>
        <v>0</v>
      </c>
      <c r="AN105" s="7">
        <f t="shared" si="7"/>
        <v>0</v>
      </c>
    </row>
    <row r="106" spans="1:40" x14ac:dyDescent="0.3">
      <c r="A106" s="5">
        <v>104</v>
      </c>
      <c r="B106" s="109" t="s">
        <v>597</v>
      </c>
      <c r="C106" s="112" t="s">
        <v>699</v>
      </c>
      <c r="D106" s="112" t="s">
        <v>792</v>
      </c>
      <c r="E106" s="110" t="s">
        <v>128</v>
      </c>
      <c r="F106" s="6" t="s">
        <v>12</v>
      </c>
      <c r="G106" s="6" t="s">
        <v>973</v>
      </c>
      <c r="H106" s="6" t="s">
        <v>80</v>
      </c>
      <c r="I106" s="5">
        <v>1</v>
      </c>
      <c r="J106" s="67" t="s">
        <v>160</v>
      </c>
      <c r="K106" s="46">
        <v>15.530000000000001</v>
      </c>
      <c r="L106" s="46">
        <v>0</v>
      </c>
      <c r="M106" s="46">
        <v>0</v>
      </c>
      <c r="N106" s="46">
        <v>0</v>
      </c>
      <c r="O106" s="46">
        <v>0</v>
      </c>
      <c r="P106" s="46">
        <v>7.0990000000000002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f t="shared" si="6"/>
        <v>0.80817857142857152</v>
      </c>
      <c r="AN106" s="7">
        <f t="shared" si="7"/>
        <v>0.80817857142857152</v>
      </c>
    </row>
    <row r="107" spans="1:40" x14ac:dyDescent="0.3">
      <c r="A107" s="5">
        <v>105</v>
      </c>
      <c r="B107" s="109" t="s">
        <v>885</v>
      </c>
      <c r="C107" s="112" t="s">
        <v>887</v>
      </c>
      <c r="D107" s="112" t="s">
        <v>886</v>
      </c>
      <c r="E107" s="110" t="s">
        <v>128</v>
      </c>
      <c r="F107" s="6" t="s">
        <v>12</v>
      </c>
      <c r="G107" s="6" t="s">
        <v>973</v>
      </c>
      <c r="H107" s="6" t="s">
        <v>80</v>
      </c>
      <c r="I107" s="5">
        <v>1</v>
      </c>
      <c r="J107" s="67" t="s">
        <v>160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f t="shared" si="6"/>
        <v>0</v>
      </c>
      <c r="AN107" s="7">
        <f t="shared" si="7"/>
        <v>0</v>
      </c>
    </row>
    <row r="108" spans="1:40" x14ac:dyDescent="0.3">
      <c r="A108" s="5">
        <v>106</v>
      </c>
      <c r="B108" s="109" t="s">
        <v>598</v>
      </c>
      <c r="C108" s="112" t="s">
        <v>700</v>
      </c>
      <c r="D108" s="112" t="s">
        <v>793</v>
      </c>
      <c r="E108" s="110" t="s">
        <v>128</v>
      </c>
      <c r="F108" s="6" t="s">
        <v>12</v>
      </c>
      <c r="G108" s="6" t="s">
        <v>973</v>
      </c>
      <c r="H108" s="6" t="s">
        <v>80</v>
      </c>
      <c r="I108" s="5">
        <v>1</v>
      </c>
      <c r="J108" s="67" t="s">
        <v>160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f t="shared" si="6"/>
        <v>0</v>
      </c>
      <c r="AN108" s="7">
        <f t="shared" si="7"/>
        <v>0</v>
      </c>
    </row>
    <row r="109" spans="1:40" x14ac:dyDescent="0.3">
      <c r="A109" s="5">
        <v>107</v>
      </c>
      <c r="B109" s="109" t="s">
        <v>708</v>
      </c>
      <c r="C109" s="112" t="s">
        <v>709</v>
      </c>
      <c r="D109" s="112" t="s">
        <v>794</v>
      </c>
      <c r="E109" s="110" t="s">
        <v>128</v>
      </c>
      <c r="F109" s="6" t="s">
        <v>12</v>
      </c>
      <c r="G109" s="6" t="s">
        <v>973</v>
      </c>
      <c r="H109" s="6" t="s">
        <v>80</v>
      </c>
      <c r="I109" s="5">
        <v>1</v>
      </c>
      <c r="J109" s="67" t="s">
        <v>160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0</v>
      </c>
      <c r="AF109" s="46">
        <v>0</v>
      </c>
      <c r="AG109" s="46">
        <v>0</v>
      </c>
      <c r="AH109" s="46">
        <v>0</v>
      </c>
      <c r="AI109" s="46">
        <v>0</v>
      </c>
      <c r="AJ109" s="46">
        <v>0</v>
      </c>
      <c r="AK109" s="46">
        <v>0</v>
      </c>
      <c r="AL109" s="46">
        <v>0</v>
      </c>
      <c r="AM109" s="46">
        <f t="shared" si="6"/>
        <v>0</v>
      </c>
      <c r="AN109" s="7">
        <f t="shared" si="7"/>
        <v>0</v>
      </c>
    </row>
    <row r="110" spans="1:40" x14ac:dyDescent="0.3">
      <c r="A110" s="5">
        <v>108</v>
      </c>
      <c r="B110" s="95" t="s">
        <v>822</v>
      </c>
      <c r="C110" s="112" t="s">
        <v>823</v>
      </c>
      <c r="D110" s="112" t="s">
        <v>824</v>
      </c>
      <c r="E110" s="110" t="s">
        <v>128</v>
      </c>
      <c r="F110" s="6" t="s">
        <v>12</v>
      </c>
      <c r="G110" s="6" t="s">
        <v>973</v>
      </c>
      <c r="H110" s="6" t="s">
        <v>80</v>
      </c>
      <c r="I110" s="5">
        <v>1</v>
      </c>
      <c r="J110" s="67" t="s">
        <v>160</v>
      </c>
      <c r="K110" s="46">
        <v>0</v>
      </c>
      <c r="L110" s="46">
        <v>0</v>
      </c>
      <c r="M110" s="46">
        <v>0</v>
      </c>
      <c r="N110" s="46">
        <v>0</v>
      </c>
      <c r="O110" s="46">
        <v>4.7300000000000004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f t="shared" si="6"/>
        <v>0.16892857142857146</v>
      </c>
      <c r="AN110" s="7">
        <f t="shared" si="7"/>
        <v>0.16892857142857146</v>
      </c>
    </row>
    <row r="111" spans="1:40" x14ac:dyDescent="0.3">
      <c r="A111" s="5">
        <v>109</v>
      </c>
      <c r="B111" s="95" t="s">
        <v>882</v>
      </c>
      <c r="C111" s="112" t="s">
        <v>884</v>
      </c>
      <c r="D111" s="112" t="s">
        <v>883</v>
      </c>
      <c r="E111" s="110" t="s">
        <v>128</v>
      </c>
      <c r="F111" s="6" t="s">
        <v>12</v>
      </c>
      <c r="G111" s="6" t="s">
        <v>973</v>
      </c>
      <c r="H111" s="6" t="s">
        <v>80</v>
      </c>
      <c r="I111" s="5">
        <v>1</v>
      </c>
      <c r="J111" s="67" t="s">
        <v>160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f t="shared" si="6"/>
        <v>0</v>
      </c>
      <c r="AN111" s="7">
        <f t="shared" si="7"/>
        <v>0</v>
      </c>
    </row>
    <row r="112" spans="1:40" x14ac:dyDescent="0.3">
      <c r="A112" s="5">
        <v>110</v>
      </c>
      <c r="B112" s="107" t="s">
        <v>55</v>
      </c>
      <c r="C112" s="112" t="s">
        <v>662</v>
      </c>
      <c r="D112" s="112" t="s">
        <v>731</v>
      </c>
      <c r="E112" s="110" t="s">
        <v>57</v>
      </c>
      <c r="F112" s="6" t="s">
        <v>12</v>
      </c>
      <c r="G112" s="6" t="s">
        <v>976</v>
      </c>
      <c r="H112" s="6" t="s">
        <v>35</v>
      </c>
      <c r="I112" s="5">
        <v>40</v>
      </c>
      <c r="J112" s="12" t="s">
        <v>589</v>
      </c>
      <c r="K112" s="46">
        <v>449.59699999999998</v>
      </c>
      <c r="L112" s="46">
        <v>463.11999999999983</v>
      </c>
      <c r="M112" s="46">
        <v>323.30700000000007</v>
      </c>
      <c r="N112" s="46">
        <v>113.32299999999999</v>
      </c>
      <c r="O112" s="46">
        <v>391.25700000000006</v>
      </c>
      <c r="P112" s="46">
        <v>366.54699999999997</v>
      </c>
      <c r="Q112" s="46">
        <v>317.54299999999995</v>
      </c>
      <c r="R112" s="46">
        <v>471.71900000000005</v>
      </c>
      <c r="S112" s="46">
        <v>513.928</v>
      </c>
      <c r="T112" s="46">
        <v>310.23099999999988</v>
      </c>
      <c r="U112" s="46">
        <v>140.14100000000002</v>
      </c>
      <c r="V112" s="46">
        <v>379.91099999999994</v>
      </c>
      <c r="W112" s="46">
        <v>374.84699999999998</v>
      </c>
      <c r="X112" s="46">
        <v>269.815</v>
      </c>
      <c r="Y112" s="46">
        <v>417.51100000000014</v>
      </c>
      <c r="Z112" s="46">
        <v>369.51400000000007</v>
      </c>
      <c r="AA112" s="46">
        <v>341.84300000000002</v>
      </c>
      <c r="AB112" s="46">
        <v>121.464</v>
      </c>
      <c r="AC112" s="46">
        <v>371.89900000000011</v>
      </c>
      <c r="AD112" s="46">
        <v>365.33800000000014</v>
      </c>
      <c r="AE112" s="46">
        <v>361.18399999999991</v>
      </c>
      <c r="AF112" s="46">
        <v>398.20799999999991</v>
      </c>
      <c r="AG112" s="46">
        <v>398.69800000000004</v>
      </c>
      <c r="AH112" s="46">
        <v>333.14699999999999</v>
      </c>
      <c r="AI112" s="46">
        <v>135.65799999999996</v>
      </c>
      <c r="AJ112" s="46">
        <v>304.23099999999999</v>
      </c>
      <c r="AK112" s="46">
        <v>291.42500000000018</v>
      </c>
      <c r="AL112" s="46">
        <v>147.334</v>
      </c>
      <c r="AM112" s="46">
        <f t="shared" si="6"/>
        <v>330.09785714285715</v>
      </c>
      <c r="AN112" s="7">
        <f t="shared" si="7"/>
        <v>8.2524464285714281</v>
      </c>
    </row>
    <row r="113" spans="1:40" x14ac:dyDescent="0.3">
      <c r="A113" s="5">
        <v>111</v>
      </c>
      <c r="B113" s="107" t="s">
        <v>919</v>
      </c>
      <c r="C113" s="10"/>
      <c r="D113" s="39" t="s">
        <v>989</v>
      </c>
      <c r="E113" s="110" t="s">
        <v>128</v>
      </c>
      <c r="F113" s="6" t="s">
        <v>12</v>
      </c>
      <c r="G113" s="6" t="s">
        <v>977</v>
      </c>
      <c r="H113" s="6" t="s">
        <v>80</v>
      </c>
      <c r="I113" s="92">
        <v>1</v>
      </c>
      <c r="J113" s="12" t="s">
        <v>590</v>
      </c>
      <c r="K113" s="46"/>
      <c r="L113" s="46"/>
      <c r="M113" s="46"/>
      <c r="N113" s="46"/>
      <c r="O113" s="46"/>
      <c r="P113" s="46"/>
      <c r="Q113" s="46"/>
      <c r="R113" s="46">
        <v>13.86</v>
      </c>
      <c r="S113" s="46">
        <v>19</v>
      </c>
      <c r="T113" s="46">
        <v>0</v>
      </c>
      <c r="U113" s="46">
        <v>11.7</v>
      </c>
      <c r="V113" s="46">
        <v>22.099999999999998</v>
      </c>
      <c r="W113" s="46">
        <v>1.07</v>
      </c>
      <c r="X113" s="46">
        <v>0</v>
      </c>
      <c r="Y113" s="46">
        <v>9.16</v>
      </c>
      <c r="Z113" s="46">
        <v>4.82</v>
      </c>
      <c r="AA113" s="46">
        <v>20.09</v>
      </c>
      <c r="AB113" s="46">
        <v>13.55</v>
      </c>
      <c r="AC113" s="46">
        <v>37.89</v>
      </c>
      <c r="AD113" s="46">
        <v>0</v>
      </c>
      <c r="AE113" s="46">
        <v>21.39</v>
      </c>
      <c r="AF113" s="46">
        <v>21.65</v>
      </c>
      <c r="AG113" s="46">
        <v>15.89</v>
      </c>
      <c r="AH113" s="46">
        <v>26.64</v>
      </c>
      <c r="AI113" s="46">
        <v>31.419999999999998</v>
      </c>
      <c r="AJ113" s="46">
        <v>28.36</v>
      </c>
      <c r="AK113" s="46">
        <v>26.61</v>
      </c>
      <c r="AL113" s="46">
        <v>0</v>
      </c>
      <c r="AM113" s="46">
        <f t="shared" si="6"/>
        <v>15.485714285714288</v>
      </c>
      <c r="AN113" s="7">
        <f t="shared" si="7"/>
        <v>15.485714285714288</v>
      </c>
    </row>
    <row r="114" spans="1:40" x14ac:dyDescent="0.3">
      <c r="A114" s="5">
        <v>111</v>
      </c>
      <c r="B114" s="6" t="s">
        <v>1008</v>
      </c>
      <c r="C114" s="10"/>
      <c r="D114" s="39" t="s">
        <v>1009</v>
      </c>
      <c r="E114" s="6" t="s">
        <v>128</v>
      </c>
      <c r="F114" s="6" t="s">
        <v>12</v>
      </c>
      <c r="G114" s="6" t="s">
        <v>255</v>
      </c>
      <c r="H114" s="6" t="s">
        <v>80</v>
      </c>
      <c r="I114" s="92">
        <v>1</v>
      </c>
      <c r="J114" s="67" t="s">
        <v>160</v>
      </c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>
        <v>0</v>
      </c>
      <c r="AL114" s="46">
        <v>0</v>
      </c>
      <c r="AM114" s="46">
        <f t="shared" si="6"/>
        <v>0</v>
      </c>
      <c r="AN114" s="7">
        <f t="shared" si="7"/>
        <v>0</v>
      </c>
    </row>
    <row r="115" spans="1:40" x14ac:dyDescent="0.3">
      <c r="A115" s="5">
        <v>112</v>
      </c>
      <c r="B115" s="108" t="s">
        <v>221</v>
      </c>
      <c r="C115" s="112" t="s">
        <v>664</v>
      </c>
      <c r="D115" s="112" t="s">
        <v>795</v>
      </c>
      <c r="E115" s="110" t="s">
        <v>30</v>
      </c>
      <c r="F115" s="6" t="s">
        <v>12</v>
      </c>
      <c r="G115" s="6" t="s">
        <v>976</v>
      </c>
      <c r="H115" s="6" t="s">
        <v>35</v>
      </c>
      <c r="I115" s="5">
        <v>19</v>
      </c>
      <c r="J115" s="12" t="s">
        <v>589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5.6999999999999995E-2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f t="shared" si="6"/>
        <v>2.0357142857142857E-3</v>
      </c>
      <c r="AN115" s="7">
        <f t="shared" si="7"/>
        <v>1.0714285714285714E-4</v>
      </c>
    </row>
    <row r="116" spans="1:40" ht="13.5" customHeight="1" x14ac:dyDescent="0.3">
      <c r="A116" s="5">
        <v>113</v>
      </c>
      <c r="B116" s="108" t="s">
        <v>222</v>
      </c>
      <c r="C116" s="112" t="s">
        <v>663</v>
      </c>
      <c r="D116" s="112" t="s">
        <v>796</v>
      </c>
      <c r="E116" s="110" t="s">
        <v>69</v>
      </c>
      <c r="F116" s="6" t="s">
        <v>12</v>
      </c>
      <c r="G116" s="6" t="s">
        <v>979</v>
      </c>
      <c r="H116" s="6" t="s">
        <v>35</v>
      </c>
      <c r="I116" s="5">
        <v>2</v>
      </c>
      <c r="J116" s="12" t="s">
        <v>160</v>
      </c>
      <c r="K116" s="46">
        <v>0</v>
      </c>
      <c r="L116" s="46">
        <v>37.93</v>
      </c>
      <c r="M116" s="46">
        <v>0</v>
      </c>
      <c r="N116" s="46">
        <v>0</v>
      </c>
      <c r="O116" s="46">
        <v>32.966000000000001</v>
      </c>
      <c r="P116" s="46">
        <v>0</v>
      </c>
      <c r="Q116" s="46">
        <v>0</v>
      </c>
      <c r="R116" s="46">
        <v>0</v>
      </c>
      <c r="S116" s="46">
        <v>32.624000000000002</v>
      </c>
      <c r="T116" s="46">
        <v>0</v>
      </c>
      <c r="U116" s="46">
        <v>0</v>
      </c>
      <c r="V116" s="46">
        <v>32.325000000000003</v>
      </c>
      <c r="W116" s="46">
        <v>0</v>
      </c>
      <c r="X116" s="46">
        <v>4.5609999999999999</v>
      </c>
      <c r="Y116" s="46">
        <v>36.093000000000004</v>
      </c>
      <c r="Z116" s="46">
        <v>0</v>
      </c>
      <c r="AA116" s="46">
        <v>31.547000000000001</v>
      </c>
      <c r="AB116" s="46">
        <v>0</v>
      </c>
      <c r="AC116" s="46">
        <v>0</v>
      </c>
      <c r="AD116" s="46">
        <v>0</v>
      </c>
      <c r="AE116" s="46">
        <v>34.941000000000003</v>
      </c>
      <c r="AF116" s="46">
        <v>39.71</v>
      </c>
      <c r="AG116" s="46">
        <v>0</v>
      </c>
      <c r="AH116" s="46">
        <v>64.295000000000002</v>
      </c>
      <c r="AI116" s="46">
        <v>13.525</v>
      </c>
      <c r="AJ116" s="46">
        <v>36.014000000000003</v>
      </c>
      <c r="AK116" s="46">
        <v>11.929</v>
      </c>
      <c r="AL116" s="46">
        <v>0</v>
      </c>
      <c r="AM116" s="46">
        <f t="shared" si="6"/>
        <v>14.587857142857143</v>
      </c>
      <c r="AN116" s="7">
        <f t="shared" si="7"/>
        <v>7.2939285714285713</v>
      </c>
    </row>
    <row r="117" spans="1:40" x14ac:dyDescent="0.3">
      <c r="A117" s="5">
        <v>114</v>
      </c>
      <c r="B117" s="108" t="s">
        <v>175</v>
      </c>
      <c r="C117" s="112" t="s">
        <v>665</v>
      </c>
      <c r="D117" s="112" t="s">
        <v>718</v>
      </c>
      <c r="E117" s="110" t="s">
        <v>128</v>
      </c>
      <c r="F117" s="6" t="s">
        <v>12</v>
      </c>
      <c r="G117" s="6" t="s">
        <v>976</v>
      </c>
      <c r="H117" s="6" t="s">
        <v>35</v>
      </c>
      <c r="I117" s="5">
        <v>6</v>
      </c>
      <c r="J117" s="12" t="s">
        <v>589</v>
      </c>
      <c r="K117" s="46">
        <v>168.32000000000002</v>
      </c>
      <c r="L117" s="46">
        <v>128.465</v>
      </c>
      <c r="M117" s="46">
        <v>116.07500000000002</v>
      </c>
      <c r="N117" s="46">
        <v>48.638999999999982</v>
      </c>
      <c r="O117" s="46">
        <v>28.983999999999998</v>
      </c>
      <c r="P117" s="46">
        <v>114.31399999999999</v>
      </c>
      <c r="Q117" s="46">
        <v>83.316000000000003</v>
      </c>
      <c r="R117" s="46">
        <v>67.100000000000023</v>
      </c>
      <c r="S117" s="46">
        <v>59.79</v>
      </c>
      <c r="T117" s="46">
        <v>42.876999999999995</v>
      </c>
      <c r="U117" s="46">
        <v>54.466999999999999</v>
      </c>
      <c r="V117" s="46">
        <v>37.10199999999999</v>
      </c>
      <c r="W117" s="46">
        <v>47.495999999999995</v>
      </c>
      <c r="X117" s="46">
        <v>31.416999999999998</v>
      </c>
      <c r="Y117" s="46">
        <v>28.887</v>
      </c>
      <c r="Z117" s="46">
        <v>28.54600000000001</v>
      </c>
      <c r="AA117" s="46">
        <v>14.923999999999998</v>
      </c>
      <c r="AB117" s="46">
        <v>21.765000000000001</v>
      </c>
      <c r="AC117" s="46">
        <v>22.382999999999999</v>
      </c>
      <c r="AD117" s="46">
        <v>5.58</v>
      </c>
      <c r="AE117" s="46">
        <v>11.483000000000001</v>
      </c>
      <c r="AF117" s="46">
        <v>11</v>
      </c>
      <c r="AG117" s="46">
        <v>3.4950000000000001</v>
      </c>
      <c r="AH117" s="46">
        <v>13.821</v>
      </c>
      <c r="AI117" s="46">
        <v>6.5950000000000006</v>
      </c>
      <c r="AJ117" s="46">
        <v>2.7450000000000001</v>
      </c>
      <c r="AK117" s="46">
        <v>2.7850000000000001</v>
      </c>
      <c r="AL117" s="46">
        <v>21.146000000000004</v>
      </c>
      <c r="AM117" s="46">
        <f t="shared" si="6"/>
        <v>43.697035714285697</v>
      </c>
      <c r="AN117" s="7">
        <f t="shared" si="7"/>
        <v>7.2828392857142825</v>
      </c>
    </row>
    <row r="118" spans="1:40" x14ac:dyDescent="0.3">
      <c r="A118" s="5">
        <v>115</v>
      </c>
      <c r="B118" s="108" t="s">
        <v>175</v>
      </c>
      <c r="C118" s="112" t="s">
        <v>666</v>
      </c>
      <c r="D118" s="112" t="s">
        <v>799</v>
      </c>
      <c r="E118" s="110" t="s">
        <v>128</v>
      </c>
      <c r="F118" s="6" t="s">
        <v>12</v>
      </c>
      <c r="G118" s="6" t="s">
        <v>971</v>
      </c>
      <c r="H118" s="6" t="s">
        <v>80</v>
      </c>
      <c r="I118" s="5">
        <v>1</v>
      </c>
      <c r="J118" s="67" t="s">
        <v>160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f t="shared" si="6"/>
        <v>0</v>
      </c>
      <c r="AN118" s="7">
        <f t="shared" si="7"/>
        <v>0</v>
      </c>
    </row>
    <row r="119" spans="1:40" x14ac:dyDescent="0.3">
      <c r="A119" s="5">
        <v>116</v>
      </c>
      <c r="B119" s="108" t="s">
        <v>175</v>
      </c>
      <c r="C119" s="112" t="s">
        <v>667</v>
      </c>
      <c r="D119" s="112" t="s">
        <v>798</v>
      </c>
      <c r="E119" s="110" t="s">
        <v>128</v>
      </c>
      <c r="F119" s="6" t="s">
        <v>12</v>
      </c>
      <c r="G119" s="6" t="s">
        <v>971</v>
      </c>
      <c r="H119" s="6" t="s">
        <v>80</v>
      </c>
      <c r="I119" s="5">
        <v>1</v>
      </c>
      <c r="J119" s="67" t="s">
        <v>160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0</v>
      </c>
      <c r="AL119" s="46">
        <v>0</v>
      </c>
      <c r="AM119" s="46">
        <f t="shared" si="6"/>
        <v>0</v>
      </c>
      <c r="AN119" s="7">
        <f t="shared" si="7"/>
        <v>0</v>
      </c>
    </row>
    <row r="120" spans="1:40" x14ac:dyDescent="0.3">
      <c r="A120" s="5">
        <v>117</v>
      </c>
      <c r="B120" s="108" t="s">
        <v>175</v>
      </c>
      <c r="C120" s="112" t="s">
        <v>668</v>
      </c>
      <c r="D120" s="112" t="s">
        <v>797</v>
      </c>
      <c r="E120" s="110" t="s">
        <v>128</v>
      </c>
      <c r="F120" s="6" t="s">
        <v>12</v>
      </c>
      <c r="G120" s="6" t="s">
        <v>971</v>
      </c>
      <c r="H120" s="6" t="s">
        <v>80</v>
      </c>
      <c r="I120" s="5">
        <v>1</v>
      </c>
      <c r="J120" s="67" t="s">
        <v>160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0.72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f t="shared" si="6"/>
        <v>2.5714285714285714E-2</v>
      </c>
      <c r="AN120" s="7">
        <f t="shared" si="7"/>
        <v>2.5714285714285714E-2</v>
      </c>
    </row>
    <row r="121" spans="1:40" x14ac:dyDescent="0.3">
      <c r="A121" s="5">
        <v>118</v>
      </c>
      <c r="B121" s="108" t="s">
        <v>565</v>
      </c>
      <c r="C121" s="10" t="s">
        <v>669</v>
      </c>
      <c r="D121" s="39" t="s">
        <v>764</v>
      </c>
      <c r="E121" s="110" t="s">
        <v>128</v>
      </c>
      <c r="F121" s="6" t="s">
        <v>12</v>
      </c>
      <c r="G121" s="6" t="s">
        <v>976</v>
      </c>
      <c r="H121" s="6" t="s">
        <v>35</v>
      </c>
      <c r="I121" s="5">
        <v>15</v>
      </c>
      <c r="J121" s="94" t="s">
        <v>273</v>
      </c>
      <c r="K121" s="46">
        <v>356.56199999999995</v>
      </c>
      <c r="L121" s="46">
        <v>272.57400000000007</v>
      </c>
      <c r="M121" s="46">
        <v>174.82599999999996</v>
      </c>
      <c r="N121" s="46">
        <v>209.851</v>
      </c>
      <c r="O121" s="46">
        <v>305.63700000000011</v>
      </c>
      <c r="P121" s="46">
        <v>344.84500000000003</v>
      </c>
      <c r="Q121" s="46">
        <v>361.22700000000015</v>
      </c>
      <c r="R121" s="46">
        <v>300.78499999999997</v>
      </c>
      <c r="S121" s="46">
        <v>276.06700000000006</v>
      </c>
      <c r="T121" s="46">
        <v>393.3060000000001</v>
      </c>
      <c r="U121" s="46">
        <v>342.21999999999991</v>
      </c>
      <c r="V121" s="46">
        <v>298.97300000000001</v>
      </c>
      <c r="W121" s="46">
        <v>342.00200000000007</v>
      </c>
      <c r="X121" s="46">
        <v>373.89799999999997</v>
      </c>
      <c r="Y121" s="46">
        <v>300.59000000000009</v>
      </c>
      <c r="Z121" s="46">
        <v>301.5329999999999</v>
      </c>
      <c r="AA121" s="46">
        <v>301.73900000000003</v>
      </c>
      <c r="AB121" s="46">
        <v>289.93900000000008</v>
      </c>
      <c r="AC121" s="46">
        <v>246.70400000000004</v>
      </c>
      <c r="AD121" s="46">
        <v>261.27900000000005</v>
      </c>
      <c r="AE121" s="46">
        <v>291.88900000000001</v>
      </c>
      <c r="AF121" s="46">
        <v>264.04699999999997</v>
      </c>
      <c r="AG121" s="46">
        <v>252.15699999999998</v>
      </c>
      <c r="AH121" s="46">
        <v>267.55899999999997</v>
      </c>
      <c r="AI121" s="46">
        <v>268.88000000000011</v>
      </c>
      <c r="AJ121" s="46">
        <v>241.14000000000004</v>
      </c>
      <c r="AK121" s="46">
        <v>266.92000000000007</v>
      </c>
      <c r="AL121" s="46">
        <v>271.77400000000011</v>
      </c>
      <c r="AM121" s="46">
        <f t="shared" si="6"/>
        <v>292.1043928571429</v>
      </c>
      <c r="AN121" s="7">
        <f t="shared" si="7"/>
        <v>19.473626190476192</v>
      </c>
    </row>
    <row r="122" spans="1:40" x14ac:dyDescent="0.3">
      <c r="A122" s="5">
        <v>119</v>
      </c>
      <c r="B122" s="108" t="s">
        <v>565</v>
      </c>
      <c r="C122" s="10" t="s">
        <v>669</v>
      </c>
      <c r="D122" s="39" t="s">
        <v>912</v>
      </c>
      <c r="E122" s="110" t="s">
        <v>128</v>
      </c>
      <c r="F122" s="6" t="s">
        <v>12</v>
      </c>
      <c r="G122" s="6" t="s">
        <v>971</v>
      </c>
      <c r="H122" s="6" t="s">
        <v>80</v>
      </c>
      <c r="I122" s="5">
        <v>1</v>
      </c>
      <c r="J122" s="94" t="s">
        <v>273</v>
      </c>
      <c r="K122" s="46">
        <v>0</v>
      </c>
      <c r="L122" s="46">
        <v>0</v>
      </c>
      <c r="M122" s="46">
        <v>0</v>
      </c>
      <c r="N122" s="46">
        <v>17.550000000000004</v>
      </c>
      <c r="O122" s="46">
        <v>38.85</v>
      </c>
      <c r="P122" s="46">
        <v>39.729999999999997</v>
      </c>
      <c r="Q122" s="46">
        <v>29.27</v>
      </c>
      <c r="R122" s="46">
        <v>30.11</v>
      </c>
      <c r="S122" s="46">
        <v>0</v>
      </c>
      <c r="T122" s="46">
        <v>0</v>
      </c>
      <c r="U122" s="46">
        <v>0.01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19.509999999999998</v>
      </c>
      <c r="AB122" s="46">
        <v>41.720000000000006</v>
      </c>
      <c r="AC122" s="46">
        <v>18.669999999999998</v>
      </c>
      <c r="AD122" s="46">
        <v>0</v>
      </c>
      <c r="AE122" s="46">
        <v>0</v>
      </c>
      <c r="AF122" s="46">
        <v>0</v>
      </c>
      <c r="AG122" s="46">
        <v>0</v>
      </c>
      <c r="AH122" s="46">
        <v>7.73</v>
      </c>
      <c r="AI122" s="46">
        <v>17.850000000000001</v>
      </c>
      <c r="AJ122" s="46">
        <v>30.57</v>
      </c>
      <c r="AK122" s="46">
        <v>23.32</v>
      </c>
      <c r="AL122" s="46">
        <v>9.43</v>
      </c>
      <c r="AM122" s="46">
        <f t="shared" si="6"/>
        <v>11.58285714285714</v>
      </c>
      <c r="AN122" s="7">
        <f t="shared" si="7"/>
        <v>11.58285714285714</v>
      </c>
    </row>
    <row r="123" spans="1:40" ht="14.25" customHeight="1" x14ac:dyDescent="0.3">
      <c r="A123" s="5">
        <v>120</v>
      </c>
      <c r="B123" s="107" t="s">
        <v>65</v>
      </c>
      <c r="C123" s="10" t="s">
        <v>670</v>
      </c>
      <c r="D123" s="12" t="s">
        <v>732</v>
      </c>
      <c r="E123" s="110" t="s">
        <v>30</v>
      </c>
      <c r="F123" s="6" t="s">
        <v>12</v>
      </c>
      <c r="G123" s="6" t="s">
        <v>976</v>
      </c>
      <c r="H123" s="6" t="s">
        <v>35</v>
      </c>
      <c r="I123" s="5">
        <v>5</v>
      </c>
      <c r="J123" s="12" t="s">
        <v>589</v>
      </c>
      <c r="K123" s="46">
        <v>21.577000000000002</v>
      </c>
      <c r="L123" s="46">
        <v>19.689</v>
      </c>
      <c r="M123" s="46">
        <v>27.951999999999998</v>
      </c>
      <c r="N123" s="46">
        <v>30.368000000000002</v>
      </c>
      <c r="O123" s="46">
        <v>4.4510000000000005</v>
      </c>
      <c r="P123" s="46">
        <v>33.417000000000002</v>
      </c>
      <c r="Q123" s="46">
        <v>29.401</v>
      </c>
      <c r="R123" s="46">
        <v>21.699000000000002</v>
      </c>
      <c r="S123" s="46">
        <v>7.0589999999999993</v>
      </c>
      <c r="T123" s="46">
        <v>23.491</v>
      </c>
      <c r="U123" s="46">
        <v>22.795999999999999</v>
      </c>
      <c r="V123" s="46">
        <v>8.8169999999999984</v>
      </c>
      <c r="W123" s="46">
        <v>25.103999999999999</v>
      </c>
      <c r="X123" s="46">
        <v>15.656000000000001</v>
      </c>
      <c r="Y123" s="46">
        <v>20.292999999999999</v>
      </c>
      <c r="Z123" s="46">
        <v>26.151000000000003</v>
      </c>
      <c r="AA123" s="46">
        <v>20.818999999999999</v>
      </c>
      <c r="AB123" s="46">
        <v>14.737000000000002</v>
      </c>
      <c r="AC123" s="46">
        <v>24.904999999999998</v>
      </c>
      <c r="AD123" s="46">
        <v>20.171999999999997</v>
      </c>
      <c r="AE123" s="46">
        <v>16.274000000000004</v>
      </c>
      <c r="AF123" s="46">
        <v>13.276</v>
      </c>
      <c r="AG123" s="46">
        <v>10.314</v>
      </c>
      <c r="AH123" s="46">
        <v>30.085999999999999</v>
      </c>
      <c r="AI123" s="46">
        <v>17.166</v>
      </c>
      <c r="AJ123" s="46">
        <v>13.62</v>
      </c>
      <c r="AK123" s="46">
        <v>22.021000000000001</v>
      </c>
      <c r="AL123" s="46">
        <v>11.690000000000001</v>
      </c>
      <c r="AM123" s="46">
        <f t="shared" si="6"/>
        <v>19.750035714285719</v>
      </c>
      <c r="AN123" s="7">
        <f t="shared" si="7"/>
        <v>3.9500071428571437</v>
      </c>
    </row>
    <row r="124" spans="1:40" x14ac:dyDescent="0.3">
      <c r="A124" s="5">
        <v>121</v>
      </c>
      <c r="B124" s="107" t="s">
        <v>65</v>
      </c>
      <c r="C124" s="10" t="s">
        <v>671</v>
      </c>
      <c r="D124" s="12" t="s">
        <v>723</v>
      </c>
      <c r="E124" s="110" t="s">
        <v>30</v>
      </c>
      <c r="F124" s="6" t="s">
        <v>12</v>
      </c>
      <c r="G124" s="6" t="s">
        <v>976</v>
      </c>
      <c r="H124" s="6" t="s">
        <v>35</v>
      </c>
      <c r="I124" s="5">
        <v>16</v>
      </c>
      <c r="J124" s="12" t="s">
        <v>589</v>
      </c>
      <c r="K124" s="46">
        <v>108.72300000000001</v>
      </c>
      <c r="L124" s="46">
        <v>71.582999999999998</v>
      </c>
      <c r="M124" s="46">
        <v>64.303999999999988</v>
      </c>
      <c r="N124" s="46">
        <v>79.048999999999992</v>
      </c>
      <c r="O124" s="46">
        <v>55.969000000000008</v>
      </c>
      <c r="P124" s="46">
        <v>123.17599999999996</v>
      </c>
      <c r="Q124" s="46">
        <v>108.13299999999998</v>
      </c>
      <c r="R124" s="46">
        <v>107.361</v>
      </c>
      <c r="S124" s="46">
        <v>102.56299999999999</v>
      </c>
      <c r="T124" s="46">
        <v>100.22200000000001</v>
      </c>
      <c r="U124" s="46">
        <v>92.054000000000002</v>
      </c>
      <c r="V124" s="46">
        <v>127.45399999999998</v>
      </c>
      <c r="W124" s="46">
        <v>122.94799999999999</v>
      </c>
      <c r="X124" s="46">
        <v>166.07199999999997</v>
      </c>
      <c r="Y124" s="46">
        <v>121.01300000000001</v>
      </c>
      <c r="Z124" s="46">
        <v>78.135999999999996</v>
      </c>
      <c r="AA124" s="46">
        <v>158.381</v>
      </c>
      <c r="AB124" s="46">
        <v>144.77200000000002</v>
      </c>
      <c r="AC124" s="46">
        <v>142.44000000000003</v>
      </c>
      <c r="AD124" s="46">
        <v>189.41200000000001</v>
      </c>
      <c r="AE124" s="46">
        <v>216.14199999999997</v>
      </c>
      <c r="AF124" s="46">
        <v>153.65400000000002</v>
      </c>
      <c r="AG124" s="46">
        <v>126.3</v>
      </c>
      <c r="AH124" s="46">
        <v>149.339</v>
      </c>
      <c r="AI124" s="46">
        <v>127.089</v>
      </c>
      <c r="AJ124" s="46">
        <v>143.69699999999997</v>
      </c>
      <c r="AK124" s="46">
        <v>88.97999999999999</v>
      </c>
      <c r="AL124" s="46">
        <v>112.04700000000001</v>
      </c>
      <c r="AM124" s="46">
        <f t="shared" si="6"/>
        <v>120.75046428571427</v>
      </c>
      <c r="AN124" s="7">
        <f t="shared" si="7"/>
        <v>7.546904017857142</v>
      </c>
    </row>
    <row r="125" spans="1:40" x14ac:dyDescent="0.3">
      <c r="A125" s="5">
        <v>122</v>
      </c>
      <c r="B125" s="107" t="s">
        <v>65</v>
      </c>
      <c r="C125" s="10" t="s">
        <v>672</v>
      </c>
      <c r="D125" s="12" t="s">
        <v>818</v>
      </c>
      <c r="E125" s="110" t="s">
        <v>30</v>
      </c>
      <c r="F125" s="6" t="s">
        <v>12</v>
      </c>
      <c r="G125" s="6" t="s">
        <v>976</v>
      </c>
      <c r="H125" s="6" t="s">
        <v>35</v>
      </c>
      <c r="I125" s="5">
        <v>10</v>
      </c>
      <c r="J125" s="12" t="s">
        <v>589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f t="shared" si="6"/>
        <v>0</v>
      </c>
      <c r="AN125" s="7">
        <f t="shared" si="7"/>
        <v>0</v>
      </c>
    </row>
    <row r="126" spans="1:40" x14ac:dyDescent="0.3">
      <c r="A126" s="5">
        <v>123</v>
      </c>
      <c r="B126" s="107" t="s">
        <v>65</v>
      </c>
      <c r="C126" s="10" t="s">
        <v>673</v>
      </c>
      <c r="D126" s="12" t="s">
        <v>719</v>
      </c>
      <c r="E126" s="110" t="s">
        <v>30</v>
      </c>
      <c r="F126" s="6" t="s">
        <v>12</v>
      </c>
      <c r="G126" s="6" t="s">
        <v>976</v>
      </c>
      <c r="H126" s="6" t="s">
        <v>35</v>
      </c>
      <c r="I126" s="5">
        <v>13</v>
      </c>
      <c r="J126" s="12" t="s">
        <v>589</v>
      </c>
      <c r="K126" s="46">
        <v>164.03000000000003</v>
      </c>
      <c r="L126" s="46">
        <v>168.67000000000002</v>
      </c>
      <c r="M126" s="46">
        <v>139.161</v>
      </c>
      <c r="N126" s="46">
        <v>113.05200000000004</v>
      </c>
      <c r="O126" s="46">
        <v>144.63200000000001</v>
      </c>
      <c r="P126" s="46">
        <v>93.494000000000014</v>
      </c>
      <c r="Q126" s="46">
        <v>195.89200000000005</v>
      </c>
      <c r="R126" s="46">
        <v>175.62700000000001</v>
      </c>
      <c r="S126" s="46">
        <v>123.011</v>
      </c>
      <c r="T126" s="46">
        <v>183.88499999999999</v>
      </c>
      <c r="U126" s="46">
        <v>174.95400000000001</v>
      </c>
      <c r="V126" s="46">
        <v>175.77799999999999</v>
      </c>
      <c r="W126" s="46">
        <v>151.07599999999999</v>
      </c>
      <c r="X126" s="46">
        <v>179.99900000000002</v>
      </c>
      <c r="Y126" s="46">
        <v>143.66500000000002</v>
      </c>
      <c r="Z126" s="46">
        <v>176.84100000000001</v>
      </c>
      <c r="AA126" s="46">
        <v>111.51600000000002</v>
      </c>
      <c r="AB126" s="46">
        <v>196.48300000000003</v>
      </c>
      <c r="AC126" s="46">
        <v>217.36700000000002</v>
      </c>
      <c r="AD126" s="46">
        <v>145.98299999999998</v>
      </c>
      <c r="AE126" s="46">
        <v>171.02100000000002</v>
      </c>
      <c r="AF126" s="46">
        <v>192.40300000000002</v>
      </c>
      <c r="AG126" s="46">
        <v>123.71000000000002</v>
      </c>
      <c r="AH126" s="46">
        <v>165.54900000000001</v>
      </c>
      <c r="AI126" s="46">
        <v>199.42100000000002</v>
      </c>
      <c r="AJ126" s="46">
        <v>160.62800000000001</v>
      </c>
      <c r="AK126" s="46">
        <v>176.33400000000003</v>
      </c>
      <c r="AL126" s="46">
        <v>170.90500000000003</v>
      </c>
      <c r="AM126" s="46">
        <f t="shared" si="6"/>
        <v>161.96739285714287</v>
      </c>
      <c r="AN126" s="7">
        <f t="shared" si="7"/>
        <v>12.459030219780221</v>
      </c>
    </row>
    <row r="127" spans="1:40" x14ac:dyDescent="0.3">
      <c r="A127" s="5">
        <v>124</v>
      </c>
      <c r="B127" s="107" t="s">
        <v>65</v>
      </c>
      <c r="C127" s="112" t="s">
        <v>941</v>
      </c>
      <c r="D127" s="112" t="s">
        <v>904</v>
      </c>
      <c r="E127" s="110" t="s">
        <v>128</v>
      </c>
      <c r="F127" s="6" t="s">
        <v>12</v>
      </c>
      <c r="G127" s="6" t="s">
        <v>976</v>
      </c>
      <c r="H127" s="6" t="s">
        <v>35</v>
      </c>
      <c r="I127" s="5">
        <v>15</v>
      </c>
      <c r="J127" s="94" t="s">
        <v>273</v>
      </c>
      <c r="K127" s="46">
        <v>2.9569999999999999</v>
      </c>
      <c r="L127" s="46">
        <v>0</v>
      </c>
      <c r="M127" s="46">
        <v>4.6040000000000001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2.1930000000000001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7.5679999999999996</v>
      </c>
      <c r="AG127" s="46">
        <v>10.434999999999999</v>
      </c>
      <c r="AH127" s="46">
        <v>38.894999999999996</v>
      </c>
      <c r="AI127" s="46">
        <v>40.112000000000002</v>
      </c>
      <c r="AJ127" s="46">
        <v>14.019</v>
      </c>
      <c r="AK127" s="46">
        <v>36.542999999999999</v>
      </c>
      <c r="AL127" s="46">
        <v>22.334</v>
      </c>
      <c r="AM127" s="46">
        <f t="shared" si="6"/>
        <v>6.4164285714285709</v>
      </c>
      <c r="AN127" s="7">
        <f t="shared" si="7"/>
        <v>0.42776190476190473</v>
      </c>
    </row>
    <row r="128" spans="1:40" x14ac:dyDescent="0.3">
      <c r="A128" s="5">
        <v>125</v>
      </c>
      <c r="B128" s="107" t="s">
        <v>65</v>
      </c>
      <c r="C128" s="10" t="s">
        <v>674</v>
      </c>
      <c r="D128" s="12" t="s">
        <v>730</v>
      </c>
      <c r="E128" s="110" t="s">
        <v>30</v>
      </c>
      <c r="F128" s="6" t="s">
        <v>12</v>
      </c>
      <c r="G128" s="6" t="s">
        <v>976</v>
      </c>
      <c r="H128" s="6" t="s">
        <v>35</v>
      </c>
      <c r="I128" s="5">
        <v>20</v>
      </c>
      <c r="J128" s="12" t="s">
        <v>589</v>
      </c>
      <c r="K128" s="46">
        <v>515.88100000000009</v>
      </c>
      <c r="L128" s="46">
        <v>428.35700000000008</v>
      </c>
      <c r="M128" s="46">
        <v>406.51900000000006</v>
      </c>
      <c r="N128" s="46">
        <v>394.90500000000003</v>
      </c>
      <c r="O128" s="46">
        <v>412.89499999999992</v>
      </c>
      <c r="P128" s="46">
        <v>303.92599999999999</v>
      </c>
      <c r="Q128" s="46">
        <v>411.52199999999993</v>
      </c>
      <c r="R128" s="46">
        <v>406.12900000000008</v>
      </c>
      <c r="S128" s="46">
        <v>476.1699999999999</v>
      </c>
      <c r="T128" s="46">
        <v>414.56199999999995</v>
      </c>
      <c r="U128" s="46">
        <v>383.07000000000016</v>
      </c>
      <c r="V128" s="46">
        <v>361.77999999999992</v>
      </c>
      <c r="W128" s="46">
        <v>471.29299999999995</v>
      </c>
      <c r="X128" s="46">
        <v>481.07100000000003</v>
      </c>
      <c r="Y128" s="46">
        <v>378.42599999999987</v>
      </c>
      <c r="Z128" s="46">
        <v>519.66</v>
      </c>
      <c r="AA128" s="46">
        <v>438.13500000000005</v>
      </c>
      <c r="AB128" s="46">
        <v>404.298</v>
      </c>
      <c r="AC128" s="46">
        <v>509.36000000000018</v>
      </c>
      <c r="AD128" s="46">
        <v>464.75099999999992</v>
      </c>
      <c r="AE128" s="46">
        <v>500.49399999999997</v>
      </c>
      <c r="AF128" s="46">
        <v>438.08200000000016</v>
      </c>
      <c r="AG128" s="46">
        <v>484.85799999999989</v>
      </c>
      <c r="AH128" s="46">
        <v>381.52799999999996</v>
      </c>
      <c r="AI128" s="46">
        <v>480.21899999999994</v>
      </c>
      <c r="AJ128" s="46">
        <v>470.1479999999998</v>
      </c>
      <c r="AK128" s="46">
        <v>477.13100000000003</v>
      </c>
      <c r="AL128" s="46">
        <v>457.40299999999996</v>
      </c>
      <c r="AM128" s="46">
        <f t="shared" si="6"/>
        <v>438.30617857142852</v>
      </c>
      <c r="AN128" s="7">
        <f t="shared" si="7"/>
        <v>21.915308928571427</v>
      </c>
    </row>
    <row r="129" spans="1:40" x14ac:dyDescent="0.3">
      <c r="A129" s="5">
        <v>126</v>
      </c>
      <c r="B129" s="107" t="s">
        <v>65</v>
      </c>
      <c r="C129" s="112" t="s">
        <v>942</v>
      </c>
      <c r="D129" s="112" t="s">
        <v>922</v>
      </c>
      <c r="E129" s="110" t="s">
        <v>30</v>
      </c>
      <c r="F129" s="6" t="s">
        <v>12</v>
      </c>
      <c r="G129" s="6" t="s">
        <v>971</v>
      </c>
      <c r="H129" s="6" t="s">
        <v>80</v>
      </c>
      <c r="I129" s="5">
        <v>2</v>
      </c>
      <c r="J129" s="12" t="s">
        <v>589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10.020000000000001</v>
      </c>
      <c r="U129" s="46">
        <v>3.84</v>
      </c>
      <c r="V129" s="46">
        <v>0</v>
      </c>
      <c r="W129" s="46">
        <v>22.1</v>
      </c>
      <c r="X129" s="46">
        <v>25.34</v>
      </c>
      <c r="Y129" s="46">
        <v>30.240000000000002</v>
      </c>
      <c r="Z129" s="46">
        <v>0</v>
      </c>
      <c r="AA129" s="46">
        <v>8.85</v>
      </c>
      <c r="AB129" s="46">
        <v>13.739999999999998</v>
      </c>
      <c r="AC129" s="46">
        <v>19.8</v>
      </c>
      <c r="AD129" s="46">
        <v>0</v>
      </c>
      <c r="AE129" s="46">
        <v>0</v>
      </c>
      <c r="AF129" s="46">
        <v>0</v>
      </c>
      <c r="AG129" s="46">
        <v>0</v>
      </c>
      <c r="AH129" s="46">
        <v>15.4</v>
      </c>
      <c r="AI129" s="46">
        <v>51.088999999999999</v>
      </c>
      <c r="AJ129" s="46">
        <v>44.42</v>
      </c>
      <c r="AK129" s="46">
        <v>41.050000000000004</v>
      </c>
      <c r="AL129" s="46">
        <v>81.739999999999981</v>
      </c>
      <c r="AM129" s="46">
        <f t="shared" si="6"/>
        <v>13.129607142857143</v>
      </c>
      <c r="AN129" s="7">
        <f t="shared" si="7"/>
        <v>6.5648035714285715</v>
      </c>
    </row>
    <row r="130" spans="1:40" x14ac:dyDescent="0.3">
      <c r="A130" s="5">
        <v>127</v>
      </c>
      <c r="B130" s="107" t="s">
        <v>65</v>
      </c>
      <c r="C130" s="10" t="s">
        <v>675</v>
      </c>
      <c r="D130" s="12" t="s">
        <v>800</v>
      </c>
      <c r="E130" s="110" t="s">
        <v>30</v>
      </c>
      <c r="F130" s="6" t="s">
        <v>12</v>
      </c>
      <c r="G130" s="6" t="s">
        <v>976</v>
      </c>
      <c r="H130" s="6" t="s">
        <v>35</v>
      </c>
      <c r="I130" s="5">
        <v>1</v>
      </c>
      <c r="J130" s="12" t="s">
        <v>160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f t="shared" ref="AM130:AM161" si="8">AVERAGE(K130:AL130)</f>
        <v>0</v>
      </c>
      <c r="AN130" s="7">
        <f t="shared" ref="AN130:AN161" si="9">AM130/I130</f>
        <v>0</v>
      </c>
    </row>
    <row r="131" spans="1:40" x14ac:dyDescent="0.3">
      <c r="A131" s="5">
        <v>128</v>
      </c>
      <c r="B131" s="107" t="s">
        <v>65</v>
      </c>
      <c r="C131" s="10" t="s">
        <v>676</v>
      </c>
      <c r="D131" s="12" t="s">
        <v>801</v>
      </c>
      <c r="E131" s="110" t="s">
        <v>30</v>
      </c>
      <c r="F131" s="6" t="s">
        <v>12</v>
      </c>
      <c r="G131" s="6" t="s">
        <v>976</v>
      </c>
      <c r="H131" s="6" t="s">
        <v>35</v>
      </c>
      <c r="I131" s="5">
        <v>1</v>
      </c>
      <c r="J131" s="12" t="s">
        <v>160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0</v>
      </c>
      <c r="AL131" s="46">
        <v>0</v>
      </c>
      <c r="AM131" s="46">
        <f t="shared" si="8"/>
        <v>0</v>
      </c>
      <c r="AN131" s="7">
        <f t="shared" si="9"/>
        <v>0</v>
      </c>
    </row>
    <row r="132" spans="1:40" x14ac:dyDescent="0.3">
      <c r="A132" s="5">
        <v>129</v>
      </c>
      <c r="B132" s="107" t="s">
        <v>65</v>
      </c>
      <c r="C132" s="10" t="s">
        <v>677</v>
      </c>
      <c r="D132" s="12" t="s">
        <v>990</v>
      </c>
      <c r="E132" s="110" t="s">
        <v>128</v>
      </c>
      <c r="F132" s="6" t="s">
        <v>12</v>
      </c>
      <c r="G132" s="6" t="s">
        <v>979</v>
      </c>
      <c r="H132" s="6" t="s">
        <v>35</v>
      </c>
      <c r="I132" s="5">
        <v>2</v>
      </c>
      <c r="J132" s="67" t="s">
        <v>160</v>
      </c>
      <c r="K132" s="46">
        <v>0</v>
      </c>
      <c r="L132" s="46">
        <v>0</v>
      </c>
      <c r="M132" s="46">
        <v>0</v>
      </c>
      <c r="N132" s="46">
        <v>0</v>
      </c>
      <c r="O132" s="46">
        <v>0</v>
      </c>
      <c r="P132" s="46">
        <v>0</v>
      </c>
      <c r="Q132" s="46">
        <v>19.884</v>
      </c>
      <c r="R132" s="46">
        <v>0</v>
      </c>
      <c r="S132" s="46">
        <v>0</v>
      </c>
      <c r="T132" s="46">
        <v>0</v>
      </c>
      <c r="U132" s="46">
        <v>0</v>
      </c>
      <c r="V132" s="46">
        <v>13.233000000000001</v>
      </c>
      <c r="W132" s="46">
        <v>2.9239999999999999</v>
      </c>
      <c r="X132" s="46">
        <v>38.991999999999997</v>
      </c>
      <c r="Y132" s="46">
        <v>0</v>
      </c>
      <c r="Z132" s="46">
        <v>35.164000000000001</v>
      </c>
      <c r="AA132" s="46">
        <v>0</v>
      </c>
      <c r="AB132" s="46">
        <v>0</v>
      </c>
      <c r="AC132" s="46">
        <v>0</v>
      </c>
      <c r="AD132" s="46">
        <v>15.571</v>
      </c>
      <c r="AE132" s="46">
        <v>0</v>
      </c>
      <c r="AF132" s="46">
        <v>8.282</v>
      </c>
      <c r="AG132" s="46">
        <v>0</v>
      </c>
      <c r="AH132" s="46">
        <v>41.360999999999997</v>
      </c>
      <c r="AI132" s="46">
        <v>0</v>
      </c>
      <c r="AJ132" s="46">
        <v>0</v>
      </c>
      <c r="AK132" s="46">
        <v>31.962</v>
      </c>
      <c r="AL132" s="46">
        <v>0</v>
      </c>
      <c r="AM132" s="46">
        <f t="shared" si="8"/>
        <v>7.4061785714285708</v>
      </c>
      <c r="AN132" s="7">
        <f t="shared" si="9"/>
        <v>3.7030892857142854</v>
      </c>
    </row>
    <row r="133" spans="1:40" ht="15.75" customHeight="1" x14ac:dyDescent="0.3">
      <c r="A133" s="5">
        <v>130</v>
      </c>
      <c r="B133" s="107" t="s">
        <v>65</v>
      </c>
      <c r="C133" s="10" t="s">
        <v>678</v>
      </c>
      <c r="D133" s="12" t="s">
        <v>803</v>
      </c>
      <c r="E133" s="110"/>
      <c r="F133" s="6" t="s">
        <v>130</v>
      </c>
      <c r="G133" s="6" t="s">
        <v>976</v>
      </c>
      <c r="H133" s="6" t="s">
        <v>35</v>
      </c>
      <c r="I133" s="5">
        <v>2</v>
      </c>
      <c r="J133" s="12" t="s">
        <v>590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46">
        <f t="shared" si="8"/>
        <v>0</v>
      </c>
      <c r="AN133" s="7">
        <f t="shared" si="9"/>
        <v>0</v>
      </c>
    </row>
    <row r="134" spans="1:40" x14ac:dyDescent="0.3">
      <c r="A134" s="5">
        <v>131</v>
      </c>
      <c r="B134" s="107" t="s">
        <v>65</v>
      </c>
      <c r="C134" s="10" t="s">
        <v>679</v>
      </c>
      <c r="D134" s="12" t="s">
        <v>737</v>
      </c>
      <c r="E134" s="110" t="s">
        <v>128</v>
      </c>
      <c r="F134" s="6" t="s">
        <v>19</v>
      </c>
      <c r="G134" s="6" t="s">
        <v>976</v>
      </c>
      <c r="H134" s="6" t="s">
        <v>35</v>
      </c>
      <c r="I134" s="5">
        <v>6</v>
      </c>
      <c r="J134" s="12" t="s">
        <v>590</v>
      </c>
      <c r="K134" s="46">
        <v>9.1769999999999996</v>
      </c>
      <c r="L134" s="46">
        <v>0</v>
      </c>
      <c r="M134" s="46">
        <v>9.3089999999999993</v>
      </c>
      <c r="N134" s="46">
        <v>19.798999999999999</v>
      </c>
      <c r="O134" s="46">
        <v>0</v>
      </c>
      <c r="P134" s="46">
        <v>19.489000000000001</v>
      </c>
      <c r="Q134" s="46">
        <v>11.635000000000002</v>
      </c>
      <c r="R134" s="46">
        <v>0</v>
      </c>
      <c r="S134" s="46">
        <v>0</v>
      </c>
      <c r="T134" s="46">
        <v>7.6470000000000002</v>
      </c>
      <c r="U134" s="46">
        <v>15.631</v>
      </c>
      <c r="V134" s="46">
        <v>7.5570000000000004</v>
      </c>
      <c r="W134" s="46">
        <v>11.915000000000001</v>
      </c>
      <c r="X134" s="46">
        <v>7.07</v>
      </c>
      <c r="Y134" s="46">
        <v>0</v>
      </c>
      <c r="Z134" s="46">
        <v>0</v>
      </c>
      <c r="AA134" s="46">
        <v>9.3120000000000012</v>
      </c>
      <c r="AB134" s="46">
        <v>4.6639999999999997</v>
      </c>
      <c r="AC134" s="46">
        <v>4.577</v>
      </c>
      <c r="AD134" s="46">
        <v>0</v>
      </c>
      <c r="AE134" s="46">
        <v>2.9390000000000001</v>
      </c>
      <c r="AF134" s="46">
        <v>5.6130000000000004</v>
      </c>
      <c r="AG134" s="46">
        <v>0</v>
      </c>
      <c r="AH134" s="46">
        <v>11.196000000000002</v>
      </c>
      <c r="AI134" s="46">
        <v>22.859000000000002</v>
      </c>
      <c r="AJ134" s="46">
        <v>0</v>
      </c>
      <c r="AK134" s="46">
        <v>15.177</v>
      </c>
      <c r="AL134" s="46">
        <v>14.776</v>
      </c>
      <c r="AM134" s="46">
        <f t="shared" si="8"/>
        <v>7.5122142857142862</v>
      </c>
      <c r="AN134" s="7">
        <f t="shared" si="9"/>
        <v>1.2520357142857144</v>
      </c>
    </row>
    <row r="135" spans="1:40" x14ac:dyDescent="0.3">
      <c r="A135" s="5">
        <v>132</v>
      </c>
      <c r="B135" s="107" t="s">
        <v>65</v>
      </c>
      <c r="C135" s="10" t="s">
        <v>680</v>
      </c>
      <c r="D135" s="12" t="s">
        <v>751</v>
      </c>
      <c r="E135" s="110" t="s">
        <v>128</v>
      </c>
      <c r="F135" s="6" t="s">
        <v>12</v>
      </c>
      <c r="G135" s="6" t="s">
        <v>976</v>
      </c>
      <c r="H135" s="6" t="s">
        <v>35</v>
      </c>
      <c r="I135" s="5">
        <v>20</v>
      </c>
      <c r="J135" s="94" t="s">
        <v>273</v>
      </c>
      <c r="K135" s="46">
        <v>131.89699999999999</v>
      </c>
      <c r="L135" s="46">
        <v>103.49900000000001</v>
      </c>
      <c r="M135" s="46">
        <v>119.16500000000001</v>
      </c>
      <c r="N135" s="46">
        <v>166.71900000000002</v>
      </c>
      <c r="O135" s="46">
        <v>87.537999999999997</v>
      </c>
      <c r="P135" s="46">
        <v>106.28299999999999</v>
      </c>
      <c r="Q135" s="46">
        <v>175.29500000000007</v>
      </c>
      <c r="R135" s="46">
        <v>156.506</v>
      </c>
      <c r="S135" s="46">
        <v>158.69500000000002</v>
      </c>
      <c r="T135" s="46">
        <v>169.79399999999998</v>
      </c>
      <c r="U135" s="46">
        <v>133.791</v>
      </c>
      <c r="V135" s="46">
        <v>140.697</v>
      </c>
      <c r="W135" s="46">
        <v>147.929</v>
      </c>
      <c r="X135" s="46">
        <v>172.52599999999998</v>
      </c>
      <c r="Y135" s="46">
        <v>137.99799999999999</v>
      </c>
      <c r="Z135" s="46">
        <v>137.08699999999999</v>
      </c>
      <c r="AA135" s="46">
        <v>159.29999999999998</v>
      </c>
      <c r="AB135" s="46">
        <v>178.45600000000002</v>
      </c>
      <c r="AC135" s="46">
        <v>150.75400000000002</v>
      </c>
      <c r="AD135" s="46">
        <v>178.084</v>
      </c>
      <c r="AE135" s="46">
        <v>179.24800000000005</v>
      </c>
      <c r="AF135" s="46">
        <v>154.65000000000003</v>
      </c>
      <c r="AG135" s="46">
        <v>149.13800000000001</v>
      </c>
      <c r="AH135" s="46">
        <v>181.43700000000004</v>
      </c>
      <c r="AI135" s="46">
        <v>132.99299999999997</v>
      </c>
      <c r="AJ135" s="46">
        <v>113.07799999999999</v>
      </c>
      <c r="AK135" s="46">
        <v>150.60400000000001</v>
      </c>
      <c r="AL135" s="46">
        <v>170.64900000000003</v>
      </c>
      <c r="AM135" s="46">
        <f t="shared" si="8"/>
        <v>147.99321428571426</v>
      </c>
      <c r="AN135" s="7">
        <f t="shared" si="9"/>
        <v>7.3996607142857131</v>
      </c>
    </row>
    <row r="136" spans="1:40" x14ac:dyDescent="0.3">
      <c r="A136" s="5">
        <v>133</v>
      </c>
      <c r="B136" s="107" t="s">
        <v>65</v>
      </c>
      <c r="C136" s="112" t="s">
        <v>945</v>
      </c>
      <c r="D136" s="112" t="s">
        <v>946</v>
      </c>
      <c r="E136" s="110" t="s">
        <v>128</v>
      </c>
      <c r="F136" s="6" t="s">
        <v>12</v>
      </c>
      <c r="G136" s="6" t="s">
        <v>979</v>
      </c>
      <c r="H136" s="6" t="s">
        <v>35</v>
      </c>
      <c r="I136" s="5">
        <v>1</v>
      </c>
      <c r="J136" s="67" t="s">
        <v>160</v>
      </c>
      <c r="K136" s="46">
        <v>7.81</v>
      </c>
      <c r="L136" s="46">
        <v>27.604999999999997</v>
      </c>
      <c r="M136" s="46">
        <v>0</v>
      </c>
      <c r="N136" s="46">
        <v>0</v>
      </c>
      <c r="O136" s="46">
        <v>0</v>
      </c>
      <c r="P136" s="46">
        <v>21.496000000000002</v>
      </c>
      <c r="Q136" s="46">
        <v>9.141</v>
      </c>
      <c r="R136" s="46">
        <v>31.664999999999999</v>
      </c>
      <c r="S136" s="46">
        <v>0</v>
      </c>
      <c r="T136" s="46">
        <v>11.96</v>
      </c>
      <c r="U136" s="46">
        <v>19.518999999999998</v>
      </c>
      <c r="V136" s="46">
        <v>12.1</v>
      </c>
      <c r="W136" s="46">
        <v>17.125</v>
      </c>
      <c r="X136" s="46">
        <v>0</v>
      </c>
      <c r="Y136" s="46">
        <v>14.526</v>
      </c>
      <c r="Z136" s="46">
        <v>30.943999999999996</v>
      </c>
      <c r="AA136" s="46">
        <v>0</v>
      </c>
      <c r="AB136" s="46">
        <v>0</v>
      </c>
      <c r="AC136" s="46">
        <v>0</v>
      </c>
      <c r="AD136" s="46">
        <v>0</v>
      </c>
      <c r="AE136" s="46">
        <v>12.07</v>
      </c>
      <c r="AF136" s="46">
        <v>18.835000000000001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18.762</v>
      </c>
      <c r="AM136" s="46">
        <f t="shared" si="8"/>
        <v>9.0556428571428587</v>
      </c>
      <c r="AN136" s="7">
        <f t="shared" si="9"/>
        <v>9.0556428571428587</v>
      </c>
    </row>
    <row r="137" spans="1:40" x14ac:dyDescent="0.3">
      <c r="A137" s="5">
        <v>134</v>
      </c>
      <c r="B137" s="107" t="s">
        <v>65</v>
      </c>
      <c r="C137" s="112" t="s">
        <v>945</v>
      </c>
      <c r="D137" s="112" t="s">
        <v>946</v>
      </c>
      <c r="E137" s="110" t="s">
        <v>128</v>
      </c>
      <c r="F137" s="6" t="s">
        <v>12</v>
      </c>
      <c r="G137" s="6" t="s">
        <v>971</v>
      </c>
      <c r="H137" s="6" t="s">
        <v>80</v>
      </c>
      <c r="I137" s="5">
        <v>1</v>
      </c>
      <c r="J137" s="12" t="s">
        <v>589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f t="shared" si="8"/>
        <v>0</v>
      </c>
      <c r="AN137" s="7">
        <f t="shared" si="9"/>
        <v>0</v>
      </c>
    </row>
    <row r="138" spans="1:40" x14ac:dyDescent="0.3">
      <c r="A138" s="5">
        <v>135</v>
      </c>
      <c r="B138" s="107" t="s">
        <v>65</v>
      </c>
      <c r="C138" s="112" t="s">
        <v>701</v>
      </c>
      <c r="D138" s="112" t="s">
        <v>938</v>
      </c>
      <c r="E138" s="110" t="s">
        <v>128</v>
      </c>
      <c r="F138" s="6" t="s">
        <v>12</v>
      </c>
      <c r="G138" s="6" t="s">
        <v>976</v>
      </c>
      <c r="H138" s="6" t="s">
        <v>35</v>
      </c>
      <c r="I138" s="5">
        <v>5</v>
      </c>
      <c r="J138" s="12" t="s">
        <v>589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46">
        <f t="shared" si="8"/>
        <v>0</v>
      </c>
      <c r="AN138" s="7">
        <f t="shared" si="9"/>
        <v>0</v>
      </c>
    </row>
    <row r="139" spans="1:40" x14ac:dyDescent="0.3">
      <c r="A139" s="5">
        <v>136</v>
      </c>
      <c r="B139" s="107" t="s">
        <v>65</v>
      </c>
      <c r="C139" s="10" t="s">
        <v>681</v>
      </c>
      <c r="D139" s="12" t="s">
        <v>757</v>
      </c>
      <c r="E139" s="110" t="s">
        <v>128</v>
      </c>
      <c r="F139" s="6" t="s">
        <v>12</v>
      </c>
      <c r="G139" s="6" t="s">
        <v>976</v>
      </c>
      <c r="H139" s="6" t="s">
        <v>35</v>
      </c>
      <c r="I139" s="5">
        <v>15</v>
      </c>
      <c r="J139" s="94" t="s">
        <v>273</v>
      </c>
      <c r="K139" s="46">
        <v>201.85400000000004</v>
      </c>
      <c r="L139" s="46">
        <v>192.17900000000003</v>
      </c>
      <c r="M139" s="46">
        <v>255.26100000000002</v>
      </c>
      <c r="N139" s="46">
        <v>209.27300000000005</v>
      </c>
      <c r="O139" s="46">
        <v>197.79999999999993</v>
      </c>
      <c r="P139" s="46">
        <v>217.44800000000004</v>
      </c>
      <c r="Q139" s="46">
        <v>255.85300000000001</v>
      </c>
      <c r="R139" s="46">
        <v>250.3550000000001</v>
      </c>
      <c r="S139" s="46">
        <v>256.2240000000001</v>
      </c>
      <c r="T139" s="46">
        <v>232.78100000000001</v>
      </c>
      <c r="U139" s="46">
        <v>217.863</v>
      </c>
      <c r="V139" s="46">
        <v>245.62200000000001</v>
      </c>
      <c r="W139" s="46">
        <v>212.97499999999999</v>
      </c>
      <c r="X139" s="46">
        <v>240.07799999999989</v>
      </c>
      <c r="Y139" s="46">
        <v>249.72600000000011</v>
      </c>
      <c r="Z139" s="46">
        <v>229.03100000000003</v>
      </c>
      <c r="AA139" s="46">
        <v>221.239</v>
      </c>
      <c r="AB139" s="46">
        <v>252.24599999999995</v>
      </c>
      <c r="AC139" s="46">
        <v>280.46300000000002</v>
      </c>
      <c r="AD139" s="46">
        <v>266.04500000000007</v>
      </c>
      <c r="AE139" s="46">
        <v>236.88399999999999</v>
      </c>
      <c r="AF139" s="46">
        <v>280.96799999999996</v>
      </c>
      <c r="AG139" s="46">
        <v>200.98000000000005</v>
      </c>
      <c r="AH139" s="46">
        <v>205.02</v>
      </c>
      <c r="AI139" s="46">
        <v>219.41299999999998</v>
      </c>
      <c r="AJ139" s="46">
        <v>223.44799999999998</v>
      </c>
      <c r="AK139" s="46">
        <v>282.971</v>
      </c>
      <c r="AL139" s="46">
        <v>245.75600000000009</v>
      </c>
      <c r="AM139" s="46">
        <f t="shared" si="8"/>
        <v>234.99128571428574</v>
      </c>
      <c r="AN139" s="7">
        <f t="shared" si="9"/>
        <v>15.666085714285716</v>
      </c>
    </row>
    <row r="140" spans="1:40" x14ac:dyDescent="0.3">
      <c r="A140" s="5">
        <v>137</v>
      </c>
      <c r="B140" s="107" t="s">
        <v>65</v>
      </c>
      <c r="C140" s="112" t="s">
        <v>943</v>
      </c>
      <c r="D140" s="112" t="s">
        <v>944</v>
      </c>
      <c r="E140" s="110" t="s">
        <v>128</v>
      </c>
      <c r="F140" s="6" t="s">
        <v>12</v>
      </c>
      <c r="G140" s="6" t="s">
        <v>971</v>
      </c>
      <c r="H140" s="6" t="s">
        <v>80</v>
      </c>
      <c r="I140" s="5">
        <v>1</v>
      </c>
      <c r="J140" s="94" t="s">
        <v>273</v>
      </c>
      <c r="K140" s="46">
        <v>0</v>
      </c>
      <c r="L140" s="46">
        <v>0</v>
      </c>
      <c r="M140" s="46">
        <v>0</v>
      </c>
      <c r="N140" s="46">
        <v>0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11.71</v>
      </c>
      <c r="V140" s="46">
        <v>0</v>
      </c>
      <c r="W140" s="46">
        <v>0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16.149999999999999</v>
      </c>
      <c r="AD140" s="46">
        <v>6.53</v>
      </c>
      <c r="AE140" s="46">
        <v>0</v>
      </c>
      <c r="AF140" s="46">
        <v>19.29</v>
      </c>
      <c r="AG140" s="46">
        <v>19.880000000000003</v>
      </c>
      <c r="AH140" s="46">
        <v>12.46</v>
      </c>
      <c r="AI140" s="46">
        <v>7.94</v>
      </c>
      <c r="AJ140" s="46">
        <v>11.92</v>
      </c>
      <c r="AK140" s="46">
        <v>0</v>
      </c>
      <c r="AL140" s="46">
        <v>13.89</v>
      </c>
      <c r="AM140" s="46">
        <f t="shared" si="8"/>
        <v>4.2775000000000007</v>
      </c>
      <c r="AN140" s="7">
        <f t="shared" si="9"/>
        <v>4.2775000000000007</v>
      </c>
    </row>
    <row r="141" spans="1:40" x14ac:dyDescent="0.3">
      <c r="A141" s="5">
        <v>138</v>
      </c>
      <c r="B141" s="107" t="s">
        <v>65</v>
      </c>
      <c r="C141" s="10" t="s">
        <v>682</v>
      </c>
      <c r="D141" s="12" t="s">
        <v>744</v>
      </c>
      <c r="E141" s="110" t="s">
        <v>128</v>
      </c>
      <c r="F141" s="6" t="s">
        <v>12</v>
      </c>
      <c r="G141" s="6" t="s">
        <v>976</v>
      </c>
      <c r="H141" s="6" t="s">
        <v>35</v>
      </c>
      <c r="I141" s="5">
        <v>4</v>
      </c>
      <c r="J141" s="12" t="s">
        <v>160</v>
      </c>
      <c r="K141" s="46">
        <v>0</v>
      </c>
      <c r="L141" s="46">
        <v>0</v>
      </c>
      <c r="M141" s="46">
        <v>0</v>
      </c>
      <c r="N141" s="46">
        <v>0</v>
      </c>
      <c r="O141" s="46">
        <v>0</v>
      </c>
      <c r="P141" s="46">
        <v>0</v>
      </c>
      <c r="Q141" s="46">
        <v>2.4009999999999998</v>
      </c>
      <c r="R141" s="46">
        <v>0</v>
      </c>
      <c r="S141" s="46">
        <v>0</v>
      </c>
      <c r="T141" s="46">
        <v>0</v>
      </c>
      <c r="U141" s="46">
        <v>1.383</v>
      </c>
      <c r="V141" s="46">
        <v>3.456</v>
      </c>
      <c r="W141" s="46">
        <v>0</v>
      </c>
      <c r="X141" s="46">
        <v>0</v>
      </c>
      <c r="Y141" s="46">
        <v>0</v>
      </c>
      <c r="Z141" s="46">
        <v>0</v>
      </c>
      <c r="AA141" s="46">
        <v>0</v>
      </c>
      <c r="AB141" s="46">
        <v>0</v>
      </c>
      <c r="AC141" s="46">
        <v>0</v>
      </c>
      <c r="AD141" s="46">
        <v>0</v>
      </c>
      <c r="AE141" s="46">
        <v>0</v>
      </c>
      <c r="AF141" s="46">
        <v>0</v>
      </c>
      <c r="AG141" s="46">
        <v>0</v>
      </c>
      <c r="AH141" s="46">
        <v>0</v>
      </c>
      <c r="AI141" s="46">
        <v>0</v>
      </c>
      <c r="AJ141" s="46">
        <v>0</v>
      </c>
      <c r="AK141" s="46">
        <v>0</v>
      </c>
      <c r="AL141" s="46">
        <v>0</v>
      </c>
      <c r="AM141" s="46">
        <f t="shared" si="8"/>
        <v>0.25857142857142856</v>
      </c>
      <c r="AN141" s="7">
        <f t="shared" si="9"/>
        <v>6.4642857142857141E-2</v>
      </c>
    </row>
    <row r="142" spans="1:40" x14ac:dyDescent="0.3">
      <c r="A142" s="5">
        <v>139</v>
      </c>
      <c r="B142" s="107" t="s">
        <v>65</v>
      </c>
      <c r="C142" s="10" t="s">
        <v>682</v>
      </c>
      <c r="D142" s="12" t="s">
        <v>744</v>
      </c>
      <c r="E142" s="110" t="s">
        <v>128</v>
      </c>
      <c r="F142" s="6" t="s">
        <v>12</v>
      </c>
      <c r="G142" s="6" t="s">
        <v>979</v>
      </c>
      <c r="H142" s="6" t="s">
        <v>35</v>
      </c>
      <c r="I142" s="5">
        <v>2</v>
      </c>
      <c r="J142" s="12" t="s">
        <v>160</v>
      </c>
      <c r="K142" s="46">
        <v>0</v>
      </c>
      <c r="L142" s="46">
        <v>0</v>
      </c>
      <c r="M142" s="46">
        <v>0</v>
      </c>
      <c r="N142" s="46">
        <v>0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46">
        <v>0</v>
      </c>
      <c r="AA142" s="46">
        <v>0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</v>
      </c>
      <c r="AH142" s="46">
        <v>0</v>
      </c>
      <c r="AI142" s="46">
        <v>0</v>
      </c>
      <c r="AJ142" s="46">
        <v>0</v>
      </c>
      <c r="AK142" s="46">
        <v>0</v>
      </c>
      <c r="AL142" s="46">
        <v>0</v>
      </c>
      <c r="AM142" s="46">
        <f t="shared" si="8"/>
        <v>0</v>
      </c>
      <c r="AN142" s="7">
        <f t="shared" si="9"/>
        <v>0</v>
      </c>
    </row>
    <row r="143" spans="1:40" x14ac:dyDescent="0.3">
      <c r="A143" s="5">
        <v>140</v>
      </c>
      <c r="B143" s="107" t="s">
        <v>65</v>
      </c>
      <c r="C143" s="5" t="s">
        <v>702</v>
      </c>
      <c r="D143" s="12" t="s">
        <v>734</v>
      </c>
      <c r="E143" s="110" t="s">
        <v>236</v>
      </c>
      <c r="F143" s="6" t="s">
        <v>12</v>
      </c>
      <c r="G143" s="6" t="s">
        <v>976</v>
      </c>
      <c r="H143" s="6" t="s">
        <v>35</v>
      </c>
      <c r="I143" s="5">
        <v>2</v>
      </c>
      <c r="J143" s="67" t="s">
        <v>160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0</v>
      </c>
      <c r="AM143" s="46">
        <f t="shared" si="8"/>
        <v>0</v>
      </c>
      <c r="AN143" s="7">
        <f t="shared" si="9"/>
        <v>0</v>
      </c>
    </row>
    <row r="144" spans="1:40" x14ac:dyDescent="0.3">
      <c r="A144" s="5">
        <v>141</v>
      </c>
      <c r="B144" s="107" t="s">
        <v>65</v>
      </c>
      <c r="C144" s="10" t="s">
        <v>683</v>
      </c>
      <c r="D144" s="12" t="s">
        <v>927</v>
      </c>
      <c r="E144" s="110" t="s">
        <v>236</v>
      </c>
      <c r="F144" s="6" t="s">
        <v>12</v>
      </c>
      <c r="G144" s="6" t="s">
        <v>976</v>
      </c>
      <c r="H144" s="6" t="s">
        <v>35</v>
      </c>
      <c r="I144" s="5">
        <v>3</v>
      </c>
      <c r="J144" s="67" t="s">
        <v>160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f t="shared" si="8"/>
        <v>0</v>
      </c>
      <c r="AN144" s="7">
        <f t="shared" si="9"/>
        <v>0</v>
      </c>
    </row>
    <row r="145" spans="1:40" x14ac:dyDescent="0.3">
      <c r="A145" s="5">
        <v>142</v>
      </c>
      <c r="B145" s="107" t="s">
        <v>65</v>
      </c>
      <c r="C145" s="10" t="s">
        <v>684</v>
      </c>
      <c r="D145" s="12" t="s">
        <v>926</v>
      </c>
      <c r="E145" s="110" t="s">
        <v>236</v>
      </c>
      <c r="F145" s="6" t="s">
        <v>12</v>
      </c>
      <c r="G145" s="6" t="s">
        <v>976</v>
      </c>
      <c r="H145" s="6" t="s">
        <v>35</v>
      </c>
      <c r="I145" s="5">
        <v>3</v>
      </c>
      <c r="J145" s="67" t="s">
        <v>160</v>
      </c>
      <c r="K145" s="46">
        <v>0</v>
      </c>
      <c r="L145" s="46">
        <v>0</v>
      </c>
      <c r="M145" s="46">
        <v>0</v>
      </c>
      <c r="N145" s="46">
        <v>0</v>
      </c>
      <c r="O145" s="46">
        <v>0</v>
      </c>
      <c r="P145" s="46">
        <v>0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46">
        <v>0</v>
      </c>
      <c r="AA145" s="46">
        <v>0</v>
      </c>
      <c r="AB145" s="46">
        <v>0</v>
      </c>
      <c r="AC145" s="46">
        <v>0</v>
      </c>
      <c r="AD145" s="46">
        <v>0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>
        <v>0</v>
      </c>
      <c r="AK145" s="46">
        <v>0</v>
      </c>
      <c r="AL145" s="46">
        <v>0</v>
      </c>
      <c r="AM145" s="46">
        <f t="shared" si="8"/>
        <v>0</v>
      </c>
      <c r="AN145" s="7">
        <f t="shared" si="9"/>
        <v>0</v>
      </c>
    </row>
    <row r="146" spans="1:40" x14ac:dyDescent="0.3">
      <c r="A146" s="5">
        <v>143</v>
      </c>
      <c r="B146" s="107" t="s">
        <v>65</v>
      </c>
      <c r="C146" s="10" t="s">
        <v>684</v>
      </c>
      <c r="D146" s="12" t="s">
        <v>926</v>
      </c>
      <c r="E146" s="110" t="s">
        <v>236</v>
      </c>
      <c r="F146" s="6" t="s">
        <v>12</v>
      </c>
      <c r="G146" s="6" t="s">
        <v>971</v>
      </c>
      <c r="H146" s="6" t="s">
        <v>80</v>
      </c>
      <c r="I146" s="5">
        <v>1</v>
      </c>
      <c r="J146" s="67" t="s">
        <v>160</v>
      </c>
      <c r="K146" s="46">
        <v>0</v>
      </c>
      <c r="L146" s="46">
        <v>0</v>
      </c>
      <c r="M146" s="46">
        <v>0</v>
      </c>
      <c r="N146" s="46">
        <v>0</v>
      </c>
      <c r="O146" s="46">
        <v>0</v>
      </c>
      <c r="P146" s="46">
        <v>0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0</v>
      </c>
      <c r="Z146" s="46">
        <v>0</v>
      </c>
      <c r="AA146" s="46">
        <v>0</v>
      </c>
      <c r="AB146" s="46">
        <v>0</v>
      </c>
      <c r="AC146" s="46">
        <v>0</v>
      </c>
      <c r="AD146" s="46">
        <v>0</v>
      </c>
      <c r="AE146" s="46">
        <v>0</v>
      </c>
      <c r="AF146" s="46">
        <v>0</v>
      </c>
      <c r="AG146" s="46">
        <v>0</v>
      </c>
      <c r="AH146" s="46">
        <v>0</v>
      </c>
      <c r="AI146" s="46">
        <v>0</v>
      </c>
      <c r="AJ146" s="46">
        <v>0</v>
      </c>
      <c r="AK146" s="46">
        <v>0</v>
      </c>
      <c r="AL146" s="46">
        <v>0</v>
      </c>
      <c r="AM146" s="46">
        <f t="shared" si="8"/>
        <v>0</v>
      </c>
      <c r="AN146" s="7">
        <f t="shared" si="9"/>
        <v>0</v>
      </c>
    </row>
    <row r="147" spans="1:40" x14ac:dyDescent="0.3">
      <c r="A147" s="5">
        <v>144</v>
      </c>
      <c r="B147" s="107" t="s">
        <v>65</v>
      </c>
      <c r="C147" s="10" t="s">
        <v>685</v>
      </c>
      <c r="D147" s="12" t="s">
        <v>928</v>
      </c>
      <c r="E147" s="110" t="s">
        <v>236</v>
      </c>
      <c r="F147" s="6" t="s">
        <v>12</v>
      </c>
      <c r="G147" s="6" t="s">
        <v>976</v>
      </c>
      <c r="H147" s="6" t="s">
        <v>35</v>
      </c>
      <c r="I147" s="5">
        <v>3</v>
      </c>
      <c r="J147" s="67" t="s">
        <v>160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46">
        <v>0</v>
      </c>
      <c r="AA147" s="46">
        <v>0</v>
      </c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0</v>
      </c>
      <c r="AI147" s="46">
        <v>0</v>
      </c>
      <c r="AJ147" s="46">
        <v>0</v>
      </c>
      <c r="AK147" s="46">
        <v>0</v>
      </c>
      <c r="AL147" s="46">
        <v>0</v>
      </c>
      <c r="AM147" s="46">
        <f t="shared" si="8"/>
        <v>0</v>
      </c>
      <c r="AN147" s="7">
        <f t="shared" si="9"/>
        <v>0</v>
      </c>
    </row>
    <row r="148" spans="1:40" x14ac:dyDescent="0.3">
      <c r="A148" s="5">
        <v>145</v>
      </c>
      <c r="B148" s="107" t="s">
        <v>65</v>
      </c>
      <c r="C148" s="10" t="s">
        <v>686</v>
      </c>
      <c r="D148" s="12" t="s">
        <v>929</v>
      </c>
      <c r="E148" s="110" t="s">
        <v>236</v>
      </c>
      <c r="F148" s="6" t="s">
        <v>12</v>
      </c>
      <c r="G148" s="6" t="s">
        <v>976</v>
      </c>
      <c r="H148" s="6" t="s">
        <v>35</v>
      </c>
      <c r="I148" s="5">
        <v>3</v>
      </c>
      <c r="J148" s="67" t="s">
        <v>160</v>
      </c>
      <c r="K148" s="46">
        <v>12.052</v>
      </c>
      <c r="L148" s="46">
        <v>21.710999999999999</v>
      </c>
      <c r="M148" s="46">
        <v>9.1440000000000001</v>
      </c>
      <c r="N148" s="46">
        <v>16.334</v>
      </c>
      <c r="O148" s="46">
        <v>18.709</v>
      </c>
      <c r="P148" s="46">
        <v>1.86</v>
      </c>
      <c r="Q148" s="46">
        <v>12.777999999999999</v>
      </c>
      <c r="R148" s="46">
        <v>0.95199999999999996</v>
      </c>
      <c r="S148" s="46">
        <v>21.542000000000002</v>
      </c>
      <c r="T148" s="46">
        <v>8.6310000000000002</v>
      </c>
      <c r="U148" s="46">
        <v>17.577999999999999</v>
      </c>
      <c r="V148" s="46">
        <v>8.1980000000000004</v>
      </c>
      <c r="W148" s="46">
        <v>15.952999999999999</v>
      </c>
      <c r="X148" s="46">
        <v>17.405999999999999</v>
      </c>
      <c r="Y148" s="46">
        <v>0</v>
      </c>
      <c r="Z148" s="46">
        <v>9.9939999999999998</v>
      </c>
      <c r="AA148" s="46">
        <v>2.7850000000000001</v>
      </c>
      <c r="AB148" s="46">
        <v>8.6980000000000004</v>
      </c>
      <c r="AC148" s="46">
        <v>12.984</v>
      </c>
      <c r="AD148" s="46">
        <v>2.7170000000000001</v>
      </c>
      <c r="AE148" s="46">
        <v>9.5830000000000002</v>
      </c>
      <c r="AF148" s="46">
        <v>0</v>
      </c>
      <c r="AG148" s="46">
        <v>20.393000000000001</v>
      </c>
      <c r="AH148" s="46">
        <v>6.9939999999999998</v>
      </c>
      <c r="AI148" s="46">
        <v>20.237000000000002</v>
      </c>
      <c r="AJ148" s="46">
        <v>15.147</v>
      </c>
      <c r="AK148" s="46">
        <v>10.843</v>
      </c>
      <c r="AL148" s="46">
        <v>21.184999999999999</v>
      </c>
      <c r="AM148" s="46">
        <f t="shared" si="8"/>
        <v>11.586000000000002</v>
      </c>
      <c r="AN148" s="7">
        <f t="shared" si="9"/>
        <v>3.8620000000000005</v>
      </c>
    </row>
    <row r="149" spans="1:40" x14ac:dyDescent="0.3">
      <c r="A149" s="5">
        <v>146</v>
      </c>
      <c r="B149" s="107" t="s">
        <v>65</v>
      </c>
      <c r="C149" s="10" t="s">
        <v>687</v>
      </c>
      <c r="D149" s="12" t="s">
        <v>930</v>
      </c>
      <c r="E149" s="110" t="s">
        <v>236</v>
      </c>
      <c r="F149" s="6" t="s">
        <v>12</v>
      </c>
      <c r="G149" s="6" t="s">
        <v>976</v>
      </c>
      <c r="H149" s="6" t="s">
        <v>35</v>
      </c>
      <c r="I149" s="5">
        <v>3</v>
      </c>
      <c r="J149" s="67" t="s">
        <v>160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>
        <v>0</v>
      </c>
      <c r="AL149" s="46">
        <v>0</v>
      </c>
      <c r="AM149" s="46">
        <f t="shared" si="8"/>
        <v>0</v>
      </c>
      <c r="AN149" s="7">
        <f t="shared" si="9"/>
        <v>0</v>
      </c>
    </row>
    <row r="150" spans="1:40" x14ac:dyDescent="0.3">
      <c r="A150" s="5">
        <v>147</v>
      </c>
      <c r="B150" s="107" t="s">
        <v>65</v>
      </c>
      <c r="C150" s="10" t="s">
        <v>688</v>
      </c>
      <c r="D150" s="12" t="s">
        <v>931</v>
      </c>
      <c r="E150" s="110" t="s">
        <v>236</v>
      </c>
      <c r="F150" s="6" t="s">
        <v>12</v>
      </c>
      <c r="G150" s="6" t="s">
        <v>976</v>
      </c>
      <c r="H150" s="6" t="s">
        <v>35</v>
      </c>
      <c r="I150" s="5">
        <v>3</v>
      </c>
      <c r="J150" s="67" t="s">
        <v>160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J150" s="46">
        <v>0</v>
      </c>
      <c r="AK150" s="46">
        <v>0</v>
      </c>
      <c r="AL150" s="46">
        <v>0</v>
      </c>
      <c r="AM150" s="46">
        <f t="shared" si="8"/>
        <v>0</v>
      </c>
      <c r="AN150" s="7">
        <f t="shared" si="9"/>
        <v>0</v>
      </c>
    </row>
    <row r="151" spans="1:40" x14ac:dyDescent="0.3">
      <c r="A151" s="5">
        <v>148</v>
      </c>
      <c r="B151" s="107" t="s">
        <v>65</v>
      </c>
      <c r="C151" s="10" t="s">
        <v>689</v>
      </c>
      <c r="D151" s="12" t="s">
        <v>811</v>
      </c>
      <c r="E151" s="110" t="s">
        <v>30</v>
      </c>
      <c r="F151" s="6" t="s">
        <v>12</v>
      </c>
      <c r="G151" s="6" t="s">
        <v>976</v>
      </c>
      <c r="H151" s="6" t="s">
        <v>35</v>
      </c>
      <c r="I151" s="5">
        <v>4</v>
      </c>
      <c r="J151" s="12" t="s">
        <v>590</v>
      </c>
      <c r="K151" s="46">
        <v>0</v>
      </c>
      <c r="L151" s="46">
        <v>0</v>
      </c>
      <c r="M151" s="46">
        <v>0</v>
      </c>
      <c r="N151" s="46">
        <v>2.4359999999999999</v>
      </c>
      <c r="O151" s="46">
        <v>0</v>
      </c>
      <c r="P151" s="46">
        <v>0</v>
      </c>
      <c r="Q151" s="46">
        <v>1.5169999999999999</v>
      </c>
      <c r="R151" s="46">
        <v>0</v>
      </c>
      <c r="S151" s="46">
        <v>0</v>
      </c>
      <c r="T151" s="46">
        <v>0</v>
      </c>
      <c r="U151" s="46">
        <v>9.0519999999999996</v>
      </c>
      <c r="V151" s="46">
        <v>1.5429999999999999</v>
      </c>
      <c r="W151" s="46">
        <v>0</v>
      </c>
      <c r="X151" s="46">
        <v>0</v>
      </c>
      <c r="Y151" s="46">
        <v>0</v>
      </c>
      <c r="Z151" s="46">
        <v>0</v>
      </c>
      <c r="AA151" s="46">
        <v>0</v>
      </c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0</v>
      </c>
      <c r="AI151" s="46">
        <v>0</v>
      </c>
      <c r="AJ151" s="46">
        <v>0</v>
      </c>
      <c r="AK151" s="46">
        <v>0</v>
      </c>
      <c r="AL151" s="46">
        <v>0</v>
      </c>
      <c r="AM151" s="46">
        <f t="shared" si="8"/>
        <v>0.51957142857142846</v>
      </c>
      <c r="AN151" s="7">
        <f t="shared" si="9"/>
        <v>0.12989285714285712</v>
      </c>
    </row>
    <row r="152" spans="1:40" ht="15.75" customHeight="1" x14ac:dyDescent="0.3">
      <c r="A152" s="5">
        <v>149</v>
      </c>
      <c r="B152" s="107" t="s">
        <v>65</v>
      </c>
      <c r="C152" s="10" t="s">
        <v>690</v>
      </c>
      <c r="D152" s="12" t="s">
        <v>769</v>
      </c>
      <c r="E152" s="110" t="s">
        <v>128</v>
      </c>
      <c r="F152" s="6" t="s">
        <v>12</v>
      </c>
      <c r="G152" s="6" t="s">
        <v>976</v>
      </c>
      <c r="H152" s="6" t="s">
        <v>35</v>
      </c>
      <c r="I152" s="5">
        <v>15</v>
      </c>
      <c r="J152" s="94" t="s">
        <v>273</v>
      </c>
      <c r="K152" s="46">
        <v>61.406999999999996</v>
      </c>
      <c r="L152" s="46">
        <v>40.967999999999996</v>
      </c>
      <c r="M152" s="46">
        <v>47.542000000000002</v>
      </c>
      <c r="N152" s="46">
        <v>38.378</v>
      </c>
      <c r="O152" s="46">
        <v>27.388999999999996</v>
      </c>
      <c r="P152" s="46">
        <v>17.643999999999998</v>
      </c>
      <c r="Q152" s="46">
        <v>40.384999999999998</v>
      </c>
      <c r="R152" s="46">
        <v>57.587999999999994</v>
      </c>
      <c r="S152" s="46">
        <v>42.926000000000002</v>
      </c>
      <c r="T152" s="46">
        <v>49.355999999999995</v>
      </c>
      <c r="U152" s="46">
        <v>73.427000000000007</v>
      </c>
      <c r="V152" s="46">
        <v>30.306000000000001</v>
      </c>
      <c r="W152" s="46">
        <v>64.731000000000009</v>
      </c>
      <c r="X152" s="46">
        <v>61.329999999999991</v>
      </c>
      <c r="Y152" s="46">
        <v>60.515000000000001</v>
      </c>
      <c r="Z152" s="46">
        <v>44.802999999999997</v>
      </c>
      <c r="AA152" s="46">
        <v>73.858000000000004</v>
      </c>
      <c r="AB152" s="46">
        <v>66.994</v>
      </c>
      <c r="AC152" s="46">
        <v>106.303</v>
      </c>
      <c r="AD152" s="46">
        <v>90.477999999999994</v>
      </c>
      <c r="AE152" s="46">
        <v>67.703000000000003</v>
      </c>
      <c r="AF152" s="46">
        <v>88.503000000000014</v>
      </c>
      <c r="AG152" s="46">
        <v>67.289000000000016</v>
      </c>
      <c r="AH152" s="46">
        <v>92.024999999999991</v>
      </c>
      <c r="AI152" s="46">
        <v>101.69000000000001</v>
      </c>
      <c r="AJ152" s="46">
        <v>85.091999999999999</v>
      </c>
      <c r="AK152" s="46">
        <v>69.426000000000002</v>
      </c>
      <c r="AL152" s="46">
        <v>87.925000000000011</v>
      </c>
      <c r="AM152" s="46">
        <f t="shared" si="8"/>
        <v>62.71360714285715</v>
      </c>
      <c r="AN152" s="7">
        <f t="shared" si="9"/>
        <v>4.1809071428571434</v>
      </c>
    </row>
    <row r="153" spans="1:40" ht="15.75" customHeight="1" x14ac:dyDescent="0.3">
      <c r="A153" s="5">
        <v>150</v>
      </c>
      <c r="B153" s="107" t="s">
        <v>65</v>
      </c>
      <c r="C153" s="112" t="s">
        <v>947</v>
      </c>
      <c r="D153" s="112" t="s">
        <v>948</v>
      </c>
      <c r="E153" s="110" t="s">
        <v>128</v>
      </c>
      <c r="F153" s="6" t="s">
        <v>12</v>
      </c>
      <c r="G153" s="6" t="s">
        <v>971</v>
      </c>
      <c r="H153" s="6" t="s">
        <v>80</v>
      </c>
      <c r="I153" s="5">
        <v>1</v>
      </c>
      <c r="J153" s="67" t="s">
        <v>160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22.09</v>
      </c>
      <c r="W153" s="46">
        <v>6.31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f t="shared" si="8"/>
        <v>1.0142857142857142</v>
      </c>
      <c r="AN153" s="7">
        <f t="shared" si="9"/>
        <v>1.0142857142857142</v>
      </c>
    </row>
    <row r="154" spans="1:40" x14ac:dyDescent="0.3">
      <c r="A154" s="5">
        <v>151</v>
      </c>
      <c r="B154" s="107" t="s">
        <v>65</v>
      </c>
      <c r="C154" s="10" t="s">
        <v>691</v>
      </c>
      <c r="D154" s="12" t="s">
        <v>932</v>
      </c>
      <c r="E154" s="110" t="s">
        <v>407</v>
      </c>
      <c r="F154" s="6" t="s">
        <v>19</v>
      </c>
      <c r="G154" s="6" t="s">
        <v>976</v>
      </c>
      <c r="H154" s="6" t="s">
        <v>35</v>
      </c>
      <c r="I154" s="5">
        <v>2</v>
      </c>
      <c r="J154" s="12" t="s">
        <v>590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14.783000000000001</v>
      </c>
      <c r="AB154" s="46">
        <v>0</v>
      </c>
      <c r="AC154" s="46">
        <v>13.996999999999998</v>
      </c>
      <c r="AD154" s="46">
        <v>4.1859999999999999</v>
      </c>
      <c r="AE154" s="46">
        <v>5.4790000000000001</v>
      </c>
      <c r="AF154" s="46">
        <v>0</v>
      </c>
      <c r="AG154" s="46">
        <v>0</v>
      </c>
      <c r="AH154" s="46">
        <v>7.2610000000000001</v>
      </c>
      <c r="AI154" s="46">
        <v>0</v>
      </c>
      <c r="AJ154" s="46">
        <v>0</v>
      </c>
      <c r="AK154" s="46">
        <v>10.308999999999999</v>
      </c>
      <c r="AL154" s="46">
        <v>8.7149999999999999</v>
      </c>
      <c r="AM154" s="46">
        <f t="shared" si="8"/>
        <v>2.3117857142857146</v>
      </c>
      <c r="AN154" s="7">
        <f t="shared" si="9"/>
        <v>1.1558928571428573</v>
      </c>
    </row>
    <row r="155" spans="1:40" x14ac:dyDescent="0.3">
      <c r="A155" s="5">
        <v>152</v>
      </c>
      <c r="B155" s="107" t="s">
        <v>65</v>
      </c>
      <c r="C155" s="10" t="s">
        <v>692</v>
      </c>
      <c r="D155" s="12" t="s">
        <v>933</v>
      </c>
      <c r="E155" s="110" t="s">
        <v>432</v>
      </c>
      <c r="F155" s="6" t="s">
        <v>19</v>
      </c>
      <c r="G155" s="6" t="s">
        <v>976</v>
      </c>
      <c r="H155" s="6" t="s">
        <v>35</v>
      </c>
      <c r="I155" s="5">
        <v>2</v>
      </c>
      <c r="J155" s="12" t="s">
        <v>590</v>
      </c>
      <c r="K155" s="46">
        <v>0</v>
      </c>
      <c r="L155" s="46">
        <v>0</v>
      </c>
      <c r="M155" s="46">
        <v>13.558</v>
      </c>
      <c r="N155" s="46">
        <v>7.6980000000000004</v>
      </c>
      <c r="O155" s="46">
        <v>0</v>
      </c>
      <c r="P155" s="46">
        <v>10.009</v>
      </c>
      <c r="Q155" s="46">
        <v>0</v>
      </c>
      <c r="R155" s="46">
        <v>0</v>
      </c>
      <c r="S155" s="46">
        <v>0</v>
      </c>
      <c r="T155" s="46">
        <v>8.5370000000000008</v>
      </c>
      <c r="U155" s="46">
        <v>6.9550000000000001</v>
      </c>
      <c r="V155" s="46">
        <v>6.4459999999999997</v>
      </c>
      <c r="W155" s="46">
        <v>6.52</v>
      </c>
      <c r="X155" s="46">
        <v>7.2409999999999997</v>
      </c>
      <c r="Y155" s="46">
        <v>0</v>
      </c>
      <c r="Z155" s="46">
        <v>0</v>
      </c>
      <c r="AA155" s="46">
        <v>0</v>
      </c>
      <c r="AB155" s="46">
        <v>12.786</v>
      </c>
      <c r="AC155" s="46">
        <v>0</v>
      </c>
      <c r="AD155" s="46">
        <v>0</v>
      </c>
      <c r="AE155" s="46">
        <v>11.98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11.515000000000001</v>
      </c>
      <c r="AL155" s="46">
        <v>0</v>
      </c>
      <c r="AM155" s="46">
        <f t="shared" si="8"/>
        <v>3.6873214285714289</v>
      </c>
      <c r="AN155" s="7">
        <f t="shared" si="9"/>
        <v>1.8436607142857144</v>
      </c>
    </row>
    <row r="156" spans="1:40" x14ac:dyDescent="0.3">
      <c r="A156" s="5">
        <v>153</v>
      </c>
      <c r="B156" s="107" t="s">
        <v>65</v>
      </c>
      <c r="C156" s="10" t="s">
        <v>693</v>
      </c>
      <c r="D156" s="12" t="s">
        <v>934</v>
      </c>
      <c r="E156" s="110" t="s">
        <v>407</v>
      </c>
      <c r="F156" s="6" t="s">
        <v>19</v>
      </c>
      <c r="G156" s="6" t="s">
        <v>976</v>
      </c>
      <c r="H156" s="6" t="s">
        <v>35</v>
      </c>
      <c r="I156" s="5">
        <v>1</v>
      </c>
      <c r="J156" s="12" t="s">
        <v>590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1E-3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f t="shared" si="8"/>
        <v>3.5714285714285717E-5</v>
      </c>
      <c r="AN156" s="7">
        <f t="shared" si="9"/>
        <v>3.5714285714285717E-5</v>
      </c>
    </row>
    <row r="157" spans="1:40" x14ac:dyDescent="0.3">
      <c r="A157" s="5">
        <v>154</v>
      </c>
      <c r="B157" s="107" t="s">
        <v>65</v>
      </c>
      <c r="C157" s="112" t="s">
        <v>694</v>
      </c>
      <c r="D157" s="112" t="s">
        <v>935</v>
      </c>
      <c r="E157" s="110" t="s">
        <v>432</v>
      </c>
      <c r="F157" s="6" t="s">
        <v>19</v>
      </c>
      <c r="G157" s="6" t="s">
        <v>976</v>
      </c>
      <c r="H157" s="6" t="s">
        <v>35</v>
      </c>
      <c r="I157" s="5">
        <v>2</v>
      </c>
      <c r="J157" s="12" t="s">
        <v>590</v>
      </c>
      <c r="K157" s="46">
        <v>0</v>
      </c>
      <c r="L157" s="46">
        <v>0</v>
      </c>
      <c r="M157" s="46">
        <v>0</v>
      </c>
      <c r="N157" s="46">
        <v>1.56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f t="shared" si="8"/>
        <v>5.5714285714285716E-2</v>
      </c>
      <c r="AN157" s="7">
        <f t="shared" si="9"/>
        <v>2.7857142857142858E-2</v>
      </c>
    </row>
    <row r="158" spans="1:40" x14ac:dyDescent="0.3">
      <c r="A158" s="5">
        <v>155</v>
      </c>
      <c r="B158" s="107" t="s">
        <v>65</v>
      </c>
      <c r="C158" s="112" t="s">
        <v>695</v>
      </c>
      <c r="D158" s="112" t="s">
        <v>936</v>
      </c>
      <c r="E158" s="110" t="s">
        <v>521</v>
      </c>
      <c r="F158" s="6" t="s">
        <v>19</v>
      </c>
      <c r="G158" s="6" t="s">
        <v>976</v>
      </c>
      <c r="H158" s="6" t="s">
        <v>35</v>
      </c>
      <c r="I158" s="5">
        <v>1</v>
      </c>
      <c r="J158" s="12" t="s">
        <v>590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f t="shared" si="8"/>
        <v>0</v>
      </c>
      <c r="AN158" s="7">
        <f t="shared" si="9"/>
        <v>0</v>
      </c>
    </row>
    <row r="159" spans="1:40" x14ac:dyDescent="0.3">
      <c r="A159" s="5">
        <v>156</v>
      </c>
      <c r="B159" s="107" t="s">
        <v>65</v>
      </c>
      <c r="C159" s="10" t="s">
        <v>846</v>
      </c>
      <c r="D159" s="39" t="s">
        <v>841</v>
      </c>
      <c r="E159" s="110" t="s">
        <v>521</v>
      </c>
      <c r="F159" s="6" t="s">
        <v>19</v>
      </c>
      <c r="G159" s="6" t="s">
        <v>976</v>
      </c>
      <c r="H159" s="6" t="s">
        <v>35</v>
      </c>
      <c r="I159" s="5">
        <v>2</v>
      </c>
      <c r="J159" s="12" t="s">
        <v>590</v>
      </c>
      <c r="K159" s="46">
        <v>0</v>
      </c>
      <c r="L159" s="46">
        <v>0</v>
      </c>
      <c r="M159" s="46">
        <v>12.032</v>
      </c>
      <c r="N159" s="46">
        <v>3.35</v>
      </c>
      <c r="O159" s="46">
        <v>0</v>
      </c>
      <c r="P159" s="46">
        <v>11.212</v>
      </c>
      <c r="Q159" s="46">
        <v>6.4060000000000006</v>
      </c>
      <c r="R159" s="46">
        <v>0</v>
      </c>
      <c r="S159" s="46">
        <v>0</v>
      </c>
      <c r="T159" s="46">
        <v>9.3550000000000004</v>
      </c>
      <c r="U159" s="46">
        <v>5.0309999999999997</v>
      </c>
      <c r="V159" s="46">
        <v>0</v>
      </c>
      <c r="W159" s="46">
        <v>6.28</v>
      </c>
      <c r="X159" s="46">
        <v>3.7759999999999998</v>
      </c>
      <c r="Y159" s="46">
        <v>0</v>
      </c>
      <c r="Z159" s="46">
        <v>0</v>
      </c>
      <c r="AA159" s="46">
        <v>10.84</v>
      </c>
      <c r="AB159" s="46">
        <v>5.0209999999999999</v>
      </c>
      <c r="AC159" s="46">
        <v>9.3460000000000001</v>
      </c>
      <c r="AD159" s="46">
        <v>2.83</v>
      </c>
      <c r="AE159" s="46">
        <v>5.4109999999999996</v>
      </c>
      <c r="AF159" s="46">
        <v>0</v>
      </c>
      <c r="AG159" s="46">
        <v>0</v>
      </c>
      <c r="AH159" s="46">
        <v>12.667999999999999</v>
      </c>
      <c r="AI159" s="46">
        <v>0</v>
      </c>
      <c r="AJ159" s="46">
        <v>0</v>
      </c>
      <c r="AK159" s="46">
        <v>8.6890000000000001</v>
      </c>
      <c r="AL159" s="46">
        <v>5.5039999999999996</v>
      </c>
      <c r="AM159" s="46">
        <f t="shared" si="8"/>
        <v>4.2053928571428578</v>
      </c>
      <c r="AN159" s="7">
        <f t="shared" si="9"/>
        <v>2.1026964285714289</v>
      </c>
    </row>
    <row r="160" spans="1:40" x14ac:dyDescent="0.3">
      <c r="A160" s="5">
        <v>157</v>
      </c>
      <c r="B160" s="107" t="s">
        <v>65</v>
      </c>
      <c r="C160" s="112" t="s">
        <v>696</v>
      </c>
      <c r="D160" s="112" t="s">
        <v>937</v>
      </c>
      <c r="E160" s="110" t="s">
        <v>128</v>
      </c>
      <c r="F160" s="6" t="s">
        <v>12</v>
      </c>
      <c r="G160" s="6" t="s">
        <v>976</v>
      </c>
      <c r="H160" s="6" t="s">
        <v>35</v>
      </c>
      <c r="I160" s="5">
        <v>15</v>
      </c>
      <c r="J160" s="94" t="s">
        <v>273</v>
      </c>
      <c r="K160" s="46">
        <v>90.229000000000013</v>
      </c>
      <c r="L160" s="46">
        <v>84.037000000000006</v>
      </c>
      <c r="M160" s="46">
        <v>81.687999999999988</v>
      </c>
      <c r="N160" s="46">
        <v>93.509</v>
      </c>
      <c r="O160" s="46">
        <v>53.164999999999999</v>
      </c>
      <c r="P160" s="46">
        <v>104.54200000000002</v>
      </c>
      <c r="Q160" s="46">
        <v>119.54900000000001</v>
      </c>
      <c r="R160" s="46">
        <v>148.785</v>
      </c>
      <c r="S160" s="46">
        <v>104.867</v>
      </c>
      <c r="T160" s="46">
        <v>85.651999999999987</v>
      </c>
      <c r="U160" s="46">
        <v>146.62199999999999</v>
      </c>
      <c r="V160" s="46">
        <v>73.825999999999993</v>
      </c>
      <c r="W160" s="46">
        <v>131.20599999999999</v>
      </c>
      <c r="X160" s="46">
        <v>90.216999999999999</v>
      </c>
      <c r="Y160" s="46">
        <v>107.31899999999999</v>
      </c>
      <c r="Z160" s="46">
        <v>70.998000000000005</v>
      </c>
      <c r="AA160" s="46">
        <v>84.612000000000009</v>
      </c>
      <c r="AB160" s="46">
        <v>101.29199999999999</v>
      </c>
      <c r="AC160" s="46">
        <v>77.799000000000007</v>
      </c>
      <c r="AD160" s="46">
        <v>115.64500000000001</v>
      </c>
      <c r="AE160" s="46">
        <v>100.85300000000001</v>
      </c>
      <c r="AF160" s="46">
        <v>103.32</v>
      </c>
      <c r="AG160" s="46">
        <v>82.915000000000006</v>
      </c>
      <c r="AH160" s="46">
        <v>109.98399999999999</v>
      </c>
      <c r="AI160" s="46">
        <v>121.29300000000001</v>
      </c>
      <c r="AJ160" s="46">
        <v>107.511</v>
      </c>
      <c r="AK160" s="46">
        <v>109.953</v>
      </c>
      <c r="AL160" s="46">
        <v>131.25700000000001</v>
      </c>
      <c r="AM160" s="46">
        <f t="shared" si="8"/>
        <v>101.16589285714285</v>
      </c>
      <c r="AN160" s="7">
        <f t="shared" si="9"/>
        <v>6.7443928571428566</v>
      </c>
    </row>
    <row r="161" spans="1:40" x14ac:dyDescent="0.3">
      <c r="A161" s="5">
        <v>158</v>
      </c>
      <c r="B161" s="107" t="s">
        <v>65</v>
      </c>
      <c r="C161" s="112" t="s">
        <v>939</v>
      </c>
      <c r="D161" s="112" t="s">
        <v>940</v>
      </c>
      <c r="E161" s="110" t="s">
        <v>128</v>
      </c>
      <c r="F161" s="6" t="s">
        <v>12</v>
      </c>
      <c r="G161" s="6" t="s">
        <v>971</v>
      </c>
      <c r="H161" s="6" t="s">
        <v>80</v>
      </c>
      <c r="I161" s="5">
        <v>2</v>
      </c>
      <c r="J161" s="94" t="s">
        <v>273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40.949999999999996</v>
      </c>
      <c r="AB161" s="46">
        <v>37.230000000000004</v>
      </c>
      <c r="AC161" s="46">
        <v>42.629999999999995</v>
      </c>
      <c r="AD161" s="46">
        <v>35.15</v>
      </c>
      <c r="AE161" s="46">
        <v>43.25</v>
      </c>
      <c r="AF161" s="46">
        <v>24.86</v>
      </c>
      <c r="AG161" s="46">
        <v>19.13</v>
      </c>
      <c r="AH161" s="46">
        <v>0</v>
      </c>
      <c r="AI161" s="46">
        <v>19.789999999999996</v>
      </c>
      <c r="AJ161" s="46">
        <v>0</v>
      </c>
      <c r="AK161" s="46">
        <v>0</v>
      </c>
      <c r="AL161" s="46">
        <v>0</v>
      </c>
      <c r="AM161" s="46">
        <f t="shared" si="8"/>
        <v>9.3925000000000001</v>
      </c>
      <c r="AN161" s="7">
        <f t="shared" si="9"/>
        <v>4.69625</v>
      </c>
    </row>
    <row r="162" spans="1:40" x14ac:dyDescent="0.3">
      <c r="A162" s="5">
        <v>159</v>
      </c>
      <c r="B162" s="107" t="s">
        <v>65</v>
      </c>
      <c r="C162" s="5"/>
      <c r="D162" s="39" t="s">
        <v>115</v>
      </c>
      <c r="E162" s="110" t="s">
        <v>113</v>
      </c>
      <c r="F162" s="6" t="s">
        <v>19</v>
      </c>
      <c r="G162" s="6" t="s">
        <v>973</v>
      </c>
      <c r="H162" s="6" t="s">
        <v>80</v>
      </c>
      <c r="I162" s="5">
        <v>1</v>
      </c>
      <c r="J162" s="67" t="s">
        <v>160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46">
        <v>0</v>
      </c>
      <c r="AM162" s="46">
        <f t="shared" ref="AM162:AM170" si="10">AVERAGE(K162:AL162)</f>
        <v>0</v>
      </c>
      <c r="AN162" s="7">
        <f t="shared" ref="AN162:AN170" si="11">AM162/I162</f>
        <v>0</v>
      </c>
    </row>
    <row r="163" spans="1:40" x14ac:dyDescent="0.3">
      <c r="A163" s="5">
        <v>160</v>
      </c>
      <c r="B163" s="107" t="s">
        <v>65</v>
      </c>
      <c r="C163" s="5"/>
      <c r="D163" s="39" t="s">
        <v>117</v>
      </c>
      <c r="E163" s="110" t="s">
        <v>113</v>
      </c>
      <c r="F163" s="6" t="s">
        <v>19</v>
      </c>
      <c r="G163" s="6" t="s">
        <v>973</v>
      </c>
      <c r="H163" s="6" t="s">
        <v>80</v>
      </c>
      <c r="I163" s="5">
        <v>1</v>
      </c>
      <c r="J163" s="67" t="s">
        <v>160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f t="shared" si="10"/>
        <v>0</v>
      </c>
      <c r="AN163" s="7">
        <f t="shared" si="11"/>
        <v>0</v>
      </c>
    </row>
    <row r="164" spans="1:40" x14ac:dyDescent="0.3">
      <c r="A164" s="5">
        <v>161</v>
      </c>
      <c r="B164" s="107" t="s">
        <v>65</v>
      </c>
      <c r="C164" s="5"/>
      <c r="D164" s="6" t="s">
        <v>66</v>
      </c>
      <c r="E164" s="110" t="s">
        <v>67</v>
      </c>
      <c r="F164" s="6" t="s">
        <v>12</v>
      </c>
      <c r="G164" s="6" t="s">
        <v>976</v>
      </c>
      <c r="H164" s="6" t="s">
        <v>14</v>
      </c>
      <c r="I164" s="5">
        <v>87</v>
      </c>
      <c r="J164" s="67" t="s">
        <v>160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f t="shared" si="10"/>
        <v>0</v>
      </c>
      <c r="AN164" s="7">
        <f t="shared" si="11"/>
        <v>0</v>
      </c>
    </row>
    <row r="165" spans="1:40" x14ac:dyDescent="0.3">
      <c r="A165" s="5">
        <v>162</v>
      </c>
      <c r="B165" s="107" t="s">
        <v>65</v>
      </c>
      <c r="C165" s="5"/>
      <c r="D165" s="6" t="s">
        <v>70</v>
      </c>
      <c r="E165" s="110"/>
      <c r="F165" s="6" t="s">
        <v>12</v>
      </c>
      <c r="G165" s="6" t="s">
        <v>976</v>
      </c>
      <c r="H165" s="6" t="s">
        <v>14</v>
      </c>
      <c r="I165" s="5">
        <v>82</v>
      </c>
      <c r="J165" s="67" t="s">
        <v>160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f t="shared" si="10"/>
        <v>0</v>
      </c>
      <c r="AN165" s="7">
        <f t="shared" si="11"/>
        <v>0</v>
      </c>
    </row>
    <row r="166" spans="1:40" x14ac:dyDescent="0.3">
      <c r="A166" s="5">
        <v>163</v>
      </c>
      <c r="B166" s="107" t="s">
        <v>65</v>
      </c>
      <c r="C166" s="5"/>
      <c r="D166" s="6" t="s">
        <v>74</v>
      </c>
      <c r="E166" s="110" t="s">
        <v>30</v>
      </c>
      <c r="F166" s="6" t="s">
        <v>19</v>
      </c>
      <c r="G166" s="6" t="s">
        <v>976</v>
      </c>
      <c r="H166" s="6" t="s">
        <v>14</v>
      </c>
      <c r="I166" s="5">
        <v>2</v>
      </c>
      <c r="J166" s="67" t="s">
        <v>160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f t="shared" si="10"/>
        <v>0</v>
      </c>
      <c r="AN166" s="7">
        <f t="shared" si="11"/>
        <v>0</v>
      </c>
    </row>
    <row r="167" spans="1:40" x14ac:dyDescent="0.3">
      <c r="A167" s="5">
        <v>164</v>
      </c>
      <c r="B167" s="107" t="s">
        <v>65</v>
      </c>
      <c r="C167" s="5"/>
      <c r="D167" s="39" t="s">
        <v>122</v>
      </c>
      <c r="E167" s="110" t="s">
        <v>30</v>
      </c>
      <c r="F167" s="6" t="s">
        <v>19</v>
      </c>
      <c r="G167" s="6" t="s">
        <v>976</v>
      </c>
      <c r="H167" s="6" t="s">
        <v>14</v>
      </c>
      <c r="I167" s="5">
        <v>3</v>
      </c>
      <c r="J167" s="67" t="s">
        <v>160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f t="shared" si="10"/>
        <v>0</v>
      </c>
      <c r="AN167" s="7">
        <f t="shared" si="11"/>
        <v>0</v>
      </c>
    </row>
    <row r="168" spans="1:40" ht="15.6" x14ac:dyDescent="0.3">
      <c r="A168" s="5">
        <v>165</v>
      </c>
      <c r="B168" s="107" t="s">
        <v>572</v>
      </c>
      <c r="C168" s="112" t="s">
        <v>697</v>
      </c>
      <c r="D168" s="114" t="s">
        <v>950</v>
      </c>
      <c r="E168" s="110" t="s">
        <v>61</v>
      </c>
      <c r="F168" s="6" t="s">
        <v>12</v>
      </c>
      <c r="G168" s="6" t="s">
        <v>976</v>
      </c>
      <c r="H168" s="6" t="s">
        <v>35</v>
      </c>
      <c r="I168" s="5">
        <v>7</v>
      </c>
      <c r="J168" s="12" t="s">
        <v>160</v>
      </c>
      <c r="K168" s="46">
        <v>0</v>
      </c>
      <c r="L168" s="46">
        <v>1E-3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f t="shared" si="10"/>
        <v>3.5714285714285717E-5</v>
      </c>
      <c r="AN168" s="7">
        <f t="shared" si="11"/>
        <v>5.1020408163265306E-6</v>
      </c>
    </row>
    <row r="169" spans="1:40" ht="15.6" x14ac:dyDescent="0.3">
      <c r="A169" s="5">
        <v>166</v>
      </c>
      <c r="B169" s="107" t="s">
        <v>572</v>
      </c>
      <c r="C169" s="112" t="s">
        <v>949</v>
      </c>
      <c r="D169" s="114" t="s">
        <v>810</v>
      </c>
      <c r="E169" s="110" t="s">
        <v>61</v>
      </c>
      <c r="F169" s="6" t="s">
        <v>12</v>
      </c>
      <c r="G169" s="6" t="s">
        <v>976</v>
      </c>
      <c r="H169" s="6" t="s">
        <v>35</v>
      </c>
      <c r="I169" s="5">
        <v>12</v>
      </c>
      <c r="J169" s="12" t="s">
        <v>160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f t="shared" si="10"/>
        <v>0</v>
      </c>
      <c r="AN169" s="7">
        <f t="shared" si="11"/>
        <v>0</v>
      </c>
    </row>
    <row r="170" spans="1:40" x14ac:dyDescent="0.3">
      <c r="H170" s="89" t="s">
        <v>79</v>
      </c>
      <c r="I170" s="90">
        <f>SUM(I2:I169)</f>
        <v>918</v>
      </c>
      <c r="J170" s="90"/>
      <c r="K170" s="91">
        <f t="shared" ref="K170:AH170" si="12">SUM(K2:K167)</f>
        <v>7165.8519999999999</v>
      </c>
      <c r="L170" s="91">
        <f t="shared" si="12"/>
        <v>6166.0629999999992</v>
      </c>
      <c r="M170" s="91">
        <f t="shared" si="12"/>
        <v>6460.6700000000019</v>
      </c>
      <c r="N170" s="91">
        <f t="shared" si="12"/>
        <v>6850.0539999999992</v>
      </c>
      <c r="O170" s="91">
        <f t="shared" si="12"/>
        <v>7520.3080000000018</v>
      </c>
      <c r="P170" s="91">
        <f t="shared" si="12"/>
        <v>7045.903000000003</v>
      </c>
      <c r="Q170" s="91">
        <f t="shared" si="12"/>
        <v>7488.1160000000018</v>
      </c>
      <c r="R170" s="91">
        <f t="shared" si="12"/>
        <v>6777.0480000000007</v>
      </c>
      <c r="S170" s="91">
        <f t="shared" si="12"/>
        <v>6211.0010000000011</v>
      </c>
      <c r="T170" s="91">
        <f t="shared" si="12"/>
        <v>6547.1190000000006</v>
      </c>
      <c r="U170" s="91">
        <f t="shared" si="12"/>
        <v>7071.9050000000016</v>
      </c>
      <c r="V170" s="91">
        <f t="shared" si="12"/>
        <v>7487.8880000000017</v>
      </c>
      <c r="W170" s="91">
        <f t="shared" si="12"/>
        <v>7210.3800000000028</v>
      </c>
      <c r="X170" s="91">
        <f t="shared" si="12"/>
        <v>7126.5829999999996</v>
      </c>
      <c r="Y170" s="91">
        <f t="shared" si="12"/>
        <v>6501.6209999999974</v>
      </c>
      <c r="Z170" s="91">
        <f t="shared" si="12"/>
        <v>6509.8400000000011</v>
      </c>
      <c r="AA170" s="91">
        <f t="shared" si="12"/>
        <v>6592.8359999999993</v>
      </c>
      <c r="AB170" s="91">
        <f t="shared" si="12"/>
        <v>6884.3440000000001</v>
      </c>
      <c r="AC170" s="91">
        <f t="shared" si="12"/>
        <v>7156.1220000000003</v>
      </c>
      <c r="AD170" s="91">
        <f t="shared" si="12"/>
        <v>7368.969000000001</v>
      </c>
      <c r="AE170" s="91">
        <f t="shared" si="12"/>
        <v>7110.9230000000007</v>
      </c>
      <c r="AF170" s="91">
        <f t="shared" si="12"/>
        <v>6662.6489999999994</v>
      </c>
      <c r="AG170" s="91">
        <f t="shared" si="12"/>
        <v>5709.9340000000029</v>
      </c>
      <c r="AH170" s="91">
        <f t="shared" si="12"/>
        <v>6689.2529999999997</v>
      </c>
      <c r="AI170" s="91">
        <f>SUM(AI2:AI168)</f>
        <v>7314.7040000000025</v>
      </c>
      <c r="AJ170" s="91">
        <f>SUM(AJ2:AJ168)</f>
        <v>6836.5609999999997</v>
      </c>
      <c r="AK170" s="91">
        <f>SUM(AK2:AK168)</f>
        <v>6415.3989999999985</v>
      </c>
      <c r="AL170" s="91">
        <f>SUM(AL2:AL168)</f>
        <v>7107.2369999999983</v>
      </c>
      <c r="AM170" s="46">
        <f t="shared" si="10"/>
        <v>6856.7600714285727</v>
      </c>
      <c r="AN170" s="7">
        <f t="shared" si="11"/>
        <v>7.4692375505757873</v>
      </c>
    </row>
    <row r="171" spans="1:40" x14ac:dyDescent="0.3">
      <c r="AK171" s="81"/>
      <c r="AM171" s="50"/>
    </row>
    <row r="174" spans="1:40" x14ac:dyDescent="0.3">
      <c r="AC174" s="88"/>
    </row>
    <row r="175" spans="1:40" x14ac:dyDescent="0.3">
      <c r="W175" s="88"/>
    </row>
    <row r="176" spans="1:40" x14ac:dyDescent="0.3">
      <c r="AB176" s="88"/>
      <c r="AE176" s="88"/>
      <c r="AF176" s="88"/>
    </row>
  </sheetData>
  <autoFilter ref="A1:AN170" xr:uid="{00000000-0009-0000-0000-000039000000}">
    <sortState xmlns:xlrd2="http://schemas.microsoft.com/office/spreadsheetml/2017/richdata2" ref="A2:AO170">
      <sortCondition ref="A1:A170"/>
    </sortState>
  </autoFilter>
  <pageMargins left="0.7" right="0.7" top="0.75" bottom="0.75" header="0.3" footer="0.3"/>
  <pageSetup scale="1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3:AO32"/>
  <sheetViews>
    <sheetView workbookViewId="0">
      <selection activeCell="L16" sqref="L16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8.33203125" bestFit="1" customWidth="1"/>
    <col min="4" max="4" width="6.33203125" bestFit="1" customWidth="1"/>
    <col min="5" max="5" width="8.21875" bestFit="1" customWidth="1"/>
    <col min="6" max="6" width="6" bestFit="1" customWidth="1"/>
    <col min="7" max="7" width="8.5546875" bestFit="1" customWidth="1"/>
    <col min="8" max="8" width="9.44140625" bestFit="1" customWidth="1"/>
    <col min="9" max="9" width="6.109375" bestFit="1" customWidth="1"/>
    <col min="10" max="10" width="12.109375" bestFit="1" customWidth="1"/>
    <col min="11" max="11" width="7.88671875" bestFit="1" customWidth="1"/>
    <col min="12" max="12" width="10.88671875" bestFit="1" customWidth="1"/>
    <col min="13" max="13" width="9" customWidth="1"/>
    <col min="14" max="14" width="10" bestFit="1" customWidth="1"/>
    <col min="15" max="16" width="9.77734375" bestFit="1" customWidth="1"/>
    <col min="17" max="17" width="7" bestFit="1" customWidth="1"/>
    <col min="18" max="18" width="10.21875" bestFit="1" customWidth="1"/>
    <col min="19" max="19" width="8.77734375" bestFit="1" customWidth="1"/>
    <col min="20" max="20" width="12.44140625" bestFit="1" customWidth="1"/>
    <col min="21" max="21" width="6.21875" bestFit="1" customWidth="1"/>
    <col min="22" max="23" width="8.6640625" bestFit="1" customWidth="1"/>
    <col min="24" max="24" width="7.33203125" bestFit="1" customWidth="1"/>
    <col min="25" max="25" width="8" bestFit="1" customWidth="1"/>
    <col min="26" max="26" width="7.6640625" bestFit="1" customWidth="1"/>
    <col min="27" max="27" width="6" bestFit="1" customWidth="1"/>
    <col min="28" max="28" width="6" customWidth="1"/>
    <col min="29" max="29" width="12" bestFit="1" customWidth="1"/>
    <col min="30" max="30" width="9" bestFit="1" customWidth="1"/>
    <col min="31" max="31" width="6.44140625" bestFit="1" customWidth="1"/>
    <col min="32" max="32" width="12.44140625" bestFit="1" customWidth="1"/>
    <col min="33" max="33" width="9.77734375" bestFit="1" customWidth="1"/>
    <col min="34" max="34" width="4.77734375" bestFit="1" customWidth="1"/>
    <col min="35" max="35" width="6" customWidth="1"/>
    <col min="36" max="36" width="10.77734375" bestFit="1" customWidth="1"/>
    <col min="37" max="37" width="14.21875" bestFit="1" customWidth="1"/>
    <col min="38" max="38" width="9" bestFit="1" customWidth="1"/>
    <col min="39" max="39" width="8.6640625" bestFit="1" customWidth="1"/>
    <col min="40" max="40" width="7.6640625" bestFit="1" customWidth="1"/>
    <col min="41" max="41" width="10.77734375" bestFit="1" customWidth="1"/>
    <col min="42" max="74" width="17.33203125" bestFit="1" customWidth="1"/>
    <col min="75" max="76" width="22.33203125" customWidth="1"/>
    <col min="77" max="111" width="17.33203125" bestFit="1" customWidth="1"/>
    <col min="112" max="114" width="22.33203125" bestFit="1" customWidth="1"/>
  </cols>
  <sheetData>
    <row r="3" spans="1:41" x14ac:dyDescent="0.3">
      <c r="B3" s="29" t="s">
        <v>144</v>
      </c>
    </row>
    <row r="4" spans="1:41" x14ac:dyDescent="0.3">
      <c r="A4" s="29" t="s">
        <v>131</v>
      </c>
      <c r="B4" t="s">
        <v>708</v>
      </c>
      <c r="C4" t="s">
        <v>576</v>
      </c>
      <c r="D4" t="s">
        <v>578</v>
      </c>
      <c r="E4" t="s">
        <v>832</v>
      </c>
      <c r="F4" t="s">
        <v>905</v>
      </c>
      <c r="G4" t="s">
        <v>175</v>
      </c>
      <c r="H4" t="s">
        <v>58</v>
      </c>
      <c r="I4" t="s">
        <v>885</v>
      </c>
      <c r="J4" t="s">
        <v>844</v>
      </c>
      <c r="K4" t="s">
        <v>569</v>
      </c>
      <c r="L4" t="s">
        <v>476</v>
      </c>
      <c r="M4" t="s">
        <v>65</v>
      </c>
      <c r="N4" t="s">
        <v>892</v>
      </c>
      <c r="O4" t="s">
        <v>222</v>
      </c>
      <c r="P4" t="s">
        <v>862</v>
      </c>
      <c r="Q4" t="s">
        <v>134</v>
      </c>
      <c r="R4" t="s">
        <v>9</v>
      </c>
      <c r="S4" t="s">
        <v>822</v>
      </c>
      <c r="T4" t="s">
        <v>866</v>
      </c>
      <c r="U4" t="s">
        <v>536</v>
      </c>
      <c r="V4" t="s">
        <v>55</v>
      </c>
      <c r="W4" t="s">
        <v>499</v>
      </c>
      <c r="X4" t="s">
        <v>563</v>
      </c>
      <c r="Y4" t="s">
        <v>119</v>
      </c>
      <c r="Z4" t="s">
        <v>560</v>
      </c>
      <c r="AA4" t="s">
        <v>221</v>
      </c>
      <c r="AB4" t="s">
        <v>572</v>
      </c>
      <c r="AC4" t="s">
        <v>895</v>
      </c>
      <c r="AD4" t="s">
        <v>565</v>
      </c>
      <c r="AE4" t="s">
        <v>882</v>
      </c>
      <c r="AF4" t="s">
        <v>246</v>
      </c>
      <c r="AG4" t="s">
        <v>829</v>
      </c>
      <c r="AH4" t="s">
        <v>598</v>
      </c>
      <c r="AI4" t="s">
        <v>597</v>
      </c>
      <c r="AJ4" t="s">
        <v>49</v>
      </c>
      <c r="AK4" t="s">
        <v>52</v>
      </c>
      <c r="AL4" t="s">
        <v>498</v>
      </c>
      <c r="AM4" t="s">
        <v>919</v>
      </c>
      <c r="AN4" t="s">
        <v>1008</v>
      </c>
      <c r="AO4" t="s">
        <v>83</v>
      </c>
    </row>
    <row r="5" spans="1:41" x14ac:dyDescent="0.3">
      <c r="A5" s="26" t="s">
        <v>907</v>
      </c>
      <c r="B5" s="136">
        <v>0</v>
      </c>
      <c r="C5" s="136">
        <v>0</v>
      </c>
      <c r="D5" s="136">
        <v>0</v>
      </c>
      <c r="E5" s="136">
        <v>0</v>
      </c>
      <c r="F5" s="136">
        <v>5.57</v>
      </c>
      <c r="G5" s="136">
        <v>168.32000000000002</v>
      </c>
      <c r="H5" s="136">
        <v>527.41899999999998</v>
      </c>
      <c r="I5" s="136">
        <v>0</v>
      </c>
      <c r="J5" s="136">
        <v>0</v>
      </c>
      <c r="K5" s="136">
        <v>0</v>
      </c>
      <c r="L5" s="136">
        <v>0</v>
      </c>
      <c r="M5" s="136">
        <v>1327.5940000000001</v>
      </c>
      <c r="N5" s="136">
        <v>0</v>
      </c>
      <c r="O5" s="136">
        <v>0</v>
      </c>
      <c r="P5" s="136">
        <v>0</v>
      </c>
      <c r="Q5" s="136">
        <v>36.368000000000002</v>
      </c>
      <c r="R5" s="136">
        <v>4005.5779999999995</v>
      </c>
      <c r="S5" s="136">
        <v>0</v>
      </c>
      <c r="T5" s="136">
        <v>0</v>
      </c>
      <c r="U5" s="136">
        <v>0</v>
      </c>
      <c r="V5" s="136">
        <v>449.59699999999998</v>
      </c>
      <c r="W5" s="136">
        <v>0</v>
      </c>
      <c r="X5" s="136">
        <v>0</v>
      </c>
      <c r="Y5" s="136">
        <v>53.897999999999996</v>
      </c>
      <c r="Z5" s="136">
        <v>0</v>
      </c>
      <c r="AA5" s="136">
        <v>0</v>
      </c>
      <c r="AB5" s="136">
        <v>0</v>
      </c>
      <c r="AC5" s="136">
        <v>0</v>
      </c>
      <c r="AD5" s="136">
        <v>356.56199999999995</v>
      </c>
      <c r="AE5" s="136">
        <v>0</v>
      </c>
      <c r="AF5" s="136">
        <v>52.747</v>
      </c>
      <c r="AG5" s="136">
        <v>0</v>
      </c>
      <c r="AH5" s="136">
        <v>0</v>
      </c>
      <c r="AI5" s="136">
        <v>15.530000000000001</v>
      </c>
      <c r="AJ5" s="136">
        <v>62.358000000000011</v>
      </c>
      <c r="AK5" s="136">
        <v>104.31099999999998</v>
      </c>
      <c r="AL5" s="136">
        <v>0</v>
      </c>
      <c r="AM5" s="136"/>
      <c r="AN5" s="136"/>
      <c r="AO5" s="136">
        <v>7165.8519999999999</v>
      </c>
    </row>
    <row r="6" spans="1:41" x14ac:dyDescent="0.3">
      <c r="A6" s="26" t="s">
        <v>908</v>
      </c>
      <c r="B6" s="136">
        <v>0</v>
      </c>
      <c r="C6" s="136">
        <v>0</v>
      </c>
      <c r="D6" s="136">
        <v>0</v>
      </c>
      <c r="E6" s="136">
        <v>0</v>
      </c>
      <c r="F6" s="136">
        <v>0</v>
      </c>
      <c r="G6" s="136">
        <v>128.465</v>
      </c>
      <c r="H6" s="136">
        <v>559.88800000000003</v>
      </c>
      <c r="I6" s="136">
        <v>0</v>
      </c>
      <c r="J6" s="136">
        <v>0</v>
      </c>
      <c r="K6" s="136">
        <v>0</v>
      </c>
      <c r="L6" s="136">
        <v>0</v>
      </c>
      <c r="M6" s="136">
        <v>1158.2980000000002</v>
      </c>
      <c r="N6" s="136">
        <v>0</v>
      </c>
      <c r="O6" s="136">
        <v>37.93</v>
      </c>
      <c r="P6" s="136">
        <v>0</v>
      </c>
      <c r="Q6" s="136">
        <v>65.033999999999992</v>
      </c>
      <c r="R6" s="136">
        <v>3201.9649999999997</v>
      </c>
      <c r="S6" s="136">
        <v>0</v>
      </c>
      <c r="T6" s="136">
        <v>0</v>
      </c>
      <c r="U6" s="136">
        <v>0</v>
      </c>
      <c r="V6" s="136">
        <v>463.11999999999983</v>
      </c>
      <c r="W6" s="136">
        <v>0</v>
      </c>
      <c r="X6" s="136">
        <v>0</v>
      </c>
      <c r="Y6" s="136">
        <v>76.353000000000009</v>
      </c>
      <c r="Z6" s="136">
        <v>0</v>
      </c>
      <c r="AA6" s="136">
        <v>0</v>
      </c>
      <c r="AB6" s="136">
        <v>1E-3</v>
      </c>
      <c r="AC6" s="136">
        <v>0</v>
      </c>
      <c r="AD6" s="136">
        <v>272.57400000000007</v>
      </c>
      <c r="AE6" s="136">
        <v>0</v>
      </c>
      <c r="AF6" s="136">
        <v>18.719000000000001</v>
      </c>
      <c r="AG6" s="136">
        <v>0</v>
      </c>
      <c r="AH6" s="136">
        <v>0</v>
      </c>
      <c r="AI6" s="136">
        <v>0</v>
      </c>
      <c r="AJ6" s="136">
        <v>73.587000000000003</v>
      </c>
      <c r="AK6" s="136">
        <v>110.13</v>
      </c>
      <c r="AL6" s="136">
        <v>0</v>
      </c>
      <c r="AM6" s="136"/>
      <c r="AN6" s="136"/>
      <c r="AO6" s="136">
        <v>6166.0640000000012</v>
      </c>
    </row>
    <row r="7" spans="1:41" x14ac:dyDescent="0.3">
      <c r="A7" s="26" t="s">
        <v>909</v>
      </c>
      <c r="B7" s="136">
        <v>0</v>
      </c>
      <c r="C7" s="136">
        <v>0</v>
      </c>
      <c r="D7" s="136">
        <v>0</v>
      </c>
      <c r="E7" s="136">
        <v>0</v>
      </c>
      <c r="F7" s="136">
        <v>0</v>
      </c>
      <c r="G7" s="136">
        <v>116.07500000000002</v>
      </c>
      <c r="H7" s="136">
        <v>551.86099999999999</v>
      </c>
      <c r="I7" s="136">
        <v>0</v>
      </c>
      <c r="J7" s="136">
        <v>0</v>
      </c>
      <c r="K7" s="136">
        <v>0</v>
      </c>
      <c r="L7" s="136">
        <v>0</v>
      </c>
      <c r="M7" s="136">
        <v>1190.239</v>
      </c>
      <c r="N7" s="136">
        <v>0</v>
      </c>
      <c r="O7" s="136">
        <v>0</v>
      </c>
      <c r="P7" s="136">
        <v>0</v>
      </c>
      <c r="Q7" s="136">
        <v>37.078000000000003</v>
      </c>
      <c r="R7" s="136">
        <v>3745.3059999999996</v>
      </c>
      <c r="S7" s="136">
        <v>0</v>
      </c>
      <c r="T7" s="136">
        <v>0</v>
      </c>
      <c r="U7" s="136">
        <v>0</v>
      </c>
      <c r="V7" s="136">
        <v>323.30700000000007</v>
      </c>
      <c r="W7" s="136">
        <v>0</v>
      </c>
      <c r="X7" s="136">
        <v>0</v>
      </c>
      <c r="Y7" s="136">
        <v>77.397999999999996</v>
      </c>
      <c r="Z7" s="136">
        <v>0</v>
      </c>
      <c r="AA7" s="136">
        <v>0</v>
      </c>
      <c r="AB7" s="136">
        <v>0</v>
      </c>
      <c r="AC7" s="136">
        <v>0</v>
      </c>
      <c r="AD7" s="136">
        <v>174.82599999999996</v>
      </c>
      <c r="AE7" s="136">
        <v>0</v>
      </c>
      <c r="AF7" s="136">
        <v>29.606000000000002</v>
      </c>
      <c r="AG7" s="136">
        <v>0</v>
      </c>
      <c r="AH7" s="136">
        <v>0</v>
      </c>
      <c r="AI7" s="136">
        <v>0</v>
      </c>
      <c r="AJ7" s="136">
        <v>92.134999999999991</v>
      </c>
      <c r="AK7" s="136">
        <v>122.83900000000001</v>
      </c>
      <c r="AL7" s="136">
        <v>0</v>
      </c>
      <c r="AM7" s="136"/>
      <c r="AN7" s="136"/>
      <c r="AO7" s="136">
        <v>6460.6699999999992</v>
      </c>
    </row>
    <row r="8" spans="1:41" x14ac:dyDescent="0.3">
      <c r="A8" s="26" t="s">
        <v>910</v>
      </c>
      <c r="B8" s="136">
        <v>0</v>
      </c>
      <c r="C8" s="136">
        <v>0</v>
      </c>
      <c r="D8" s="136">
        <v>0</v>
      </c>
      <c r="E8" s="136">
        <v>0</v>
      </c>
      <c r="F8" s="136">
        <v>0</v>
      </c>
      <c r="G8" s="136">
        <v>48.638999999999982</v>
      </c>
      <c r="H8" s="136">
        <v>571.49799999999993</v>
      </c>
      <c r="I8" s="136">
        <v>0</v>
      </c>
      <c r="J8" s="136">
        <v>0</v>
      </c>
      <c r="K8" s="136">
        <v>0</v>
      </c>
      <c r="L8" s="136">
        <v>0</v>
      </c>
      <c r="M8" s="136">
        <v>1176.4299999999998</v>
      </c>
      <c r="N8" s="136">
        <v>8.7889999999999997</v>
      </c>
      <c r="O8" s="136">
        <v>0</v>
      </c>
      <c r="P8" s="136">
        <v>0</v>
      </c>
      <c r="Q8" s="136">
        <v>44.030999999999999</v>
      </c>
      <c r="R8" s="136">
        <v>4391.9089999999987</v>
      </c>
      <c r="S8" s="136">
        <v>0</v>
      </c>
      <c r="T8" s="136">
        <v>0</v>
      </c>
      <c r="U8" s="136">
        <v>0</v>
      </c>
      <c r="V8" s="136">
        <v>113.32299999999999</v>
      </c>
      <c r="W8" s="136">
        <v>0</v>
      </c>
      <c r="X8" s="136">
        <v>0</v>
      </c>
      <c r="Y8" s="136">
        <v>61.257000000000005</v>
      </c>
      <c r="Z8" s="136">
        <v>0</v>
      </c>
      <c r="AA8" s="136">
        <v>0</v>
      </c>
      <c r="AB8" s="136">
        <v>0</v>
      </c>
      <c r="AC8" s="136">
        <v>0</v>
      </c>
      <c r="AD8" s="136">
        <v>227.40100000000001</v>
      </c>
      <c r="AE8" s="136">
        <v>0</v>
      </c>
      <c r="AF8" s="136">
        <v>38.218000000000004</v>
      </c>
      <c r="AG8" s="136">
        <v>0</v>
      </c>
      <c r="AH8" s="136">
        <v>0</v>
      </c>
      <c r="AI8" s="136">
        <v>0</v>
      </c>
      <c r="AJ8" s="136">
        <v>79.279999999999987</v>
      </c>
      <c r="AK8" s="136">
        <v>89.278999999999996</v>
      </c>
      <c r="AL8" s="136">
        <v>0</v>
      </c>
      <c r="AM8" s="136"/>
      <c r="AN8" s="136"/>
      <c r="AO8" s="136">
        <v>6850.0539999999983</v>
      </c>
    </row>
    <row r="9" spans="1:41" x14ac:dyDescent="0.3">
      <c r="A9" s="26" t="s">
        <v>911</v>
      </c>
      <c r="B9" s="136">
        <v>0</v>
      </c>
      <c r="C9" s="136">
        <v>0</v>
      </c>
      <c r="D9" s="136">
        <v>0</v>
      </c>
      <c r="E9" s="136">
        <v>0</v>
      </c>
      <c r="F9" s="136">
        <v>0</v>
      </c>
      <c r="G9" s="136">
        <v>28.983999999999998</v>
      </c>
      <c r="H9" s="136">
        <v>605.03699999999992</v>
      </c>
      <c r="I9" s="136">
        <v>0</v>
      </c>
      <c r="J9" s="136">
        <v>0</v>
      </c>
      <c r="K9" s="136">
        <v>0</v>
      </c>
      <c r="L9" s="136">
        <v>0</v>
      </c>
      <c r="M9" s="136">
        <v>1002.5479999999998</v>
      </c>
      <c r="N9" s="136">
        <v>19.939999999999998</v>
      </c>
      <c r="O9" s="136">
        <v>32.966000000000001</v>
      </c>
      <c r="P9" s="136">
        <v>0</v>
      </c>
      <c r="Q9" s="136">
        <v>33.396999999999998</v>
      </c>
      <c r="R9" s="136">
        <v>4735.1330000000016</v>
      </c>
      <c r="S9" s="136">
        <v>4.7300000000000004</v>
      </c>
      <c r="T9" s="136">
        <v>0</v>
      </c>
      <c r="U9" s="136">
        <v>0</v>
      </c>
      <c r="V9" s="136">
        <v>391.25700000000006</v>
      </c>
      <c r="W9" s="136">
        <v>0</v>
      </c>
      <c r="X9" s="136">
        <v>0</v>
      </c>
      <c r="Y9" s="136">
        <v>40.391999999999996</v>
      </c>
      <c r="Z9" s="136">
        <v>18.792999999999999</v>
      </c>
      <c r="AA9" s="136">
        <v>0</v>
      </c>
      <c r="AB9" s="136">
        <v>0</v>
      </c>
      <c r="AC9" s="136">
        <v>0</v>
      </c>
      <c r="AD9" s="136">
        <v>344.48700000000014</v>
      </c>
      <c r="AE9" s="136">
        <v>0</v>
      </c>
      <c r="AF9" s="136">
        <v>27.617999999999999</v>
      </c>
      <c r="AG9" s="136">
        <v>0</v>
      </c>
      <c r="AH9" s="136">
        <v>0</v>
      </c>
      <c r="AI9" s="136">
        <v>0</v>
      </c>
      <c r="AJ9" s="136">
        <v>90.329000000000008</v>
      </c>
      <c r="AK9" s="136">
        <v>144.697</v>
      </c>
      <c r="AL9" s="136">
        <v>0</v>
      </c>
      <c r="AM9" s="136"/>
      <c r="AN9" s="136"/>
      <c r="AO9" s="136">
        <v>7520.308</v>
      </c>
    </row>
    <row r="10" spans="1:41" x14ac:dyDescent="0.3">
      <c r="A10" s="26" t="s">
        <v>915</v>
      </c>
      <c r="B10" s="136">
        <v>0</v>
      </c>
      <c r="C10" s="136">
        <v>0</v>
      </c>
      <c r="D10" s="136">
        <v>0</v>
      </c>
      <c r="E10" s="136">
        <v>0</v>
      </c>
      <c r="F10" s="136">
        <v>0</v>
      </c>
      <c r="G10" s="136">
        <v>114.31399999999999</v>
      </c>
      <c r="H10" s="136">
        <v>576.65300000000002</v>
      </c>
      <c r="I10" s="136">
        <v>0</v>
      </c>
      <c r="J10" s="136">
        <v>0</v>
      </c>
      <c r="K10" s="136">
        <v>0</v>
      </c>
      <c r="L10" s="136">
        <v>0</v>
      </c>
      <c r="M10" s="136">
        <v>1063.9960000000001</v>
      </c>
      <c r="N10" s="136">
        <v>0</v>
      </c>
      <c r="O10" s="136">
        <v>0</v>
      </c>
      <c r="P10" s="136">
        <v>0</v>
      </c>
      <c r="Q10" s="136">
        <v>45.178000000000004</v>
      </c>
      <c r="R10" s="136">
        <v>4159.1190000000006</v>
      </c>
      <c r="S10" s="136">
        <v>0</v>
      </c>
      <c r="T10" s="136">
        <v>0</v>
      </c>
      <c r="U10" s="136">
        <v>0</v>
      </c>
      <c r="V10" s="136">
        <v>366.54699999999997</v>
      </c>
      <c r="W10" s="136">
        <v>0</v>
      </c>
      <c r="X10" s="136">
        <v>0</v>
      </c>
      <c r="Y10" s="136">
        <v>142.625</v>
      </c>
      <c r="Z10" s="136">
        <v>0</v>
      </c>
      <c r="AA10" s="136">
        <v>0</v>
      </c>
      <c r="AB10" s="136">
        <v>0</v>
      </c>
      <c r="AC10" s="136">
        <v>0</v>
      </c>
      <c r="AD10" s="136">
        <v>384.57500000000005</v>
      </c>
      <c r="AE10" s="136">
        <v>0</v>
      </c>
      <c r="AF10" s="136">
        <v>29.834</v>
      </c>
      <c r="AG10" s="136">
        <v>0</v>
      </c>
      <c r="AH10" s="136">
        <v>0</v>
      </c>
      <c r="AI10" s="136">
        <v>7.0990000000000002</v>
      </c>
      <c r="AJ10" s="136">
        <v>97.411000000000001</v>
      </c>
      <c r="AK10" s="136">
        <v>58.552</v>
      </c>
      <c r="AL10" s="136">
        <v>0</v>
      </c>
      <c r="AM10" s="136"/>
      <c r="AN10" s="136"/>
      <c r="AO10" s="136">
        <v>7045.9030000000002</v>
      </c>
    </row>
    <row r="11" spans="1:41" x14ac:dyDescent="0.3">
      <c r="A11" s="26" t="s">
        <v>916</v>
      </c>
      <c r="B11" s="136">
        <v>0</v>
      </c>
      <c r="C11" s="136">
        <v>0</v>
      </c>
      <c r="D11" s="136">
        <v>0</v>
      </c>
      <c r="E11" s="136">
        <v>0</v>
      </c>
      <c r="F11" s="136">
        <v>0</v>
      </c>
      <c r="G11" s="136">
        <v>83.316000000000003</v>
      </c>
      <c r="H11" s="136">
        <v>557.27999999999986</v>
      </c>
      <c r="I11" s="136">
        <v>0</v>
      </c>
      <c r="J11" s="136">
        <v>0</v>
      </c>
      <c r="K11" s="136">
        <v>0</v>
      </c>
      <c r="L11" s="136">
        <v>0</v>
      </c>
      <c r="M11" s="136">
        <v>1399.7920000000001</v>
      </c>
      <c r="N11" s="136">
        <v>0</v>
      </c>
      <c r="O11" s="136">
        <v>0</v>
      </c>
      <c r="P11" s="136">
        <v>0</v>
      </c>
      <c r="Q11" s="136">
        <v>25.411999999999995</v>
      </c>
      <c r="R11" s="136">
        <v>4384.8170000000018</v>
      </c>
      <c r="S11" s="136">
        <v>0</v>
      </c>
      <c r="T11" s="136">
        <v>0</v>
      </c>
      <c r="U11" s="136">
        <v>0</v>
      </c>
      <c r="V11" s="136">
        <v>317.54299999999995</v>
      </c>
      <c r="W11" s="136">
        <v>0</v>
      </c>
      <c r="X11" s="136">
        <v>0</v>
      </c>
      <c r="Y11" s="136">
        <v>87.301999999999992</v>
      </c>
      <c r="Z11" s="136">
        <v>0</v>
      </c>
      <c r="AA11" s="136">
        <v>0</v>
      </c>
      <c r="AB11" s="136">
        <v>0</v>
      </c>
      <c r="AC11" s="136">
        <v>0</v>
      </c>
      <c r="AD11" s="136">
        <v>390.49700000000013</v>
      </c>
      <c r="AE11" s="136">
        <v>0</v>
      </c>
      <c r="AF11" s="136">
        <v>21.895</v>
      </c>
      <c r="AG11" s="136">
        <v>0</v>
      </c>
      <c r="AH11" s="136">
        <v>0</v>
      </c>
      <c r="AI11" s="136">
        <v>0</v>
      </c>
      <c r="AJ11" s="136">
        <v>89.900999999999982</v>
      </c>
      <c r="AK11" s="136">
        <v>130.36100000000002</v>
      </c>
      <c r="AL11" s="136">
        <v>0</v>
      </c>
      <c r="AM11" s="136"/>
      <c r="AN11" s="136"/>
      <c r="AO11" s="136">
        <v>7488.1160000000018</v>
      </c>
    </row>
    <row r="12" spans="1:41" x14ac:dyDescent="0.3">
      <c r="A12" s="26" t="s">
        <v>920</v>
      </c>
      <c r="B12" s="136">
        <v>0</v>
      </c>
      <c r="C12" s="136">
        <v>0</v>
      </c>
      <c r="D12" s="136">
        <v>0</v>
      </c>
      <c r="E12" s="136">
        <v>0</v>
      </c>
      <c r="F12" s="136">
        <v>0</v>
      </c>
      <c r="G12" s="136">
        <v>67.100000000000023</v>
      </c>
      <c r="H12" s="136">
        <v>530.89699999999993</v>
      </c>
      <c r="I12" s="136">
        <v>0</v>
      </c>
      <c r="J12" s="136">
        <v>0</v>
      </c>
      <c r="K12" s="136">
        <v>0</v>
      </c>
      <c r="L12" s="136">
        <v>0</v>
      </c>
      <c r="M12" s="136">
        <v>1356.6670000000001</v>
      </c>
      <c r="N12" s="136">
        <v>0</v>
      </c>
      <c r="O12" s="136">
        <v>0</v>
      </c>
      <c r="P12" s="136">
        <v>0</v>
      </c>
      <c r="Q12" s="136">
        <v>49.771999999999998</v>
      </c>
      <c r="R12" s="136">
        <v>3676.56</v>
      </c>
      <c r="S12" s="136">
        <v>0</v>
      </c>
      <c r="T12" s="136">
        <v>0</v>
      </c>
      <c r="U12" s="136">
        <v>0</v>
      </c>
      <c r="V12" s="136">
        <v>471.71900000000005</v>
      </c>
      <c r="W12" s="136">
        <v>0</v>
      </c>
      <c r="X12" s="136">
        <v>0</v>
      </c>
      <c r="Y12" s="136">
        <v>77.908999999999992</v>
      </c>
      <c r="Z12" s="136">
        <v>0</v>
      </c>
      <c r="AA12" s="136">
        <v>0</v>
      </c>
      <c r="AB12" s="136">
        <v>0</v>
      </c>
      <c r="AC12" s="136">
        <v>0</v>
      </c>
      <c r="AD12" s="136">
        <v>330.89499999999998</v>
      </c>
      <c r="AE12" s="136">
        <v>0</v>
      </c>
      <c r="AF12" s="136">
        <v>27.471000000000004</v>
      </c>
      <c r="AG12" s="136">
        <v>0</v>
      </c>
      <c r="AH12" s="136">
        <v>0</v>
      </c>
      <c r="AI12" s="136">
        <v>0</v>
      </c>
      <c r="AJ12" s="136">
        <v>75.822000000000003</v>
      </c>
      <c r="AK12" s="136">
        <v>98.376000000000005</v>
      </c>
      <c r="AL12" s="136">
        <v>0</v>
      </c>
      <c r="AM12" s="136">
        <v>13.86</v>
      </c>
      <c r="AN12" s="136"/>
      <c r="AO12" s="136">
        <v>6777.0479999999998</v>
      </c>
    </row>
    <row r="13" spans="1:41" x14ac:dyDescent="0.3">
      <c r="A13" s="26" t="s">
        <v>921</v>
      </c>
      <c r="B13" s="136">
        <v>0</v>
      </c>
      <c r="C13" s="136">
        <v>0</v>
      </c>
      <c r="D13" s="136">
        <v>0</v>
      </c>
      <c r="E13" s="136">
        <v>0</v>
      </c>
      <c r="F13" s="136">
        <v>0</v>
      </c>
      <c r="G13" s="136">
        <v>59.79</v>
      </c>
      <c r="H13" s="136">
        <v>512.31699999999989</v>
      </c>
      <c r="I13" s="136">
        <v>0</v>
      </c>
      <c r="J13" s="136">
        <v>0</v>
      </c>
      <c r="K13" s="136">
        <v>0</v>
      </c>
      <c r="L13" s="136">
        <v>0</v>
      </c>
      <c r="M13" s="136">
        <v>1293.0569999999998</v>
      </c>
      <c r="N13" s="136">
        <v>0</v>
      </c>
      <c r="O13" s="136">
        <v>32.624000000000002</v>
      </c>
      <c r="P13" s="136">
        <v>0</v>
      </c>
      <c r="Q13" s="136">
        <v>47.957999999999991</v>
      </c>
      <c r="R13" s="136">
        <v>3155.3189999999995</v>
      </c>
      <c r="S13" s="136">
        <v>0</v>
      </c>
      <c r="T13" s="136">
        <v>0</v>
      </c>
      <c r="U13" s="136">
        <v>0</v>
      </c>
      <c r="V13" s="136">
        <v>513.928</v>
      </c>
      <c r="W13" s="136">
        <v>0</v>
      </c>
      <c r="X13" s="136">
        <v>0</v>
      </c>
      <c r="Y13" s="136">
        <v>78.694000000000003</v>
      </c>
      <c r="Z13" s="136">
        <v>0</v>
      </c>
      <c r="AA13" s="136">
        <v>5.6999999999999995E-2</v>
      </c>
      <c r="AB13" s="136">
        <v>0</v>
      </c>
      <c r="AC13" s="136">
        <v>0</v>
      </c>
      <c r="AD13" s="136">
        <v>276.06700000000006</v>
      </c>
      <c r="AE13" s="136">
        <v>0</v>
      </c>
      <c r="AF13" s="136">
        <v>53.110999999999997</v>
      </c>
      <c r="AG13" s="136">
        <v>0</v>
      </c>
      <c r="AH13" s="136">
        <v>0</v>
      </c>
      <c r="AI13" s="136">
        <v>0</v>
      </c>
      <c r="AJ13" s="136">
        <v>81.768000000000001</v>
      </c>
      <c r="AK13" s="136">
        <v>87.310999999999979</v>
      </c>
      <c r="AL13" s="136">
        <v>0</v>
      </c>
      <c r="AM13" s="136">
        <v>19</v>
      </c>
      <c r="AN13" s="136"/>
      <c r="AO13" s="136">
        <v>6211.0009999999993</v>
      </c>
    </row>
    <row r="14" spans="1:41" x14ac:dyDescent="0.3">
      <c r="A14" s="26" t="s">
        <v>923</v>
      </c>
      <c r="B14" s="136">
        <v>0</v>
      </c>
      <c r="C14" s="136">
        <v>0</v>
      </c>
      <c r="D14" s="136">
        <v>0</v>
      </c>
      <c r="E14" s="136">
        <v>0</v>
      </c>
      <c r="F14" s="136">
        <v>0</v>
      </c>
      <c r="G14" s="136">
        <v>42.876999999999995</v>
      </c>
      <c r="H14" s="136">
        <v>420.38400000000001</v>
      </c>
      <c r="I14" s="136">
        <v>0</v>
      </c>
      <c r="J14" s="136">
        <v>0</v>
      </c>
      <c r="K14" s="136">
        <v>0</v>
      </c>
      <c r="L14" s="136">
        <v>0</v>
      </c>
      <c r="M14" s="136">
        <v>1315.8930000000003</v>
      </c>
      <c r="N14" s="136">
        <v>0</v>
      </c>
      <c r="O14" s="136">
        <v>0</v>
      </c>
      <c r="P14" s="136">
        <v>0</v>
      </c>
      <c r="Q14" s="136">
        <v>52.617000000000004</v>
      </c>
      <c r="R14" s="136">
        <v>3671.4489999999987</v>
      </c>
      <c r="S14" s="136">
        <v>0</v>
      </c>
      <c r="T14" s="136">
        <v>0</v>
      </c>
      <c r="U14" s="136">
        <v>0</v>
      </c>
      <c r="V14" s="136">
        <v>310.23099999999988</v>
      </c>
      <c r="W14" s="136">
        <v>0</v>
      </c>
      <c r="X14" s="136">
        <v>0</v>
      </c>
      <c r="Y14" s="136">
        <v>61.125999999999991</v>
      </c>
      <c r="Z14" s="136">
        <v>0</v>
      </c>
      <c r="AA14" s="136">
        <v>0</v>
      </c>
      <c r="AB14" s="136">
        <v>0</v>
      </c>
      <c r="AC14" s="136">
        <v>0</v>
      </c>
      <c r="AD14" s="136">
        <v>393.3060000000001</v>
      </c>
      <c r="AE14" s="136">
        <v>0</v>
      </c>
      <c r="AF14" s="136">
        <v>46.616999999999997</v>
      </c>
      <c r="AG14" s="136">
        <v>0</v>
      </c>
      <c r="AH14" s="136">
        <v>0</v>
      </c>
      <c r="AI14" s="136">
        <v>0</v>
      </c>
      <c r="AJ14" s="136">
        <v>81.746999999999986</v>
      </c>
      <c r="AK14" s="136">
        <v>150.87200000000001</v>
      </c>
      <c r="AL14" s="136">
        <v>0</v>
      </c>
      <c r="AM14" s="136">
        <v>0</v>
      </c>
      <c r="AN14" s="136"/>
      <c r="AO14" s="136">
        <v>6547.1190000000006</v>
      </c>
    </row>
    <row r="15" spans="1:41" x14ac:dyDescent="0.3">
      <c r="A15" s="26" t="s">
        <v>924</v>
      </c>
      <c r="B15" s="136">
        <v>0</v>
      </c>
      <c r="C15" s="136">
        <v>0</v>
      </c>
      <c r="D15" s="136">
        <v>0</v>
      </c>
      <c r="E15" s="136">
        <v>0</v>
      </c>
      <c r="F15" s="136">
        <v>0</v>
      </c>
      <c r="G15" s="136">
        <v>54.466999999999999</v>
      </c>
      <c r="H15" s="136">
        <v>432.98299999999995</v>
      </c>
      <c r="I15" s="136">
        <v>0</v>
      </c>
      <c r="J15" s="136">
        <v>5.22</v>
      </c>
      <c r="K15" s="136">
        <v>0</v>
      </c>
      <c r="L15" s="136">
        <v>0</v>
      </c>
      <c r="M15" s="136">
        <v>1335.2760000000001</v>
      </c>
      <c r="N15" s="136">
        <v>0</v>
      </c>
      <c r="O15" s="136">
        <v>0</v>
      </c>
      <c r="P15" s="136">
        <v>0</v>
      </c>
      <c r="Q15" s="136">
        <v>58.158999999999992</v>
      </c>
      <c r="R15" s="136">
        <v>4379.2570000000014</v>
      </c>
      <c r="S15" s="136">
        <v>0</v>
      </c>
      <c r="T15" s="136">
        <v>0</v>
      </c>
      <c r="U15" s="136">
        <v>0</v>
      </c>
      <c r="V15" s="136">
        <v>140.14100000000002</v>
      </c>
      <c r="W15" s="136">
        <v>0</v>
      </c>
      <c r="X15" s="136">
        <v>0</v>
      </c>
      <c r="Y15" s="136">
        <v>81.634000000000015</v>
      </c>
      <c r="Z15" s="136">
        <v>2.04</v>
      </c>
      <c r="AA15" s="136">
        <v>0</v>
      </c>
      <c r="AB15" s="136">
        <v>0</v>
      </c>
      <c r="AC15" s="136">
        <v>0</v>
      </c>
      <c r="AD15" s="136">
        <v>342.2299999999999</v>
      </c>
      <c r="AE15" s="136">
        <v>0</v>
      </c>
      <c r="AF15" s="136">
        <v>22.688000000000002</v>
      </c>
      <c r="AG15" s="136">
        <v>0</v>
      </c>
      <c r="AH15" s="136">
        <v>0</v>
      </c>
      <c r="AI15" s="136">
        <v>0</v>
      </c>
      <c r="AJ15" s="136">
        <v>90.186999999999998</v>
      </c>
      <c r="AK15" s="136">
        <v>115.92300000000002</v>
      </c>
      <c r="AL15" s="136">
        <v>0</v>
      </c>
      <c r="AM15" s="136">
        <v>11.7</v>
      </c>
      <c r="AN15" s="136"/>
      <c r="AO15" s="136">
        <v>7071.9049999999997</v>
      </c>
    </row>
    <row r="16" spans="1:41" x14ac:dyDescent="0.3">
      <c r="A16" s="26" t="s">
        <v>925</v>
      </c>
      <c r="B16" s="136">
        <v>0</v>
      </c>
      <c r="C16" s="136">
        <v>0</v>
      </c>
      <c r="D16" s="136">
        <v>0</v>
      </c>
      <c r="E16" s="136">
        <v>0</v>
      </c>
      <c r="F16" s="136">
        <v>0</v>
      </c>
      <c r="G16" s="136">
        <v>37.10199999999999</v>
      </c>
      <c r="H16" s="136">
        <v>504.19400000000002</v>
      </c>
      <c r="I16" s="136">
        <v>0</v>
      </c>
      <c r="J16" s="136">
        <v>0</v>
      </c>
      <c r="K16" s="136">
        <v>0</v>
      </c>
      <c r="L16" s="136">
        <v>0</v>
      </c>
      <c r="M16" s="136">
        <v>1238.9029999999998</v>
      </c>
      <c r="N16" s="136">
        <v>0</v>
      </c>
      <c r="O16" s="136">
        <v>32.325000000000003</v>
      </c>
      <c r="P16" s="136">
        <v>0</v>
      </c>
      <c r="Q16" s="136">
        <v>63.37299999999999</v>
      </c>
      <c r="R16" s="136">
        <v>4645.5980000000009</v>
      </c>
      <c r="S16" s="136">
        <v>0</v>
      </c>
      <c r="T16" s="136">
        <v>0</v>
      </c>
      <c r="U16" s="136">
        <v>0</v>
      </c>
      <c r="V16" s="136">
        <v>379.91099999999994</v>
      </c>
      <c r="W16" s="136">
        <v>0</v>
      </c>
      <c r="X16" s="136">
        <v>0</v>
      </c>
      <c r="Y16" s="136">
        <v>42.147000000000006</v>
      </c>
      <c r="Z16" s="136">
        <v>0</v>
      </c>
      <c r="AA16" s="136">
        <v>0</v>
      </c>
      <c r="AB16" s="136">
        <v>0</v>
      </c>
      <c r="AC16" s="136">
        <v>0</v>
      </c>
      <c r="AD16" s="136">
        <v>298.97300000000001</v>
      </c>
      <c r="AE16" s="136">
        <v>0</v>
      </c>
      <c r="AF16" s="136">
        <v>67.688000000000002</v>
      </c>
      <c r="AG16" s="136">
        <v>0</v>
      </c>
      <c r="AH16" s="136">
        <v>0</v>
      </c>
      <c r="AI16" s="136">
        <v>0</v>
      </c>
      <c r="AJ16" s="136">
        <v>65.448000000000008</v>
      </c>
      <c r="AK16" s="136">
        <v>90.126000000000019</v>
      </c>
      <c r="AL16" s="136">
        <v>0</v>
      </c>
      <c r="AM16" s="136">
        <v>22.099999999999998</v>
      </c>
      <c r="AN16" s="136"/>
      <c r="AO16" s="136">
        <v>7487.8880000000017</v>
      </c>
    </row>
    <row r="17" spans="1:41" x14ac:dyDescent="0.3">
      <c r="A17" s="26" t="s">
        <v>992</v>
      </c>
      <c r="B17" s="136">
        <v>0</v>
      </c>
      <c r="C17" s="136">
        <v>0</v>
      </c>
      <c r="D17" s="136">
        <v>0</v>
      </c>
      <c r="E17" s="136">
        <v>0</v>
      </c>
      <c r="F17" s="136">
        <v>0</v>
      </c>
      <c r="G17" s="136">
        <v>47.495999999999995</v>
      </c>
      <c r="H17" s="136">
        <v>517.81200000000001</v>
      </c>
      <c r="I17" s="136">
        <v>0</v>
      </c>
      <c r="J17" s="136">
        <v>0</v>
      </c>
      <c r="K17" s="136">
        <v>0</v>
      </c>
      <c r="L17" s="136">
        <v>0</v>
      </c>
      <c r="M17" s="136">
        <v>1416.3889999999997</v>
      </c>
      <c r="N17" s="136">
        <v>0</v>
      </c>
      <c r="O17" s="136">
        <v>0</v>
      </c>
      <c r="P17" s="136">
        <v>0</v>
      </c>
      <c r="Q17" s="136">
        <v>31.458000000000002</v>
      </c>
      <c r="R17" s="136">
        <v>4240.3450000000003</v>
      </c>
      <c r="S17" s="136">
        <v>0</v>
      </c>
      <c r="T17" s="136">
        <v>0</v>
      </c>
      <c r="U17" s="136">
        <v>0</v>
      </c>
      <c r="V17" s="136">
        <v>374.84699999999998</v>
      </c>
      <c r="W17" s="136">
        <v>0</v>
      </c>
      <c r="X17" s="136">
        <v>0</v>
      </c>
      <c r="Y17" s="136">
        <v>36.923999999999999</v>
      </c>
      <c r="Z17" s="136">
        <v>0</v>
      </c>
      <c r="AA17" s="136">
        <v>0</v>
      </c>
      <c r="AB17" s="136">
        <v>0</v>
      </c>
      <c r="AC17" s="136">
        <v>0</v>
      </c>
      <c r="AD17" s="136">
        <v>342.00200000000007</v>
      </c>
      <c r="AE17" s="136">
        <v>0</v>
      </c>
      <c r="AF17" s="136">
        <v>18.898999999999997</v>
      </c>
      <c r="AG17" s="136">
        <v>0</v>
      </c>
      <c r="AH17" s="136">
        <v>0</v>
      </c>
      <c r="AI17" s="136">
        <v>0</v>
      </c>
      <c r="AJ17" s="136">
        <v>84.069000000000017</v>
      </c>
      <c r="AK17" s="136">
        <v>99.069000000000017</v>
      </c>
      <c r="AL17" s="136">
        <v>0</v>
      </c>
      <c r="AM17" s="136">
        <v>1.07</v>
      </c>
      <c r="AN17" s="136"/>
      <c r="AO17" s="136">
        <v>7210.380000000001</v>
      </c>
    </row>
    <row r="18" spans="1:41" x14ac:dyDescent="0.3">
      <c r="A18" s="26" t="s">
        <v>993</v>
      </c>
      <c r="B18" s="136">
        <v>0</v>
      </c>
      <c r="C18" s="136">
        <v>0</v>
      </c>
      <c r="D18" s="136">
        <v>0</v>
      </c>
      <c r="E18" s="136">
        <v>0</v>
      </c>
      <c r="F18" s="136">
        <v>33.26</v>
      </c>
      <c r="G18" s="136">
        <v>31.416999999999998</v>
      </c>
      <c r="H18" s="136">
        <v>444.22200000000004</v>
      </c>
      <c r="I18" s="136">
        <v>0</v>
      </c>
      <c r="J18" s="136">
        <v>0</v>
      </c>
      <c r="K18" s="136">
        <v>0</v>
      </c>
      <c r="L18" s="136">
        <v>0</v>
      </c>
      <c r="M18" s="136">
        <v>1506.7750000000001</v>
      </c>
      <c r="N18" s="136">
        <v>0</v>
      </c>
      <c r="O18" s="136">
        <v>4.5609999999999999</v>
      </c>
      <c r="P18" s="136">
        <v>0</v>
      </c>
      <c r="Q18" s="136">
        <v>29.788999999999998</v>
      </c>
      <c r="R18" s="136">
        <v>4142.6509999999998</v>
      </c>
      <c r="S18" s="136">
        <v>0</v>
      </c>
      <c r="T18" s="136">
        <v>2.48</v>
      </c>
      <c r="U18" s="136">
        <v>0</v>
      </c>
      <c r="V18" s="136">
        <v>269.815</v>
      </c>
      <c r="W18" s="136">
        <v>0</v>
      </c>
      <c r="X18" s="136">
        <v>0</v>
      </c>
      <c r="Y18" s="136">
        <v>43.557000000000002</v>
      </c>
      <c r="Z18" s="136">
        <v>7.7320000000000002</v>
      </c>
      <c r="AA18" s="136">
        <v>0</v>
      </c>
      <c r="AB18" s="136">
        <v>0</v>
      </c>
      <c r="AC18" s="136">
        <v>0</v>
      </c>
      <c r="AD18" s="136">
        <v>373.89799999999997</v>
      </c>
      <c r="AE18" s="136">
        <v>0</v>
      </c>
      <c r="AF18" s="136">
        <v>40.807000000000002</v>
      </c>
      <c r="AG18" s="136">
        <v>0</v>
      </c>
      <c r="AH18" s="136">
        <v>0</v>
      </c>
      <c r="AI18" s="136">
        <v>0</v>
      </c>
      <c r="AJ18" s="136">
        <v>69.398999999999987</v>
      </c>
      <c r="AK18" s="136">
        <v>126.22</v>
      </c>
      <c r="AL18" s="136">
        <v>0</v>
      </c>
      <c r="AM18" s="136">
        <v>0</v>
      </c>
      <c r="AN18" s="136"/>
      <c r="AO18" s="136">
        <v>7126.5829999999987</v>
      </c>
    </row>
    <row r="19" spans="1:41" x14ac:dyDescent="0.3">
      <c r="A19" s="26" t="s">
        <v>994</v>
      </c>
      <c r="B19" s="136">
        <v>0</v>
      </c>
      <c r="C19" s="136">
        <v>0</v>
      </c>
      <c r="D19" s="136">
        <v>0</v>
      </c>
      <c r="E19" s="136">
        <v>0</v>
      </c>
      <c r="F19" s="136">
        <v>26.659999999999997</v>
      </c>
      <c r="G19" s="136">
        <v>28.887</v>
      </c>
      <c r="H19" s="136">
        <v>490.91700000000009</v>
      </c>
      <c r="I19" s="136">
        <v>0</v>
      </c>
      <c r="J19" s="136">
        <v>0</v>
      </c>
      <c r="K19" s="136">
        <v>0</v>
      </c>
      <c r="L19" s="136">
        <v>0</v>
      </c>
      <c r="M19" s="136">
        <v>1265.914</v>
      </c>
      <c r="N19" s="136">
        <v>0</v>
      </c>
      <c r="O19" s="136">
        <v>36.093000000000004</v>
      </c>
      <c r="P19" s="136">
        <v>2.7519999999999998</v>
      </c>
      <c r="Q19" s="136">
        <v>28.542000000000002</v>
      </c>
      <c r="R19" s="136">
        <v>3708.4459999999999</v>
      </c>
      <c r="S19" s="136">
        <v>0</v>
      </c>
      <c r="T19" s="136">
        <v>0</v>
      </c>
      <c r="U19" s="136">
        <v>0</v>
      </c>
      <c r="V19" s="136">
        <v>417.51100000000014</v>
      </c>
      <c r="W19" s="136">
        <v>0</v>
      </c>
      <c r="X19" s="136">
        <v>0</v>
      </c>
      <c r="Y19" s="136">
        <v>6.843</v>
      </c>
      <c r="Z19" s="136">
        <v>0</v>
      </c>
      <c r="AA19" s="136">
        <v>0</v>
      </c>
      <c r="AB19" s="136">
        <v>0</v>
      </c>
      <c r="AC19" s="136">
        <v>0</v>
      </c>
      <c r="AD19" s="136">
        <v>300.59000000000009</v>
      </c>
      <c r="AE19" s="136">
        <v>0</v>
      </c>
      <c r="AF19" s="136">
        <v>46.591999999999999</v>
      </c>
      <c r="AG19" s="136">
        <v>0</v>
      </c>
      <c r="AH19" s="136">
        <v>0</v>
      </c>
      <c r="AI19" s="136">
        <v>0</v>
      </c>
      <c r="AJ19" s="136">
        <v>93.008999999999986</v>
      </c>
      <c r="AK19" s="136">
        <v>39.704999999999998</v>
      </c>
      <c r="AL19" s="136">
        <v>0</v>
      </c>
      <c r="AM19" s="136">
        <v>9.16</v>
      </c>
      <c r="AN19" s="136"/>
      <c r="AO19" s="136">
        <v>6501.6210000000001</v>
      </c>
    </row>
    <row r="20" spans="1:41" x14ac:dyDescent="0.3">
      <c r="A20" s="26" t="s">
        <v>995</v>
      </c>
      <c r="B20" s="136">
        <v>0</v>
      </c>
      <c r="C20" s="136">
        <v>0</v>
      </c>
      <c r="D20" s="136">
        <v>0</v>
      </c>
      <c r="E20" s="136">
        <v>0</v>
      </c>
      <c r="F20" s="136">
        <v>0</v>
      </c>
      <c r="G20" s="136">
        <v>28.54600000000001</v>
      </c>
      <c r="H20" s="136">
        <v>566.62300000000005</v>
      </c>
      <c r="I20" s="136">
        <v>0</v>
      </c>
      <c r="J20" s="136">
        <v>0</v>
      </c>
      <c r="K20" s="136">
        <v>0</v>
      </c>
      <c r="L20" s="136">
        <v>0</v>
      </c>
      <c r="M20" s="136">
        <v>1358.8089999999997</v>
      </c>
      <c r="N20" s="136">
        <v>0</v>
      </c>
      <c r="O20" s="136">
        <v>0</v>
      </c>
      <c r="P20" s="136">
        <v>0</v>
      </c>
      <c r="Q20" s="136">
        <v>56.687000000000005</v>
      </c>
      <c r="R20" s="136">
        <v>3550.1840000000011</v>
      </c>
      <c r="S20" s="136">
        <v>0</v>
      </c>
      <c r="T20" s="136">
        <v>0</v>
      </c>
      <c r="U20" s="136">
        <v>0</v>
      </c>
      <c r="V20" s="136">
        <v>369.51400000000007</v>
      </c>
      <c r="W20" s="136">
        <v>0</v>
      </c>
      <c r="X20" s="136">
        <v>0</v>
      </c>
      <c r="Y20" s="136">
        <v>13.234999999999999</v>
      </c>
      <c r="Z20" s="136">
        <v>0</v>
      </c>
      <c r="AA20" s="136">
        <v>0</v>
      </c>
      <c r="AB20" s="136">
        <v>0</v>
      </c>
      <c r="AC20" s="136">
        <v>0</v>
      </c>
      <c r="AD20" s="136">
        <v>301.5329999999999</v>
      </c>
      <c r="AE20" s="136">
        <v>0</v>
      </c>
      <c r="AF20" s="136">
        <v>61.414000000000001</v>
      </c>
      <c r="AG20" s="136">
        <v>0</v>
      </c>
      <c r="AH20" s="136">
        <v>0</v>
      </c>
      <c r="AI20" s="136">
        <v>0</v>
      </c>
      <c r="AJ20" s="136">
        <v>68.376999999999995</v>
      </c>
      <c r="AK20" s="136">
        <v>130.09799999999998</v>
      </c>
      <c r="AL20" s="136">
        <v>0</v>
      </c>
      <c r="AM20" s="136">
        <v>4.82</v>
      </c>
      <c r="AN20" s="136"/>
      <c r="AO20" s="136">
        <v>6509.8400000000011</v>
      </c>
    </row>
    <row r="21" spans="1:41" x14ac:dyDescent="0.3">
      <c r="A21" s="26" t="s">
        <v>996</v>
      </c>
      <c r="B21" s="136">
        <v>0</v>
      </c>
      <c r="C21" s="136">
        <v>0</v>
      </c>
      <c r="D21" s="136">
        <v>0</v>
      </c>
      <c r="E21" s="136">
        <v>0</v>
      </c>
      <c r="F21" s="136">
        <v>0</v>
      </c>
      <c r="G21" s="136">
        <v>14.923999999999998</v>
      </c>
      <c r="H21" s="136">
        <v>568.327</v>
      </c>
      <c r="I21" s="136">
        <v>0</v>
      </c>
      <c r="J21" s="136">
        <v>3.6399999999999997</v>
      </c>
      <c r="K21" s="136">
        <v>0</v>
      </c>
      <c r="L21" s="136">
        <v>0</v>
      </c>
      <c r="M21" s="136">
        <v>1355.38</v>
      </c>
      <c r="N21" s="136">
        <v>0</v>
      </c>
      <c r="O21" s="136">
        <v>31.547000000000001</v>
      </c>
      <c r="P21" s="136">
        <v>0</v>
      </c>
      <c r="Q21" s="136">
        <v>36.408000000000001</v>
      </c>
      <c r="R21" s="136">
        <v>3651.6149999999998</v>
      </c>
      <c r="S21" s="136">
        <v>0</v>
      </c>
      <c r="T21" s="136">
        <v>0</v>
      </c>
      <c r="U21" s="136">
        <v>0</v>
      </c>
      <c r="V21" s="136">
        <v>341.84300000000002</v>
      </c>
      <c r="W21" s="136">
        <v>0</v>
      </c>
      <c r="X21" s="136">
        <v>0</v>
      </c>
      <c r="Y21" s="136">
        <v>26.645</v>
      </c>
      <c r="Z21" s="136">
        <v>0</v>
      </c>
      <c r="AA21" s="136">
        <v>0</v>
      </c>
      <c r="AB21" s="136">
        <v>0</v>
      </c>
      <c r="AC21" s="136">
        <v>0</v>
      </c>
      <c r="AD21" s="136">
        <v>321.24900000000002</v>
      </c>
      <c r="AE21" s="136">
        <v>0</v>
      </c>
      <c r="AF21" s="136">
        <v>19.477</v>
      </c>
      <c r="AG21" s="136">
        <v>0</v>
      </c>
      <c r="AH21" s="136">
        <v>0</v>
      </c>
      <c r="AI21" s="136">
        <v>0</v>
      </c>
      <c r="AJ21" s="136">
        <v>92.21599999999998</v>
      </c>
      <c r="AK21" s="136">
        <v>109.47499999999998</v>
      </c>
      <c r="AL21" s="136">
        <v>0</v>
      </c>
      <c r="AM21" s="136">
        <v>20.09</v>
      </c>
      <c r="AN21" s="136"/>
      <c r="AO21" s="136">
        <v>6592.8360000000011</v>
      </c>
    </row>
    <row r="22" spans="1:41" x14ac:dyDescent="0.3">
      <c r="A22" s="26" t="s">
        <v>997</v>
      </c>
      <c r="B22" s="136">
        <v>0</v>
      </c>
      <c r="C22" s="136">
        <v>0</v>
      </c>
      <c r="D22" s="136">
        <v>0</v>
      </c>
      <c r="E22" s="136">
        <v>0</v>
      </c>
      <c r="F22" s="136">
        <v>28.81</v>
      </c>
      <c r="G22" s="136">
        <v>21.765000000000001</v>
      </c>
      <c r="H22" s="136">
        <v>547.52800000000013</v>
      </c>
      <c r="I22" s="136">
        <v>0</v>
      </c>
      <c r="J22" s="136">
        <v>0</v>
      </c>
      <c r="K22" s="136">
        <v>0</v>
      </c>
      <c r="L22" s="136">
        <v>0</v>
      </c>
      <c r="M22" s="136">
        <v>1441.4169999999999</v>
      </c>
      <c r="N22" s="136">
        <v>0</v>
      </c>
      <c r="O22" s="136">
        <v>0</v>
      </c>
      <c r="P22" s="136">
        <v>0</v>
      </c>
      <c r="Q22" s="136">
        <v>38.707000000000001</v>
      </c>
      <c r="R22" s="136">
        <v>4070.8179999999988</v>
      </c>
      <c r="S22" s="136">
        <v>0</v>
      </c>
      <c r="T22" s="136">
        <v>0</v>
      </c>
      <c r="U22" s="136">
        <v>0</v>
      </c>
      <c r="V22" s="136">
        <v>121.464</v>
      </c>
      <c r="W22" s="136">
        <v>0</v>
      </c>
      <c r="X22" s="136">
        <v>0</v>
      </c>
      <c r="Y22" s="136">
        <v>33.518999999999998</v>
      </c>
      <c r="Z22" s="136">
        <v>0</v>
      </c>
      <c r="AA22" s="136">
        <v>0</v>
      </c>
      <c r="AB22" s="136">
        <v>0</v>
      </c>
      <c r="AC22" s="136">
        <v>0</v>
      </c>
      <c r="AD22" s="136">
        <v>331.65900000000011</v>
      </c>
      <c r="AE22" s="136">
        <v>0</v>
      </c>
      <c r="AF22" s="136">
        <v>57.064000000000007</v>
      </c>
      <c r="AG22" s="136">
        <v>0</v>
      </c>
      <c r="AH22" s="136">
        <v>0</v>
      </c>
      <c r="AI22" s="136">
        <v>0</v>
      </c>
      <c r="AJ22" s="136">
        <v>67.47999999999999</v>
      </c>
      <c r="AK22" s="136">
        <v>110.56299999999999</v>
      </c>
      <c r="AL22" s="136">
        <v>0</v>
      </c>
      <c r="AM22" s="136">
        <v>13.55</v>
      </c>
      <c r="AN22" s="136"/>
      <c r="AO22" s="136">
        <v>6884.3439999999982</v>
      </c>
    </row>
    <row r="23" spans="1:41" x14ac:dyDescent="0.3">
      <c r="A23" s="26" t="s">
        <v>998</v>
      </c>
      <c r="B23" s="136">
        <v>0</v>
      </c>
      <c r="C23" s="136">
        <v>0</v>
      </c>
      <c r="D23" s="136">
        <v>0</v>
      </c>
      <c r="E23" s="136">
        <v>0</v>
      </c>
      <c r="F23" s="136">
        <v>29.49</v>
      </c>
      <c r="G23" s="136">
        <v>23.102999999999998</v>
      </c>
      <c r="H23" s="136">
        <v>450.00200000000001</v>
      </c>
      <c r="I23" s="136">
        <v>0</v>
      </c>
      <c r="J23" s="136">
        <v>0</v>
      </c>
      <c r="K23" s="136">
        <v>0</v>
      </c>
      <c r="L23" s="136">
        <v>0</v>
      </c>
      <c r="M23" s="136">
        <v>1628.875</v>
      </c>
      <c r="N23" s="136">
        <v>0</v>
      </c>
      <c r="O23" s="136">
        <v>0</v>
      </c>
      <c r="P23" s="136">
        <v>0</v>
      </c>
      <c r="Q23" s="136">
        <v>41.261999999999993</v>
      </c>
      <c r="R23" s="136">
        <v>4091.9799999999996</v>
      </c>
      <c r="S23" s="136">
        <v>0</v>
      </c>
      <c r="T23" s="136">
        <v>0</v>
      </c>
      <c r="U23" s="136">
        <v>0</v>
      </c>
      <c r="V23" s="136">
        <v>371.89900000000011</v>
      </c>
      <c r="W23" s="136">
        <v>0</v>
      </c>
      <c r="X23" s="136">
        <v>0</v>
      </c>
      <c r="Y23" s="136">
        <v>15.092000000000001</v>
      </c>
      <c r="Z23" s="136">
        <v>0</v>
      </c>
      <c r="AA23" s="136">
        <v>0</v>
      </c>
      <c r="AB23" s="136">
        <v>0</v>
      </c>
      <c r="AC23" s="136">
        <v>0</v>
      </c>
      <c r="AD23" s="136">
        <v>265.37400000000002</v>
      </c>
      <c r="AE23" s="136">
        <v>0</v>
      </c>
      <c r="AF23" s="136">
        <v>42.091000000000008</v>
      </c>
      <c r="AG23" s="136">
        <v>0</v>
      </c>
      <c r="AH23" s="136">
        <v>0</v>
      </c>
      <c r="AI23" s="136">
        <v>0</v>
      </c>
      <c r="AJ23" s="136">
        <v>71.667000000000002</v>
      </c>
      <c r="AK23" s="136">
        <v>87.397000000000006</v>
      </c>
      <c r="AL23" s="136">
        <v>0</v>
      </c>
      <c r="AM23" s="136">
        <v>37.89</v>
      </c>
      <c r="AN23" s="136"/>
      <c r="AO23" s="136">
        <v>7156.1220000000003</v>
      </c>
    </row>
    <row r="24" spans="1:41" x14ac:dyDescent="0.3">
      <c r="A24" s="26" t="s">
        <v>999</v>
      </c>
      <c r="B24" s="136">
        <v>0</v>
      </c>
      <c r="C24" s="136">
        <v>0</v>
      </c>
      <c r="D24" s="136">
        <v>0</v>
      </c>
      <c r="E24" s="136">
        <v>0</v>
      </c>
      <c r="F24" s="136">
        <v>39.489999999999995</v>
      </c>
      <c r="G24" s="136">
        <v>5.58</v>
      </c>
      <c r="H24" s="136">
        <v>533.46199999999999</v>
      </c>
      <c r="I24" s="136">
        <v>0</v>
      </c>
      <c r="J24" s="136">
        <v>2.2600000000000002</v>
      </c>
      <c r="K24" s="136">
        <v>0</v>
      </c>
      <c r="L24" s="136">
        <v>0</v>
      </c>
      <c r="M24" s="136">
        <v>1537.5540000000001</v>
      </c>
      <c r="N24" s="136">
        <v>0.95099999999999996</v>
      </c>
      <c r="O24" s="136">
        <v>0</v>
      </c>
      <c r="P24" s="136">
        <v>0</v>
      </c>
      <c r="Q24" s="136">
        <v>49.234999999999999</v>
      </c>
      <c r="R24" s="136">
        <v>4268.6720000000014</v>
      </c>
      <c r="S24" s="136">
        <v>0</v>
      </c>
      <c r="T24" s="136">
        <v>0</v>
      </c>
      <c r="U24" s="136">
        <v>0</v>
      </c>
      <c r="V24" s="136">
        <v>365.33800000000014</v>
      </c>
      <c r="W24" s="136">
        <v>0</v>
      </c>
      <c r="X24" s="136">
        <v>0</v>
      </c>
      <c r="Y24" s="136">
        <v>20.634</v>
      </c>
      <c r="Z24" s="136">
        <v>0</v>
      </c>
      <c r="AA24" s="136">
        <v>0</v>
      </c>
      <c r="AB24" s="136">
        <v>0</v>
      </c>
      <c r="AC24" s="136">
        <v>0</v>
      </c>
      <c r="AD24" s="136">
        <v>261.27900000000005</v>
      </c>
      <c r="AE24" s="136">
        <v>0</v>
      </c>
      <c r="AF24" s="136">
        <v>59.442</v>
      </c>
      <c r="AG24" s="136">
        <v>0</v>
      </c>
      <c r="AH24" s="136">
        <v>0</v>
      </c>
      <c r="AI24" s="136">
        <v>0</v>
      </c>
      <c r="AJ24" s="136">
        <v>84.618000000000009</v>
      </c>
      <c r="AK24" s="136">
        <v>140.45400000000004</v>
      </c>
      <c r="AL24" s="136">
        <v>0</v>
      </c>
      <c r="AM24" s="136">
        <v>0</v>
      </c>
      <c r="AN24" s="136"/>
      <c r="AO24" s="136">
        <v>7368.9690000000019</v>
      </c>
    </row>
    <row r="25" spans="1:41" x14ac:dyDescent="0.3">
      <c r="A25" s="26" t="s">
        <v>1000</v>
      </c>
      <c r="B25" s="136">
        <v>0</v>
      </c>
      <c r="C25" s="136">
        <v>0</v>
      </c>
      <c r="D25" s="136">
        <v>0</v>
      </c>
      <c r="E25" s="136">
        <v>0</v>
      </c>
      <c r="F25" s="136">
        <v>18.52</v>
      </c>
      <c r="G25" s="136">
        <v>11.483000000000001</v>
      </c>
      <c r="H25" s="136">
        <v>460.71599999999995</v>
      </c>
      <c r="I25" s="136">
        <v>0</v>
      </c>
      <c r="J25" s="136">
        <v>0</v>
      </c>
      <c r="K25" s="136">
        <v>0</v>
      </c>
      <c r="L25" s="136">
        <v>0</v>
      </c>
      <c r="M25" s="136">
        <v>1579.3310000000001</v>
      </c>
      <c r="N25" s="136">
        <v>0</v>
      </c>
      <c r="O25" s="136">
        <v>34.941000000000003</v>
      </c>
      <c r="P25" s="136">
        <v>0</v>
      </c>
      <c r="Q25" s="136">
        <v>31.479999999999997</v>
      </c>
      <c r="R25" s="136">
        <v>4062.963999999999</v>
      </c>
      <c r="S25" s="136">
        <v>0</v>
      </c>
      <c r="T25" s="136">
        <v>0</v>
      </c>
      <c r="U25" s="136">
        <v>0</v>
      </c>
      <c r="V25" s="136">
        <v>361.18399999999991</v>
      </c>
      <c r="W25" s="136">
        <v>0</v>
      </c>
      <c r="X25" s="136">
        <v>0</v>
      </c>
      <c r="Y25" s="136">
        <v>32.216000000000001</v>
      </c>
      <c r="Z25" s="136">
        <v>0</v>
      </c>
      <c r="AA25" s="136">
        <v>0</v>
      </c>
      <c r="AB25" s="136">
        <v>0</v>
      </c>
      <c r="AC25" s="136">
        <v>0</v>
      </c>
      <c r="AD25" s="136">
        <v>291.88900000000001</v>
      </c>
      <c r="AE25" s="136">
        <v>0</v>
      </c>
      <c r="AF25" s="136">
        <v>36.565999999999995</v>
      </c>
      <c r="AG25" s="136">
        <v>0</v>
      </c>
      <c r="AH25" s="136">
        <v>0</v>
      </c>
      <c r="AI25" s="136">
        <v>0</v>
      </c>
      <c r="AJ25" s="136">
        <v>63.269999999999989</v>
      </c>
      <c r="AK25" s="136">
        <v>104.97300000000001</v>
      </c>
      <c r="AL25" s="136">
        <v>0</v>
      </c>
      <c r="AM25" s="136">
        <v>21.39</v>
      </c>
      <c r="AN25" s="136"/>
      <c r="AO25" s="136">
        <v>7110.9230000000007</v>
      </c>
    </row>
    <row r="26" spans="1:41" x14ac:dyDescent="0.3">
      <c r="A26" s="26" t="s">
        <v>1001</v>
      </c>
      <c r="B26" s="136">
        <v>0</v>
      </c>
      <c r="C26" s="136">
        <v>0</v>
      </c>
      <c r="D26" s="136">
        <v>0</v>
      </c>
      <c r="E26" s="136">
        <v>0</v>
      </c>
      <c r="F26" s="136">
        <v>0</v>
      </c>
      <c r="G26" s="136">
        <v>11</v>
      </c>
      <c r="H26" s="136">
        <v>480.17700000000002</v>
      </c>
      <c r="I26" s="136">
        <v>0</v>
      </c>
      <c r="J26" s="136">
        <v>0</v>
      </c>
      <c r="K26" s="136">
        <v>0</v>
      </c>
      <c r="L26" s="136">
        <v>0</v>
      </c>
      <c r="M26" s="136">
        <v>1509.3039999999999</v>
      </c>
      <c r="N26" s="136">
        <v>0</v>
      </c>
      <c r="O26" s="136">
        <v>39.71</v>
      </c>
      <c r="P26" s="136">
        <v>0</v>
      </c>
      <c r="Q26" s="136">
        <v>59.817000000000007</v>
      </c>
      <c r="R26" s="136">
        <v>3680.4820000000004</v>
      </c>
      <c r="S26" s="136">
        <v>0</v>
      </c>
      <c r="T26" s="136">
        <v>0</v>
      </c>
      <c r="U26" s="136">
        <v>0</v>
      </c>
      <c r="V26" s="136">
        <v>398.20799999999991</v>
      </c>
      <c r="W26" s="136">
        <v>0</v>
      </c>
      <c r="X26" s="136">
        <v>0</v>
      </c>
      <c r="Y26" s="136">
        <v>18.638999999999999</v>
      </c>
      <c r="Z26" s="136">
        <v>0</v>
      </c>
      <c r="AA26" s="136">
        <v>0</v>
      </c>
      <c r="AB26" s="136">
        <v>0</v>
      </c>
      <c r="AC26" s="136">
        <v>0</v>
      </c>
      <c r="AD26" s="136">
        <v>264.04699999999997</v>
      </c>
      <c r="AE26" s="136">
        <v>0</v>
      </c>
      <c r="AF26" s="136">
        <v>24.454999999999998</v>
      </c>
      <c r="AG26" s="136">
        <v>0</v>
      </c>
      <c r="AH26" s="136">
        <v>0</v>
      </c>
      <c r="AI26" s="136">
        <v>0</v>
      </c>
      <c r="AJ26" s="136">
        <v>74.323999999999998</v>
      </c>
      <c r="AK26" s="136">
        <v>80.835999999999999</v>
      </c>
      <c r="AL26" s="136">
        <v>0</v>
      </c>
      <c r="AM26" s="136">
        <v>21.65</v>
      </c>
      <c r="AN26" s="136"/>
      <c r="AO26" s="136">
        <v>6662.6489999999985</v>
      </c>
    </row>
    <row r="27" spans="1:41" x14ac:dyDescent="0.3">
      <c r="A27" s="26" t="s">
        <v>1002</v>
      </c>
      <c r="B27" s="136">
        <v>0</v>
      </c>
      <c r="C27" s="136">
        <v>0</v>
      </c>
      <c r="D27" s="136">
        <v>0</v>
      </c>
      <c r="E27" s="136">
        <v>0</v>
      </c>
      <c r="F27" s="136">
        <v>0</v>
      </c>
      <c r="G27" s="136">
        <v>3.4950000000000001</v>
      </c>
      <c r="H27" s="136">
        <v>431.17200000000008</v>
      </c>
      <c r="I27" s="136">
        <v>0</v>
      </c>
      <c r="J27" s="136">
        <v>11.231</v>
      </c>
      <c r="K27" s="136">
        <v>0</v>
      </c>
      <c r="L27" s="136">
        <v>0</v>
      </c>
      <c r="M27" s="136">
        <v>1315.3420000000003</v>
      </c>
      <c r="N27" s="136">
        <v>0</v>
      </c>
      <c r="O27" s="136">
        <v>0</v>
      </c>
      <c r="P27" s="136">
        <v>0</v>
      </c>
      <c r="Q27" s="136">
        <v>32.569000000000003</v>
      </c>
      <c r="R27" s="136">
        <v>3004.7630000000004</v>
      </c>
      <c r="S27" s="136">
        <v>0</v>
      </c>
      <c r="T27" s="136">
        <v>0</v>
      </c>
      <c r="U27" s="136">
        <v>0</v>
      </c>
      <c r="V27" s="136">
        <v>398.69800000000004</v>
      </c>
      <c r="W27" s="136">
        <v>0</v>
      </c>
      <c r="X27" s="136">
        <v>0</v>
      </c>
      <c r="Y27" s="136">
        <v>6.5590000000000002</v>
      </c>
      <c r="Z27" s="136">
        <v>0</v>
      </c>
      <c r="AA27" s="136">
        <v>0</v>
      </c>
      <c r="AB27" s="136">
        <v>0</v>
      </c>
      <c r="AC27" s="136">
        <v>0</v>
      </c>
      <c r="AD27" s="136">
        <v>252.15699999999998</v>
      </c>
      <c r="AE27" s="136">
        <v>0</v>
      </c>
      <c r="AF27" s="136">
        <v>55.417000000000002</v>
      </c>
      <c r="AG27" s="136">
        <v>0</v>
      </c>
      <c r="AH27" s="136">
        <v>0</v>
      </c>
      <c r="AI27" s="136">
        <v>0</v>
      </c>
      <c r="AJ27" s="136">
        <v>85.010999999999996</v>
      </c>
      <c r="AK27" s="136">
        <v>97.629999999999981</v>
      </c>
      <c r="AL27" s="136">
        <v>0</v>
      </c>
      <c r="AM27" s="136">
        <v>15.89</v>
      </c>
      <c r="AN27" s="136"/>
      <c r="AO27" s="136">
        <v>5709.9340000000029</v>
      </c>
    </row>
    <row r="28" spans="1:41" x14ac:dyDescent="0.3">
      <c r="A28" s="26" t="s">
        <v>1003</v>
      </c>
      <c r="B28" s="136">
        <v>0</v>
      </c>
      <c r="C28" s="136">
        <v>0</v>
      </c>
      <c r="D28" s="136">
        <v>0</v>
      </c>
      <c r="E28" s="136">
        <v>0</v>
      </c>
      <c r="F28" s="136">
        <v>7.58</v>
      </c>
      <c r="G28" s="136">
        <v>13.821</v>
      </c>
      <c r="H28" s="136">
        <v>516.36900000000003</v>
      </c>
      <c r="I28" s="136">
        <v>0</v>
      </c>
      <c r="J28" s="136">
        <v>0</v>
      </c>
      <c r="K28" s="136">
        <v>0</v>
      </c>
      <c r="L28" s="136">
        <v>0</v>
      </c>
      <c r="M28" s="136">
        <v>1461.2029999999997</v>
      </c>
      <c r="N28" s="136">
        <v>0</v>
      </c>
      <c r="O28" s="136">
        <v>64.295000000000002</v>
      </c>
      <c r="P28" s="136">
        <v>0</v>
      </c>
      <c r="Q28" s="136">
        <v>36.483000000000004</v>
      </c>
      <c r="R28" s="136">
        <v>3728.9539999999984</v>
      </c>
      <c r="S28" s="136">
        <v>0</v>
      </c>
      <c r="T28" s="136">
        <v>0.64</v>
      </c>
      <c r="U28" s="136">
        <v>0</v>
      </c>
      <c r="V28" s="136">
        <v>333.14699999999999</v>
      </c>
      <c r="W28" s="136">
        <v>0</v>
      </c>
      <c r="X28" s="136">
        <v>0</v>
      </c>
      <c r="Y28" s="136">
        <v>14.164000000000001</v>
      </c>
      <c r="Z28" s="136">
        <v>0</v>
      </c>
      <c r="AA28" s="136">
        <v>0</v>
      </c>
      <c r="AB28" s="136">
        <v>0</v>
      </c>
      <c r="AC28" s="136">
        <v>0</v>
      </c>
      <c r="AD28" s="136">
        <v>275.28899999999999</v>
      </c>
      <c r="AE28" s="136">
        <v>0</v>
      </c>
      <c r="AF28" s="136">
        <v>24.125</v>
      </c>
      <c r="AG28" s="136">
        <v>0</v>
      </c>
      <c r="AH28" s="136">
        <v>0</v>
      </c>
      <c r="AI28" s="136">
        <v>0</v>
      </c>
      <c r="AJ28" s="136">
        <v>72.928000000000011</v>
      </c>
      <c r="AK28" s="136">
        <v>113.61500000000001</v>
      </c>
      <c r="AL28" s="136">
        <v>0</v>
      </c>
      <c r="AM28" s="136">
        <v>26.64</v>
      </c>
      <c r="AN28" s="136"/>
      <c r="AO28" s="136">
        <v>6689.2529999999979</v>
      </c>
    </row>
    <row r="29" spans="1:41" x14ac:dyDescent="0.3">
      <c r="A29" s="26" t="s">
        <v>1005</v>
      </c>
      <c r="B29" s="136">
        <v>0</v>
      </c>
      <c r="C29" s="136">
        <v>0</v>
      </c>
      <c r="D29" s="136">
        <v>0</v>
      </c>
      <c r="E29" s="136">
        <v>0</v>
      </c>
      <c r="F29" s="136">
        <v>21.490000000000002</v>
      </c>
      <c r="G29" s="136">
        <v>6.5950000000000006</v>
      </c>
      <c r="H29" s="136">
        <v>550.75599999999997</v>
      </c>
      <c r="I29" s="136">
        <v>0</v>
      </c>
      <c r="J29" s="136">
        <v>0</v>
      </c>
      <c r="K29" s="136">
        <v>0</v>
      </c>
      <c r="L29" s="136">
        <v>0</v>
      </c>
      <c r="M29" s="136">
        <v>1561.3110000000001</v>
      </c>
      <c r="N29" s="136">
        <v>7.4489999999999998</v>
      </c>
      <c r="O29" s="136">
        <v>13.525</v>
      </c>
      <c r="P29" s="136">
        <v>0</v>
      </c>
      <c r="Q29" s="136">
        <v>40.796999999999997</v>
      </c>
      <c r="R29" s="136">
        <v>4364.2539999999999</v>
      </c>
      <c r="S29" s="136">
        <v>0</v>
      </c>
      <c r="T29" s="136">
        <v>0</v>
      </c>
      <c r="U29" s="136">
        <v>0</v>
      </c>
      <c r="V29" s="136">
        <v>135.65799999999996</v>
      </c>
      <c r="W29" s="136">
        <v>0</v>
      </c>
      <c r="X29" s="136">
        <v>0</v>
      </c>
      <c r="Y29" s="136">
        <v>29.138000000000002</v>
      </c>
      <c r="Z29" s="136">
        <v>39.984000000000002</v>
      </c>
      <c r="AA29" s="136">
        <v>0</v>
      </c>
      <c r="AB29" s="136">
        <v>0</v>
      </c>
      <c r="AC29" s="136">
        <v>0</v>
      </c>
      <c r="AD29" s="136">
        <v>286.73000000000013</v>
      </c>
      <c r="AE29" s="136">
        <v>0</v>
      </c>
      <c r="AF29" s="136">
        <v>44.457000000000001</v>
      </c>
      <c r="AG29" s="136">
        <v>0</v>
      </c>
      <c r="AH29" s="136">
        <v>0</v>
      </c>
      <c r="AI29" s="136">
        <v>0</v>
      </c>
      <c r="AJ29" s="136">
        <v>76.745999999999995</v>
      </c>
      <c r="AK29" s="136">
        <v>104.39400000000002</v>
      </c>
      <c r="AL29" s="136">
        <v>0</v>
      </c>
      <c r="AM29" s="136">
        <v>31.419999999999998</v>
      </c>
      <c r="AN29" s="136"/>
      <c r="AO29" s="136">
        <v>7314.7040000000015</v>
      </c>
    </row>
    <row r="30" spans="1:41" x14ac:dyDescent="0.3">
      <c r="A30" s="26" t="s">
        <v>1006</v>
      </c>
      <c r="B30" s="136">
        <v>0</v>
      </c>
      <c r="C30" s="136">
        <v>0</v>
      </c>
      <c r="D30" s="136">
        <v>0</v>
      </c>
      <c r="E30" s="136">
        <v>0</v>
      </c>
      <c r="F30" s="136">
        <v>0</v>
      </c>
      <c r="G30" s="136">
        <v>2.7450000000000001</v>
      </c>
      <c r="H30" s="136">
        <v>495.55500000000012</v>
      </c>
      <c r="I30" s="136">
        <v>0</v>
      </c>
      <c r="J30" s="136">
        <v>0</v>
      </c>
      <c r="K30" s="136">
        <v>0</v>
      </c>
      <c r="L30" s="136">
        <v>0</v>
      </c>
      <c r="M30" s="136">
        <v>1402.7279999999998</v>
      </c>
      <c r="N30" s="136">
        <v>0</v>
      </c>
      <c r="O30" s="136">
        <v>36.014000000000003</v>
      </c>
      <c r="P30" s="136">
        <v>0</v>
      </c>
      <c r="Q30" s="136">
        <v>23.379000000000001</v>
      </c>
      <c r="R30" s="136">
        <v>4025.9449999999997</v>
      </c>
      <c r="S30" s="136">
        <v>0</v>
      </c>
      <c r="T30" s="136">
        <v>0</v>
      </c>
      <c r="U30" s="136">
        <v>0</v>
      </c>
      <c r="V30" s="136">
        <v>304.23099999999999</v>
      </c>
      <c r="W30" s="136">
        <v>0</v>
      </c>
      <c r="X30" s="136">
        <v>0</v>
      </c>
      <c r="Y30" s="136">
        <v>8.827</v>
      </c>
      <c r="Z30" s="136">
        <v>20.050999999999998</v>
      </c>
      <c r="AA30" s="136">
        <v>0</v>
      </c>
      <c r="AB30" s="136">
        <v>0</v>
      </c>
      <c r="AC30" s="136">
        <v>0</v>
      </c>
      <c r="AD30" s="136">
        <v>271.71000000000004</v>
      </c>
      <c r="AE30" s="136">
        <v>0</v>
      </c>
      <c r="AF30" s="136">
        <v>40.183</v>
      </c>
      <c r="AG30" s="136">
        <v>0</v>
      </c>
      <c r="AH30" s="136">
        <v>0</v>
      </c>
      <c r="AI30" s="136">
        <v>0</v>
      </c>
      <c r="AJ30" s="136">
        <v>60.73</v>
      </c>
      <c r="AK30" s="136">
        <v>116.10299999999999</v>
      </c>
      <c r="AL30" s="136">
        <v>0</v>
      </c>
      <c r="AM30" s="136">
        <v>28.36</v>
      </c>
      <c r="AN30" s="136"/>
      <c r="AO30" s="136">
        <v>6836.5609999999997</v>
      </c>
    </row>
    <row r="31" spans="1:41" x14ac:dyDescent="0.3">
      <c r="A31" s="26" t="s">
        <v>1010</v>
      </c>
      <c r="B31" s="136">
        <v>0</v>
      </c>
      <c r="C31" s="136">
        <v>0</v>
      </c>
      <c r="D31" s="136">
        <v>0</v>
      </c>
      <c r="E31" s="136">
        <v>0</v>
      </c>
      <c r="F31" s="136">
        <v>12.66</v>
      </c>
      <c r="G31" s="136">
        <v>2.7850000000000001</v>
      </c>
      <c r="H31" s="136">
        <v>437.411</v>
      </c>
      <c r="I31" s="136">
        <v>0</v>
      </c>
      <c r="J31" s="136">
        <v>0</v>
      </c>
      <c r="K31" s="136">
        <v>0</v>
      </c>
      <c r="L31" s="136">
        <v>0</v>
      </c>
      <c r="M31" s="136">
        <v>1543.508</v>
      </c>
      <c r="N31" s="136">
        <v>0</v>
      </c>
      <c r="O31" s="136">
        <v>11.929</v>
      </c>
      <c r="P31" s="136">
        <v>0</v>
      </c>
      <c r="Q31" s="136">
        <v>28.223000000000006</v>
      </c>
      <c r="R31" s="136">
        <v>3541.8179999999993</v>
      </c>
      <c r="S31" s="136">
        <v>0</v>
      </c>
      <c r="T31" s="136">
        <v>0</v>
      </c>
      <c r="U31" s="136">
        <v>0</v>
      </c>
      <c r="V31" s="136">
        <v>291.42500000000018</v>
      </c>
      <c r="W31" s="136">
        <v>0</v>
      </c>
      <c r="X31" s="136">
        <v>0</v>
      </c>
      <c r="Y31" s="136">
        <v>15.364000000000001</v>
      </c>
      <c r="Z31" s="136">
        <v>0</v>
      </c>
      <c r="AA31" s="136">
        <v>0</v>
      </c>
      <c r="AB31" s="136">
        <v>0</v>
      </c>
      <c r="AC31" s="136">
        <v>0</v>
      </c>
      <c r="AD31" s="136">
        <v>290.24000000000007</v>
      </c>
      <c r="AE31" s="136">
        <v>0</v>
      </c>
      <c r="AF31" s="136">
        <v>31.229999999999997</v>
      </c>
      <c r="AG31" s="136">
        <v>1.2129999999999999</v>
      </c>
      <c r="AH31" s="136">
        <v>0</v>
      </c>
      <c r="AI31" s="136">
        <v>0</v>
      </c>
      <c r="AJ31" s="136">
        <v>94.424999999999997</v>
      </c>
      <c r="AK31" s="136">
        <v>86.557999999999993</v>
      </c>
      <c r="AL31" s="136">
        <v>0</v>
      </c>
      <c r="AM31" s="136">
        <v>26.61</v>
      </c>
      <c r="AN31" s="136">
        <v>0</v>
      </c>
      <c r="AO31" s="136">
        <v>6415.3989999999976</v>
      </c>
    </row>
    <row r="32" spans="1:41" x14ac:dyDescent="0.3">
      <c r="A32" s="26" t="s">
        <v>1011</v>
      </c>
      <c r="B32" s="136">
        <v>0</v>
      </c>
      <c r="C32" s="136">
        <v>0</v>
      </c>
      <c r="D32" s="136">
        <v>0</v>
      </c>
      <c r="E32" s="136">
        <v>0</v>
      </c>
      <c r="F32" s="136">
        <v>15.149999999999999</v>
      </c>
      <c r="G32" s="136">
        <v>21.146000000000004</v>
      </c>
      <c r="H32" s="136">
        <v>486.52300000000002</v>
      </c>
      <c r="I32" s="136">
        <v>0</v>
      </c>
      <c r="J32" s="136">
        <v>0</v>
      </c>
      <c r="K32" s="136">
        <v>0</v>
      </c>
      <c r="L32" s="136">
        <v>0</v>
      </c>
      <c r="M32" s="136">
        <v>1574.538</v>
      </c>
      <c r="N32" s="136">
        <v>0</v>
      </c>
      <c r="O32" s="136">
        <v>0</v>
      </c>
      <c r="P32" s="136">
        <v>0</v>
      </c>
      <c r="Q32" s="136">
        <v>66.538999999999987</v>
      </c>
      <c r="R32" s="136">
        <v>4075.6860000000006</v>
      </c>
      <c r="S32" s="136">
        <v>0</v>
      </c>
      <c r="T32" s="136">
        <v>0</v>
      </c>
      <c r="U32" s="136">
        <v>0</v>
      </c>
      <c r="V32" s="136">
        <v>147.334</v>
      </c>
      <c r="W32" s="136">
        <v>0</v>
      </c>
      <c r="X32" s="136">
        <v>0</v>
      </c>
      <c r="Y32" s="136">
        <v>174.98699999999999</v>
      </c>
      <c r="Z32" s="136">
        <v>0</v>
      </c>
      <c r="AA32" s="136">
        <v>0</v>
      </c>
      <c r="AB32" s="136">
        <v>0</v>
      </c>
      <c r="AC32" s="136">
        <v>0</v>
      </c>
      <c r="AD32" s="136">
        <v>281.20400000000012</v>
      </c>
      <c r="AE32" s="136">
        <v>0</v>
      </c>
      <c r="AF32" s="136">
        <v>61.016000000000005</v>
      </c>
      <c r="AG32" s="136">
        <v>15.221000000000002</v>
      </c>
      <c r="AH32" s="136">
        <v>0</v>
      </c>
      <c r="AI32" s="136">
        <v>0</v>
      </c>
      <c r="AJ32" s="136">
        <v>96.431999999999988</v>
      </c>
      <c r="AK32" s="136">
        <v>91.461000000000027</v>
      </c>
      <c r="AL32" s="136">
        <v>0</v>
      </c>
      <c r="AM32" s="136">
        <v>0</v>
      </c>
      <c r="AN32" s="136">
        <v>0</v>
      </c>
      <c r="AO32" s="136">
        <v>7107.2369999999992</v>
      </c>
    </row>
  </sheetData>
  <pageMargins left="0.7" right="0.7" top="0.75" bottom="0.75" header="0.3" footer="0.3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87"/>
  <sheetViews>
    <sheetView topLeftCell="A172" workbookViewId="0">
      <selection activeCell="A185" sqref="A183:A186"/>
    </sheetView>
  </sheetViews>
  <sheetFormatPr defaultRowHeight="14.4" x14ac:dyDescent="0.3"/>
  <cols>
    <col min="1" max="1" width="70.6640625" bestFit="1" customWidth="1"/>
    <col min="2" max="32" width="18.33203125" bestFit="1" customWidth="1"/>
    <col min="33" max="33" width="15.77734375" bestFit="1" customWidth="1"/>
  </cols>
  <sheetData>
    <row r="1" spans="1:33" x14ac:dyDescent="0.3">
      <c r="A1" s="29" t="s">
        <v>1</v>
      </c>
      <c r="B1" t="s">
        <v>82</v>
      </c>
    </row>
    <row r="2" spans="1:33" x14ac:dyDescent="0.3">
      <c r="A2" s="29" t="s">
        <v>158</v>
      </c>
      <c r="B2" t="s">
        <v>82</v>
      </c>
    </row>
    <row r="4" spans="1:33" x14ac:dyDescent="0.3">
      <c r="A4" s="29" t="s">
        <v>542</v>
      </c>
      <c r="B4" s="82" t="s">
        <v>1015</v>
      </c>
      <c r="C4" s="82" t="s">
        <v>1016</v>
      </c>
      <c r="D4" s="82" t="s">
        <v>1017</v>
      </c>
      <c r="E4" s="82" t="s">
        <v>1019</v>
      </c>
      <c r="F4" s="82" t="s">
        <v>1020</v>
      </c>
      <c r="G4" s="82" t="s">
        <v>1021</v>
      </c>
      <c r="H4" s="82" t="s">
        <v>1025</v>
      </c>
      <c r="I4" s="82" t="s">
        <v>1026</v>
      </c>
      <c r="J4" s="82" t="s">
        <v>1027</v>
      </c>
      <c r="K4" s="82" t="s">
        <v>1028</v>
      </c>
      <c r="L4" s="82" t="s">
        <v>1029</v>
      </c>
      <c r="M4" s="82" t="s">
        <v>1030</v>
      </c>
      <c r="N4" s="82" t="s">
        <v>1032</v>
      </c>
      <c r="O4" s="82" t="s">
        <v>1033</v>
      </c>
      <c r="P4" s="82" t="s">
        <v>1034</v>
      </c>
      <c r="Q4" s="82" t="s">
        <v>1035</v>
      </c>
      <c r="R4" s="82" t="s">
        <v>1036</v>
      </c>
      <c r="S4" s="82" t="s">
        <v>1039</v>
      </c>
      <c r="T4" s="82" t="s">
        <v>1040</v>
      </c>
      <c r="U4" s="82" t="s">
        <v>1041</v>
      </c>
      <c r="V4" s="82" t="s">
        <v>1042</v>
      </c>
      <c r="W4" s="82" t="s">
        <v>1043</v>
      </c>
      <c r="X4" s="82" t="s">
        <v>1044</v>
      </c>
      <c r="Y4" s="82" t="s">
        <v>1051</v>
      </c>
      <c r="Z4" s="82" t="s">
        <v>1053</v>
      </c>
      <c r="AA4" s="82" t="s">
        <v>1054</v>
      </c>
      <c r="AB4" s="82" t="s">
        <v>1055</v>
      </c>
      <c r="AC4" s="82" t="s">
        <v>1057</v>
      </c>
      <c r="AD4" s="82" t="s">
        <v>1058</v>
      </c>
      <c r="AE4" s="82" t="s">
        <v>1059</v>
      </c>
      <c r="AF4" s="82" t="s">
        <v>1060</v>
      </c>
      <c r="AG4" s="82" t="s">
        <v>85</v>
      </c>
    </row>
    <row r="5" spans="1:33" x14ac:dyDescent="0.3">
      <c r="A5" s="10" t="s">
        <v>987</v>
      </c>
      <c r="B5" s="117">
        <v>0</v>
      </c>
      <c r="C5" s="117">
        <v>0</v>
      </c>
      <c r="D5" s="117">
        <v>0</v>
      </c>
      <c r="E5" s="117">
        <v>0</v>
      </c>
      <c r="F5" s="117">
        <v>0</v>
      </c>
      <c r="G5" s="117">
        <v>0</v>
      </c>
      <c r="H5" s="117">
        <v>0</v>
      </c>
      <c r="I5" s="117">
        <v>0</v>
      </c>
      <c r="J5" s="117">
        <v>0</v>
      </c>
      <c r="K5" s="117">
        <v>0</v>
      </c>
      <c r="L5" s="117">
        <v>0</v>
      </c>
      <c r="M5" s="117">
        <v>0</v>
      </c>
      <c r="N5" s="117">
        <v>0</v>
      </c>
      <c r="O5" s="117">
        <v>0</v>
      </c>
      <c r="P5" s="117">
        <v>0</v>
      </c>
      <c r="Q5" s="117">
        <v>35.76</v>
      </c>
      <c r="R5" s="117">
        <v>0</v>
      </c>
      <c r="S5" s="117">
        <v>0</v>
      </c>
      <c r="T5" s="117">
        <v>0</v>
      </c>
      <c r="U5" s="117">
        <v>0</v>
      </c>
      <c r="V5" s="117">
        <v>0</v>
      </c>
      <c r="W5" s="117">
        <v>12.388</v>
      </c>
      <c r="X5" s="117">
        <v>0</v>
      </c>
      <c r="Y5" s="117">
        <v>0</v>
      </c>
      <c r="Z5" s="117">
        <v>0</v>
      </c>
      <c r="AA5" s="117">
        <v>0</v>
      </c>
      <c r="AB5" s="117">
        <v>0</v>
      </c>
      <c r="AC5" s="117">
        <v>0</v>
      </c>
      <c r="AD5" s="117">
        <v>0</v>
      </c>
      <c r="AE5" s="117">
        <v>0</v>
      </c>
      <c r="AF5" s="117">
        <v>0</v>
      </c>
      <c r="AG5" s="117">
        <v>1.5531612903225804</v>
      </c>
    </row>
    <row r="6" spans="1:33" x14ac:dyDescent="0.3">
      <c r="A6" s="10" t="s">
        <v>989</v>
      </c>
      <c r="B6" s="117">
        <v>0</v>
      </c>
      <c r="C6" s="117">
        <v>0</v>
      </c>
      <c r="D6" s="117">
        <v>24.98</v>
      </c>
      <c r="E6" s="117">
        <v>44.11</v>
      </c>
      <c r="F6" s="117">
        <v>15.65</v>
      </c>
      <c r="G6" s="117">
        <v>29.119999999999997</v>
      </c>
      <c r="H6" s="117">
        <v>9.9600000000000009</v>
      </c>
      <c r="I6" s="117">
        <v>33</v>
      </c>
      <c r="J6" s="117">
        <v>27.03</v>
      </c>
      <c r="K6" s="117">
        <v>11.389999999999999</v>
      </c>
      <c r="L6" s="117">
        <v>9.0499999999999989</v>
      </c>
      <c r="M6" s="117">
        <v>28.34</v>
      </c>
      <c r="N6" s="117">
        <v>18.100000000000001</v>
      </c>
      <c r="O6" s="117">
        <v>22.11</v>
      </c>
      <c r="P6" s="117">
        <v>23.5</v>
      </c>
      <c r="Q6" s="117">
        <v>3.13</v>
      </c>
      <c r="R6" s="117">
        <v>27.990000000000002</v>
      </c>
      <c r="S6" s="117">
        <v>15.600000000000001</v>
      </c>
      <c r="T6" s="117">
        <v>11.04</v>
      </c>
      <c r="U6" s="117">
        <v>17.309999999999999</v>
      </c>
      <c r="V6" s="117">
        <v>0.14000000000000001</v>
      </c>
      <c r="W6" s="117">
        <v>0</v>
      </c>
      <c r="X6" s="117">
        <v>23.09</v>
      </c>
      <c r="Y6" s="117">
        <v>22.03</v>
      </c>
      <c r="Z6" s="117">
        <v>26.21</v>
      </c>
      <c r="AA6" s="117">
        <v>9.98</v>
      </c>
      <c r="AB6" s="117">
        <v>6.44</v>
      </c>
      <c r="AC6" s="117">
        <v>10.48</v>
      </c>
      <c r="AD6" s="117">
        <v>10.23</v>
      </c>
      <c r="AE6" s="117">
        <v>33.14</v>
      </c>
      <c r="AF6" s="117">
        <v>0</v>
      </c>
      <c r="AG6" s="117">
        <v>16.553225806451614</v>
      </c>
    </row>
    <row r="7" spans="1:33" x14ac:dyDescent="0.3">
      <c r="A7" s="10" t="s">
        <v>982</v>
      </c>
      <c r="B7" s="117">
        <v>102.789</v>
      </c>
      <c r="C7" s="117">
        <v>118.08099999999999</v>
      </c>
      <c r="D7" s="117">
        <v>139.58800000000002</v>
      </c>
      <c r="E7" s="117">
        <v>91.36</v>
      </c>
      <c r="F7" s="117">
        <v>89.53</v>
      </c>
      <c r="G7" s="117">
        <v>103.02</v>
      </c>
      <c r="H7" s="117">
        <v>117.85000000000002</v>
      </c>
      <c r="I7" s="117">
        <v>130.01100000000002</v>
      </c>
      <c r="J7" s="117">
        <v>96.579999999999984</v>
      </c>
      <c r="K7" s="117">
        <v>103.839</v>
      </c>
      <c r="L7" s="117">
        <v>73.938999999999993</v>
      </c>
      <c r="M7" s="117">
        <v>45.999000000000002</v>
      </c>
      <c r="N7" s="117">
        <v>50.140999999999984</v>
      </c>
      <c r="O7" s="117">
        <v>67.328999999999994</v>
      </c>
      <c r="P7" s="117">
        <v>66.290000000000006</v>
      </c>
      <c r="Q7" s="117">
        <v>49.009000000000007</v>
      </c>
      <c r="R7" s="117">
        <v>131.02000000000001</v>
      </c>
      <c r="S7" s="117">
        <v>67.808999999999983</v>
      </c>
      <c r="T7" s="117">
        <v>82.949000000000012</v>
      </c>
      <c r="U7" s="117">
        <v>55.27000000000001</v>
      </c>
      <c r="V7" s="117">
        <v>8.2200000000000006</v>
      </c>
      <c r="W7" s="117">
        <v>177.45100000000002</v>
      </c>
      <c r="X7" s="117">
        <v>68.038999999999987</v>
      </c>
      <c r="Y7" s="117">
        <v>120.03999999999999</v>
      </c>
      <c r="Z7" s="117">
        <v>118.67099999999999</v>
      </c>
      <c r="AA7" s="117">
        <v>14.129999999999999</v>
      </c>
      <c r="AB7" s="117">
        <v>7.29</v>
      </c>
      <c r="AC7" s="117">
        <v>15.23</v>
      </c>
      <c r="AD7" s="117">
        <v>45.59</v>
      </c>
      <c r="AE7" s="117">
        <v>45.61999999999999</v>
      </c>
      <c r="AF7" s="117">
        <v>53.91</v>
      </c>
      <c r="AG7" s="117">
        <v>79.244967741935483</v>
      </c>
    </row>
    <row r="8" spans="1:33" x14ac:dyDescent="0.3">
      <c r="A8" s="10" t="s">
        <v>981</v>
      </c>
      <c r="B8" s="117">
        <v>208.91500000000002</v>
      </c>
      <c r="C8" s="117">
        <v>104.64400000000001</v>
      </c>
      <c r="D8" s="117">
        <v>272.82800000000009</v>
      </c>
      <c r="E8" s="117">
        <v>373.90599999999995</v>
      </c>
      <c r="F8" s="117">
        <v>376.84399999999999</v>
      </c>
      <c r="G8" s="117">
        <v>362.42599999999999</v>
      </c>
      <c r="H8" s="117">
        <v>431.274</v>
      </c>
      <c r="I8" s="117">
        <v>210.72599999999997</v>
      </c>
      <c r="J8" s="117">
        <v>93.649999999999991</v>
      </c>
      <c r="K8" s="117">
        <v>239.61900000000009</v>
      </c>
      <c r="L8" s="117">
        <v>447.79599999999999</v>
      </c>
      <c r="M8" s="117">
        <v>438.04800000000006</v>
      </c>
      <c r="N8" s="117">
        <v>498.86299999999989</v>
      </c>
      <c r="O8" s="117">
        <v>423.726</v>
      </c>
      <c r="P8" s="117">
        <v>480.88200000000006</v>
      </c>
      <c r="Q8" s="117">
        <v>452.42899999999992</v>
      </c>
      <c r="R8" s="117">
        <v>446.39799999999997</v>
      </c>
      <c r="S8" s="117">
        <v>563.91800000000012</v>
      </c>
      <c r="T8" s="117">
        <v>547.02800000000002</v>
      </c>
      <c r="U8" s="117">
        <v>510.01199999999994</v>
      </c>
      <c r="V8" s="117">
        <v>444.89199999999977</v>
      </c>
      <c r="W8" s="117">
        <v>220.39199999999994</v>
      </c>
      <c r="X8" s="117">
        <v>155.577</v>
      </c>
      <c r="Y8" s="117">
        <v>368.32999999999993</v>
      </c>
      <c r="Z8" s="117">
        <v>416.95600000000002</v>
      </c>
      <c r="AA8" s="117">
        <v>497.97799999999995</v>
      </c>
      <c r="AB8" s="117">
        <v>487.76600000000008</v>
      </c>
      <c r="AC8" s="117">
        <v>345.04400000000004</v>
      </c>
      <c r="AD8" s="117">
        <v>230.62200000000001</v>
      </c>
      <c r="AE8" s="117">
        <v>78.296000000000006</v>
      </c>
      <c r="AF8" s="117">
        <v>174.96</v>
      </c>
      <c r="AG8" s="117">
        <v>351.76596774193541</v>
      </c>
    </row>
    <row r="9" spans="1:33" x14ac:dyDescent="0.3">
      <c r="A9" s="10" t="s">
        <v>988</v>
      </c>
      <c r="B9" s="117">
        <v>245.04400000000004</v>
      </c>
      <c r="C9" s="117">
        <v>58.119</v>
      </c>
      <c r="D9" s="117">
        <v>200.16399999999996</v>
      </c>
      <c r="E9" s="117">
        <v>339.23200000000008</v>
      </c>
      <c r="F9" s="117">
        <v>350.85700000000003</v>
      </c>
      <c r="G9" s="117">
        <v>321.56200000000001</v>
      </c>
      <c r="H9" s="117">
        <v>263.69599999999997</v>
      </c>
      <c r="I9" s="117">
        <v>128.66000000000003</v>
      </c>
      <c r="J9" s="117">
        <v>63.166999999999987</v>
      </c>
      <c r="K9" s="117">
        <v>162.74299999999999</v>
      </c>
      <c r="L9" s="117">
        <v>0</v>
      </c>
      <c r="M9" s="117">
        <v>325.28899999999999</v>
      </c>
      <c r="N9" s="117">
        <v>321.66300000000001</v>
      </c>
      <c r="O9" s="117">
        <v>264.55799999999999</v>
      </c>
      <c r="P9" s="117">
        <v>220.23699999999999</v>
      </c>
      <c r="Q9" s="117">
        <v>148.964</v>
      </c>
      <c r="R9" s="117">
        <v>242.58799999999999</v>
      </c>
      <c r="S9" s="117">
        <v>352.98899999999998</v>
      </c>
      <c r="T9" s="117">
        <v>397.0100000000001</v>
      </c>
      <c r="U9" s="117">
        <v>360.49599999999992</v>
      </c>
      <c r="V9" s="117">
        <v>359.82599999999996</v>
      </c>
      <c r="W9" s="117">
        <v>121.73599999999999</v>
      </c>
      <c r="X9" s="117">
        <v>55.872</v>
      </c>
      <c r="Y9" s="117">
        <v>243.90499999999997</v>
      </c>
      <c r="Z9" s="117">
        <v>305.16900000000004</v>
      </c>
      <c r="AA9" s="117">
        <v>350.67199999999985</v>
      </c>
      <c r="AB9" s="117">
        <v>357.62099999999998</v>
      </c>
      <c r="AC9" s="117">
        <v>352.98199999999997</v>
      </c>
      <c r="AD9" s="117">
        <v>237.80900000000005</v>
      </c>
      <c r="AE9" s="117">
        <v>132.31300000000002</v>
      </c>
      <c r="AF9" s="117">
        <v>105.739</v>
      </c>
      <c r="AG9" s="117">
        <v>238.40909677419353</v>
      </c>
    </row>
    <row r="10" spans="1:33" x14ac:dyDescent="0.3">
      <c r="A10" s="10" t="s">
        <v>980</v>
      </c>
      <c r="B10" s="117">
        <v>109.526</v>
      </c>
      <c r="C10" s="117">
        <v>101.11099999999999</v>
      </c>
      <c r="D10" s="117">
        <v>123.583</v>
      </c>
      <c r="E10" s="117">
        <v>186.934</v>
      </c>
      <c r="F10" s="117">
        <v>174.608</v>
      </c>
      <c r="G10" s="117">
        <v>178.29000000000002</v>
      </c>
      <c r="H10" s="117">
        <v>247.97799999999995</v>
      </c>
      <c r="I10" s="117">
        <v>231.52699999999999</v>
      </c>
      <c r="J10" s="117">
        <v>164.26700000000002</v>
      </c>
      <c r="K10" s="117">
        <v>179.55500000000001</v>
      </c>
      <c r="L10" s="117">
        <v>455.97899999999993</v>
      </c>
      <c r="M10" s="117">
        <v>177.67999999999998</v>
      </c>
      <c r="N10" s="117">
        <v>155.69999999999999</v>
      </c>
      <c r="O10" s="117">
        <v>278.39999999999992</v>
      </c>
      <c r="P10" s="117">
        <v>120.48</v>
      </c>
      <c r="Q10" s="117">
        <v>62.44</v>
      </c>
      <c r="R10" s="117">
        <v>91.42</v>
      </c>
      <c r="S10" s="117">
        <v>111.88000000000001</v>
      </c>
      <c r="T10" s="117">
        <v>98.47</v>
      </c>
      <c r="U10" s="117">
        <v>112.06</v>
      </c>
      <c r="V10" s="117">
        <v>120.63</v>
      </c>
      <c r="W10" s="117">
        <v>96.45</v>
      </c>
      <c r="X10" s="117">
        <v>91.789999999999992</v>
      </c>
      <c r="Y10" s="117">
        <v>139.09</v>
      </c>
      <c r="Z10" s="117">
        <v>133.52999999999997</v>
      </c>
      <c r="AA10" s="117">
        <v>108.77</v>
      </c>
      <c r="AB10" s="117">
        <v>26.710000000000004</v>
      </c>
      <c r="AC10" s="117">
        <v>72.5</v>
      </c>
      <c r="AD10" s="117">
        <v>19.18</v>
      </c>
      <c r="AE10" s="117">
        <v>123.02</v>
      </c>
      <c r="AF10" s="117">
        <v>61.03</v>
      </c>
      <c r="AG10" s="117">
        <v>150.01645622119815</v>
      </c>
    </row>
    <row r="11" spans="1:33" x14ac:dyDescent="0.3">
      <c r="A11" s="10" t="s">
        <v>983</v>
      </c>
      <c r="B11" s="117">
        <v>169.87</v>
      </c>
      <c r="C11" s="117">
        <v>185.75</v>
      </c>
      <c r="D11" s="117">
        <v>164.50000000000003</v>
      </c>
      <c r="E11" s="117">
        <v>93.570000000000022</v>
      </c>
      <c r="F11" s="117">
        <v>18.3</v>
      </c>
      <c r="G11" s="117">
        <v>27.590000000000003</v>
      </c>
      <c r="H11" s="117">
        <v>18.07</v>
      </c>
      <c r="I11" s="117">
        <v>37.17</v>
      </c>
      <c r="J11" s="117">
        <v>0.4</v>
      </c>
      <c r="K11" s="117">
        <v>71.939000000000007</v>
      </c>
      <c r="L11" s="117">
        <v>186.28</v>
      </c>
      <c r="M11" s="117">
        <v>52.929999999999993</v>
      </c>
      <c r="N11" s="117">
        <v>54.190000000000005</v>
      </c>
      <c r="O11" s="117">
        <v>50.399999999999991</v>
      </c>
      <c r="P11" s="117">
        <v>102.63</v>
      </c>
      <c r="Q11" s="117">
        <v>77.22999999999999</v>
      </c>
      <c r="R11" s="117">
        <v>74.299999999999983</v>
      </c>
      <c r="S11" s="117">
        <v>100.68000000000002</v>
      </c>
      <c r="T11" s="117">
        <v>103.21899999999998</v>
      </c>
      <c r="U11" s="117">
        <v>209.75999999999996</v>
      </c>
      <c r="V11" s="117">
        <v>171.51000000000005</v>
      </c>
      <c r="W11" s="117">
        <v>129.95999999999998</v>
      </c>
      <c r="X11" s="117">
        <v>171.23000000000002</v>
      </c>
      <c r="Y11" s="117">
        <v>150.44</v>
      </c>
      <c r="Z11" s="117">
        <v>711.0010000000002</v>
      </c>
      <c r="AA11" s="117">
        <v>206.52999999999997</v>
      </c>
      <c r="AB11" s="117">
        <v>247.22800000000007</v>
      </c>
      <c r="AC11" s="117">
        <v>228.73000000000002</v>
      </c>
      <c r="AD11" s="117">
        <v>219.10900000000004</v>
      </c>
      <c r="AE11" s="117">
        <v>164.23000000000005</v>
      </c>
      <c r="AF11" s="117">
        <v>151.91</v>
      </c>
      <c r="AG11" s="117">
        <v>140.34374193548391</v>
      </c>
    </row>
    <row r="12" spans="1:33" x14ac:dyDescent="0.3">
      <c r="A12" s="10" t="s">
        <v>985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  <c r="O12" s="117">
        <v>0</v>
      </c>
      <c r="P12" s="117">
        <v>0</v>
      </c>
      <c r="Q12" s="117">
        <v>0</v>
      </c>
      <c r="R12" s="117">
        <v>0</v>
      </c>
      <c r="S12" s="117">
        <v>0</v>
      </c>
      <c r="T12" s="117">
        <v>0</v>
      </c>
      <c r="U12" s="117">
        <v>0</v>
      </c>
      <c r="V12" s="117">
        <v>0</v>
      </c>
      <c r="W12" s="117">
        <v>0</v>
      </c>
      <c r="X12" s="117">
        <v>0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0</v>
      </c>
      <c r="AG12" s="117">
        <v>0</v>
      </c>
    </row>
    <row r="13" spans="1:33" x14ac:dyDescent="0.3">
      <c r="A13" s="10" t="s">
        <v>990</v>
      </c>
      <c r="B13" s="117">
        <v>26.551000000000002</v>
      </c>
      <c r="C13" s="117">
        <v>0</v>
      </c>
      <c r="D13" s="117">
        <v>0</v>
      </c>
      <c r="E13" s="117">
        <v>0</v>
      </c>
      <c r="F13" s="117">
        <v>32.095999999999997</v>
      </c>
      <c r="G13" s="117">
        <v>0</v>
      </c>
      <c r="H13" s="117">
        <v>0</v>
      </c>
      <c r="I13" s="117">
        <v>0</v>
      </c>
      <c r="J13" s="117">
        <v>29.494</v>
      </c>
      <c r="K13" s="117">
        <v>0</v>
      </c>
      <c r="L13" s="117">
        <v>9.9580000000000002</v>
      </c>
      <c r="M13" s="117">
        <v>0</v>
      </c>
      <c r="N13" s="117">
        <v>0</v>
      </c>
      <c r="O13" s="117">
        <v>0</v>
      </c>
      <c r="P13" s="117">
        <v>28.257000000000001</v>
      </c>
      <c r="Q13" s="117">
        <v>0</v>
      </c>
      <c r="R13" s="117">
        <v>0</v>
      </c>
      <c r="S13" s="117">
        <v>0</v>
      </c>
      <c r="T13" s="117">
        <v>0</v>
      </c>
      <c r="U13" s="117">
        <v>0</v>
      </c>
      <c r="V13" s="117">
        <v>0</v>
      </c>
      <c r="W13" s="117">
        <v>0</v>
      </c>
      <c r="X13" s="117">
        <v>0</v>
      </c>
      <c r="Y13" s="117">
        <v>0</v>
      </c>
      <c r="Z13" s="117">
        <v>0</v>
      </c>
      <c r="AA13" s="117">
        <v>36.951000000000001</v>
      </c>
      <c r="AB13" s="117">
        <v>0</v>
      </c>
      <c r="AC13" s="117">
        <v>20.306000000000001</v>
      </c>
      <c r="AD13" s="117">
        <v>0</v>
      </c>
      <c r="AE13" s="117">
        <v>0</v>
      </c>
      <c r="AF13" s="117">
        <v>41.732999999999997</v>
      </c>
      <c r="AG13" s="117">
        <v>7.2692258064516126</v>
      </c>
    </row>
    <row r="14" spans="1:33" x14ac:dyDescent="0.3">
      <c r="A14" s="10" t="s">
        <v>984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  <c r="O14" s="117">
        <v>0</v>
      </c>
      <c r="P14" s="117">
        <v>0</v>
      </c>
      <c r="Q14" s="117">
        <v>0</v>
      </c>
      <c r="R14" s="117">
        <v>0</v>
      </c>
      <c r="S14" s="117">
        <v>0</v>
      </c>
      <c r="T14" s="117">
        <v>0</v>
      </c>
      <c r="U14" s="117">
        <v>0</v>
      </c>
      <c r="V14" s="117">
        <v>0</v>
      </c>
      <c r="W14" s="117">
        <v>0</v>
      </c>
      <c r="X14" s="117">
        <v>0</v>
      </c>
      <c r="Y14" s="117">
        <v>0</v>
      </c>
      <c r="Z14" s="117">
        <v>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v>0</v>
      </c>
    </row>
    <row r="15" spans="1:33" x14ac:dyDescent="0.3">
      <c r="A15" s="10" t="s">
        <v>70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  <c r="O15" s="117">
        <v>0</v>
      </c>
      <c r="P15" s="117">
        <v>0</v>
      </c>
      <c r="Q15" s="117">
        <v>0</v>
      </c>
      <c r="R15" s="117">
        <v>0</v>
      </c>
      <c r="S15" s="117">
        <v>0</v>
      </c>
      <c r="T15" s="117">
        <v>0</v>
      </c>
      <c r="U15" s="117">
        <v>0</v>
      </c>
      <c r="V15" s="117">
        <v>0</v>
      </c>
      <c r="W15" s="117">
        <v>0</v>
      </c>
      <c r="X15" s="117">
        <v>0</v>
      </c>
      <c r="Y15" s="117">
        <v>0</v>
      </c>
      <c r="Z15" s="117">
        <v>0</v>
      </c>
      <c r="AA15" s="117">
        <v>0</v>
      </c>
      <c r="AB15" s="117">
        <v>0</v>
      </c>
      <c r="AC15" s="117">
        <v>0</v>
      </c>
      <c r="AD15" s="117">
        <v>0</v>
      </c>
      <c r="AE15" s="117">
        <v>0</v>
      </c>
      <c r="AF15" s="117">
        <v>0</v>
      </c>
      <c r="AG15" s="117">
        <v>0</v>
      </c>
    </row>
    <row r="16" spans="1:33" x14ac:dyDescent="0.3">
      <c r="A16" s="10" t="s">
        <v>93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  <c r="O16" s="117">
        <v>0</v>
      </c>
      <c r="P16" s="117">
        <v>0</v>
      </c>
      <c r="Q16" s="117">
        <v>0</v>
      </c>
      <c r="R16" s="117">
        <v>0</v>
      </c>
      <c r="S16" s="117">
        <v>0</v>
      </c>
      <c r="T16" s="117">
        <v>0</v>
      </c>
      <c r="U16" s="117">
        <v>0</v>
      </c>
      <c r="V16" s="117">
        <v>0</v>
      </c>
      <c r="W16" s="117">
        <v>0</v>
      </c>
      <c r="X16" s="117">
        <v>0</v>
      </c>
      <c r="Y16" s="117">
        <v>0</v>
      </c>
      <c r="Z16" s="117">
        <v>0</v>
      </c>
      <c r="AA16" s="117">
        <v>0</v>
      </c>
      <c r="AB16" s="117">
        <v>0</v>
      </c>
      <c r="AC16" s="117">
        <v>0</v>
      </c>
      <c r="AD16" s="117">
        <v>0</v>
      </c>
      <c r="AE16" s="117">
        <v>0</v>
      </c>
      <c r="AF16" s="117">
        <v>0</v>
      </c>
      <c r="AG16" s="117">
        <v>0</v>
      </c>
    </row>
    <row r="17" spans="1:33" x14ac:dyDescent="0.3">
      <c r="A17" s="10" t="s">
        <v>66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  <c r="O17" s="117">
        <v>0</v>
      </c>
      <c r="P17" s="117">
        <v>0</v>
      </c>
      <c r="Q17" s="117">
        <v>0</v>
      </c>
      <c r="R17" s="117">
        <v>0</v>
      </c>
      <c r="S17" s="117">
        <v>0</v>
      </c>
      <c r="T17" s="117">
        <v>0</v>
      </c>
      <c r="U17" s="117">
        <v>0</v>
      </c>
      <c r="V17" s="117">
        <v>0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</row>
    <row r="18" spans="1:33" x14ac:dyDescent="0.3">
      <c r="A18" s="10" t="s">
        <v>74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0</v>
      </c>
      <c r="U18" s="117">
        <v>0</v>
      </c>
      <c r="V18" s="117">
        <v>0</v>
      </c>
      <c r="W18" s="117">
        <v>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117">
        <v>0</v>
      </c>
      <c r="AE18" s="117">
        <v>0</v>
      </c>
      <c r="AF18" s="117">
        <v>0</v>
      </c>
      <c r="AG18" s="117">
        <v>0</v>
      </c>
    </row>
    <row r="19" spans="1:33" x14ac:dyDescent="0.3">
      <c r="A19" s="10" t="s">
        <v>27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</v>
      </c>
    </row>
    <row r="20" spans="1:33" x14ac:dyDescent="0.3">
      <c r="A20" s="10" t="s">
        <v>716</v>
      </c>
      <c r="B20" s="117">
        <v>121.798</v>
      </c>
      <c r="C20" s="117">
        <v>26.798000000000002</v>
      </c>
      <c r="D20" s="117">
        <v>19.308</v>
      </c>
      <c r="E20" s="117">
        <v>41.308</v>
      </c>
      <c r="F20" s="117">
        <v>34.465000000000003</v>
      </c>
      <c r="G20" s="117">
        <v>16.981999999999999</v>
      </c>
      <c r="H20" s="117">
        <v>15.653</v>
      </c>
      <c r="I20" s="117">
        <v>37.984999999999999</v>
      </c>
      <c r="J20" s="117">
        <v>26.495999999999999</v>
      </c>
      <c r="K20" s="117">
        <v>21.227</v>
      </c>
      <c r="L20" s="117">
        <v>19.633000000000003</v>
      </c>
      <c r="M20" s="117">
        <v>26.536000000000001</v>
      </c>
      <c r="N20" s="117">
        <v>42.984999999999999</v>
      </c>
      <c r="O20" s="117">
        <v>32.382000000000005</v>
      </c>
      <c r="P20" s="117">
        <v>1.8240000000000001</v>
      </c>
      <c r="Q20" s="117">
        <v>8.6300000000000008</v>
      </c>
      <c r="R20" s="117">
        <v>16.295999999999999</v>
      </c>
      <c r="S20" s="117">
        <v>20.544</v>
      </c>
      <c r="T20" s="117">
        <v>28.518000000000001</v>
      </c>
      <c r="U20" s="117">
        <v>11.873000000000001</v>
      </c>
      <c r="V20" s="117">
        <v>20.420000000000002</v>
      </c>
      <c r="W20" s="117">
        <v>29.399000000000001</v>
      </c>
      <c r="X20" s="117">
        <v>30.818000000000001</v>
      </c>
      <c r="Y20" s="117">
        <v>22.253999999999998</v>
      </c>
      <c r="Z20" s="117">
        <v>26.389000000000003</v>
      </c>
      <c r="AA20" s="117">
        <v>44.323</v>
      </c>
      <c r="AB20" s="117">
        <v>20.52</v>
      </c>
      <c r="AC20" s="117">
        <v>29.518999999999998</v>
      </c>
      <c r="AD20" s="117">
        <v>32.783000000000001</v>
      </c>
      <c r="AE20" s="117">
        <v>19.312999999999999</v>
      </c>
      <c r="AF20" s="117">
        <v>0</v>
      </c>
      <c r="AG20" s="117">
        <v>27.321903225806452</v>
      </c>
    </row>
    <row r="21" spans="1:33" x14ac:dyDescent="0.3">
      <c r="A21" s="10" t="s">
        <v>717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53.774000000000001</v>
      </c>
      <c r="AG21" s="117">
        <v>1.7346451612903226</v>
      </c>
    </row>
    <row r="22" spans="1:33" x14ac:dyDescent="0.3">
      <c r="A22" s="10" t="s">
        <v>718</v>
      </c>
      <c r="B22" s="117">
        <v>19.718</v>
      </c>
      <c r="C22" s="117">
        <v>7.87</v>
      </c>
      <c r="D22" s="117">
        <v>7.1310000000000002</v>
      </c>
      <c r="E22" s="117">
        <v>11.059000000000001</v>
      </c>
      <c r="F22" s="117">
        <v>13.044</v>
      </c>
      <c r="G22" s="117">
        <v>8.1760000000000002</v>
      </c>
      <c r="H22" s="117">
        <v>0</v>
      </c>
      <c r="I22" s="117">
        <v>0</v>
      </c>
      <c r="J22" s="117">
        <v>0</v>
      </c>
      <c r="K22" s="117">
        <v>2.6920000000000002</v>
      </c>
      <c r="L22" s="117">
        <v>10.872</v>
      </c>
      <c r="M22" s="117">
        <v>13.084999999999997</v>
      </c>
      <c r="N22" s="117">
        <v>18.081000000000003</v>
      </c>
      <c r="O22" s="117">
        <v>7.0500000000000007</v>
      </c>
      <c r="P22" s="117">
        <v>5.431</v>
      </c>
      <c r="Q22" s="117">
        <v>18.558</v>
      </c>
      <c r="R22" s="117">
        <v>9.93</v>
      </c>
      <c r="S22" s="117">
        <v>19.684999999999999</v>
      </c>
      <c r="T22" s="117">
        <v>13.027999999999999</v>
      </c>
      <c r="U22" s="117">
        <v>31.339000000000002</v>
      </c>
      <c r="V22" s="117">
        <v>5.508</v>
      </c>
      <c r="W22" s="117">
        <v>11.257</v>
      </c>
      <c r="X22" s="117">
        <v>36.453000000000003</v>
      </c>
      <c r="Y22" s="117">
        <v>32.212999999999994</v>
      </c>
      <c r="Z22" s="117">
        <v>43.193000000000005</v>
      </c>
      <c r="AA22" s="117">
        <v>50.598999999999997</v>
      </c>
      <c r="AB22" s="117">
        <v>40.202999999999996</v>
      </c>
      <c r="AC22" s="117">
        <v>35.909999999999997</v>
      </c>
      <c r="AD22" s="117">
        <v>19.989000000000001</v>
      </c>
      <c r="AE22" s="117">
        <v>7.6379999999999999</v>
      </c>
      <c r="AF22" s="117">
        <v>13.321000000000002</v>
      </c>
      <c r="AG22" s="117">
        <v>16.549451612903223</v>
      </c>
    </row>
    <row r="23" spans="1:33" x14ac:dyDescent="0.3">
      <c r="A23" s="10" t="s">
        <v>719</v>
      </c>
      <c r="B23" s="117">
        <v>183.38499999999999</v>
      </c>
      <c r="C23" s="117">
        <v>187.95699999999999</v>
      </c>
      <c r="D23" s="117">
        <v>168.64899999999997</v>
      </c>
      <c r="E23" s="117">
        <v>196.22500000000002</v>
      </c>
      <c r="F23" s="117">
        <v>72.358000000000004</v>
      </c>
      <c r="G23" s="117">
        <v>175.631</v>
      </c>
      <c r="H23" s="117">
        <v>172.613</v>
      </c>
      <c r="I23" s="117">
        <v>178.03699999999998</v>
      </c>
      <c r="J23" s="117">
        <v>54.813000000000002</v>
      </c>
      <c r="K23" s="117">
        <v>94.265000000000001</v>
      </c>
      <c r="L23" s="117">
        <v>109.05800000000002</v>
      </c>
      <c r="M23" s="117">
        <v>123.36499999999997</v>
      </c>
      <c r="N23" s="117">
        <v>96.84899999999999</v>
      </c>
      <c r="O23" s="117">
        <v>30.972000000000005</v>
      </c>
      <c r="P23" s="117">
        <v>96.409000000000006</v>
      </c>
      <c r="Q23" s="117">
        <v>34.536000000000001</v>
      </c>
      <c r="R23" s="117">
        <v>76.283999999999992</v>
      </c>
      <c r="S23" s="117">
        <v>78.655000000000015</v>
      </c>
      <c r="T23" s="117">
        <v>124.94899999999998</v>
      </c>
      <c r="U23" s="117">
        <v>163.51599999999999</v>
      </c>
      <c r="V23" s="117">
        <v>166.35900000000004</v>
      </c>
      <c r="W23" s="117">
        <v>179.28</v>
      </c>
      <c r="X23" s="117">
        <v>139.91900000000001</v>
      </c>
      <c r="Y23" s="117">
        <v>118.254</v>
      </c>
      <c r="Z23" s="117">
        <v>181.06099999999995</v>
      </c>
      <c r="AA23" s="117">
        <v>115.24799999999999</v>
      </c>
      <c r="AB23" s="117">
        <v>168.309</v>
      </c>
      <c r="AC23" s="117">
        <v>142.77099999999996</v>
      </c>
      <c r="AD23" s="117">
        <v>174.96300000000002</v>
      </c>
      <c r="AE23" s="117">
        <v>99.734000000000023</v>
      </c>
      <c r="AF23" s="117">
        <v>116.30799999999999</v>
      </c>
      <c r="AG23" s="117">
        <v>129.70103225806454</v>
      </c>
    </row>
    <row r="24" spans="1:33" x14ac:dyDescent="0.3">
      <c r="A24" s="10" t="s">
        <v>776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</v>
      </c>
      <c r="AC24" s="117">
        <v>0</v>
      </c>
      <c r="AD24" s="117">
        <v>0</v>
      </c>
      <c r="AE24" s="117">
        <v>0</v>
      </c>
      <c r="AF24" s="117">
        <v>0</v>
      </c>
      <c r="AG24" s="117">
        <v>0</v>
      </c>
    </row>
    <row r="25" spans="1:33" x14ac:dyDescent="0.3">
      <c r="A25" s="10" t="s">
        <v>720</v>
      </c>
      <c r="B25" s="117">
        <v>3.254</v>
      </c>
      <c r="C25" s="117">
        <v>1.377</v>
      </c>
      <c r="D25" s="117">
        <v>0</v>
      </c>
      <c r="E25" s="117">
        <v>3.7370000000000001</v>
      </c>
      <c r="F25" s="117">
        <v>3.0859999999999999</v>
      </c>
      <c r="G25" s="117">
        <v>2.7130000000000001</v>
      </c>
      <c r="H25" s="117">
        <v>4.0339999999999998</v>
      </c>
      <c r="I25" s="117">
        <v>0</v>
      </c>
      <c r="J25" s="117">
        <v>0</v>
      </c>
      <c r="K25" s="117">
        <v>3.855</v>
      </c>
      <c r="L25" s="117">
        <v>6.0409999999999995</v>
      </c>
      <c r="M25" s="117">
        <v>3.7999999999999999E-2</v>
      </c>
      <c r="N25" s="117">
        <v>6.1349999999999998</v>
      </c>
      <c r="O25" s="117">
        <v>4.3869999999999996</v>
      </c>
      <c r="P25" s="117">
        <v>3.3370000000000002</v>
      </c>
      <c r="Q25" s="117">
        <v>2.6150000000000002</v>
      </c>
      <c r="R25" s="117">
        <v>3.1850000000000001</v>
      </c>
      <c r="S25" s="117">
        <v>0.23300000000000001</v>
      </c>
      <c r="T25" s="117">
        <v>4.8230000000000004</v>
      </c>
      <c r="U25" s="117">
        <v>0.249</v>
      </c>
      <c r="V25" s="117">
        <v>5.1239999999999997</v>
      </c>
      <c r="W25" s="117">
        <v>3.99</v>
      </c>
      <c r="X25" s="117">
        <v>0</v>
      </c>
      <c r="Y25" s="117">
        <v>0</v>
      </c>
      <c r="Z25" s="117">
        <v>4.3159999999999998</v>
      </c>
      <c r="AA25" s="117">
        <v>0.41799999999999998</v>
      </c>
      <c r="AB25" s="117">
        <v>3.5609999999999999</v>
      </c>
      <c r="AC25" s="117">
        <v>4.2279999999999998</v>
      </c>
      <c r="AD25" s="117">
        <v>0</v>
      </c>
      <c r="AE25" s="117">
        <v>0</v>
      </c>
      <c r="AF25" s="117">
        <v>7.6989999999999998</v>
      </c>
      <c r="AG25" s="117">
        <v>2.6591935483870968</v>
      </c>
    </row>
    <row r="26" spans="1:33" x14ac:dyDescent="0.3">
      <c r="A26" s="10" t="s">
        <v>722</v>
      </c>
      <c r="B26" s="117">
        <v>9.2379999999999995</v>
      </c>
      <c r="C26" s="117">
        <v>24.228999999999999</v>
      </c>
      <c r="D26" s="117">
        <v>15.637999999999998</v>
      </c>
      <c r="E26" s="117">
        <v>17.229000000000003</v>
      </c>
      <c r="F26" s="117">
        <v>26.698999999999998</v>
      </c>
      <c r="G26" s="117">
        <v>10.405999999999999</v>
      </c>
      <c r="H26" s="117">
        <v>5.7620000000000005</v>
      </c>
      <c r="I26" s="117">
        <v>13.202</v>
      </c>
      <c r="J26" s="117">
        <v>12.398000000000001</v>
      </c>
      <c r="K26" s="117">
        <v>9.6389999999999993</v>
      </c>
      <c r="L26" s="117">
        <v>18.613</v>
      </c>
      <c r="M26" s="117">
        <v>19.373999999999999</v>
      </c>
      <c r="N26" s="117">
        <v>16.541</v>
      </c>
      <c r="O26" s="117">
        <v>24.059000000000001</v>
      </c>
      <c r="P26" s="117">
        <v>32.116</v>
      </c>
      <c r="Q26" s="117">
        <v>8.4239999999999995</v>
      </c>
      <c r="R26" s="117">
        <v>18.677</v>
      </c>
      <c r="S26" s="117">
        <v>27.445</v>
      </c>
      <c r="T26" s="117">
        <v>21.706</v>
      </c>
      <c r="U26" s="117">
        <v>14.443</v>
      </c>
      <c r="V26" s="117">
        <v>13.609</v>
      </c>
      <c r="W26" s="117">
        <v>21.088000000000001</v>
      </c>
      <c r="X26" s="117">
        <v>15.047999999999998</v>
      </c>
      <c r="Y26" s="117">
        <v>18.121000000000002</v>
      </c>
      <c r="Z26" s="117">
        <v>17.483999999999998</v>
      </c>
      <c r="AA26" s="117">
        <v>19.303000000000001</v>
      </c>
      <c r="AB26" s="117">
        <v>12.885999999999999</v>
      </c>
      <c r="AC26" s="117">
        <v>20.573</v>
      </c>
      <c r="AD26" s="117">
        <v>16.094999999999999</v>
      </c>
      <c r="AE26" s="117">
        <v>8.5399999999999991</v>
      </c>
      <c r="AF26" s="117">
        <v>12.882</v>
      </c>
      <c r="AG26" s="117">
        <v>16.821516129032258</v>
      </c>
    </row>
    <row r="27" spans="1:33" x14ac:dyDescent="0.3">
      <c r="A27" s="10" t="s">
        <v>721</v>
      </c>
      <c r="B27" s="117">
        <v>28.195</v>
      </c>
      <c r="C27" s="117">
        <v>16.123999999999999</v>
      </c>
      <c r="D27" s="117">
        <v>15.352</v>
      </c>
      <c r="E27" s="117">
        <v>32.292000000000002</v>
      </c>
      <c r="F27" s="117">
        <v>25.064</v>
      </c>
      <c r="G27" s="117">
        <v>22.051000000000002</v>
      </c>
      <c r="H27" s="117">
        <v>25.592000000000002</v>
      </c>
      <c r="I27" s="117">
        <v>18.596</v>
      </c>
      <c r="J27" s="117">
        <v>17.326000000000001</v>
      </c>
      <c r="K27" s="117">
        <v>17.195</v>
      </c>
      <c r="L27" s="117">
        <v>33.138000000000005</v>
      </c>
      <c r="M27" s="117">
        <v>26.724</v>
      </c>
      <c r="N27" s="117">
        <v>21.640999999999998</v>
      </c>
      <c r="O27" s="117">
        <v>20.564000000000004</v>
      </c>
      <c r="P27" s="117">
        <v>16.163</v>
      </c>
      <c r="Q27" s="117">
        <v>17.081</v>
      </c>
      <c r="R27" s="117">
        <v>21.481999999999999</v>
      </c>
      <c r="S27" s="117">
        <v>29.495999999999999</v>
      </c>
      <c r="T27" s="117">
        <v>14.306000000000001</v>
      </c>
      <c r="U27" s="117">
        <v>29.562000000000005</v>
      </c>
      <c r="V27" s="117">
        <v>14.44</v>
      </c>
      <c r="W27" s="117">
        <v>26.388000000000002</v>
      </c>
      <c r="X27" s="117">
        <v>15.228</v>
      </c>
      <c r="Y27" s="117">
        <v>12.76</v>
      </c>
      <c r="Z27" s="117">
        <v>17.051000000000002</v>
      </c>
      <c r="AA27" s="117">
        <v>24.741</v>
      </c>
      <c r="AB27" s="117">
        <v>23.318999999999999</v>
      </c>
      <c r="AC27" s="117">
        <v>16.478999999999999</v>
      </c>
      <c r="AD27" s="117">
        <v>13.686999999999999</v>
      </c>
      <c r="AE27" s="117">
        <v>9.0249999999999986</v>
      </c>
      <c r="AF27" s="117">
        <v>11.870000000000001</v>
      </c>
      <c r="AG27" s="117">
        <v>20.417161290322586</v>
      </c>
    </row>
    <row r="28" spans="1:33" x14ac:dyDescent="0.3">
      <c r="A28" s="10" t="s">
        <v>723</v>
      </c>
      <c r="B28" s="117">
        <v>106.50700000000002</v>
      </c>
      <c r="C28" s="117">
        <v>96.346999999999994</v>
      </c>
      <c r="D28" s="117">
        <v>154.38700000000003</v>
      </c>
      <c r="E28" s="117">
        <v>151.50399999999999</v>
      </c>
      <c r="F28" s="117">
        <v>155.74900000000002</v>
      </c>
      <c r="G28" s="117">
        <v>194.78099999999992</v>
      </c>
      <c r="H28" s="117">
        <v>185.399</v>
      </c>
      <c r="I28" s="117">
        <v>201.60799999999998</v>
      </c>
      <c r="J28" s="117">
        <v>130.53399999999999</v>
      </c>
      <c r="K28" s="117">
        <v>150.55399999999997</v>
      </c>
      <c r="L28" s="117">
        <v>170.16399999999999</v>
      </c>
      <c r="M28" s="117">
        <v>133.80199999999999</v>
      </c>
      <c r="N28" s="117">
        <v>92.98599999999999</v>
      </c>
      <c r="O28" s="117">
        <v>29.843999999999998</v>
      </c>
      <c r="P28" s="117">
        <v>59.981999999999999</v>
      </c>
      <c r="Q28" s="117">
        <v>133.25000000000003</v>
      </c>
      <c r="R28" s="117">
        <v>126.96399999999998</v>
      </c>
      <c r="S28" s="117">
        <v>190.47900000000004</v>
      </c>
      <c r="T28" s="117">
        <v>131.03700000000001</v>
      </c>
      <c r="U28" s="117">
        <v>135.13200000000003</v>
      </c>
      <c r="V28" s="117">
        <v>130.14099999999999</v>
      </c>
      <c r="W28" s="117">
        <v>146.51900000000001</v>
      </c>
      <c r="X28" s="117">
        <v>126.85399999999998</v>
      </c>
      <c r="Y28" s="117">
        <v>130.53099999999998</v>
      </c>
      <c r="Z28" s="117">
        <v>129.12700000000001</v>
      </c>
      <c r="AA28" s="117">
        <v>126.557</v>
      </c>
      <c r="AB28" s="117">
        <v>136.58699999999999</v>
      </c>
      <c r="AC28" s="117">
        <v>123.53000000000002</v>
      </c>
      <c r="AD28" s="117">
        <v>130.99600000000001</v>
      </c>
      <c r="AE28" s="117">
        <v>125.05599999999998</v>
      </c>
      <c r="AF28" s="117">
        <v>125.07000000000001</v>
      </c>
      <c r="AG28" s="117">
        <v>134.25735483870966</v>
      </c>
    </row>
    <row r="29" spans="1:33" x14ac:dyDescent="0.3">
      <c r="A29" s="10" t="s">
        <v>795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1.321</v>
      </c>
      <c r="N29" s="117">
        <v>1.6139999999999999</v>
      </c>
      <c r="O29" s="117">
        <v>1.3109999999999999</v>
      </c>
      <c r="P29" s="117">
        <v>0</v>
      </c>
      <c r="Q29" s="117">
        <v>0.72299999999999998</v>
      </c>
      <c r="R29" s="117">
        <v>0.53600000000000003</v>
      </c>
      <c r="S29" s="117">
        <v>0.14199999999999999</v>
      </c>
      <c r="T29" s="117">
        <v>0.63700000000000001</v>
      </c>
      <c r="U29" s="117">
        <v>0.84299999999999997</v>
      </c>
      <c r="V29" s="117">
        <v>0.82</v>
      </c>
      <c r="W29" s="117">
        <v>0.77400000000000002</v>
      </c>
      <c r="X29" s="117">
        <v>0.60099999999999998</v>
      </c>
      <c r="Y29" s="117">
        <v>0.51300000000000001</v>
      </c>
      <c r="Z29" s="117">
        <v>0.874</v>
      </c>
      <c r="AA29" s="117">
        <v>1.05</v>
      </c>
      <c r="AB29" s="117">
        <v>1.7389999999999999</v>
      </c>
      <c r="AC29" s="117">
        <v>1.627</v>
      </c>
      <c r="AD29" s="117">
        <v>0</v>
      </c>
      <c r="AE29" s="117">
        <v>0.68600000000000005</v>
      </c>
      <c r="AF29" s="117">
        <v>0.626</v>
      </c>
      <c r="AG29" s="117">
        <v>0.53022580645161299</v>
      </c>
    </row>
    <row r="30" spans="1:33" x14ac:dyDescent="0.3">
      <c r="A30" s="10" t="s">
        <v>724</v>
      </c>
      <c r="B30" s="117">
        <v>83.875</v>
      </c>
      <c r="C30" s="117">
        <v>71.465000000000003</v>
      </c>
      <c r="D30" s="117">
        <v>94.190000000000012</v>
      </c>
      <c r="E30" s="117">
        <v>75.201999999999998</v>
      </c>
      <c r="F30" s="117">
        <v>73.582000000000008</v>
      </c>
      <c r="G30" s="117">
        <v>82.670000000000016</v>
      </c>
      <c r="H30" s="117">
        <v>89.60299999999998</v>
      </c>
      <c r="I30" s="117">
        <v>57.713999999999999</v>
      </c>
      <c r="J30" s="117">
        <v>65.310000000000016</v>
      </c>
      <c r="K30" s="117">
        <v>24.629999999999995</v>
      </c>
      <c r="L30" s="117">
        <v>19.695</v>
      </c>
      <c r="M30" s="117">
        <v>9.6340000000000003</v>
      </c>
      <c r="N30" s="117">
        <v>7.2239999999999993</v>
      </c>
      <c r="O30" s="117">
        <v>23.035999999999998</v>
      </c>
      <c r="P30" s="117">
        <v>20.798999999999999</v>
      </c>
      <c r="Q30" s="117">
        <v>19.405999999999999</v>
      </c>
      <c r="R30" s="117">
        <v>21.517000000000003</v>
      </c>
      <c r="S30" s="117">
        <v>23.756999999999998</v>
      </c>
      <c r="T30" s="117">
        <v>18.701999999999998</v>
      </c>
      <c r="U30" s="117">
        <v>10.704999999999998</v>
      </c>
      <c r="V30" s="117">
        <v>19.82</v>
      </c>
      <c r="W30" s="117">
        <v>13.657999999999999</v>
      </c>
      <c r="X30" s="117">
        <v>8.5220000000000002</v>
      </c>
      <c r="Y30" s="117">
        <v>19.481999999999999</v>
      </c>
      <c r="Z30" s="117">
        <v>9.6810000000000009</v>
      </c>
      <c r="AA30" s="117">
        <v>9.3070000000000004</v>
      </c>
      <c r="AB30" s="117">
        <v>16.068000000000001</v>
      </c>
      <c r="AC30" s="117">
        <v>10.531999999999998</v>
      </c>
      <c r="AD30" s="117">
        <v>14.340999999999999</v>
      </c>
      <c r="AE30" s="117">
        <v>5.5940000000000003</v>
      </c>
      <c r="AF30" s="117">
        <v>17.603000000000002</v>
      </c>
      <c r="AG30" s="117">
        <v>33.46206451612904</v>
      </c>
    </row>
    <row r="31" spans="1:33" x14ac:dyDescent="0.3">
      <c r="A31" s="10" t="s">
        <v>725</v>
      </c>
      <c r="B31" s="117">
        <v>91.265999999999991</v>
      </c>
      <c r="C31" s="117">
        <v>64.608000000000004</v>
      </c>
      <c r="D31" s="117">
        <v>85.760999999999996</v>
      </c>
      <c r="E31" s="117">
        <v>85.239000000000004</v>
      </c>
      <c r="F31" s="117">
        <v>81.982000000000014</v>
      </c>
      <c r="G31" s="117">
        <v>64.785000000000011</v>
      </c>
      <c r="H31" s="117">
        <v>83.502999999999986</v>
      </c>
      <c r="I31" s="117">
        <v>71.183999999999997</v>
      </c>
      <c r="J31" s="117">
        <v>73.528999999999996</v>
      </c>
      <c r="K31" s="117">
        <v>76.772999999999996</v>
      </c>
      <c r="L31" s="117">
        <v>69.894999999999982</v>
      </c>
      <c r="M31" s="117">
        <v>54.917000000000002</v>
      </c>
      <c r="N31" s="117">
        <v>67.515999999999991</v>
      </c>
      <c r="O31" s="117">
        <v>89.90300000000002</v>
      </c>
      <c r="P31" s="117">
        <v>52.226000000000006</v>
      </c>
      <c r="Q31" s="117">
        <v>79.698000000000008</v>
      </c>
      <c r="R31" s="117">
        <v>53.115999999999993</v>
      </c>
      <c r="S31" s="117">
        <v>64.939000000000007</v>
      </c>
      <c r="T31" s="117">
        <v>43.752999999999986</v>
      </c>
      <c r="U31" s="117">
        <v>67</v>
      </c>
      <c r="V31" s="117">
        <v>84.456000000000003</v>
      </c>
      <c r="W31" s="117">
        <v>58.83</v>
      </c>
      <c r="X31" s="117">
        <v>56.935999999999993</v>
      </c>
      <c r="Y31" s="117">
        <v>71.316999999999993</v>
      </c>
      <c r="Z31" s="117">
        <v>63.097999999999992</v>
      </c>
      <c r="AA31" s="117">
        <v>52.524000000000001</v>
      </c>
      <c r="AB31" s="117">
        <v>72.430000000000007</v>
      </c>
      <c r="AC31" s="117">
        <v>76.222999999999999</v>
      </c>
      <c r="AD31" s="117">
        <v>101.95299999999999</v>
      </c>
      <c r="AE31" s="117">
        <v>47.034000000000006</v>
      </c>
      <c r="AF31" s="117">
        <v>62.612000000000009</v>
      </c>
      <c r="AG31" s="117">
        <v>69.967935483870974</v>
      </c>
    </row>
    <row r="32" spans="1:33" x14ac:dyDescent="0.3">
      <c r="A32" s="10" t="s">
        <v>726</v>
      </c>
      <c r="B32" s="117">
        <v>15.626000000000001</v>
      </c>
      <c r="C32" s="117">
        <v>5.024</v>
      </c>
      <c r="D32" s="117">
        <v>15.450000000000001</v>
      </c>
      <c r="E32" s="117">
        <v>6.819</v>
      </c>
      <c r="F32" s="117">
        <v>13.997</v>
      </c>
      <c r="G32" s="117">
        <v>7.4749999999999996</v>
      </c>
      <c r="H32" s="117">
        <v>11.707000000000001</v>
      </c>
      <c r="I32" s="117">
        <v>7.8879999999999999</v>
      </c>
      <c r="J32" s="117">
        <v>6.5250000000000004</v>
      </c>
      <c r="K32" s="117">
        <v>6.2789999999999999</v>
      </c>
      <c r="L32" s="117">
        <v>18.456</v>
      </c>
      <c r="M32" s="117">
        <v>11.54</v>
      </c>
      <c r="N32" s="117">
        <v>16.603999999999999</v>
      </c>
      <c r="O32" s="117">
        <v>0</v>
      </c>
      <c r="P32" s="117">
        <v>8.4980000000000011</v>
      </c>
      <c r="Q32" s="117">
        <v>11.006</v>
      </c>
      <c r="R32" s="117">
        <v>5.6210000000000004</v>
      </c>
      <c r="S32" s="117">
        <v>14.436</v>
      </c>
      <c r="T32" s="117">
        <v>7.3289999999999997</v>
      </c>
      <c r="U32" s="117">
        <v>8.61</v>
      </c>
      <c r="V32" s="117">
        <v>0</v>
      </c>
      <c r="W32" s="117">
        <v>0</v>
      </c>
      <c r="X32" s="117">
        <v>5.8</v>
      </c>
      <c r="Y32" s="117">
        <v>0</v>
      </c>
      <c r="Z32" s="117">
        <v>4.5940000000000003</v>
      </c>
      <c r="AA32" s="117">
        <v>0</v>
      </c>
      <c r="AB32" s="117">
        <v>0</v>
      </c>
      <c r="AC32" s="117">
        <v>0</v>
      </c>
      <c r="AD32" s="117">
        <v>9.2029999999999994</v>
      </c>
      <c r="AE32" s="117">
        <v>6.6630000000000003</v>
      </c>
      <c r="AF32" s="117">
        <v>0</v>
      </c>
      <c r="AG32" s="117">
        <v>7.2629032258064532</v>
      </c>
    </row>
    <row r="33" spans="1:33" x14ac:dyDescent="0.3">
      <c r="A33" s="10" t="s">
        <v>727</v>
      </c>
      <c r="B33" s="117">
        <v>37.002999999999993</v>
      </c>
      <c r="C33" s="117">
        <v>42.533000000000008</v>
      </c>
      <c r="D33" s="117">
        <v>35.647000000000006</v>
      </c>
      <c r="E33" s="117">
        <v>70.11999999999999</v>
      </c>
      <c r="F33" s="117">
        <v>28.972999999999999</v>
      </c>
      <c r="G33" s="117">
        <v>46.732999999999997</v>
      </c>
      <c r="H33" s="117">
        <v>35.779999999999994</v>
      </c>
      <c r="I33" s="117">
        <v>66.98899999999999</v>
      </c>
      <c r="J33" s="117">
        <v>46.727999999999994</v>
      </c>
      <c r="K33" s="117">
        <v>32.625999999999998</v>
      </c>
      <c r="L33" s="117">
        <v>30.494</v>
      </c>
      <c r="M33" s="117">
        <v>11.544</v>
      </c>
      <c r="N33" s="117">
        <v>16.48</v>
      </c>
      <c r="O33" s="117">
        <v>50.829999999999991</v>
      </c>
      <c r="P33" s="117">
        <v>34.61</v>
      </c>
      <c r="Q33" s="117">
        <v>14.369000000000002</v>
      </c>
      <c r="R33" s="117">
        <v>18.52</v>
      </c>
      <c r="S33" s="117">
        <v>37.307000000000002</v>
      </c>
      <c r="T33" s="117">
        <v>56.677</v>
      </c>
      <c r="U33" s="117">
        <v>64.713999999999984</v>
      </c>
      <c r="V33" s="117">
        <v>55.516999999999996</v>
      </c>
      <c r="W33" s="117">
        <v>73.45</v>
      </c>
      <c r="X33" s="117">
        <v>28.276000000000003</v>
      </c>
      <c r="Y33" s="117">
        <v>62.420000000000009</v>
      </c>
      <c r="Z33" s="117">
        <v>56.826000000000008</v>
      </c>
      <c r="AA33" s="117">
        <v>49.651000000000003</v>
      </c>
      <c r="AB33" s="117">
        <v>43.553000000000011</v>
      </c>
      <c r="AC33" s="117">
        <v>37.822000000000003</v>
      </c>
      <c r="AD33" s="117">
        <v>59.531000000000006</v>
      </c>
      <c r="AE33" s="117">
        <v>54.227000000000004</v>
      </c>
      <c r="AF33" s="117">
        <v>41.882999999999996</v>
      </c>
      <c r="AG33" s="117">
        <v>43.284935483870967</v>
      </c>
    </row>
    <row r="34" spans="1:33" x14ac:dyDescent="0.3">
      <c r="A34" s="10" t="s">
        <v>970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117">
        <v>0</v>
      </c>
      <c r="AE34" s="117">
        <v>0</v>
      </c>
      <c r="AF34" s="117">
        <v>0</v>
      </c>
      <c r="AG34" s="117">
        <v>0</v>
      </c>
    </row>
    <row r="35" spans="1:33" x14ac:dyDescent="0.3">
      <c r="A35" s="10" t="s">
        <v>728</v>
      </c>
      <c r="B35" s="117">
        <v>122.03</v>
      </c>
      <c r="C35" s="117">
        <v>113.20999999999998</v>
      </c>
      <c r="D35" s="117">
        <v>101.42200000000003</v>
      </c>
      <c r="E35" s="117">
        <v>101.92100000000001</v>
      </c>
      <c r="F35" s="117">
        <v>113.94500000000001</v>
      </c>
      <c r="G35" s="117">
        <v>127.88200000000001</v>
      </c>
      <c r="H35" s="117">
        <v>125.84600000000002</v>
      </c>
      <c r="I35" s="117">
        <v>117.383</v>
      </c>
      <c r="J35" s="117">
        <v>94.928000000000011</v>
      </c>
      <c r="K35" s="117">
        <v>94.516999999999996</v>
      </c>
      <c r="L35" s="117">
        <v>128.55500000000001</v>
      </c>
      <c r="M35" s="117">
        <v>113.64300000000001</v>
      </c>
      <c r="N35" s="117">
        <v>96.626999999999995</v>
      </c>
      <c r="O35" s="117">
        <v>108.58000000000001</v>
      </c>
      <c r="P35" s="117">
        <v>105.92000000000002</v>
      </c>
      <c r="Q35" s="117">
        <v>120.28</v>
      </c>
      <c r="R35" s="117">
        <v>100.73400000000001</v>
      </c>
      <c r="S35" s="117">
        <v>103.17299999999999</v>
      </c>
      <c r="T35" s="117">
        <v>100.63</v>
      </c>
      <c r="U35" s="117">
        <v>124.23</v>
      </c>
      <c r="V35" s="117">
        <v>98.366</v>
      </c>
      <c r="W35" s="117">
        <v>123.34599999999999</v>
      </c>
      <c r="X35" s="117">
        <v>117.00800000000001</v>
      </c>
      <c r="Y35" s="117">
        <v>113.90199999999999</v>
      </c>
      <c r="Z35" s="117">
        <v>115.955</v>
      </c>
      <c r="AA35" s="117">
        <v>89.667000000000002</v>
      </c>
      <c r="AB35" s="117">
        <v>100.631</v>
      </c>
      <c r="AC35" s="117">
        <v>96.852000000000004</v>
      </c>
      <c r="AD35" s="117">
        <v>97.98299999999999</v>
      </c>
      <c r="AE35" s="117">
        <v>75.123999999999995</v>
      </c>
      <c r="AF35" s="117">
        <v>59.107999999999997</v>
      </c>
      <c r="AG35" s="117">
        <v>106.5612258064516</v>
      </c>
    </row>
    <row r="36" spans="1:33" x14ac:dyDescent="0.3">
      <c r="A36" s="10" t="s">
        <v>779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</v>
      </c>
      <c r="Z36" s="117">
        <v>0</v>
      </c>
      <c r="AA36" s="117">
        <v>0</v>
      </c>
      <c r="AB36" s="117">
        <v>0</v>
      </c>
      <c r="AC36" s="117">
        <v>0</v>
      </c>
      <c r="AD36" s="117">
        <v>0</v>
      </c>
      <c r="AE36" s="117">
        <v>0</v>
      </c>
      <c r="AF36" s="117">
        <v>0</v>
      </c>
      <c r="AG36" s="117">
        <v>0</v>
      </c>
    </row>
    <row r="37" spans="1:33" x14ac:dyDescent="0.3">
      <c r="A37" s="10" t="s">
        <v>730</v>
      </c>
      <c r="B37" s="117">
        <v>395.75800000000004</v>
      </c>
      <c r="C37" s="117">
        <v>443.31700000000001</v>
      </c>
      <c r="D37" s="117">
        <v>462.90000000000009</v>
      </c>
      <c r="E37" s="117">
        <v>452.76500000000004</v>
      </c>
      <c r="F37" s="117">
        <v>465.178</v>
      </c>
      <c r="G37" s="117">
        <v>603.59199999999987</v>
      </c>
      <c r="H37" s="117">
        <v>588.7600000000001</v>
      </c>
      <c r="I37" s="117">
        <v>508.26199999999983</v>
      </c>
      <c r="J37" s="117">
        <v>443.58999999999958</v>
      </c>
      <c r="K37" s="117">
        <v>245.07300000000004</v>
      </c>
      <c r="L37" s="117">
        <v>354.53499999999997</v>
      </c>
      <c r="M37" s="117">
        <v>396.47700000000003</v>
      </c>
      <c r="N37" s="117">
        <v>317.97399999999999</v>
      </c>
      <c r="O37" s="117">
        <v>303.05200000000002</v>
      </c>
      <c r="P37" s="117">
        <v>186.35199999999998</v>
      </c>
      <c r="Q37" s="117">
        <v>253.84499999999997</v>
      </c>
      <c r="R37" s="117">
        <v>261.59700000000004</v>
      </c>
      <c r="S37" s="117">
        <v>282.28300000000007</v>
      </c>
      <c r="T37" s="117">
        <v>293.24699999999996</v>
      </c>
      <c r="U37" s="117">
        <v>247.78</v>
      </c>
      <c r="V37" s="117">
        <v>265.94299999999998</v>
      </c>
      <c r="W37" s="117">
        <v>298.87600000000003</v>
      </c>
      <c r="X37" s="117">
        <v>257.64000000000004</v>
      </c>
      <c r="Y37" s="117">
        <v>240.03400000000002</v>
      </c>
      <c r="Z37" s="117">
        <v>286.60300000000001</v>
      </c>
      <c r="AA37" s="117">
        <v>306.17499999999995</v>
      </c>
      <c r="AB37" s="117">
        <v>287.25700000000001</v>
      </c>
      <c r="AC37" s="117">
        <v>247.07099999999997</v>
      </c>
      <c r="AD37" s="117">
        <v>292.57199999999995</v>
      </c>
      <c r="AE37" s="117">
        <v>244.09700000000004</v>
      </c>
      <c r="AF37" s="117">
        <v>216.77200000000002</v>
      </c>
      <c r="AG37" s="117">
        <v>337.07667741935478</v>
      </c>
    </row>
    <row r="38" spans="1:33" x14ac:dyDescent="0.3">
      <c r="A38" s="10" t="s">
        <v>731</v>
      </c>
      <c r="B38" s="117">
        <v>355.43200000000002</v>
      </c>
      <c r="C38" s="117">
        <v>370.90699999999993</v>
      </c>
      <c r="D38" s="117">
        <v>141.86799999999997</v>
      </c>
      <c r="E38" s="117">
        <v>155.51300000000001</v>
      </c>
      <c r="F38" s="117">
        <v>308.14199999999994</v>
      </c>
      <c r="G38" s="117">
        <v>230.566</v>
      </c>
      <c r="H38" s="117">
        <v>367.90900000000005</v>
      </c>
      <c r="I38" s="117">
        <v>347.125</v>
      </c>
      <c r="J38" s="117">
        <v>380.59699999999998</v>
      </c>
      <c r="K38" s="117">
        <v>303.41099999999994</v>
      </c>
      <c r="L38" s="117">
        <v>108.74999999999999</v>
      </c>
      <c r="M38" s="117">
        <v>311.06499999999988</v>
      </c>
      <c r="N38" s="117">
        <v>220.62899999999988</v>
      </c>
      <c r="O38" s="117">
        <v>405.0949999999998</v>
      </c>
      <c r="P38" s="117">
        <v>622.40499999999963</v>
      </c>
      <c r="Q38" s="117">
        <v>619.7109999999999</v>
      </c>
      <c r="R38" s="117">
        <v>363.90300000000002</v>
      </c>
      <c r="S38" s="117">
        <v>118.38299999999998</v>
      </c>
      <c r="T38" s="117">
        <v>364.98600000000016</v>
      </c>
      <c r="U38" s="117">
        <v>324.49899999999997</v>
      </c>
      <c r="V38" s="117">
        <v>310.79200000000009</v>
      </c>
      <c r="W38" s="117">
        <v>391.32399999999984</v>
      </c>
      <c r="X38" s="117">
        <v>588.86599999999999</v>
      </c>
      <c r="Y38" s="117">
        <v>406.79099999999994</v>
      </c>
      <c r="Z38" s="117">
        <v>105.53999999999999</v>
      </c>
      <c r="AA38" s="117">
        <v>336.31399999999996</v>
      </c>
      <c r="AB38" s="117">
        <v>346.66999999999979</v>
      </c>
      <c r="AC38" s="117">
        <v>315.94100000000003</v>
      </c>
      <c r="AD38" s="117">
        <v>342.6110000000001</v>
      </c>
      <c r="AE38" s="117">
        <v>450.25199999999995</v>
      </c>
      <c r="AF38" s="117">
        <v>410.82099999999997</v>
      </c>
      <c r="AG38" s="117">
        <v>336.34896774193555</v>
      </c>
    </row>
    <row r="39" spans="1:33" x14ac:dyDescent="0.3">
      <c r="A39" s="10" t="s">
        <v>778</v>
      </c>
      <c r="B39" s="117">
        <v>0</v>
      </c>
      <c r="C39" s="117">
        <v>0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2.6930000000000001</v>
      </c>
      <c r="O39" s="117">
        <v>0</v>
      </c>
      <c r="P39" s="117">
        <v>0</v>
      </c>
      <c r="Q39" s="117">
        <v>0</v>
      </c>
      <c r="R39" s="117">
        <v>0</v>
      </c>
      <c r="S39" s="117">
        <v>0</v>
      </c>
      <c r="T39" s="117">
        <v>0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3.0150000000000001</v>
      </c>
      <c r="AB39" s="117">
        <v>0</v>
      </c>
      <c r="AC39" s="117">
        <v>0</v>
      </c>
      <c r="AD39" s="117">
        <v>0</v>
      </c>
      <c r="AE39" s="117">
        <v>0</v>
      </c>
      <c r="AF39" s="117">
        <v>0</v>
      </c>
      <c r="AG39" s="117">
        <v>0.18412903225806451</v>
      </c>
    </row>
    <row r="40" spans="1:33" x14ac:dyDescent="0.3">
      <c r="A40" s="10" t="s">
        <v>938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17">
        <v>0</v>
      </c>
      <c r="K40" s="117">
        <v>0</v>
      </c>
      <c r="L40" s="117">
        <v>0</v>
      </c>
      <c r="M40" s="117">
        <v>0</v>
      </c>
      <c r="N40" s="117">
        <v>0</v>
      </c>
      <c r="O40" s="117">
        <v>0</v>
      </c>
      <c r="P40" s="117">
        <v>0</v>
      </c>
      <c r="Q40" s="117">
        <v>0</v>
      </c>
      <c r="R40" s="117">
        <v>0</v>
      </c>
      <c r="S40" s="117">
        <v>0</v>
      </c>
      <c r="T40" s="117">
        <v>0</v>
      </c>
      <c r="U40" s="117">
        <v>0</v>
      </c>
      <c r="V40" s="117">
        <v>0</v>
      </c>
      <c r="W40" s="117">
        <v>0</v>
      </c>
      <c r="X40" s="117">
        <v>0</v>
      </c>
      <c r="Y40" s="117">
        <v>0</v>
      </c>
      <c r="Z40" s="117">
        <v>0</v>
      </c>
      <c r="AA40" s="117">
        <v>0</v>
      </c>
      <c r="AB40" s="117">
        <v>0</v>
      </c>
      <c r="AC40" s="117">
        <v>0</v>
      </c>
      <c r="AD40" s="117">
        <v>0</v>
      </c>
      <c r="AE40" s="117">
        <v>0</v>
      </c>
      <c r="AF40" s="117">
        <v>0</v>
      </c>
      <c r="AG40" s="117">
        <v>0</v>
      </c>
    </row>
    <row r="41" spans="1:33" x14ac:dyDescent="0.3">
      <c r="A41" s="10" t="s">
        <v>1012</v>
      </c>
      <c r="B41" s="117">
        <v>5.4030000000000005</v>
      </c>
      <c r="C41" s="117">
        <v>15.491</v>
      </c>
      <c r="D41" s="117">
        <v>5.2329999999999997</v>
      </c>
      <c r="E41" s="117">
        <v>13.448</v>
      </c>
      <c r="F41" s="117">
        <v>10.122000000000002</v>
      </c>
      <c r="G41" s="117">
        <v>7.0109999999999992</v>
      </c>
      <c r="H41" s="117">
        <v>21.141999999999996</v>
      </c>
      <c r="I41" s="117">
        <v>22.133000000000003</v>
      </c>
      <c r="J41" s="117">
        <v>12.784999999999998</v>
      </c>
      <c r="K41" s="117">
        <v>27.785</v>
      </c>
      <c r="L41" s="117">
        <v>20.399000000000001</v>
      </c>
      <c r="M41" s="117">
        <v>18.923999999999999</v>
      </c>
      <c r="N41" s="117">
        <v>17.719000000000001</v>
      </c>
      <c r="O41" s="117">
        <v>0</v>
      </c>
      <c r="P41" s="117">
        <v>21.96</v>
      </c>
      <c r="Q41" s="117">
        <v>24.677000000000003</v>
      </c>
      <c r="R41" s="117">
        <v>14.640999999999998</v>
      </c>
      <c r="S41" s="117">
        <v>9.2989999999999995</v>
      </c>
      <c r="T41" s="117">
        <v>12.613999999999997</v>
      </c>
      <c r="U41" s="117">
        <v>10.138999999999999</v>
      </c>
      <c r="V41" s="117">
        <v>11.282</v>
      </c>
      <c r="W41" s="117">
        <v>13.369999999999997</v>
      </c>
      <c r="X41" s="117">
        <v>4.1690000000000005</v>
      </c>
      <c r="Y41" s="117">
        <v>0</v>
      </c>
      <c r="Z41" s="117">
        <v>14.542000000000002</v>
      </c>
      <c r="AA41" s="117">
        <v>0.57999999999999996</v>
      </c>
      <c r="AB41" s="117">
        <v>0</v>
      </c>
      <c r="AC41" s="117">
        <v>3.4910000000000001</v>
      </c>
      <c r="AD41" s="117">
        <v>0</v>
      </c>
      <c r="AE41" s="117">
        <v>0</v>
      </c>
      <c r="AF41" s="117">
        <v>0</v>
      </c>
      <c r="AG41" s="117">
        <v>10.914806451612899</v>
      </c>
    </row>
    <row r="42" spans="1:33" x14ac:dyDescent="0.3">
      <c r="A42" s="10" t="s">
        <v>732</v>
      </c>
      <c r="B42" s="117">
        <v>20.291999999999998</v>
      </c>
      <c r="C42" s="117">
        <v>17.094999999999999</v>
      </c>
      <c r="D42" s="117">
        <v>13.744</v>
      </c>
      <c r="E42" s="117">
        <v>23.109000000000002</v>
      </c>
      <c r="F42" s="117">
        <v>17.582000000000001</v>
      </c>
      <c r="G42" s="117">
        <v>12.49</v>
      </c>
      <c r="H42" s="117">
        <v>23.746999999999996</v>
      </c>
      <c r="I42" s="117">
        <v>6.8689999999999998</v>
      </c>
      <c r="J42" s="117">
        <v>12.1</v>
      </c>
      <c r="K42" s="117">
        <v>11.574999999999999</v>
      </c>
      <c r="L42" s="117">
        <v>17.268000000000001</v>
      </c>
      <c r="M42" s="117">
        <v>25.321000000000002</v>
      </c>
      <c r="N42" s="117">
        <v>9.7670000000000012</v>
      </c>
      <c r="O42" s="117">
        <v>9.7189999999999994</v>
      </c>
      <c r="P42" s="117">
        <v>11.485999999999999</v>
      </c>
      <c r="Q42" s="117">
        <v>4.5869999999999997</v>
      </c>
      <c r="R42" s="117">
        <v>1E-3</v>
      </c>
      <c r="S42" s="117">
        <v>2.6989999999999994</v>
      </c>
      <c r="T42" s="117">
        <v>0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7.7242258064516118</v>
      </c>
    </row>
    <row r="43" spans="1:33" x14ac:dyDescent="0.3">
      <c r="A43" s="10" t="s">
        <v>818</v>
      </c>
      <c r="B43" s="117">
        <v>0</v>
      </c>
      <c r="C43" s="117">
        <v>0</v>
      </c>
      <c r="D43" s="117">
        <v>0</v>
      </c>
      <c r="E43" s="117">
        <v>0</v>
      </c>
      <c r="F43" s="117">
        <v>0</v>
      </c>
      <c r="G43" s="117">
        <v>0</v>
      </c>
      <c r="H43" s="117">
        <v>0</v>
      </c>
      <c r="I43" s="117">
        <v>0</v>
      </c>
      <c r="J43" s="117">
        <v>0</v>
      </c>
      <c r="K43" s="117">
        <v>0</v>
      </c>
      <c r="L43" s="117">
        <v>0</v>
      </c>
      <c r="M43" s="117">
        <v>0</v>
      </c>
      <c r="N43" s="117">
        <v>0</v>
      </c>
      <c r="O43" s="117">
        <v>0</v>
      </c>
      <c r="P43" s="117">
        <v>0</v>
      </c>
      <c r="Q43" s="117">
        <v>0</v>
      </c>
      <c r="R43" s="117">
        <v>0</v>
      </c>
      <c r="S43" s="117">
        <v>0</v>
      </c>
      <c r="T43" s="117">
        <v>0</v>
      </c>
      <c r="U43" s="117">
        <v>0</v>
      </c>
      <c r="V43" s="117">
        <v>0</v>
      </c>
      <c r="W43" s="117">
        <v>0</v>
      </c>
      <c r="X43" s="117">
        <v>0</v>
      </c>
      <c r="Y43" s="117">
        <v>0</v>
      </c>
      <c r="Z43" s="117">
        <v>0</v>
      </c>
      <c r="AA43" s="117">
        <v>0</v>
      </c>
      <c r="AB43" s="117">
        <v>0</v>
      </c>
      <c r="AC43" s="117">
        <v>0</v>
      </c>
      <c r="AD43" s="117">
        <v>0</v>
      </c>
      <c r="AE43" s="117">
        <v>0</v>
      </c>
      <c r="AF43" s="117">
        <v>0</v>
      </c>
      <c r="AG43" s="117">
        <v>0</v>
      </c>
    </row>
    <row r="44" spans="1:33" x14ac:dyDescent="0.3">
      <c r="A44" s="10" t="s">
        <v>969</v>
      </c>
      <c r="B44" s="117">
        <v>0</v>
      </c>
      <c r="C44" s="117">
        <v>0</v>
      </c>
      <c r="D44" s="117">
        <v>2.4079999999999999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2.6949999999999998</v>
      </c>
      <c r="N44" s="117">
        <v>0</v>
      </c>
      <c r="O44" s="117">
        <v>0</v>
      </c>
      <c r="P44" s="117">
        <v>0</v>
      </c>
      <c r="Q44" s="117">
        <v>0</v>
      </c>
      <c r="R44" s="117">
        <v>0</v>
      </c>
      <c r="S44" s="117">
        <v>0</v>
      </c>
      <c r="T44" s="117">
        <v>0</v>
      </c>
      <c r="U44" s="117">
        <v>0</v>
      </c>
      <c r="V44" s="117">
        <v>0</v>
      </c>
      <c r="W44" s="117">
        <v>0</v>
      </c>
      <c r="X44" s="117">
        <v>0</v>
      </c>
      <c r="Y44" s="117">
        <v>3.008</v>
      </c>
      <c r="Z44" s="117">
        <v>0</v>
      </c>
      <c r="AA44" s="117">
        <v>0</v>
      </c>
      <c r="AB44" s="117">
        <v>23.287999999999997</v>
      </c>
      <c r="AC44" s="117">
        <v>0</v>
      </c>
      <c r="AD44" s="117">
        <v>2.9860000000000002</v>
      </c>
      <c r="AE44" s="117">
        <v>0</v>
      </c>
      <c r="AF44" s="117">
        <v>0</v>
      </c>
      <c r="AG44" s="117">
        <v>1.1091935483870967</v>
      </c>
    </row>
    <row r="45" spans="1:33" x14ac:dyDescent="0.3">
      <c r="A45" s="10" t="s">
        <v>906</v>
      </c>
      <c r="B45" s="117">
        <v>14.790000000000001</v>
      </c>
      <c r="C45" s="117">
        <v>43.93</v>
      </c>
      <c r="D45" s="117">
        <v>0</v>
      </c>
      <c r="E45" s="117">
        <v>35.909999999999997</v>
      </c>
      <c r="F45" s="117">
        <v>12.09</v>
      </c>
      <c r="G45" s="117">
        <v>14.660000000000002</v>
      </c>
      <c r="H45" s="117">
        <v>8.6300000000000008</v>
      </c>
      <c r="I45" s="117">
        <v>6.15</v>
      </c>
      <c r="J45" s="117">
        <v>0</v>
      </c>
      <c r="K45" s="117">
        <v>7.92</v>
      </c>
      <c r="L45" s="117">
        <v>0</v>
      </c>
      <c r="M45" s="117">
        <v>0</v>
      </c>
      <c r="N45" s="117">
        <v>0</v>
      </c>
      <c r="O45" s="117">
        <v>0</v>
      </c>
      <c r="P45" s="117">
        <v>11.27</v>
      </c>
      <c r="Q45" s="117">
        <v>0</v>
      </c>
      <c r="R45" s="117">
        <v>36.590000000000003</v>
      </c>
      <c r="S45" s="117">
        <v>9.89</v>
      </c>
      <c r="T45" s="117">
        <v>0</v>
      </c>
      <c r="U45" s="117">
        <v>7.18</v>
      </c>
      <c r="V45" s="117">
        <v>11.29</v>
      </c>
      <c r="W45" s="117">
        <v>44.339999999999996</v>
      </c>
      <c r="X45" s="117">
        <v>0</v>
      </c>
      <c r="Y45" s="117">
        <v>10.180000000000001</v>
      </c>
      <c r="Z45" s="117">
        <v>21.659999999999997</v>
      </c>
      <c r="AA45" s="117">
        <v>0.25</v>
      </c>
      <c r="AB45" s="117">
        <v>5.8400000000000007</v>
      </c>
      <c r="AC45" s="117">
        <v>33.160000000000004</v>
      </c>
      <c r="AD45" s="117">
        <v>0</v>
      </c>
      <c r="AE45" s="117">
        <v>0</v>
      </c>
      <c r="AF45" s="117">
        <v>0</v>
      </c>
      <c r="AG45" s="117">
        <v>10.83</v>
      </c>
    </row>
    <row r="46" spans="1:33" x14ac:dyDescent="0.3">
      <c r="A46" s="10" t="s">
        <v>934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  <c r="O46" s="117">
        <v>0</v>
      </c>
      <c r="P46" s="117">
        <v>0</v>
      </c>
      <c r="Q46" s="117">
        <v>0</v>
      </c>
      <c r="R46" s="117">
        <v>0</v>
      </c>
      <c r="S46" s="117">
        <v>0</v>
      </c>
      <c r="T46" s="117">
        <v>0</v>
      </c>
      <c r="U46" s="117">
        <v>0</v>
      </c>
      <c r="V46" s="117">
        <v>0</v>
      </c>
      <c r="W46" s="117">
        <v>0</v>
      </c>
      <c r="X46" s="117">
        <v>0</v>
      </c>
      <c r="Y46" s="117">
        <v>0</v>
      </c>
      <c r="Z46" s="117">
        <v>0</v>
      </c>
      <c r="AA46" s="117">
        <v>0</v>
      </c>
      <c r="AB46" s="117">
        <v>0</v>
      </c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</row>
    <row r="47" spans="1:33" x14ac:dyDescent="0.3">
      <c r="A47" s="10" t="s">
        <v>932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5.27</v>
      </c>
      <c r="U47" s="117">
        <v>12.239000000000001</v>
      </c>
      <c r="V47" s="117">
        <v>6.9149999999999991</v>
      </c>
      <c r="W47" s="117">
        <v>0</v>
      </c>
      <c r="X47" s="117">
        <v>0</v>
      </c>
      <c r="Y47" s="117">
        <v>6.915</v>
      </c>
      <c r="Z47" s="117">
        <v>10.45</v>
      </c>
      <c r="AA47" s="117">
        <v>6.63</v>
      </c>
      <c r="AB47" s="117">
        <v>9.8810000000000002</v>
      </c>
      <c r="AC47" s="117">
        <v>0</v>
      </c>
      <c r="AD47" s="117">
        <v>11.345000000000001</v>
      </c>
      <c r="AE47" s="117">
        <v>0</v>
      </c>
      <c r="AF47" s="117">
        <v>0</v>
      </c>
      <c r="AG47" s="117">
        <v>2.2466129032258069</v>
      </c>
    </row>
    <row r="48" spans="1:33" x14ac:dyDescent="0.3">
      <c r="A48" s="10" t="s">
        <v>841</v>
      </c>
      <c r="B48" s="117">
        <v>0</v>
      </c>
      <c r="C48" s="117">
        <v>0</v>
      </c>
      <c r="D48" s="117">
        <v>9</v>
      </c>
      <c r="E48" s="117">
        <v>6.3879999999999999</v>
      </c>
      <c r="F48" s="117">
        <v>8.36</v>
      </c>
      <c r="G48" s="117">
        <v>9.4879999999999995</v>
      </c>
      <c r="H48" s="117">
        <v>8.3170000000000002</v>
      </c>
      <c r="I48" s="117">
        <v>0</v>
      </c>
      <c r="J48" s="117">
        <v>0</v>
      </c>
      <c r="K48" s="117">
        <v>9.6959999999999997</v>
      </c>
      <c r="L48" s="117">
        <v>7.0140000000000002</v>
      </c>
      <c r="M48" s="117">
        <v>0</v>
      </c>
      <c r="N48" s="117">
        <v>8.1489999999999991</v>
      </c>
      <c r="O48" s="117">
        <v>0</v>
      </c>
      <c r="P48" s="117">
        <v>0</v>
      </c>
      <c r="Q48" s="117">
        <v>0</v>
      </c>
      <c r="R48" s="117">
        <v>13.036</v>
      </c>
      <c r="S48" s="117">
        <v>3.0329999999999999</v>
      </c>
      <c r="T48" s="117">
        <v>9.3879999999999999</v>
      </c>
      <c r="U48" s="117">
        <v>6.899</v>
      </c>
      <c r="V48" s="117">
        <v>4.6180000000000003</v>
      </c>
      <c r="W48" s="117">
        <v>0</v>
      </c>
      <c r="X48" s="117">
        <v>3.601</v>
      </c>
      <c r="Y48" s="117">
        <v>4.2729999999999997</v>
      </c>
      <c r="Z48" s="117">
        <v>8.4209999999999994</v>
      </c>
      <c r="AA48" s="117">
        <v>6.8449999999999998</v>
      </c>
      <c r="AB48" s="117">
        <v>5.2709999999999999</v>
      </c>
      <c r="AC48" s="117">
        <v>9.3469999999999995</v>
      </c>
      <c r="AD48" s="117">
        <v>0</v>
      </c>
      <c r="AE48" s="117">
        <v>0</v>
      </c>
      <c r="AF48" s="117">
        <v>0</v>
      </c>
      <c r="AG48" s="117">
        <v>4.5530322580645155</v>
      </c>
    </row>
    <row r="49" spans="1:33" x14ac:dyDescent="0.3">
      <c r="A49" s="10" t="s">
        <v>936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  <c r="O49" s="117">
        <v>0</v>
      </c>
      <c r="P49" s="117">
        <v>0</v>
      </c>
      <c r="Q49" s="117">
        <v>0</v>
      </c>
      <c r="R49" s="117">
        <v>0</v>
      </c>
      <c r="S49" s="117">
        <v>0</v>
      </c>
      <c r="T49" s="117">
        <v>0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0</v>
      </c>
      <c r="AA49" s="117">
        <v>0</v>
      </c>
      <c r="AB49" s="117">
        <v>0</v>
      </c>
      <c r="AC49" s="117">
        <v>0</v>
      </c>
      <c r="AD49" s="117">
        <v>0</v>
      </c>
      <c r="AE49" s="117">
        <v>0</v>
      </c>
      <c r="AF49" s="117">
        <v>0</v>
      </c>
      <c r="AG49" s="117">
        <v>0</v>
      </c>
    </row>
    <row r="50" spans="1:33" x14ac:dyDescent="0.3">
      <c r="A50" s="10" t="s">
        <v>930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  <c r="O50" s="117">
        <v>0</v>
      </c>
      <c r="P50" s="117">
        <v>0</v>
      </c>
      <c r="Q50" s="117">
        <v>0</v>
      </c>
      <c r="R50" s="117">
        <v>0</v>
      </c>
      <c r="S50" s="117">
        <v>0</v>
      </c>
      <c r="T50" s="117">
        <v>0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v>0</v>
      </c>
      <c r="AC50" s="117">
        <v>0</v>
      </c>
      <c r="AD50" s="117">
        <v>0</v>
      </c>
      <c r="AE50" s="117">
        <v>0</v>
      </c>
      <c r="AF50" s="117">
        <v>0</v>
      </c>
      <c r="AG50" s="117">
        <v>0</v>
      </c>
    </row>
    <row r="51" spans="1:33" x14ac:dyDescent="0.3">
      <c r="A51" s="10" t="s">
        <v>929</v>
      </c>
      <c r="B51" s="117">
        <v>24.974</v>
      </c>
      <c r="C51" s="117">
        <v>20.609000000000002</v>
      </c>
      <c r="D51" s="117">
        <v>2.8029999999999999</v>
      </c>
      <c r="E51" s="117">
        <v>13.486000000000001</v>
      </c>
      <c r="F51" s="117">
        <v>23.394000000000002</v>
      </c>
      <c r="G51" s="117">
        <v>8.5120000000000005</v>
      </c>
      <c r="H51" s="117">
        <v>29.606000000000002</v>
      </c>
      <c r="I51" s="117">
        <v>13.329000000000001</v>
      </c>
      <c r="J51" s="117">
        <v>18.727999999999998</v>
      </c>
      <c r="K51" s="117">
        <v>7.3339999999999996</v>
      </c>
      <c r="L51" s="117">
        <v>7.125</v>
      </c>
      <c r="M51" s="117">
        <v>16.983000000000001</v>
      </c>
      <c r="N51" s="117">
        <v>17.765999999999998</v>
      </c>
      <c r="O51" s="117">
        <v>4.5229999999999997</v>
      </c>
      <c r="P51" s="117">
        <v>9.1300000000000008</v>
      </c>
      <c r="Q51" s="117">
        <v>1.516</v>
      </c>
      <c r="R51" s="117">
        <v>8.51</v>
      </c>
      <c r="S51" s="117">
        <v>13.251000000000001</v>
      </c>
      <c r="T51" s="117">
        <v>3.798</v>
      </c>
      <c r="U51" s="117">
        <v>21.163</v>
      </c>
      <c r="V51" s="117">
        <v>16.233000000000001</v>
      </c>
      <c r="W51" s="117">
        <v>10.71</v>
      </c>
      <c r="X51" s="117">
        <v>17.955000000000002</v>
      </c>
      <c r="Y51" s="117">
        <v>8.9939999999999998</v>
      </c>
      <c r="Z51" s="117">
        <v>12.335999999999999</v>
      </c>
      <c r="AA51" s="117">
        <v>19.361000000000001</v>
      </c>
      <c r="AB51" s="117">
        <v>15.516</v>
      </c>
      <c r="AC51" s="117">
        <v>13.353000000000002</v>
      </c>
      <c r="AD51" s="117">
        <v>18.627000000000002</v>
      </c>
      <c r="AE51" s="117">
        <v>21.286999999999999</v>
      </c>
      <c r="AF51" s="117">
        <v>8.8109999999999999</v>
      </c>
      <c r="AG51" s="117">
        <v>13.862032258064517</v>
      </c>
    </row>
    <row r="52" spans="1:33" x14ac:dyDescent="0.3">
      <c r="A52" s="10" t="s">
        <v>931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</v>
      </c>
      <c r="Q52" s="117">
        <v>0</v>
      </c>
      <c r="R52" s="117">
        <v>0</v>
      </c>
      <c r="S52" s="117">
        <v>0</v>
      </c>
      <c r="T52" s="117">
        <v>0</v>
      </c>
      <c r="U52" s="117">
        <v>0</v>
      </c>
      <c r="V52" s="117">
        <v>0</v>
      </c>
      <c r="W52" s="117">
        <v>0</v>
      </c>
      <c r="X52" s="117">
        <v>0</v>
      </c>
      <c r="Y52" s="117">
        <v>0</v>
      </c>
      <c r="Z52" s="117">
        <v>0</v>
      </c>
      <c r="AA52" s="117">
        <v>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v>0</v>
      </c>
    </row>
    <row r="53" spans="1:33" x14ac:dyDescent="0.3">
      <c r="A53" s="10" t="s">
        <v>928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0</v>
      </c>
      <c r="Q53" s="117">
        <v>0</v>
      </c>
      <c r="R53" s="117">
        <v>0</v>
      </c>
      <c r="S53" s="117">
        <v>0</v>
      </c>
      <c r="T53" s="117">
        <v>0</v>
      </c>
      <c r="U53" s="117">
        <v>0</v>
      </c>
      <c r="V53" s="117">
        <v>0</v>
      </c>
      <c r="W53" s="117">
        <v>0</v>
      </c>
      <c r="X53" s="117">
        <v>0</v>
      </c>
      <c r="Y53" s="117">
        <v>0</v>
      </c>
      <c r="Z53" s="117">
        <v>0</v>
      </c>
      <c r="AA53" s="117">
        <v>0</v>
      </c>
      <c r="AB53" s="117">
        <v>0</v>
      </c>
      <c r="AC53" s="117">
        <v>0</v>
      </c>
      <c r="AD53" s="117">
        <v>0</v>
      </c>
      <c r="AE53" s="117">
        <v>0</v>
      </c>
      <c r="AF53" s="117">
        <v>0</v>
      </c>
      <c r="AG53" s="117">
        <v>0</v>
      </c>
    </row>
    <row r="54" spans="1:33" x14ac:dyDescent="0.3">
      <c r="A54" s="10" t="s">
        <v>927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  <c r="O54" s="117">
        <v>0</v>
      </c>
      <c r="P54" s="117">
        <v>0</v>
      </c>
      <c r="Q54" s="117">
        <v>0</v>
      </c>
      <c r="R54" s="117">
        <v>0</v>
      </c>
      <c r="S54" s="117">
        <v>0</v>
      </c>
      <c r="T54" s="117">
        <v>0</v>
      </c>
      <c r="U54" s="117">
        <v>0</v>
      </c>
      <c r="V54" s="117">
        <v>0</v>
      </c>
      <c r="W54" s="117">
        <v>0</v>
      </c>
      <c r="X54" s="117">
        <v>0</v>
      </c>
      <c r="Y54" s="117">
        <v>0</v>
      </c>
      <c r="Z54" s="117">
        <v>0</v>
      </c>
      <c r="AA54" s="117">
        <v>0</v>
      </c>
      <c r="AB54" s="117">
        <v>0</v>
      </c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</row>
    <row r="55" spans="1:33" x14ac:dyDescent="0.3">
      <c r="A55" s="10" t="s">
        <v>926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</row>
    <row r="56" spans="1:33" x14ac:dyDescent="0.3">
      <c r="A56" s="10" t="s">
        <v>734</v>
      </c>
      <c r="B56" s="117">
        <v>0</v>
      </c>
      <c r="C56" s="117">
        <v>0</v>
      </c>
      <c r="D56" s="117">
        <v>0</v>
      </c>
      <c r="E56" s="117">
        <v>0</v>
      </c>
      <c r="F56" s="117">
        <v>10.311999999999999</v>
      </c>
      <c r="G56" s="117">
        <v>10.349</v>
      </c>
      <c r="H56" s="117">
        <v>3.9180000000000001</v>
      </c>
      <c r="I56" s="117">
        <v>14.217000000000001</v>
      </c>
      <c r="J56" s="117">
        <v>10.975999999999999</v>
      </c>
      <c r="K56" s="117">
        <v>0</v>
      </c>
      <c r="L56" s="117">
        <v>8.988999999999999</v>
      </c>
      <c r="M56" s="117">
        <v>19.329000000000001</v>
      </c>
      <c r="N56" s="117">
        <v>31.138999999999996</v>
      </c>
      <c r="O56" s="117">
        <v>9.3089999999999993</v>
      </c>
      <c r="P56" s="117">
        <v>3.3010000000000002</v>
      </c>
      <c r="Q56" s="117">
        <v>0.53800000000000003</v>
      </c>
      <c r="R56" s="117">
        <v>8.4169999999999998</v>
      </c>
      <c r="S56" s="117">
        <v>19.407</v>
      </c>
      <c r="T56" s="117">
        <v>7.7080000000000002</v>
      </c>
      <c r="U56" s="117">
        <v>18.853000000000002</v>
      </c>
      <c r="V56" s="117">
        <v>20.476000000000003</v>
      </c>
      <c r="W56" s="117">
        <v>12.509</v>
      </c>
      <c r="X56" s="117">
        <v>17.352</v>
      </c>
      <c r="Y56" s="117">
        <v>6.4710000000000001</v>
      </c>
      <c r="Z56" s="117">
        <v>15.561</v>
      </c>
      <c r="AA56" s="117">
        <v>15.000999999999999</v>
      </c>
      <c r="AB56" s="117">
        <v>14.332000000000001</v>
      </c>
      <c r="AC56" s="117">
        <v>11.713000000000001</v>
      </c>
      <c r="AD56" s="117">
        <v>14.170999999999999</v>
      </c>
      <c r="AE56" s="117">
        <v>11.733999999999998</v>
      </c>
      <c r="AF56" s="117">
        <v>0</v>
      </c>
      <c r="AG56" s="117">
        <v>10.196193548387097</v>
      </c>
    </row>
    <row r="57" spans="1:33" x14ac:dyDescent="0.3">
      <c r="A57" s="10" t="s">
        <v>917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  <c r="O57" s="117">
        <v>0</v>
      </c>
      <c r="P57" s="117">
        <v>0</v>
      </c>
      <c r="Q57" s="117">
        <v>0</v>
      </c>
      <c r="R57" s="117">
        <v>0</v>
      </c>
      <c r="S57" s="117">
        <v>0</v>
      </c>
      <c r="T57" s="117">
        <v>0</v>
      </c>
      <c r="U57" s="117">
        <v>0</v>
      </c>
      <c r="V57" s="117">
        <v>0</v>
      </c>
      <c r="W57" s="117">
        <v>0</v>
      </c>
      <c r="X57" s="117">
        <v>0</v>
      </c>
      <c r="Y57" s="117">
        <v>0</v>
      </c>
      <c r="Z57" s="117">
        <v>0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v>0</v>
      </c>
    </row>
    <row r="58" spans="1:33" x14ac:dyDescent="0.3">
      <c r="A58" s="10" t="s">
        <v>958</v>
      </c>
      <c r="B58" s="117">
        <v>0</v>
      </c>
      <c r="C58" s="117">
        <v>0</v>
      </c>
      <c r="D58" s="117">
        <v>0</v>
      </c>
      <c r="E58" s="117">
        <v>0</v>
      </c>
      <c r="F58" s="117">
        <v>1.681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3.3439999999999999</v>
      </c>
      <c r="N58" s="117">
        <v>0</v>
      </c>
      <c r="O58" s="117">
        <v>0</v>
      </c>
      <c r="P58" s="117">
        <v>0</v>
      </c>
      <c r="Q58" s="117">
        <v>0</v>
      </c>
      <c r="R58" s="117">
        <v>0</v>
      </c>
      <c r="S58" s="117">
        <v>0</v>
      </c>
      <c r="T58" s="117">
        <v>0</v>
      </c>
      <c r="U58" s="117">
        <v>0</v>
      </c>
      <c r="V58" s="117">
        <v>0</v>
      </c>
      <c r="W58" s="117">
        <v>0</v>
      </c>
      <c r="X58" s="117">
        <v>4.7370000000000001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0.31490322580645164</v>
      </c>
    </row>
    <row r="59" spans="1:33" x14ac:dyDescent="0.3">
      <c r="A59" s="10" t="s">
        <v>811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  <c r="O59" s="117">
        <v>0</v>
      </c>
      <c r="P59" s="117">
        <v>0</v>
      </c>
      <c r="Q59" s="117">
        <v>0</v>
      </c>
      <c r="R59" s="117">
        <v>0</v>
      </c>
      <c r="S59" s="117">
        <v>0</v>
      </c>
      <c r="T59" s="117">
        <v>0</v>
      </c>
      <c r="U59" s="117">
        <v>0</v>
      </c>
      <c r="V59" s="117">
        <v>0</v>
      </c>
      <c r="W59" s="117">
        <v>2.0649999999999999</v>
      </c>
      <c r="X59" s="117">
        <v>0</v>
      </c>
      <c r="Y59" s="117">
        <v>0</v>
      </c>
      <c r="Z59" s="117">
        <v>13.358000000000001</v>
      </c>
      <c r="AA59" s="117">
        <v>0</v>
      </c>
      <c r="AB59" s="117">
        <v>0</v>
      </c>
      <c r="AC59" s="117">
        <v>0</v>
      </c>
      <c r="AD59" s="117">
        <v>0</v>
      </c>
      <c r="AE59" s="117">
        <v>0</v>
      </c>
      <c r="AF59" s="117">
        <v>0</v>
      </c>
      <c r="AG59" s="117">
        <v>0.49751612903225806</v>
      </c>
    </row>
    <row r="60" spans="1:33" x14ac:dyDescent="0.3">
      <c r="A60" s="10" t="s">
        <v>735</v>
      </c>
      <c r="B60" s="117">
        <v>15.716000000000001</v>
      </c>
      <c r="C60" s="117">
        <v>0</v>
      </c>
      <c r="D60" s="117">
        <v>21.911000000000001</v>
      </c>
      <c r="E60" s="117">
        <v>4.7690000000000001</v>
      </c>
      <c r="F60" s="117">
        <v>8.8239999999999998</v>
      </c>
      <c r="G60" s="117">
        <v>4.3049999999999997</v>
      </c>
      <c r="H60" s="117">
        <v>3.2330000000000001</v>
      </c>
      <c r="I60" s="117">
        <v>6.87</v>
      </c>
      <c r="J60" s="117">
        <v>0</v>
      </c>
      <c r="K60" s="117">
        <v>3.9580000000000002</v>
      </c>
      <c r="L60" s="117">
        <v>10.472</v>
      </c>
      <c r="M60" s="117">
        <v>8.1340000000000003</v>
      </c>
      <c r="N60" s="117">
        <v>20.555</v>
      </c>
      <c r="O60" s="117">
        <v>6.9909999999999997</v>
      </c>
      <c r="P60" s="117">
        <v>2.71</v>
      </c>
      <c r="Q60" s="117">
        <v>8.4049999999999994</v>
      </c>
      <c r="R60" s="117">
        <v>25.983999999999995</v>
      </c>
      <c r="S60" s="117">
        <v>2.5030000000000001</v>
      </c>
      <c r="T60" s="117">
        <v>1.8</v>
      </c>
      <c r="U60" s="117">
        <v>10.526999999999999</v>
      </c>
      <c r="V60" s="117">
        <v>2.52</v>
      </c>
      <c r="W60" s="117">
        <v>18.506</v>
      </c>
      <c r="X60" s="117">
        <v>7.3369999999999997</v>
      </c>
      <c r="Y60" s="117">
        <v>1.4219999999999999</v>
      </c>
      <c r="Z60" s="117">
        <v>17.952000000000002</v>
      </c>
      <c r="AA60" s="117">
        <v>2.7050000000000001</v>
      </c>
      <c r="AB60" s="117">
        <v>4.9470000000000001</v>
      </c>
      <c r="AC60" s="117">
        <v>25.552999999999997</v>
      </c>
      <c r="AD60" s="117">
        <v>7.8429999999999991</v>
      </c>
      <c r="AE60" s="117">
        <v>10.730999999999998</v>
      </c>
      <c r="AF60" s="117">
        <v>13.629</v>
      </c>
      <c r="AG60" s="117">
        <v>9.0584516129032266</v>
      </c>
    </row>
    <row r="61" spans="1:33" x14ac:dyDescent="0.3">
      <c r="A61" s="10" t="s">
        <v>918</v>
      </c>
      <c r="B61" s="117">
        <v>65.881</v>
      </c>
      <c r="C61" s="117">
        <v>22.256</v>
      </c>
      <c r="D61" s="117">
        <v>1.6990000000000001</v>
      </c>
      <c r="E61" s="117">
        <v>2.8370000000000002</v>
      </c>
      <c r="F61" s="117">
        <v>4.2690000000000001</v>
      </c>
      <c r="G61" s="117">
        <v>1.7969999999999999</v>
      </c>
      <c r="H61" s="117">
        <v>2.4860000000000002</v>
      </c>
      <c r="I61" s="117">
        <v>0</v>
      </c>
      <c r="J61" s="117">
        <v>3.4860000000000002</v>
      </c>
      <c r="K61" s="117">
        <v>32.231000000000002</v>
      </c>
      <c r="L61" s="117">
        <v>0</v>
      </c>
      <c r="M61" s="117">
        <v>0.77800000000000002</v>
      </c>
      <c r="N61" s="117">
        <v>0</v>
      </c>
      <c r="O61" s="117">
        <v>2.8079999999999998</v>
      </c>
      <c r="P61" s="117">
        <v>0</v>
      </c>
      <c r="Q61" s="117">
        <v>7.2610000000000001</v>
      </c>
      <c r="R61" s="117">
        <v>0</v>
      </c>
      <c r="S61" s="117">
        <v>3.1560000000000001</v>
      </c>
      <c r="T61" s="117">
        <v>0</v>
      </c>
      <c r="U61" s="117">
        <v>1.5349999999999999</v>
      </c>
      <c r="V61" s="117">
        <v>3.1470000000000002</v>
      </c>
      <c r="W61" s="117">
        <v>0.71499999999999997</v>
      </c>
      <c r="X61" s="117">
        <v>3.2610000000000001</v>
      </c>
      <c r="Y61" s="117">
        <v>2.7249999999999996</v>
      </c>
      <c r="Z61" s="117">
        <v>1.7729999999999999</v>
      </c>
      <c r="AA61" s="117">
        <v>0</v>
      </c>
      <c r="AB61" s="117">
        <v>45.010000000000005</v>
      </c>
      <c r="AC61" s="117">
        <v>3.2519999999999998</v>
      </c>
      <c r="AD61" s="117">
        <v>1.8079999999999998</v>
      </c>
      <c r="AE61" s="117">
        <v>58.994</v>
      </c>
      <c r="AF61" s="117">
        <v>4.6180000000000003</v>
      </c>
      <c r="AG61" s="117">
        <v>8.9607419354838704</v>
      </c>
    </row>
    <row r="62" spans="1:33" x14ac:dyDescent="0.3">
      <c r="A62" s="10" t="s">
        <v>736</v>
      </c>
      <c r="B62" s="117">
        <v>0</v>
      </c>
      <c r="C62" s="117">
        <v>0</v>
      </c>
      <c r="D62" s="117">
        <v>1.738</v>
      </c>
      <c r="E62" s="117">
        <v>0</v>
      </c>
      <c r="F62" s="117">
        <v>0</v>
      </c>
      <c r="G62" s="117">
        <v>0</v>
      </c>
      <c r="H62" s="117">
        <v>2.0630000000000002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  <c r="O62" s="117">
        <v>0</v>
      </c>
      <c r="P62" s="117">
        <v>0</v>
      </c>
      <c r="Q62" s="117">
        <v>2.306</v>
      </c>
      <c r="R62" s="117">
        <v>2.6640000000000001</v>
      </c>
      <c r="S62" s="117">
        <v>0</v>
      </c>
      <c r="T62" s="117">
        <v>0</v>
      </c>
      <c r="U62" s="117">
        <v>0</v>
      </c>
      <c r="V62" s="117">
        <v>0</v>
      </c>
      <c r="W62" s="117">
        <v>0</v>
      </c>
      <c r="X62" s="117">
        <v>0</v>
      </c>
      <c r="Y62" s="117">
        <v>0</v>
      </c>
      <c r="Z62" s="117">
        <v>1.8959999999999999</v>
      </c>
      <c r="AA62" s="117">
        <v>0</v>
      </c>
      <c r="AB62" s="117">
        <v>0</v>
      </c>
      <c r="AC62" s="117">
        <v>0</v>
      </c>
      <c r="AD62" s="117">
        <v>0</v>
      </c>
      <c r="AE62" s="117">
        <v>0</v>
      </c>
      <c r="AF62" s="117">
        <v>0</v>
      </c>
      <c r="AG62" s="117">
        <v>0.34409677419354845</v>
      </c>
    </row>
    <row r="63" spans="1:33" x14ac:dyDescent="0.3">
      <c r="A63" s="10" t="s">
        <v>780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</v>
      </c>
      <c r="P63" s="117">
        <v>0</v>
      </c>
      <c r="Q63" s="117">
        <v>0</v>
      </c>
      <c r="R63" s="117">
        <v>0</v>
      </c>
      <c r="S63" s="117">
        <v>0</v>
      </c>
      <c r="T63" s="117">
        <v>0</v>
      </c>
      <c r="U63" s="117">
        <v>0</v>
      </c>
      <c r="V63" s="117">
        <v>0</v>
      </c>
      <c r="W63" s="117">
        <v>0</v>
      </c>
      <c r="X63" s="117">
        <v>0</v>
      </c>
      <c r="Y63" s="117">
        <v>0</v>
      </c>
      <c r="Z63" s="117">
        <v>0</v>
      </c>
      <c r="AA63" s="117">
        <v>0</v>
      </c>
      <c r="AB63" s="117">
        <v>0</v>
      </c>
      <c r="AC63" s="117">
        <v>0</v>
      </c>
      <c r="AD63" s="117">
        <v>0</v>
      </c>
      <c r="AE63" s="117">
        <v>0</v>
      </c>
      <c r="AF63" s="117">
        <v>0</v>
      </c>
      <c r="AG63" s="117">
        <v>0</v>
      </c>
    </row>
    <row r="64" spans="1:33" x14ac:dyDescent="0.3">
      <c r="A64" s="10" t="s">
        <v>856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0</v>
      </c>
      <c r="AC64" s="117">
        <v>0</v>
      </c>
      <c r="AD64" s="117">
        <v>0</v>
      </c>
      <c r="AE64" s="117">
        <v>0</v>
      </c>
      <c r="AF64" s="117">
        <v>0</v>
      </c>
      <c r="AG64" s="117">
        <v>0</v>
      </c>
    </row>
    <row r="65" spans="1:33" x14ac:dyDescent="0.3">
      <c r="A65" s="10" t="s">
        <v>933</v>
      </c>
      <c r="B65" s="117">
        <v>0</v>
      </c>
      <c r="C65" s="117">
        <v>0</v>
      </c>
      <c r="D65" s="117">
        <v>8.7010000000000005</v>
      </c>
      <c r="E65" s="117">
        <v>11.433</v>
      </c>
      <c r="F65" s="117">
        <v>6.3810000000000002</v>
      </c>
      <c r="G65" s="117">
        <v>0.879</v>
      </c>
      <c r="H65" s="117">
        <v>10.548</v>
      </c>
      <c r="I65" s="117">
        <v>0</v>
      </c>
      <c r="J65" s="117">
        <v>0</v>
      </c>
      <c r="K65" s="117">
        <v>15.619</v>
      </c>
      <c r="L65" s="117">
        <v>6.891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15.364000000000001</v>
      </c>
      <c r="S65" s="117">
        <v>6.7469999999999999</v>
      </c>
      <c r="T65" s="117">
        <v>0</v>
      </c>
      <c r="U65" s="117">
        <v>6.3620000000000001</v>
      </c>
      <c r="V65" s="117">
        <v>0</v>
      </c>
      <c r="W65" s="117">
        <v>0</v>
      </c>
      <c r="X65" s="117">
        <v>0</v>
      </c>
      <c r="Y65" s="117">
        <v>25.43</v>
      </c>
      <c r="Z65" s="117">
        <v>0</v>
      </c>
      <c r="AA65" s="117">
        <v>4.1790000000000003</v>
      </c>
      <c r="AB65" s="117">
        <v>7.2370000000000001</v>
      </c>
      <c r="AC65" s="117">
        <v>6.4429999999999996</v>
      </c>
      <c r="AD65" s="117">
        <v>0</v>
      </c>
      <c r="AE65" s="117">
        <v>0</v>
      </c>
      <c r="AF65" s="117">
        <v>0</v>
      </c>
      <c r="AG65" s="117">
        <v>4.2649677419354841</v>
      </c>
    </row>
    <row r="66" spans="1:33" x14ac:dyDescent="0.3">
      <c r="A66" s="10" t="s">
        <v>991</v>
      </c>
      <c r="B66" s="117">
        <v>0</v>
      </c>
      <c r="C66" s="117">
        <v>0</v>
      </c>
      <c r="D66" s="117">
        <v>0</v>
      </c>
      <c r="E66" s="117">
        <v>0</v>
      </c>
      <c r="F66" s="117">
        <v>0</v>
      </c>
      <c r="G66" s="117">
        <v>0</v>
      </c>
      <c r="H66" s="117">
        <v>0</v>
      </c>
      <c r="I66" s="117">
        <v>1.881</v>
      </c>
      <c r="J66" s="117">
        <v>0</v>
      </c>
      <c r="K66" s="117">
        <v>0</v>
      </c>
      <c r="L66" s="117">
        <v>0.54600000000000004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1.5</v>
      </c>
      <c r="T66" s="117">
        <v>0</v>
      </c>
      <c r="U66" s="117">
        <v>0</v>
      </c>
      <c r="V66" s="117">
        <v>0</v>
      </c>
      <c r="W66" s="117">
        <v>0</v>
      </c>
      <c r="X66" s="117">
        <v>0</v>
      </c>
      <c r="Y66" s="117">
        <v>0</v>
      </c>
      <c r="Z66" s="117">
        <v>0</v>
      </c>
      <c r="AA66" s="117">
        <v>0</v>
      </c>
      <c r="AB66" s="117">
        <v>0</v>
      </c>
      <c r="AC66" s="117">
        <v>6.7149999999999999</v>
      </c>
      <c r="AD66" s="117">
        <v>0</v>
      </c>
      <c r="AE66" s="117">
        <v>2.181</v>
      </c>
      <c r="AF66" s="117">
        <v>0</v>
      </c>
      <c r="AG66" s="117">
        <v>1.875782258064516</v>
      </c>
    </row>
    <row r="67" spans="1:33" x14ac:dyDescent="0.3">
      <c r="A67" s="10" t="s">
        <v>935</v>
      </c>
      <c r="B67" s="117">
        <v>0</v>
      </c>
      <c r="C67" s="117">
        <v>0</v>
      </c>
      <c r="D67" s="117">
        <v>0</v>
      </c>
      <c r="E67" s="117">
        <v>0</v>
      </c>
      <c r="F67" s="117">
        <v>0</v>
      </c>
      <c r="G67" s="117">
        <v>0</v>
      </c>
      <c r="H67" s="117">
        <v>7.3889999999999993</v>
      </c>
      <c r="I67" s="117">
        <v>0</v>
      </c>
      <c r="J67" s="117">
        <v>0</v>
      </c>
      <c r="K67" s="117">
        <v>0</v>
      </c>
      <c r="L67" s="117">
        <v>0</v>
      </c>
      <c r="M67" s="117">
        <v>0</v>
      </c>
      <c r="N67" s="117">
        <v>4.4870000000000001</v>
      </c>
      <c r="O67" s="117">
        <v>0</v>
      </c>
      <c r="P67" s="117">
        <v>0</v>
      </c>
      <c r="Q67" s="117">
        <v>0</v>
      </c>
      <c r="R67" s="117">
        <v>0</v>
      </c>
      <c r="S67" s="117">
        <v>0</v>
      </c>
      <c r="T67" s="117">
        <v>0</v>
      </c>
      <c r="U67" s="117">
        <v>0</v>
      </c>
      <c r="V67" s="117">
        <v>5.9770000000000003</v>
      </c>
      <c r="W67" s="117">
        <v>0</v>
      </c>
      <c r="X67" s="117">
        <v>0</v>
      </c>
      <c r="Y67" s="117">
        <v>0</v>
      </c>
      <c r="Z67" s="117">
        <v>0</v>
      </c>
      <c r="AA67" s="117">
        <v>0</v>
      </c>
      <c r="AB67" s="117">
        <v>0</v>
      </c>
      <c r="AC67" s="117">
        <v>4.7719999999999994</v>
      </c>
      <c r="AD67" s="117">
        <v>0</v>
      </c>
      <c r="AE67" s="117">
        <v>0</v>
      </c>
      <c r="AF67" s="117">
        <v>0</v>
      </c>
      <c r="AG67" s="117">
        <v>0.72983870967741937</v>
      </c>
    </row>
    <row r="68" spans="1:33" x14ac:dyDescent="0.3">
      <c r="A68" s="10" t="s">
        <v>777</v>
      </c>
      <c r="B68" s="117">
        <v>0</v>
      </c>
      <c r="C68" s="117">
        <v>0</v>
      </c>
      <c r="D68" s="117">
        <v>0</v>
      </c>
      <c r="E68" s="117">
        <v>0</v>
      </c>
      <c r="F68" s="117">
        <v>0</v>
      </c>
      <c r="G68" s="117">
        <v>0</v>
      </c>
      <c r="H68" s="117">
        <v>0</v>
      </c>
      <c r="I68" s="117">
        <v>0</v>
      </c>
      <c r="J68" s="117">
        <v>0</v>
      </c>
      <c r="K68" s="117">
        <v>0</v>
      </c>
      <c r="L68" s="117">
        <v>0</v>
      </c>
      <c r="M68" s="117">
        <v>0</v>
      </c>
      <c r="N68" s="117">
        <v>0</v>
      </c>
      <c r="O68" s="117">
        <v>0</v>
      </c>
      <c r="P68" s="117">
        <v>0</v>
      </c>
      <c r="Q68" s="117">
        <v>0</v>
      </c>
      <c r="R68" s="117">
        <v>0</v>
      </c>
      <c r="S68" s="117">
        <v>0</v>
      </c>
      <c r="T68" s="117">
        <v>0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v>0</v>
      </c>
      <c r="AD68" s="117">
        <v>0</v>
      </c>
      <c r="AE68" s="117">
        <v>0</v>
      </c>
      <c r="AF68" s="117">
        <v>0</v>
      </c>
      <c r="AG68" s="117">
        <v>0</v>
      </c>
    </row>
    <row r="69" spans="1:33" x14ac:dyDescent="0.3">
      <c r="A69" s="10" t="s">
        <v>956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v>0</v>
      </c>
      <c r="AE69" s="117">
        <v>0</v>
      </c>
      <c r="AF69" s="117">
        <v>0</v>
      </c>
      <c r="AG69" s="117">
        <v>0</v>
      </c>
    </row>
    <row r="70" spans="1:33" x14ac:dyDescent="0.3">
      <c r="A70" s="10" t="s">
        <v>782</v>
      </c>
      <c r="B70" s="117">
        <v>0</v>
      </c>
      <c r="C70" s="117">
        <v>0</v>
      </c>
      <c r="D70" s="117">
        <v>0</v>
      </c>
      <c r="E70" s="117">
        <v>0</v>
      </c>
      <c r="F70" s="117">
        <v>0.73899999999999999</v>
      </c>
      <c r="G70" s="117">
        <v>0</v>
      </c>
      <c r="H70" s="117">
        <v>0</v>
      </c>
      <c r="I70" s="117">
        <v>0</v>
      </c>
      <c r="J70" s="117">
        <v>0</v>
      </c>
      <c r="K70" s="117">
        <v>0</v>
      </c>
      <c r="L70" s="117">
        <v>0</v>
      </c>
      <c r="M70" s="117">
        <v>0</v>
      </c>
      <c r="N70" s="117">
        <v>0</v>
      </c>
      <c r="O70" s="117">
        <v>0</v>
      </c>
      <c r="P70" s="117">
        <v>0</v>
      </c>
      <c r="Q70" s="117">
        <v>0</v>
      </c>
      <c r="R70" s="117">
        <v>0</v>
      </c>
      <c r="S70" s="117">
        <v>0</v>
      </c>
      <c r="T70" s="117">
        <v>0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  <c r="Z70" s="117">
        <v>0</v>
      </c>
      <c r="AA70" s="117">
        <v>0</v>
      </c>
      <c r="AB70" s="117">
        <v>0</v>
      </c>
      <c r="AC70" s="117">
        <v>0</v>
      </c>
      <c r="AD70" s="117">
        <v>0</v>
      </c>
      <c r="AE70" s="117">
        <v>0</v>
      </c>
      <c r="AF70" s="117">
        <v>0</v>
      </c>
      <c r="AG70" s="117">
        <v>2.3838709677419353E-2</v>
      </c>
    </row>
    <row r="71" spans="1:33" x14ac:dyDescent="0.3">
      <c r="A71" s="10" t="s">
        <v>803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0</v>
      </c>
      <c r="O71" s="117">
        <v>0</v>
      </c>
      <c r="P71" s="117">
        <v>0</v>
      </c>
      <c r="Q71" s="117">
        <v>0</v>
      </c>
      <c r="R71" s="117">
        <v>0</v>
      </c>
      <c r="S71" s="117">
        <v>0</v>
      </c>
      <c r="T71" s="117">
        <v>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v>0</v>
      </c>
      <c r="AB71" s="117">
        <v>0</v>
      </c>
      <c r="AC71" s="117">
        <v>0</v>
      </c>
      <c r="AD71" s="117">
        <v>0</v>
      </c>
      <c r="AE71" s="117">
        <v>0</v>
      </c>
      <c r="AF71" s="117">
        <v>0</v>
      </c>
      <c r="AG71" s="117">
        <v>0</v>
      </c>
    </row>
    <row r="72" spans="1:33" x14ac:dyDescent="0.3">
      <c r="A72" s="10" t="s">
        <v>737</v>
      </c>
      <c r="B72" s="117">
        <v>0</v>
      </c>
      <c r="C72" s="117">
        <v>0</v>
      </c>
      <c r="D72" s="117">
        <v>21.313000000000002</v>
      </c>
      <c r="E72" s="117">
        <v>19.440000000000001</v>
      </c>
      <c r="F72" s="117">
        <v>13.672000000000001</v>
      </c>
      <c r="G72" s="117">
        <v>15.045000000000002</v>
      </c>
      <c r="H72" s="117">
        <v>19.443999999999999</v>
      </c>
      <c r="I72" s="117">
        <v>0</v>
      </c>
      <c r="J72" s="117">
        <v>0</v>
      </c>
      <c r="K72" s="117">
        <v>8.1949999999999985</v>
      </c>
      <c r="L72" s="117">
        <v>7.9770000000000003</v>
      </c>
      <c r="M72" s="117">
        <v>29.215</v>
      </c>
      <c r="N72" s="117">
        <v>20.054000000000002</v>
      </c>
      <c r="O72" s="117">
        <v>0</v>
      </c>
      <c r="P72" s="117">
        <v>0</v>
      </c>
      <c r="Q72" s="117">
        <v>0</v>
      </c>
      <c r="R72" s="117">
        <v>8.254999999999999</v>
      </c>
      <c r="S72" s="117">
        <v>18.117000000000001</v>
      </c>
      <c r="T72" s="117">
        <v>31.135999999999996</v>
      </c>
      <c r="U72" s="117">
        <v>10.314</v>
      </c>
      <c r="V72" s="117">
        <v>10.076999999999998</v>
      </c>
      <c r="W72" s="117">
        <v>0</v>
      </c>
      <c r="X72" s="117">
        <v>0</v>
      </c>
      <c r="Y72" s="117">
        <v>10.381</v>
      </c>
      <c r="Z72" s="117">
        <v>13.799999999999999</v>
      </c>
      <c r="AA72" s="117">
        <v>25.001999999999999</v>
      </c>
      <c r="AB72" s="117">
        <v>13.712999999999999</v>
      </c>
      <c r="AC72" s="117">
        <v>2.65</v>
      </c>
      <c r="AD72" s="117">
        <v>0</v>
      </c>
      <c r="AE72" s="117">
        <v>0</v>
      </c>
      <c r="AF72" s="117">
        <v>0</v>
      </c>
      <c r="AG72" s="117">
        <v>9.6064516129032249</v>
      </c>
    </row>
    <row r="73" spans="1:33" x14ac:dyDescent="0.3">
      <c r="A73" s="10" t="s">
        <v>1007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</v>
      </c>
      <c r="P73" s="117">
        <v>0</v>
      </c>
      <c r="Q73" s="117">
        <v>0</v>
      </c>
      <c r="R73" s="117">
        <v>0</v>
      </c>
      <c r="S73" s="117">
        <v>0</v>
      </c>
      <c r="T73" s="117">
        <v>0</v>
      </c>
      <c r="U73" s="117">
        <v>0</v>
      </c>
      <c r="V73" s="117">
        <v>0</v>
      </c>
      <c r="W73" s="117">
        <v>0</v>
      </c>
      <c r="X73" s="117">
        <v>0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117">
        <v>0</v>
      </c>
      <c r="AE73" s="117">
        <v>0</v>
      </c>
      <c r="AF73" s="117">
        <v>0</v>
      </c>
      <c r="AG73" s="117">
        <v>0</v>
      </c>
    </row>
    <row r="74" spans="1:33" x14ac:dyDescent="0.3">
      <c r="A74" s="10" t="s">
        <v>781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0</v>
      </c>
      <c r="X74" s="117">
        <v>0</v>
      </c>
      <c r="Y74" s="117">
        <v>0</v>
      </c>
      <c r="Z74" s="117">
        <v>0</v>
      </c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v>0</v>
      </c>
    </row>
    <row r="75" spans="1:33" x14ac:dyDescent="0.3">
      <c r="A75" s="10" t="s">
        <v>94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0</v>
      </c>
      <c r="Z75" s="117">
        <v>0</v>
      </c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v>0</v>
      </c>
    </row>
    <row r="76" spans="1:33" x14ac:dyDescent="0.3">
      <c r="A76" s="10" t="s">
        <v>117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</v>
      </c>
      <c r="Q76" s="117">
        <v>0</v>
      </c>
      <c r="R76" s="117">
        <v>0</v>
      </c>
      <c r="S76" s="117">
        <v>0</v>
      </c>
      <c r="T76" s="117">
        <v>0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7">
        <v>0</v>
      </c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</row>
    <row r="77" spans="1:33" x14ac:dyDescent="0.3">
      <c r="A77" s="10" t="s">
        <v>115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0</v>
      </c>
      <c r="H77" s="117">
        <v>0</v>
      </c>
      <c r="I77" s="117">
        <v>0</v>
      </c>
      <c r="J77" s="117">
        <v>0</v>
      </c>
      <c r="K77" s="117">
        <v>0</v>
      </c>
      <c r="L77" s="117">
        <v>0</v>
      </c>
      <c r="M77" s="117">
        <v>0</v>
      </c>
      <c r="N77" s="117">
        <v>0</v>
      </c>
      <c r="O77" s="117">
        <v>0</v>
      </c>
      <c r="P77" s="117">
        <v>0</v>
      </c>
      <c r="Q77" s="117">
        <v>0</v>
      </c>
      <c r="R77" s="117">
        <v>0</v>
      </c>
      <c r="S77" s="117">
        <v>0</v>
      </c>
      <c r="T77" s="117">
        <v>0</v>
      </c>
      <c r="U77" s="117">
        <v>0</v>
      </c>
      <c r="V77" s="117">
        <v>0</v>
      </c>
      <c r="W77" s="117">
        <v>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117">
        <v>0</v>
      </c>
      <c r="AE77" s="117">
        <v>0</v>
      </c>
      <c r="AF77" s="117">
        <v>0</v>
      </c>
      <c r="AG77" s="117">
        <v>0</v>
      </c>
    </row>
    <row r="78" spans="1:33" x14ac:dyDescent="0.3">
      <c r="A78" s="10" t="s">
        <v>122</v>
      </c>
      <c r="B78" s="117">
        <v>0</v>
      </c>
      <c r="C78" s="117">
        <v>0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v>0</v>
      </c>
      <c r="AC78" s="117">
        <v>0</v>
      </c>
      <c r="AD78" s="117">
        <v>0</v>
      </c>
      <c r="AE78" s="117">
        <v>0</v>
      </c>
      <c r="AF78" s="117">
        <v>0</v>
      </c>
      <c r="AG78" s="117">
        <v>0</v>
      </c>
    </row>
    <row r="79" spans="1:33" x14ac:dyDescent="0.3">
      <c r="A79" s="10" t="s">
        <v>739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</row>
    <row r="80" spans="1:33" x14ac:dyDescent="0.3">
      <c r="A80" s="10" t="s">
        <v>740</v>
      </c>
      <c r="B80" s="117">
        <v>163.43699999999998</v>
      </c>
      <c r="C80" s="117">
        <v>151.22300000000004</v>
      </c>
      <c r="D80" s="117">
        <v>145.16399999999999</v>
      </c>
      <c r="E80" s="117">
        <v>149.28400000000002</v>
      </c>
      <c r="F80" s="117">
        <v>169.62699999999998</v>
      </c>
      <c r="G80" s="117">
        <v>169.62300000000002</v>
      </c>
      <c r="H80" s="117">
        <v>137.61699999999999</v>
      </c>
      <c r="I80" s="117">
        <v>178.25999999999993</v>
      </c>
      <c r="J80" s="117">
        <v>165.18299999999994</v>
      </c>
      <c r="K80" s="117">
        <v>136.99200000000002</v>
      </c>
      <c r="L80" s="117">
        <v>167.57700000000003</v>
      </c>
      <c r="M80" s="117">
        <v>153.33699999999999</v>
      </c>
      <c r="N80" s="117">
        <v>156.21399999999997</v>
      </c>
      <c r="O80" s="117">
        <v>116.67</v>
      </c>
      <c r="P80" s="117">
        <v>181.00100000000003</v>
      </c>
      <c r="Q80" s="117">
        <v>161.209</v>
      </c>
      <c r="R80" s="117">
        <v>158.95099999999999</v>
      </c>
      <c r="S80" s="117">
        <v>177.64600000000007</v>
      </c>
      <c r="T80" s="117">
        <v>150.83700000000002</v>
      </c>
      <c r="U80" s="117">
        <v>156.12300000000002</v>
      </c>
      <c r="V80" s="117">
        <v>199.83599999999998</v>
      </c>
      <c r="W80" s="117">
        <v>164.87400000000002</v>
      </c>
      <c r="X80" s="117">
        <v>142.90499999999992</v>
      </c>
      <c r="Y80" s="117">
        <v>163.268</v>
      </c>
      <c r="Z80" s="117">
        <v>173.62900000000002</v>
      </c>
      <c r="AA80" s="117">
        <v>167.191</v>
      </c>
      <c r="AB80" s="117">
        <v>145.25400000000002</v>
      </c>
      <c r="AC80" s="117">
        <v>135.51799999999997</v>
      </c>
      <c r="AD80" s="117">
        <v>146.643</v>
      </c>
      <c r="AE80" s="117">
        <v>142.37499999999997</v>
      </c>
      <c r="AF80" s="117">
        <v>139.77600000000001</v>
      </c>
      <c r="AG80" s="117">
        <v>157.00787096774192</v>
      </c>
    </row>
    <row r="81" spans="1:33" x14ac:dyDescent="0.3">
      <c r="A81" s="10" t="s">
        <v>741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  <c r="O81" s="117">
        <v>0</v>
      </c>
      <c r="P81" s="117">
        <v>0</v>
      </c>
      <c r="Q81" s="117">
        <v>0</v>
      </c>
      <c r="R81" s="117">
        <v>0</v>
      </c>
      <c r="S81" s="117">
        <v>0</v>
      </c>
      <c r="T81" s="117">
        <v>0</v>
      </c>
      <c r="U81" s="117">
        <v>0</v>
      </c>
      <c r="V81" s="117">
        <v>0</v>
      </c>
      <c r="W81" s="117">
        <v>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v>0</v>
      </c>
    </row>
    <row r="82" spans="1:33" x14ac:dyDescent="0.3">
      <c r="A82" s="10" t="s">
        <v>797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  <c r="O82" s="117">
        <v>0</v>
      </c>
      <c r="P82" s="117">
        <v>0</v>
      </c>
      <c r="Q82" s="117">
        <v>0</v>
      </c>
      <c r="R82" s="117">
        <v>0</v>
      </c>
      <c r="S82" s="117">
        <v>0</v>
      </c>
      <c r="T82" s="117">
        <v>0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  <c r="Z82" s="117">
        <v>0</v>
      </c>
      <c r="AA82" s="117">
        <v>0</v>
      </c>
      <c r="AB82" s="117">
        <v>0</v>
      </c>
      <c r="AC82" s="117">
        <v>0</v>
      </c>
      <c r="AD82" s="117">
        <v>0</v>
      </c>
      <c r="AE82" s="117">
        <v>0</v>
      </c>
      <c r="AF82" s="117">
        <v>0</v>
      </c>
      <c r="AG82" s="117">
        <v>0</v>
      </c>
    </row>
    <row r="83" spans="1:33" x14ac:dyDescent="0.3">
      <c r="A83" s="10" t="s">
        <v>799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  <c r="O83" s="117">
        <v>0</v>
      </c>
      <c r="P83" s="117">
        <v>0</v>
      </c>
      <c r="Q83" s="117">
        <v>0</v>
      </c>
      <c r="R83" s="117">
        <v>0</v>
      </c>
      <c r="S83" s="117">
        <v>0</v>
      </c>
      <c r="T83" s="117">
        <v>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v>0</v>
      </c>
      <c r="AD83" s="117">
        <v>0</v>
      </c>
      <c r="AE83" s="117">
        <v>0</v>
      </c>
      <c r="AF83" s="117">
        <v>0</v>
      </c>
      <c r="AG83" s="117">
        <v>0</v>
      </c>
    </row>
    <row r="84" spans="1:33" x14ac:dyDescent="0.3">
      <c r="A84" s="10" t="s">
        <v>798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  <c r="O84" s="117">
        <v>0</v>
      </c>
      <c r="P84" s="117">
        <v>0</v>
      </c>
      <c r="Q84" s="117">
        <v>0</v>
      </c>
      <c r="R84" s="117">
        <v>0</v>
      </c>
      <c r="S84" s="117">
        <v>0</v>
      </c>
      <c r="T84" s="117">
        <v>0</v>
      </c>
      <c r="U84" s="117">
        <v>0</v>
      </c>
      <c r="V84" s="117">
        <v>0</v>
      </c>
      <c r="W84" s="117">
        <v>0</v>
      </c>
      <c r="X84" s="117">
        <v>0</v>
      </c>
      <c r="Y84" s="117">
        <v>0</v>
      </c>
      <c r="Z84" s="117">
        <v>0</v>
      </c>
      <c r="AA84" s="117">
        <v>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v>0</v>
      </c>
    </row>
    <row r="85" spans="1:33" x14ac:dyDescent="0.3">
      <c r="A85" s="10" t="s">
        <v>946</v>
      </c>
      <c r="B85" s="117">
        <v>19.614999999999998</v>
      </c>
      <c r="C85" s="117">
        <v>0</v>
      </c>
      <c r="D85" s="117">
        <v>0</v>
      </c>
      <c r="E85" s="117">
        <v>19.745000000000001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  <c r="O85" s="117">
        <v>0</v>
      </c>
      <c r="P85" s="117">
        <v>0</v>
      </c>
      <c r="Q85" s="117">
        <v>0</v>
      </c>
      <c r="R85" s="117">
        <v>0</v>
      </c>
      <c r="S85" s="117">
        <v>15.71</v>
      </c>
      <c r="T85" s="117">
        <v>22.026</v>
      </c>
      <c r="U85" s="117">
        <v>17.564</v>
      </c>
      <c r="V85" s="117">
        <v>12.718999999999999</v>
      </c>
      <c r="W85" s="117">
        <v>13.939</v>
      </c>
      <c r="X85" s="117">
        <v>25.894999999999996</v>
      </c>
      <c r="Y85" s="117">
        <v>19.511999999999997</v>
      </c>
      <c r="Z85" s="117">
        <v>0</v>
      </c>
      <c r="AA85" s="117">
        <v>4.6609999999999996</v>
      </c>
      <c r="AB85" s="117">
        <v>5.6319999999999997</v>
      </c>
      <c r="AC85" s="117">
        <v>11.061</v>
      </c>
      <c r="AD85" s="117">
        <v>16.350999999999999</v>
      </c>
      <c r="AE85" s="117">
        <v>18.907</v>
      </c>
      <c r="AF85" s="117">
        <v>32.19</v>
      </c>
      <c r="AG85" s="117">
        <v>8.2428064516129034</v>
      </c>
    </row>
    <row r="86" spans="1:33" x14ac:dyDescent="0.3">
      <c r="A86" s="10" t="s">
        <v>950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  <c r="O86" s="117">
        <v>0</v>
      </c>
      <c r="P86" s="117">
        <v>0</v>
      </c>
      <c r="Q86" s="117">
        <v>0</v>
      </c>
      <c r="R86" s="117">
        <v>0</v>
      </c>
      <c r="S86" s="117">
        <v>0</v>
      </c>
      <c r="T86" s="117">
        <v>0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v>0</v>
      </c>
      <c r="AD86" s="117">
        <v>0</v>
      </c>
      <c r="AE86" s="117">
        <v>0</v>
      </c>
      <c r="AF86" s="117">
        <v>0</v>
      </c>
      <c r="AG86" s="117">
        <v>0</v>
      </c>
    </row>
    <row r="87" spans="1:33" x14ac:dyDescent="0.3">
      <c r="A87" s="10" t="s">
        <v>810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  <c r="O87" s="117">
        <v>0</v>
      </c>
      <c r="P87" s="117">
        <v>0</v>
      </c>
      <c r="Q87" s="117">
        <v>0</v>
      </c>
      <c r="R87" s="117">
        <v>0</v>
      </c>
      <c r="S87" s="117">
        <v>0</v>
      </c>
      <c r="T87" s="117">
        <v>0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7">
        <v>0</v>
      </c>
      <c r="AA87" s="117">
        <v>0</v>
      </c>
      <c r="AB87" s="117">
        <v>0</v>
      </c>
      <c r="AC87" s="117">
        <v>0</v>
      </c>
      <c r="AD87" s="117">
        <v>0</v>
      </c>
      <c r="AE87" s="117">
        <v>0</v>
      </c>
      <c r="AF87" s="117">
        <v>0</v>
      </c>
      <c r="AG87" s="117">
        <v>0</v>
      </c>
    </row>
    <row r="88" spans="1:33" x14ac:dyDescent="0.3">
      <c r="A88" s="10" t="s">
        <v>955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  <c r="O88" s="117">
        <v>0</v>
      </c>
      <c r="P88" s="117">
        <v>0</v>
      </c>
      <c r="Q88" s="117">
        <v>0</v>
      </c>
      <c r="R88" s="117">
        <v>0</v>
      </c>
      <c r="S88" s="117">
        <v>0</v>
      </c>
      <c r="T88" s="117">
        <v>0</v>
      </c>
      <c r="U88" s="117">
        <v>0</v>
      </c>
      <c r="V88" s="117">
        <v>0</v>
      </c>
      <c r="W88" s="117">
        <v>1.9089999999999998</v>
      </c>
      <c r="X88" s="117">
        <v>0</v>
      </c>
      <c r="Y88" s="117">
        <v>0</v>
      </c>
      <c r="Z88" s="117">
        <v>0</v>
      </c>
      <c r="AA88" s="117">
        <v>0</v>
      </c>
      <c r="AB88" s="117">
        <v>0</v>
      </c>
      <c r="AC88" s="117">
        <v>0</v>
      </c>
      <c r="AD88" s="117">
        <v>0</v>
      </c>
      <c r="AE88" s="117">
        <v>0</v>
      </c>
      <c r="AF88" s="117">
        <v>0</v>
      </c>
      <c r="AG88" s="117">
        <v>6.1580645161290318E-2</v>
      </c>
    </row>
    <row r="89" spans="1:33" x14ac:dyDescent="0.3">
      <c r="A89" s="10" t="s">
        <v>800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  <c r="O89" s="117">
        <v>0</v>
      </c>
      <c r="P89" s="117">
        <v>0</v>
      </c>
      <c r="Q89" s="117">
        <v>0</v>
      </c>
      <c r="R89" s="117">
        <v>0</v>
      </c>
      <c r="S89" s="117">
        <v>0</v>
      </c>
      <c r="T89" s="117">
        <v>0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  <c r="Z89" s="117">
        <v>0</v>
      </c>
      <c r="AA89" s="117">
        <v>0</v>
      </c>
      <c r="AB89" s="117">
        <v>0</v>
      </c>
      <c r="AC89" s="117">
        <v>0</v>
      </c>
      <c r="AD89" s="117">
        <v>0</v>
      </c>
      <c r="AE89" s="117">
        <v>0</v>
      </c>
      <c r="AF89" s="117">
        <v>0</v>
      </c>
      <c r="AG89" s="117">
        <v>0</v>
      </c>
    </row>
    <row r="90" spans="1:33" x14ac:dyDescent="0.3">
      <c r="A90" s="10" t="s">
        <v>771</v>
      </c>
      <c r="B90" s="117">
        <v>312.08500000000004</v>
      </c>
      <c r="C90" s="117">
        <v>176.08</v>
      </c>
      <c r="D90" s="117">
        <v>413.55999999999995</v>
      </c>
      <c r="E90" s="117">
        <v>513.29999999999995</v>
      </c>
      <c r="F90" s="117">
        <v>450.40499999999997</v>
      </c>
      <c r="G90" s="117">
        <v>843.654</v>
      </c>
      <c r="H90" s="117">
        <v>651.58400000000006</v>
      </c>
      <c r="I90" s="117">
        <v>301.19500000000005</v>
      </c>
      <c r="J90" s="117">
        <v>44.239999999999995</v>
      </c>
      <c r="K90" s="117">
        <v>474.63999999999987</v>
      </c>
      <c r="L90" s="117">
        <v>436.56000000000012</v>
      </c>
      <c r="M90" s="117">
        <v>1158.98</v>
      </c>
      <c r="N90" s="117">
        <v>493.69499999999988</v>
      </c>
      <c r="O90" s="117">
        <v>436.39000000000004</v>
      </c>
      <c r="P90" s="117">
        <v>674.50999999999988</v>
      </c>
      <c r="Q90" s="117">
        <v>502.86</v>
      </c>
      <c r="R90" s="117">
        <v>727.67000000000007</v>
      </c>
      <c r="S90" s="117">
        <v>569.39</v>
      </c>
      <c r="T90" s="117">
        <v>454.90999999999991</v>
      </c>
      <c r="U90" s="117">
        <v>504.69499999999988</v>
      </c>
      <c r="V90" s="117">
        <v>904.12</v>
      </c>
      <c r="W90" s="117">
        <v>209.31000000000003</v>
      </c>
      <c r="X90" s="117">
        <v>86.04</v>
      </c>
      <c r="Y90" s="117">
        <v>376.29499999999996</v>
      </c>
      <c r="Z90" s="117">
        <v>560.25999999999976</v>
      </c>
      <c r="AA90" s="117">
        <v>451.9199999999999</v>
      </c>
      <c r="AB90" s="117">
        <v>1065.05</v>
      </c>
      <c r="AC90" s="117">
        <v>429.82000000000005</v>
      </c>
      <c r="AD90" s="117">
        <v>240.22</v>
      </c>
      <c r="AE90" s="117">
        <v>153.53</v>
      </c>
      <c r="AF90" s="117">
        <v>254.89000000000001</v>
      </c>
      <c r="AG90" s="117">
        <v>479.73735483870973</v>
      </c>
    </row>
    <row r="91" spans="1:33" x14ac:dyDescent="0.3">
      <c r="A91" s="10" t="s">
        <v>944</v>
      </c>
      <c r="B91" s="117">
        <v>8.26</v>
      </c>
      <c r="C91" s="117">
        <v>6.63</v>
      </c>
      <c r="D91" s="117">
        <v>5.4</v>
      </c>
      <c r="E91" s="117">
        <v>0</v>
      </c>
      <c r="F91" s="117">
        <v>4.05</v>
      </c>
      <c r="G91" s="117">
        <v>0</v>
      </c>
      <c r="H91" s="117">
        <v>0</v>
      </c>
      <c r="I91" s="117">
        <v>15.079999999999998</v>
      </c>
      <c r="J91" s="117">
        <v>0</v>
      </c>
      <c r="K91" s="117">
        <v>0</v>
      </c>
      <c r="L91" s="117">
        <v>0</v>
      </c>
      <c r="M91" s="117">
        <v>6.56</v>
      </c>
      <c r="N91" s="117">
        <v>0</v>
      </c>
      <c r="O91" s="117">
        <v>13.63</v>
      </c>
      <c r="P91" s="117">
        <v>13.05</v>
      </c>
      <c r="Q91" s="117">
        <v>6.81</v>
      </c>
      <c r="R91" s="117">
        <v>5.95</v>
      </c>
      <c r="S91" s="117">
        <v>0</v>
      </c>
      <c r="T91" s="117">
        <v>0</v>
      </c>
      <c r="U91" s="117">
        <v>0</v>
      </c>
      <c r="V91" s="117">
        <v>0</v>
      </c>
      <c r="W91" s="117">
        <v>0</v>
      </c>
      <c r="X91" s="117">
        <v>6.14</v>
      </c>
      <c r="Y91" s="117">
        <v>10.43</v>
      </c>
      <c r="Z91" s="117">
        <v>0</v>
      </c>
      <c r="AA91" s="117">
        <v>0</v>
      </c>
      <c r="AB91" s="117">
        <v>19.619999999999997</v>
      </c>
      <c r="AC91" s="117">
        <v>4.62</v>
      </c>
      <c r="AD91" s="117">
        <v>18.43</v>
      </c>
      <c r="AE91" s="117">
        <v>7.14</v>
      </c>
      <c r="AF91" s="117">
        <v>8.9700000000000006</v>
      </c>
      <c r="AG91" s="117">
        <v>5.1861290322580649</v>
      </c>
    </row>
    <row r="92" spans="1:33" x14ac:dyDescent="0.3">
      <c r="A92" s="10" t="s">
        <v>922</v>
      </c>
      <c r="B92" s="117">
        <v>71.009999999999991</v>
      </c>
      <c r="C92" s="117">
        <v>24.55</v>
      </c>
      <c r="D92" s="117">
        <v>61.79</v>
      </c>
      <c r="E92" s="117">
        <v>8.759999999999998</v>
      </c>
      <c r="F92" s="117">
        <v>0.22</v>
      </c>
      <c r="G92" s="117">
        <v>7.0000000000000007E-2</v>
      </c>
      <c r="H92" s="117">
        <v>0</v>
      </c>
      <c r="I92" s="117">
        <v>156.91999999999999</v>
      </c>
      <c r="J92" s="117">
        <v>0</v>
      </c>
      <c r="K92" s="117">
        <v>23.66</v>
      </c>
      <c r="L92" s="117">
        <v>11.530000000000001</v>
      </c>
      <c r="M92" s="117">
        <v>13.629999999999999</v>
      </c>
      <c r="N92" s="117">
        <v>22.47</v>
      </c>
      <c r="O92" s="117">
        <v>0</v>
      </c>
      <c r="P92" s="117">
        <v>3.84</v>
      </c>
      <c r="Q92" s="117">
        <v>0</v>
      </c>
      <c r="R92" s="117">
        <v>0</v>
      </c>
      <c r="S92" s="117">
        <v>77.199999999999989</v>
      </c>
      <c r="T92" s="117">
        <v>54.820000000000007</v>
      </c>
      <c r="U92" s="117">
        <v>53.249999999999993</v>
      </c>
      <c r="V92" s="117">
        <v>34.489999999999995</v>
      </c>
      <c r="W92" s="117">
        <v>25</v>
      </c>
      <c r="X92" s="117">
        <v>56.820000000000007</v>
      </c>
      <c r="Y92" s="117">
        <v>23.240000000000002</v>
      </c>
      <c r="Z92" s="117">
        <v>6.0000000000000005E-2</v>
      </c>
      <c r="AA92" s="117">
        <v>0.03</v>
      </c>
      <c r="AB92" s="117">
        <v>47.95</v>
      </c>
      <c r="AC92" s="117">
        <v>29.85</v>
      </c>
      <c r="AD92" s="117">
        <v>40.39</v>
      </c>
      <c r="AE92" s="117">
        <v>17.650000000000002</v>
      </c>
      <c r="AF92" s="117">
        <v>27.919999999999998</v>
      </c>
      <c r="AG92" s="117">
        <v>28.616774193548387</v>
      </c>
    </row>
    <row r="93" spans="1:33" x14ac:dyDescent="0.3">
      <c r="A93" s="10" t="s">
        <v>796</v>
      </c>
      <c r="B93" s="117">
        <v>0</v>
      </c>
      <c r="C93" s="117">
        <v>39.497999999999998</v>
      </c>
      <c r="D93" s="117">
        <v>0</v>
      </c>
      <c r="E93" s="117">
        <v>0</v>
      </c>
      <c r="F93" s="117">
        <v>29.495999999999999</v>
      </c>
      <c r="G93" s="117">
        <v>30.722000000000001</v>
      </c>
      <c r="H93" s="117">
        <v>0</v>
      </c>
      <c r="I93" s="117">
        <v>0</v>
      </c>
      <c r="J93" s="117">
        <v>0</v>
      </c>
      <c r="K93" s="117">
        <v>36.649000000000001</v>
      </c>
      <c r="L93" s="117">
        <v>0</v>
      </c>
      <c r="M93" s="117">
        <v>30.099</v>
      </c>
      <c r="N93" s="117">
        <v>0</v>
      </c>
      <c r="O93" s="117">
        <v>0</v>
      </c>
      <c r="P93" s="117">
        <v>0</v>
      </c>
      <c r="Q93" s="117">
        <v>45.727000000000004</v>
      </c>
      <c r="R93" s="117">
        <v>0</v>
      </c>
      <c r="S93" s="117">
        <v>0</v>
      </c>
      <c r="T93" s="117">
        <v>0</v>
      </c>
      <c r="U93" s="117">
        <v>38.853999999999999</v>
      </c>
      <c r="V93" s="117">
        <v>0</v>
      </c>
      <c r="W93" s="117">
        <v>0</v>
      </c>
      <c r="X93" s="117">
        <v>39.100999999999999</v>
      </c>
      <c r="Y93" s="117">
        <v>39.692</v>
      </c>
      <c r="Z93" s="117">
        <v>0</v>
      </c>
      <c r="AA93" s="117">
        <v>0</v>
      </c>
      <c r="AB93" s="117">
        <v>38.968000000000004</v>
      </c>
      <c r="AC93" s="117">
        <v>3.7370000000000001</v>
      </c>
      <c r="AD93" s="117">
        <v>0</v>
      </c>
      <c r="AE93" s="117">
        <v>38.750999999999998</v>
      </c>
      <c r="AF93" s="117">
        <v>0</v>
      </c>
      <c r="AG93" s="117">
        <v>13.267548387096776</v>
      </c>
    </row>
    <row r="94" spans="1:33" x14ac:dyDescent="0.3">
      <c r="A94" s="10" t="s">
        <v>742</v>
      </c>
      <c r="B94" s="117">
        <v>36.6</v>
      </c>
      <c r="C94" s="117">
        <v>42.725000000000001</v>
      </c>
      <c r="D94" s="117">
        <v>9.82</v>
      </c>
      <c r="E94" s="117">
        <v>12.751000000000001</v>
      </c>
      <c r="F94" s="117">
        <v>57.54</v>
      </c>
      <c r="G94" s="117">
        <v>7.5960000000000001</v>
      </c>
      <c r="H94" s="117">
        <v>12.021999999999998</v>
      </c>
      <c r="I94" s="117">
        <v>2.7170000000000001</v>
      </c>
      <c r="J94" s="117">
        <v>0</v>
      </c>
      <c r="K94" s="117">
        <v>52.349999999999994</v>
      </c>
      <c r="L94" s="117">
        <v>15.298999999999999</v>
      </c>
      <c r="M94" s="117">
        <v>16.183</v>
      </c>
      <c r="N94" s="117">
        <v>12.983000000000001</v>
      </c>
      <c r="O94" s="117">
        <v>54.628</v>
      </c>
      <c r="P94" s="117">
        <v>15.938000000000002</v>
      </c>
      <c r="Q94" s="117">
        <v>16.172000000000001</v>
      </c>
      <c r="R94" s="117">
        <v>5.3999999999999999E-2</v>
      </c>
      <c r="S94" s="117">
        <v>25.088000000000001</v>
      </c>
      <c r="T94" s="117">
        <v>8.6669999999999998</v>
      </c>
      <c r="U94" s="117">
        <v>4.9649999999999999</v>
      </c>
      <c r="V94" s="117">
        <v>17.931000000000001</v>
      </c>
      <c r="W94" s="117">
        <v>8.0399999999999991</v>
      </c>
      <c r="X94" s="117">
        <v>2.972</v>
      </c>
      <c r="Y94" s="117">
        <v>2.4649999999999999</v>
      </c>
      <c r="Z94" s="117">
        <v>9.4460000000000015</v>
      </c>
      <c r="AA94" s="117">
        <v>1.8409999999999997</v>
      </c>
      <c r="AB94" s="117">
        <v>1E-3</v>
      </c>
      <c r="AC94" s="117">
        <v>23.402999999999999</v>
      </c>
      <c r="AD94" s="117">
        <v>15.333</v>
      </c>
      <c r="AE94" s="117">
        <v>14.038</v>
      </c>
      <c r="AF94" s="117">
        <v>10.672000000000001</v>
      </c>
      <c r="AG94" s="117">
        <v>16.459354838709679</v>
      </c>
    </row>
    <row r="95" spans="1:33" x14ac:dyDescent="0.3">
      <c r="A95" s="10" t="s">
        <v>963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  <c r="O95" s="117">
        <v>0</v>
      </c>
      <c r="P95" s="117">
        <v>0</v>
      </c>
      <c r="Q95" s="117">
        <v>0</v>
      </c>
      <c r="R95" s="117">
        <v>0</v>
      </c>
      <c r="S95" s="117">
        <v>0</v>
      </c>
      <c r="T95" s="117">
        <v>0</v>
      </c>
      <c r="U95" s="117">
        <v>0</v>
      </c>
      <c r="V95" s="117">
        <v>0</v>
      </c>
      <c r="W95" s="117">
        <v>0</v>
      </c>
      <c r="X95" s="117">
        <v>0</v>
      </c>
      <c r="Y95" s="117">
        <v>0</v>
      </c>
      <c r="Z95" s="117">
        <v>0</v>
      </c>
      <c r="AA95" s="117">
        <v>0</v>
      </c>
      <c r="AB95" s="117">
        <v>0</v>
      </c>
      <c r="AC95" s="117">
        <v>0</v>
      </c>
      <c r="AD95" s="117">
        <v>0</v>
      </c>
      <c r="AE95" s="117">
        <v>0</v>
      </c>
      <c r="AF95" s="117">
        <v>0</v>
      </c>
      <c r="AG95" s="117">
        <v>0</v>
      </c>
    </row>
    <row r="96" spans="1:33" x14ac:dyDescent="0.3">
      <c r="A96" s="10" t="s">
        <v>940</v>
      </c>
      <c r="B96" s="117">
        <v>0</v>
      </c>
      <c r="C96" s="117">
        <v>17.2</v>
      </c>
      <c r="D96" s="117">
        <v>40.310000000000009</v>
      </c>
      <c r="E96" s="117">
        <v>5.8999999999999995</v>
      </c>
      <c r="F96" s="117">
        <v>0.08</v>
      </c>
      <c r="G96" s="117">
        <v>0.02</v>
      </c>
      <c r="H96" s="117">
        <v>6.0000000000000005E-2</v>
      </c>
      <c r="I96" s="117">
        <v>0</v>
      </c>
      <c r="J96" s="117">
        <v>0</v>
      </c>
      <c r="K96" s="117">
        <v>0.02</v>
      </c>
      <c r="L96" s="117">
        <v>0</v>
      </c>
      <c r="M96" s="117">
        <v>0</v>
      </c>
      <c r="N96" s="117">
        <v>0</v>
      </c>
      <c r="O96" s="117">
        <v>0</v>
      </c>
      <c r="P96" s="117">
        <v>0</v>
      </c>
      <c r="Q96" s="117">
        <v>0</v>
      </c>
      <c r="R96" s="117">
        <v>0</v>
      </c>
      <c r="S96" s="117">
        <v>161.59400000000002</v>
      </c>
      <c r="T96" s="117">
        <v>0</v>
      </c>
      <c r="U96" s="117">
        <v>0</v>
      </c>
      <c r="V96" s="117">
        <v>0</v>
      </c>
      <c r="W96" s="117">
        <v>0</v>
      </c>
      <c r="X96" s="117">
        <v>0</v>
      </c>
      <c r="Y96" s="117">
        <v>0</v>
      </c>
      <c r="Z96" s="117">
        <v>0</v>
      </c>
      <c r="AA96" s="117">
        <v>17.32</v>
      </c>
      <c r="AB96" s="117">
        <v>18.14</v>
      </c>
      <c r="AC96" s="117">
        <v>24.959999999999997</v>
      </c>
      <c r="AD96" s="117">
        <v>18.489999999999998</v>
      </c>
      <c r="AE96" s="117">
        <v>18.581</v>
      </c>
      <c r="AF96" s="117">
        <v>0</v>
      </c>
      <c r="AG96" s="117">
        <v>10.408870967741937</v>
      </c>
    </row>
    <row r="97" spans="1:33" x14ac:dyDescent="0.3">
      <c r="A97" s="10" t="s">
        <v>743</v>
      </c>
      <c r="B97" s="117">
        <v>3.008</v>
      </c>
      <c r="C97" s="117">
        <v>3.4609999999999999</v>
      </c>
      <c r="D97" s="117">
        <v>4.1529999999999996</v>
      </c>
      <c r="E97" s="117">
        <v>4.1669999999999998</v>
      </c>
      <c r="F97" s="117">
        <v>3.7349999999999999</v>
      </c>
      <c r="G97" s="117">
        <v>3.0110000000000001</v>
      </c>
      <c r="H97" s="117">
        <v>5.4740000000000002</v>
      </c>
      <c r="I97" s="117">
        <v>4.274</v>
      </c>
      <c r="J97" s="117">
        <v>2.6859999999999999</v>
      </c>
      <c r="K97" s="117">
        <v>4.431</v>
      </c>
      <c r="L97" s="117">
        <v>4.056</v>
      </c>
      <c r="M97" s="117">
        <v>3.9409999999999998</v>
      </c>
      <c r="N97" s="117">
        <v>6.2970000000000006</v>
      </c>
      <c r="O97" s="117">
        <v>10.207000000000001</v>
      </c>
      <c r="P97" s="117">
        <v>19.047000000000001</v>
      </c>
      <c r="Q97" s="117">
        <v>3.202</v>
      </c>
      <c r="R97" s="117">
        <v>9.3840000000000003</v>
      </c>
      <c r="S97" s="117">
        <v>11.791</v>
      </c>
      <c r="T97" s="117">
        <v>5.5579999999999998</v>
      </c>
      <c r="U97" s="117">
        <v>4.2510000000000003</v>
      </c>
      <c r="V97" s="117">
        <v>6.1739999999999995</v>
      </c>
      <c r="W97" s="117">
        <v>3.9630000000000001</v>
      </c>
      <c r="X97" s="117">
        <v>2.36</v>
      </c>
      <c r="Y97" s="117">
        <v>2.5</v>
      </c>
      <c r="Z97" s="117">
        <v>2.7069999999999999</v>
      </c>
      <c r="AA97" s="117">
        <v>3.5459999999999998</v>
      </c>
      <c r="AB97" s="117">
        <v>10.368</v>
      </c>
      <c r="AC97" s="117">
        <v>4.1240000000000006</v>
      </c>
      <c r="AD97" s="117">
        <v>3.1469999999999998</v>
      </c>
      <c r="AE97" s="117">
        <v>0</v>
      </c>
      <c r="AF97" s="117">
        <v>0</v>
      </c>
      <c r="AG97" s="117">
        <v>5.0007419354838714</v>
      </c>
    </row>
    <row r="98" spans="1:33" x14ac:dyDescent="0.3">
      <c r="A98" s="10" t="s">
        <v>912</v>
      </c>
      <c r="B98" s="117">
        <v>2.97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10.8</v>
      </c>
      <c r="M98" s="117">
        <v>14.309999999999999</v>
      </c>
      <c r="N98" s="117">
        <v>0</v>
      </c>
      <c r="O98" s="117">
        <v>0</v>
      </c>
      <c r="P98" s="117">
        <v>0</v>
      </c>
      <c r="Q98" s="117">
        <v>0</v>
      </c>
      <c r="R98" s="117">
        <v>20.060000000000002</v>
      </c>
      <c r="S98" s="117">
        <v>7.07</v>
      </c>
      <c r="T98" s="117">
        <v>0</v>
      </c>
      <c r="U98" s="117">
        <v>11.18</v>
      </c>
      <c r="V98" s="117">
        <v>25.41</v>
      </c>
      <c r="W98" s="117">
        <v>18.25</v>
      </c>
      <c r="X98" s="117">
        <v>0</v>
      </c>
      <c r="Y98" s="117">
        <v>0</v>
      </c>
      <c r="Z98" s="117">
        <v>0</v>
      </c>
      <c r="AA98" s="117">
        <v>0</v>
      </c>
      <c r="AB98" s="117">
        <v>0</v>
      </c>
      <c r="AC98" s="117">
        <v>10.39</v>
      </c>
      <c r="AD98" s="117">
        <v>8.43</v>
      </c>
      <c r="AE98" s="117">
        <v>0</v>
      </c>
      <c r="AF98" s="117">
        <v>4.75</v>
      </c>
      <c r="AG98" s="117">
        <v>4.3103225806451615</v>
      </c>
    </row>
    <row r="99" spans="1:33" x14ac:dyDescent="0.3">
      <c r="A99" s="10" t="s">
        <v>744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  <c r="O99" s="117">
        <v>0</v>
      </c>
      <c r="P99" s="117">
        <v>0</v>
      </c>
      <c r="Q99" s="117">
        <v>0</v>
      </c>
      <c r="R99" s="117">
        <v>0</v>
      </c>
      <c r="S99" s="117">
        <v>0</v>
      </c>
      <c r="T99" s="117">
        <v>0</v>
      </c>
      <c r="U99" s="117">
        <v>0</v>
      </c>
      <c r="V99" s="117">
        <v>0</v>
      </c>
      <c r="W99" s="117">
        <v>0</v>
      </c>
      <c r="X99" s="117">
        <v>0</v>
      </c>
      <c r="Y99" s="117">
        <v>0</v>
      </c>
      <c r="Z99" s="117">
        <v>0</v>
      </c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3.0350000000000001</v>
      </c>
      <c r="AG99" s="117">
        <v>9.7903225806451624E-2</v>
      </c>
    </row>
    <row r="100" spans="1:33" x14ac:dyDescent="0.3">
      <c r="A100" s="10" t="s">
        <v>913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</v>
      </c>
      <c r="K100" s="117">
        <v>0</v>
      </c>
      <c r="L100" s="117">
        <v>0</v>
      </c>
      <c r="M100" s="117">
        <v>0</v>
      </c>
      <c r="N100" s="117">
        <v>0</v>
      </c>
      <c r="O100" s="117">
        <v>0</v>
      </c>
      <c r="P100" s="117">
        <v>0</v>
      </c>
      <c r="Q100" s="117">
        <v>0</v>
      </c>
      <c r="R100" s="117">
        <v>0</v>
      </c>
      <c r="S100" s="117">
        <v>0</v>
      </c>
      <c r="T100" s="117">
        <v>0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7">
        <v>0</v>
      </c>
      <c r="AA100" s="117">
        <v>0</v>
      </c>
      <c r="AB100" s="117">
        <v>0</v>
      </c>
      <c r="AC100" s="117">
        <v>0</v>
      </c>
      <c r="AD100" s="117">
        <v>0</v>
      </c>
      <c r="AE100" s="117">
        <v>0</v>
      </c>
      <c r="AF100" s="117">
        <v>0</v>
      </c>
      <c r="AG100" s="117">
        <v>0</v>
      </c>
    </row>
    <row r="101" spans="1:33" x14ac:dyDescent="0.3">
      <c r="A101" s="10" t="s">
        <v>789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0</v>
      </c>
      <c r="O101" s="117">
        <v>0</v>
      </c>
      <c r="P101" s="117">
        <v>0</v>
      </c>
      <c r="Q101" s="117">
        <v>0</v>
      </c>
      <c r="R101" s="117">
        <v>0</v>
      </c>
      <c r="S101" s="117">
        <v>0</v>
      </c>
      <c r="T101" s="117">
        <v>0</v>
      </c>
      <c r="U101" s="117">
        <v>0</v>
      </c>
      <c r="V101" s="117">
        <v>0</v>
      </c>
      <c r="W101" s="117">
        <v>0</v>
      </c>
      <c r="X101" s="117">
        <v>0</v>
      </c>
      <c r="Y101" s="117">
        <v>0</v>
      </c>
      <c r="Z101" s="117">
        <v>0</v>
      </c>
      <c r="AA101" s="117">
        <v>0</v>
      </c>
      <c r="AB101" s="117">
        <v>0</v>
      </c>
      <c r="AC101" s="117">
        <v>0</v>
      </c>
      <c r="AD101" s="117">
        <v>0</v>
      </c>
      <c r="AE101" s="117">
        <v>0</v>
      </c>
      <c r="AF101" s="117">
        <v>0</v>
      </c>
      <c r="AG101" s="117">
        <v>0</v>
      </c>
    </row>
    <row r="102" spans="1:33" x14ac:dyDescent="0.3">
      <c r="A102" s="10" t="s">
        <v>843</v>
      </c>
      <c r="B102" s="11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10.539</v>
      </c>
      <c r="I102" s="117">
        <v>5.25</v>
      </c>
      <c r="J102" s="117">
        <v>12.55</v>
      </c>
      <c r="K102" s="117">
        <v>0</v>
      </c>
      <c r="L102" s="117">
        <v>0</v>
      </c>
      <c r="M102" s="117">
        <v>0</v>
      </c>
      <c r="N102" s="117">
        <v>9.129999999999999</v>
      </c>
      <c r="O102" s="117">
        <v>0</v>
      </c>
      <c r="P102" s="117">
        <v>4.08</v>
      </c>
      <c r="Q102" s="117">
        <v>0</v>
      </c>
      <c r="R102" s="117">
        <v>0</v>
      </c>
      <c r="S102" s="117">
        <v>0</v>
      </c>
      <c r="T102" s="117">
        <v>0</v>
      </c>
      <c r="U102" s="117">
        <v>0</v>
      </c>
      <c r="V102" s="117">
        <v>0</v>
      </c>
      <c r="W102" s="117">
        <v>0</v>
      </c>
      <c r="X102" s="117">
        <v>5.97</v>
      </c>
      <c r="Y102" s="117">
        <v>0</v>
      </c>
      <c r="Z102" s="117">
        <v>0</v>
      </c>
      <c r="AA102" s="117">
        <v>0</v>
      </c>
      <c r="AB102" s="117">
        <v>0</v>
      </c>
      <c r="AC102" s="117">
        <v>0</v>
      </c>
      <c r="AD102" s="117">
        <v>0</v>
      </c>
      <c r="AE102" s="117">
        <v>0</v>
      </c>
      <c r="AF102" s="117">
        <v>0</v>
      </c>
      <c r="AG102" s="117">
        <v>1.5328709677419352</v>
      </c>
    </row>
    <row r="103" spans="1:33" x14ac:dyDescent="0.3">
      <c r="A103" s="10" t="s">
        <v>783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</v>
      </c>
      <c r="J103" s="117">
        <v>0</v>
      </c>
      <c r="K103" s="117">
        <v>0</v>
      </c>
      <c r="L103" s="117">
        <v>0</v>
      </c>
      <c r="M103" s="117">
        <v>0</v>
      </c>
      <c r="N103" s="117">
        <v>0</v>
      </c>
      <c r="O103" s="117">
        <v>0</v>
      </c>
      <c r="P103" s="117">
        <v>0</v>
      </c>
      <c r="Q103" s="117">
        <v>0</v>
      </c>
      <c r="R103" s="117">
        <v>0</v>
      </c>
      <c r="S103" s="117">
        <v>0</v>
      </c>
      <c r="T103" s="117">
        <v>0</v>
      </c>
      <c r="U103" s="117">
        <v>0</v>
      </c>
      <c r="V103" s="117">
        <v>0</v>
      </c>
      <c r="W103" s="117">
        <v>0</v>
      </c>
      <c r="X103" s="117">
        <v>0</v>
      </c>
      <c r="Y103" s="117">
        <v>0</v>
      </c>
      <c r="Z103" s="117">
        <v>0</v>
      </c>
      <c r="AA103" s="117">
        <v>26.003999999999998</v>
      </c>
      <c r="AB103" s="117">
        <v>0</v>
      </c>
      <c r="AC103" s="117">
        <v>0</v>
      </c>
      <c r="AD103" s="117">
        <v>0</v>
      </c>
      <c r="AE103" s="117">
        <v>0</v>
      </c>
      <c r="AF103" s="117">
        <v>0</v>
      </c>
      <c r="AG103" s="117">
        <v>0.83883870967741925</v>
      </c>
    </row>
    <row r="104" spans="1:33" x14ac:dyDescent="0.3">
      <c r="A104" s="10" t="s">
        <v>883</v>
      </c>
      <c r="B104" s="117">
        <v>0</v>
      </c>
      <c r="C104" s="117">
        <v>0</v>
      </c>
      <c r="D104" s="117">
        <v>0</v>
      </c>
      <c r="E104" s="117">
        <v>0</v>
      </c>
      <c r="F104" s="117">
        <v>0</v>
      </c>
      <c r="G104" s="117">
        <v>0</v>
      </c>
      <c r="H104" s="117">
        <v>0</v>
      </c>
      <c r="I104" s="117">
        <v>0</v>
      </c>
      <c r="J104" s="117">
        <v>0</v>
      </c>
      <c r="K104" s="117">
        <v>0</v>
      </c>
      <c r="L104" s="117">
        <v>0</v>
      </c>
      <c r="M104" s="117">
        <v>0</v>
      </c>
      <c r="N104" s="117">
        <v>0</v>
      </c>
      <c r="O104" s="117">
        <v>0</v>
      </c>
      <c r="P104" s="117">
        <v>0</v>
      </c>
      <c r="Q104" s="117">
        <v>0</v>
      </c>
      <c r="R104" s="117">
        <v>0</v>
      </c>
      <c r="S104" s="117">
        <v>0</v>
      </c>
      <c r="T104" s="117">
        <v>0</v>
      </c>
      <c r="U104" s="117">
        <v>0</v>
      </c>
      <c r="V104" s="117">
        <v>0</v>
      </c>
      <c r="W104" s="117">
        <v>0</v>
      </c>
      <c r="X104" s="117">
        <v>0</v>
      </c>
      <c r="Y104" s="117">
        <v>0</v>
      </c>
      <c r="Z104" s="117">
        <v>0</v>
      </c>
      <c r="AA104" s="117">
        <v>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v>0</v>
      </c>
    </row>
    <row r="105" spans="1:33" x14ac:dyDescent="0.3">
      <c r="A105" s="10" t="s">
        <v>788</v>
      </c>
      <c r="B105" s="117">
        <v>0</v>
      </c>
      <c r="C105" s="117">
        <v>0</v>
      </c>
      <c r="D105" s="117">
        <v>0</v>
      </c>
      <c r="E105" s="117">
        <v>0</v>
      </c>
      <c r="F105" s="117">
        <v>10.62</v>
      </c>
      <c r="G105" s="117">
        <v>0</v>
      </c>
      <c r="H105" s="117">
        <v>0</v>
      </c>
      <c r="I105" s="117">
        <v>8.41</v>
      </c>
      <c r="J105" s="117">
        <v>0</v>
      </c>
      <c r="K105" s="117">
        <v>0</v>
      </c>
      <c r="L105" s="117">
        <v>0</v>
      </c>
      <c r="M105" s="117">
        <v>0</v>
      </c>
      <c r="N105" s="117">
        <v>0</v>
      </c>
      <c r="O105" s="117">
        <v>0</v>
      </c>
      <c r="P105" s="117">
        <v>0</v>
      </c>
      <c r="Q105" s="117">
        <v>0</v>
      </c>
      <c r="R105" s="117">
        <v>5.629999999999999</v>
      </c>
      <c r="S105" s="117">
        <v>0</v>
      </c>
      <c r="T105" s="117">
        <v>0</v>
      </c>
      <c r="U105" s="117">
        <v>0</v>
      </c>
      <c r="V105" s="117">
        <v>0</v>
      </c>
      <c r="W105" s="117">
        <v>0</v>
      </c>
      <c r="X105" s="117">
        <v>0</v>
      </c>
      <c r="Y105" s="117">
        <v>0</v>
      </c>
      <c r="Z105" s="117">
        <v>0</v>
      </c>
      <c r="AA105" s="117">
        <v>0</v>
      </c>
      <c r="AB105" s="117">
        <v>0</v>
      </c>
      <c r="AC105" s="117">
        <v>0</v>
      </c>
      <c r="AD105" s="117">
        <v>0</v>
      </c>
      <c r="AE105" s="117">
        <v>0</v>
      </c>
      <c r="AF105" s="117">
        <v>0</v>
      </c>
      <c r="AG105" s="117">
        <v>0.79548387096774198</v>
      </c>
    </row>
    <row r="106" spans="1:33" x14ac:dyDescent="0.3">
      <c r="A106" s="10" t="s">
        <v>792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0</v>
      </c>
      <c r="O106" s="117">
        <v>0</v>
      </c>
      <c r="P106" s="117">
        <v>0</v>
      </c>
      <c r="Q106" s="117">
        <v>0</v>
      </c>
      <c r="R106" s="117">
        <v>0</v>
      </c>
      <c r="S106" s="117">
        <v>0</v>
      </c>
      <c r="T106" s="117">
        <v>0</v>
      </c>
      <c r="U106" s="117">
        <v>0</v>
      </c>
      <c r="V106" s="117">
        <v>0</v>
      </c>
      <c r="W106" s="117">
        <v>0</v>
      </c>
      <c r="X106" s="117">
        <v>0</v>
      </c>
      <c r="Y106" s="117">
        <v>0</v>
      </c>
      <c r="Z106" s="117">
        <v>0</v>
      </c>
      <c r="AA106" s="117">
        <v>0</v>
      </c>
      <c r="AB106" s="117">
        <v>0</v>
      </c>
      <c r="AC106" s="117">
        <v>0</v>
      </c>
      <c r="AD106" s="117">
        <v>0</v>
      </c>
      <c r="AE106" s="117">
        <v>0</v>
      </c>
      <c r="AF106" s="117">
        <v>0</v>
      </c>
      <c r="AG106" s="117">
        <v>0</v>
      </c>
    </row>
    <row r="107" spans="1:33" x14ac:dyDescent="0.3">
      <c r="A107" s="10" t="s">
        <v>824</v>
      </c>
      <c r="B107" s="117">
        <v>0</v>
      </c>
      <c r="C107" s="117">
        <v>0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</v>
      </c>
      <c r="O107" s="117">
        <v>0</v>
      </c>
      <c r="P107" s="117">
        <v>0</v>
      </c>
      <c r="Q107" s="117">
        <v>0</v>
      </c>
      <c r="R107" s="117">
        <v>0</v>
      </c>
      <c r="S107" s="117">
        <v>0</v>
      </c>
      <c r="T107" s="117">
        <v>0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v>0</v>
      </c>
      <c r="AC107" s="117">
        <v>0</v>
      </c>
      <c r="AD107" s="117">
        <v>0</v>
      </c>
      <c r="AE107" s="117">
        <v>0</v>
      </c>
      <c r="AF107" s="117">
        <v>0</v>
      </c>
      <c r="AG107" s="117">
        <v>0</v>
      </c>
    </row>
    <row r="108" spans="1:33" x14ac:dyDescent="0.3">
      <c r="A108" s="10" t="s">
        <v>784</v>
      </c>
      <c r="B108" s="117">
        <v>0</v>
      </c>
      <c r="C108" s="117">
        <v>0</v>
      </c>
      <c r="D108" s="117">
        <v>0</v>
      </c>
      <c r="E108" s="117">
        <v>0</v>
      </c>
      <c r="F108" s="117">
        <v>0</v>
      </c>
      <c r="G108" s="117">
        <v>0</v>
      </c>
      <c r="H108" s="117">
        <v>0</v>
      </c>
      <c r="I108" s="117">
        <v>0</v>
      </c>
      <c r="J108" s="117">
        <v>0</v>
      </c>
      <c r="K108" s="117">
        <v>0</v>
      </c>
      <c r="L108" s="117">
        <v>0</v>
      </c>
      <c r="M108" s="117">
        <v>0</v>
      </c>
      <c r="N108" s="117">
        <v>0</v>
      </c>
      <c r="O108" s="117">
        <v>0</v>
      </c>
      <c r="P108" s="117">
        <v>0</v>
      </c>
      <c r="Q108" s="117">
        <v>0</v>
      </c>
      <c r="R108" s="117">
        <v>0</v>
      </c>
      <c r="S108" s="117">
        <v>0</v>
      </c>
      <c r="T108" s="117">
        <v>0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  <c r="Z108" s="117">
        <v>0</v>
      </c>
      <c r="AA108" s="117">
        <v>0</v>
      </c>
      <c r="AB108" s="117">
        <v>0</v>
      </c>
      <c r="AC108" s="117">
        <v>0</v>
      </c>
      <c r="AD108" s="117">
        <v>0</v>
      </c>
      <c r="AE108" s="117">
        <v>0</v>
      </c>
      <c r="AF108" s="117">
        <v>0</v>
      </c>
      <c r="AG108" s="117">
        <v>0</v>
      </c>
    </row>
    <row r="109" spans="1:33" x14ac:dyDescent="0.3">
      <c r="A109" s="10" t="s">
        <v>951</v>
      </c>
      <c r="B109" s="117">
        <v>0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</v>
      </c>
      <c r="J109" s="117">
        <v>0</v>
      </c>
      <c r="K109" s="117">
        <v>0</v>
      </c>
      <c r="L109" s="117">
        <v>0</v>
      </c>
      <c r="M109" s="117">
        <v>0</v>
      </c>
      <c r="N109" s="117">
        <v>0</v>
      </c>
      <c r="O109" s="117">
        <v>0</v>
      </c>
      <c r="P109" s="117">
        <v>0</v>
      </c>
      <c r="Q109" s="117">
        <v>0</v>
      </c>
      <c r="R109" s="117">
        <v>0</v>
      </c>
      <c r="S109" s="117">
        <v>0</v>
      </c>
      <c r="T109" s="117">
        <v>0</v>
      </c>
      <c r="U109" s="117">
        <v>0</v>
      </c>
      <c r="V109" s="117">
        <v>0</v>
      </c>
      <c r="W109" s="117">
        <v>0</v>
      </c>
      <c r="X109" s="117">
        <v>0</v>
      </c>
      <c r="Y109" s="117">
        <v>0</v>
      </c>
      <c r="Z109" s="117">
        <v>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v>0</v>
      </c>
    </row>
    <row r="110" spans="1:33" x14ac:dyDescent="0.3">
      <c r="A110" s="10" t="s">
        <v>886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0</v>
      </c>
      <c r="K110" s="117">
        <v>0</v>
      </c>
      <c r="L110" s="117">
        <v>0</v>
      </c>
      <c r="M110" s="117">
        <v>0</v>
      </c>
      <c r="N110" s="117">
        <v>0</v>
      </c>
      <c r="O110" s="117">
        <v>0</v>
      </c>
      <c r="P110" s="117">
        <v>0</v>
      </c>
      <c r="Q110" s="117">
        <v>0</v>
      </c>
      <c r="R110" s="117">
        <v>0</v>
      </c>
      <c r="S110" s="117">
        <v>0</v>
      </c>
      <c r="T110" s="117">
        <v>0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v>0</v>
      </c>
      <c r="AA110" s="117">
        <v>0</v>
      </c>
      <c r="AB110" s="117">
        <v>0</v>
      </c>
      <c r="AC110" s="117">
        <v>0</v>
      </c>
      <c r="AD110" s="117">
        <v>0</v>
      </c>
      <c r="AE110" s="117">
        <v>0</v>
      </c>
      <c r="AF110" s="117">
        <v>0</v>
      </c>
      <c r="AG110" s="117">
        <v>0</v>
      </c>
    </row>
    <row r="111" spans="1:33" x14ac:dyDescent="0.3">
      <c r="A111" s="10" t="s">
        <v>893</v>
      </c>
      <c r="B111" s="117">
        <v>21.121000000000002</v>
      </c>
      <c r="C111" s="117">
        <v>0</v>
      </c>
      <c r="D111" s="117">
        <v>0</v>
      </c>
      <c r="E111" s="117">
        <v>8.9600000000000009</v>
      </c>
      <c r="F111" s="117">
        <v>0</v>
      </c>
      <c r="G111" s="117">
        <v>0</v>
      </c>
      <c r="H111" s="117">
        <v>0</v>
      </c>
      <c r="I111" s="117">
        <v>3.47</v>
      </c>
      <c r="J111" s="117">
        <v>0</v>
      </c>
      <c r="K111" s="117">
        <v>0</v>
      </c>
      <c r="L111" s="117">
        <v>0</v>
      </c>
      <c r="M111" s="117">
        <v>0</v>
      </c>
      <c r="N111" s="117">
        <v>0</v>
      </c>
      <c r="O111" s="117">
        <v>0</v>
      </c>
      <c r="P111" s="117">
        <v>0</v>
      </c>
      <c r="Q111" s="117">
        <v>0</v>
      </c>
      <c r="R111" s="117">
        <v>0</v>
      </c>
      <c r="S111" s="117">
        <v>4.8310000000000004</v>
      </c>
      <c r="T111" s="117">
        <v>2.899</v>
      </c>
      <c r="U111" s="117">
        <v>0</v>
      </c>
      <c r="V111" s="117">
        <v>0</v>
      </c>
      <c r="W111" s="117">
        <v>0</v>
      </c>
      <c r="X111" s="117">
        <v>0</v>
      </c>
      <c r="Y111" s="117">
        <v>0</v>
      </c>
      <c r="Z111" s="117">
        <v>8.7609999999999992</v>
      </c>
      <c r="AA111" s="117">
        <v>10.989000000000001</v>
      </c>
      <c r="AB111" s="117">
        <v>8.39</v>
      </c>
      <c r="AC111" s="117">
        <v>7.2009999999999996</v>
      </c>
      <c r="AD111" s="117">
        <v>9.0500000000000007</v>
      </c>
      <c r="AE111" s="117">
        <v>0</v>
      </c>
      <c r="AF111" s="117">
        <v>12.7</v>
      </c>
      <c r="AG111" s="117">
        <v>3.173290322580645</v>
      </c>
    </row>
    <row r="112" spans="1:33" x14ac:dyDescent="0.3">
      <c r="A112" s="10" t="s">
        <v>867</v>
      </c>
      <c r="B112" s="117">
        <v>0</v>
      </c>
      <c r="C112" s="117">
        <v>0</v>
      </c>
      <c r="D112" s="117">
        <v>0</v>
      </c>
      <c r="E112" s="117">
        <v>0</v>
      </c>
      <c r="F112" s="117">
        <v>0</v>
      </c>
      <c r="G112" s="117">
        <v>0</v>
      </c>
      <c r="H112" s="117">
        <v>0</v>
      </c>
      <c r="I112" s="117">
        <v>0</v>
      </c>
      <c r="J112" s="117">
        <v>0</v>
      </c>
      <c r="K112" s="117">
        <v>0</v>
      </c>
      <c r="L112" s="117">
        <v>0</v>
      </c>
      <c r="M112" s="117">
        <v>0</v>
      </c>
      <c r="N112" s="117">
        <v>0</v>
      </c>
      <c r="O112" s="117">
        <v>0</v>
      </c>
      <c r="P112" s="117">
        <v>0</v>
      </c>
      <c r="Q112" s="117">
        <v>0</v>
      </c>
      <c r="R112" s="117">
        <v>0</v>
      </c>
      <c r="S112" s="117">
        <v>0</v>
      </c>
      <c r="T112" s="117">
        <v>0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v>0</v>
      </c>
      <c r="AC112" s="117">
        <v>0</v>
      </c>
      <c r="AD112" s="117">
        <v>0</v>
      </c>
      <c r="AE112" s="117">
        <v>0</v>
      </c>
      <c r="AF112" s="117">
        <v>0</v>
      </c>
      <c r="AG112" s="117">
        <v>0</v>
      </c>
    </row>
    <row r="113" spans="1:33" x14ac:dyDescent="0.3">
      <c r="A113" s="10" t="s">
        <v>1013</v>
      </c>
      <c r="B113" s="117">
        <v>16.548999999999999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</v>
      </c>
      <c r="S113" s="117">
        <v>0</v>
      </c>
      <c r="T113" s="117">
        <v>0</v>
      </c>
      <c r="U113" s="117">
        <v>0</v>
      </c>
      <c r="V113" s="117">
        <v>0</v>
      </c>
      <c r="W113" s="117">
        <v>0</v>
      </c>
      <c r="X113" s="117">
        <v>0</v>
      </c>
      <c r="Y113" s="117">
        <v>8.3409999999999993</v>
      </c>
      <c r="Z113" s="117">
        <v>0</v>
      </c>
      <c r="AA113" s="117">
        <v>0</v>
      </c>
      <c r="AB113" s="117">
        <v>0</v>
      </c>
      <c r="AC113" s="117">
        <v>0</v>
      </c>
      <c r="AD113" s="117">
        <v>18.91</v>
      </c>
      <c r="AE113" s="117">
        <v>0</v>
      </c>
      <c r="AF113" s="117">
        <v>0.09</v>
      </c>
      <c r="AG113" s="117">
        <v>1.4158064516129032</v>
      </c>
    </row>
    <row r="114" spans="1:33" x14ac:dyDescent="0.3">
      <c r="A114" s="10" t="s">
        <v>1009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  <c r="O114" s="117">
        <v>0</v>
      </c>
      <c r="P114" s="117">
        <v>0</v>
      </c>
      <c r="Q114" s="117">
        <v>0</v>
      </c>
      <c r="R114" s="117">
        <v>0</v>
      </c>
      <c r="S114" s="117">
        <v>0</v>
      </c>
      <c r="T114" s="117">
        <v>0</v>
      </c>
      <c r="U114" s="117">
        <v>0</v>
      </c>
      <c r="V114" s="117">
        <v>0</v>
      </c>
      <c r="W114" s="117">
        <v>0</v>
      </c>
      <c r="X114" s="117">
        <v>0</v>
      </c>
      <c r="Y114" s="117">
        <v>0</v>
      </c>
      <c r="Z114" s="117">
        <v>0</v>
      </c>
      <c r="AA114" s="117">
        <v>0</v>
      </c>
      <c r="AB114" s="117">
        <v>0</v>
      </c>
      <c r="AC114" s="117">
        <v>0</v>
      </c>
      <c r="AD114" s="117">
        <v>0</v>
      </c>
      <c r="AE114" s="117">
        <v>0</v>
      </c>
      <c r="AF114" s="117">
        <v>0</v>
      </c>
      <c r="AG114" s="117">
        <v>0</v>
      </c>
    </row>
    <row r="115" spans="1:33" x14ac:dyDescent="0.3">
      <c r="A115" s="10" t="s">
        <v>830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  <c r="O115" s="117">
        <v>0</v>
      </c>
      <c r="P115" s="117">
        <v>0</v>
      </c>
      <c r="Q115" s="117">
        <v>0</v>
      </c>
      <c r="R115" s="117">
        <v>0</v>
      </c>
      <c r="S115" s="117">
        <v>0</v>
      </c>
      <c r="T115" s="117">
        <v>0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7">
        <v>0</v>
      </c>
      <c r="AD115" s="117">
        <v>0</v>
      </c>
      <c r="AE115" s="117">
        <v>0</v>
      </c>
      <c r="AF115" s="117">
        <v>0</v>
      </c>
      <c r="AG115" s="117">
        <v>0</v>
      </c>
    </row>
    <row r="116" spans="1:33" x14ac:dyDescent="0.3">
      <c r="A116" s="10" t="s">
        <v>952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  <c r="O116" s="117">
        <v>0</v>
      </c>
      <c r="P116" s="117">
        <v>0</v>
      </c>
      <c r="Q116" s="117">
        <v>0</v>
      </c>
      <c r="R116" s="117">
        <v>0</v>
      </c>
      <c r="S116" s="117">
        <v>0</v>
      </c>
      <c r="T116" s="117">
        <v>0</v>
      </c>
      <c r="U116" s="117">
        <v>0</v>
      </c>
      <c r="V116" s="117">
        <v>0</v>
      </c>
      <c r="W116" s="117">
        <v>0</v>
      </c>
      <c r="X116" s="117">
        <v>0</v>
      </c>
      <c r="Y116" s="117">
        <v>0</v>
      </c>
      <c r="Z116" s="117">
        <v>0</v>
      </c>
      <c r="AA116" s="117">
        <v>0</v>
      </c>
      <c r="AB116" s="117">
        <v>0</v>
      </c>
      <c r="AC116" s="117">
        <v>0</v>
      </c>
      <c r="AD116" s="117">
        <v>0</v>
      </c>
      <c r="AE116" s="117">
        <v>0</v>
      </c>
      <c r="AF116" s="117">
        <v>0</v>
      </c>
      <c r="AG116" s="117">
        <v>0</v>
      </c>
    </row>
    <row r="117" spans="1:33" x14ac:dyDescent="0.3">
      <c r="A117" s="10" t="s">
        <v>896</v>
      </c>
      <c r="B117" s="117">
        <v>0</v>
      </c>
      <c r="C117" s="117">
        <v>0</v>
      </c>
      <c r="D117" s="117">
        <v>0.02</v>
      </c>
      <c r="E117" s="117">
        <v>5.3390000000000004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  <c r="O117" s="117">
        <v>0</v>
      </c>
      <c r="P117" s="117">
        <v>0</v>
      </c>
      <c r="Q117" s="117">
        <v>0</v>
      </c>
      <c r="R117" s="117">
        <v>0</v>
      </c>
      <c r="S117" s="117">
        <v>0</v>
      </c>
      <c r="T117" s="117">
        <v>0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v>0</v>
      </c>
      <c r="AE117" s="117">
        <v>0</v>
      </c>
      <c r="AF117" s="117">
        <v>0</v>
      </c>
      <c r="AG117" s="117">
        <v>0.17287096774193547</v>
      </c>
    </row>
    <row r="118" spans="1:33" x14ac:dyDescent="0.3">
      <c r="A118" s="10" t="s">
        <v>772</v>
      </c>
      <c r="B118" s="117">
        <v>41.980000000000004</v>
      </c>
      <c r="C118" s="117">
        <v>24.019999999999996</v>
      </c>
      <c r="D118" s="117">
        <v>16.32</v>
      </c>
      <c r="E118" s="117">
        <v>0</v>
      </c>
      <c r="F118" s="117">
        <v>0</v>
      </c>
      <c r="G118" s="117">
        <v>1.1599999999999999</v>
      </c>
      <c r="H118" s="117">
        <v>27.700000000000003</v>
      </c>
      <c r="I118" s="117">
        <v>30.43</v>
      </c>
      <c r="J118" s="117">
        <v>18.87</v>
      </c>
      <c r="K118" s="117">
        <v>47.14</v>
      </c>
      <c r="L118" s="117">
        <v>40.619999999999997</v>
      </c>
      <c r="M118" s="117">
        <v>39.069999999999993</v>
      </c>
      <c r="N118" s="117">
        <v>38.970000000000006</v>
      </c>
      <c r="O118" s="117">
        <v>36.479999999999997</v>
      </c>
      <c r="P118" s="117">
        <v>20.13</v>
      </c>
      <c r="Q118" s="117">
        <v>45.069999999999993</v>
      </c>
      <c r="R118" s="117">
        <v>14.02</v>
      </c>
      <c r="S118" s="117">
        <v>35.58</v>
      </c>
      <c r="T118" s="117">
        <v>28.250000000000004</v>
      </c>
      <c r="U118" s="117">
        <v>50.62</v>
      </c>
      <c r="V118" s="117">
        <v>20.009999999999998</v>
      </c>
      <c r="W118" s="117">
        <v>0</v>
      </c>
      <c r="X118" s="117">
        <v>0</v>
      </c>
      <c r="Y118" s="117">
        <v>0</v>
      </c>
      <c r="Z118" s="117">
        <v>36.82</v>
      </c>
      <c r="AA118" s="117">
        <v>0</v>
      </c>
      <c r="AB118" s="117">
        <v>0</v>
      </c>
      <c r="AC118" s="117">
        <v>0</v>
      </c>
      <c r="AD118" s="117">
        <v>0</v>
      </c>
      <c r="AE118" s="117">
        <v>0</v>
      </c>
      <c r="AF118" s="117">
        <v>0</v>
      </c>
      <c r="AG118" s="117">
        <v>23.854838709677416</v>
      </c>
    </row>
    <row r="119" spans="1:33" x14ac:dyDescent="0.3">
      <c r="A119" s="10" t="s">
        <v>801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  <c r="O119" s="117">
        <v>0</v>
      </c>
      <c r="P119" s="117">
        <v>0</v>
      </c>
      <c r="Q119" s="117">
        <v>0</v>
      </c>
      <c r="R119" s="117">
        <v>0</v>
      </c>
      <c r="S119" s="117">
        <v>0</v>
      </c>
      <c r="T119" s="117">
        <v>0</v>
      </c>
      <c r="U119" s="117">
        <v>0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7">
        <v>0</v>
      </c>
      <c r="AD119" s="117">
        <v>0</v>
      </c>
      <c r="AE119" s="117">
        <v>0</v>
      </c>
      <c r="AF119" s="117">
        <v>0</v>
      </c>
      <c r="AG119" s="117">
        <v>0</v>
      </c>
    </row>
    <row r="120" spans="1:33" x14ac:dyDescent="0.3">
      <c r="A120" s="10" t="s">
        <v>948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v>0</v>
      </c>
      <c r="AE120" s="117">
        <v>0</v>
      </c>
      <c r="AF120" s="117">
        <v>0</v>
      </c>
      <c r="AG120" s="117">
        <v>0</v>
      </c>
    </row>
    <row r="121" spans="1:33" x14ac:dyDescent="0.3">
      <c r="A121" s="10" t="s">
        <v>967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  <c r="O121" s="117">
        <v>0</v>
      </c>
      <c r="P121" s="117">
        <v>0</v>
      </c>
      <c r="Q121" s="117">
        <v>0</v>
      </c>
      <c r="R121" s="117">
        <v>0</v>
      </c>
      <c r="S121" s="117">
        <v>0</v>
      </c>
      <c r="T121" s="117">
        <v>0</v>
      </c>
      <c r="U121" s="117">
        <v>0</v>
      </c>
      <c r="V121" s="117">
        <v>0</v>
      </c>
      <c r="W121" s="117">
        <v>0</v>
      </c>
      <c r="X121" s="117">
        <v>0</v>
      </c>
      <c r="Y121" s="117">
        <v>0</v>
      </c>
      <c r="Z121" s="117">
        <v>0</v>
      </c>
      <c r="AA121" s="117">
        <v>0</v>
      </c>
      <c r="AB121" s="117">
        <v>0</v>
      </c>
      <c r="AC121" s="117">
        <v>0</v>
      </c>
      <c r="AD121" s="117">
        <v>0</v>
      </c>
      <c r="AE121" s="117">
        <v>0</v>
      </c>
      <c r="AF121" s="117">
        <v>0</v>
      </c>
      <c r="AG121" s="117">
        <v>0</v>
      </c>
    </row>
    <row r="122" spans="1:33" x14ac:dyDescent="0.3">
      <c r="A122" s="10" t="s">
        <v>834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17">
        <v>0</v>
      </c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</row>
    <row r="123" spans="1:33" x14ac:dyDescent="0.3">
      <c r="A123" s="10" t="s">
        <v>794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7">
        <v>0</v>
      </c>
      <c r="AD123" s="117">
        <v>0</v>
      </c>
      <c r="AE123" s="117">
        <v>0</v>
      </c>
      <c r="AF123" s="117">
        <v>0</v>
      </c>
      <c r="AG123" s="117">
        <v>0</v>
      </c>
    </row>
    <row r="124" spans="1:33" x14ac:dyDescent="0.3">
      <c r="A124" s="10" t="s">
        <v>791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</v>
      </c>
      <c r="T124" s="117">
        <v>0</v>
      </c>
      <c r="U124" s="117">
        <v>0</v>
      </c>
      <c r="V124" s="117">
        <v>0</v>
      </c>
      <c r="W124" s="117">
        <v>0</v>
      </c>
      <c r="X124" s="117">
        <v>0</v>
      </c>
      <c r="Y124" s="117">
        <v>0</v>
      </c>
      <c r="Z124" s="117">
        <v>0</v>
      </c>
      <c r="AA124" s="117">
        <v>0</v>
      </c>
      <c r="AB124" s="117">
        <v>0</v>
      </c>
      <c r="AC124" s="117">
        <v>0</v>
      </c>
      <c r="AD124" s="117">
        <v>0</v>
      </c>
      <c r="AE124" s="117">
        <v>0</v>
      </c>
      <c r="AF124" s="117">
        <v>0</v>
      </c>
      <c r="AG124" s="117">
        <v>0</v>
      </c>
    </row>
    <row r="125" spans="1:33" x14ac:dyDescent="0.3">
      <c r="A125" s="10" t="s">
        <v>793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  <c r="O125" s="117">
        <v>0</v>
      </c>
      <c r="P125" s="117">
        <v>0</v>
      </c>
      <c r="Q125" s="117">
        <v>0</v>
      </c>
      <c r="R125" s="117">
        <v>0</v>
      </c>
      <c r="S125" s="117">
        <v>0</v>
      </c>
      <c r="T125" s="117">
        <v>0</v>
      </c>
      <c r="U125" s="117">
        <v>0</v>
      </c>
      <c r="V125" s="117">
        <v>0</v>
      </c>
      <c r="W125" s="117">
        <v>0</v>
      </c>
      <c r="X125" s="117">
        <v>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v>0</v>
      </c>
    </row>
    <row r="126" spans="1:33" x14ac:dyDescent="0.3">
      <c r="A126" s="10" t="s">
        <v>914</v>
      </c>
      <c r="B126" s="117">
        <v>28.596</v>
      </c>
      <c r="C126" s="117">
        <v>19.994</v>
      </c>
      <c r="D126" s="117">
        <v>15.782999999999999</v>
      </c>
      <c r="E126" s="117">
        <v>18.016999999999999</v>
      </c>
      <c r="F126" s="117">
        <v>24.048000000000002</v>
      </c>
      <c r="G126" s="117">
        <v>29.45</v>
      </c>
      <c r="H126" s="117">
        <v>13.764999999999999</v>
      </c>
      <c r="I126" s="117">
        <v>22.384</v>
      </c>
      <c r="J126" s="117">
        <v>23.302</v>
      </c>
      <c r="K126" s="117">
        <v>5.5370000000000008</v>
      </c>
      <c r="L126" s="117">
        <v>15.106999999999999</v>
      </c>
      <c r="M126" s="117">
        <v>15.289</v>
      </c>
      <c r="N126" s="117">
        <v>23.724</v>
      </c>
      <c r="O126" s="117">
        <v>16.103999999999999</v>
      </c>
      <c r="P126" s="117">
        <v>25.807000000000002</v>
      </c>
      <c r="Q126" s="117">
        <v>6.601</v>
      </c>
      <c r="R126" s="117">
        <v>20.380000000000003</v>
      </c>
      <c r="S126" s="117">
        <v>32.97</v>
      </c>
      <c r="T126" s="117">
        <v>34.297999999999995</v>
      </c>
      <c r="U126" s="117">
        <v>24.729000000000003</v>
      </c>
      <c r="V126" s="117">
        <v>28.840999999999998</v>
      </c>
      <c r="W126" s="117">
        <v>31.998000000000001</v>
      </c>
      <c r="X126" s="117">
        <v>23.125999999999998</v>
      </c>
      <c r="Y126" s="117">
        <v>26.558</v>
      </c>
      <c r="Z126" s="117">
        <v>8.8970000000000002</v>
      </c>
      <c r="AA126" s="117">
        <v>27.883999999999997</v>
      </c>
      <c r="AB126" s="117">
        <v>34.07</v>
      </c>
      <c r="AC126" s="117">
        <v>22.177</v>
      </c>
      <c r="AD126" s="117">
        <v>5.8079999999999998</v>
      </c>
      <c r="AE126" s="117">
        <v>30.131999999999998</v>
      </c>
      <c r="AF126" s="117">
        <v>9.6029999999999998</v>
      </c>
      <c r="AG126" s="117">
        <v>21.450935483870964</v>
      </c>
    </row>
    <row r="127" spans="1:33" x14ac:dyDescent="0.3">
      <c r="A127" s="10" t="s">
        <v>745</v>
      </c>
      <c r="B127" s="117">
        <v>90.60199999999999</v>
      </c>
      <c r="C127" s="117">
        <v>67.131</v>
      </c>
      <c r="D127" s="117">
        <v>94.456000000000017</v>
      </c>
      <c r="E127" s="117">
        <v>114.349</v>
      </c>
      <c r="F127" s="117">
        <v>66.403999999999982</v>
      </c>
      <c r="G127" s="117">
        <v>109.63599999999998</v>
      </c>
      <c r="H127" s="117">
        <v>71.310999999999993</v>
      </c>
      <c r="I127" s="117">
        <v>112.559</v>
      </c>
      <c r="J127" s="117">
        <v>63.308</v>
      </c>
      <c r="K127" s="117">
        <v>55.917000000000002</v>
      </c>
      <c r="L127" s="117">
        <v>110.00700000000001</v>
      </c>
      <c r="M127" s="117">
        <v>104.402</v>
      </c>
      <c r="N127" s="117">
        <v>89.78400000000002</v>
      </c>
      <c r="O127" s="117">
        <v>89.274000000000001</v>
      </c>
      <c r="P127" s="117">
        <v>68.597999999999999</v>
      </c>
      <c r="Q127" s="117">
        <v>110.164</v>
      </c>
      <c r="R127" s="117">
        <v>66.373000000000005</v>
      </c>
      <c r="S127" s="117">
        <v>117.60300000000001</v>
      </c>
      <c r="T127" s="117">
        <v>45.04</v>
      </c>
      <c r="U127" s="117">
        <v>121.56000000000002</v>
      </c>
      <c r="V127" s="117">
        <v>91.347999999999999</v>
      </c>
      <c r="W127" s="117">
        <v>104.747</v>
      </c>
      <c r="X127" s="117">
        <v>72.722000000000008</v>
      </c>
      <c r="Y127" s="117">
        <v>74.052999999999997</v>
      </c>
      <c r="Z127" s="117">
        <v>120.387</v>
      </c>
      <c r="AA127" s="117">
        <v>66.401999999999987</v>
      </c>
      <c r="AB127" s="117">
        <v>60.887</v>
      </c>
      <c r="AC127" s="117">
        <v>48.146000000000001</v>
      </c>
      <c r="AD127" s="117">
        <v>92.983000000000004</v>
      </c>
      <c r="AE127" s="117">
        <v>64.933000000000007</v>
      </c>
      <c r="AF127" s="117">
        <v>57.215000000000011</v>
      </c>
      <c r="AG127" s="117">
        <v>84.590354838709715</v>
      </c>
    </row>
    <row r="128" spans="1:33" x14ac:dyDescent="0.3">
      <c r="A128" s="10" t="s">
        <v>786</v>
      </c>
      <c r="B128" s="117">
        <v>19.875</v>
      </c>
      <c r="C128" s="117">
        <v>12.252000000000001</v>
      </c>
      <c r="D128" s="117">
        <v>24.302</v>
      </c>
      <c r="E128" s="117">
        <v>23.008000000000003</v>
      </c>
      <c r="F128" s="117">
        <v>7.5430000000000001</v>
      </c>
      <c r="G128" s="117">
        <v>3.9499999999999997</v>
      </c>
      <c r="H128" s="117">
        <v>14.466999999999999</v>
      </c>
      <c r="I128" s="117">
        <v>12.207000000000001</v>
      </c>
      <c r="J128" s="117">
        <v>24.731000000000002</v>
      </c>
      <c r="K128" s="117">
        <v>0</v>
      </c>
      <c r="L128" s="117">
        <v>10.459</v>
      </c>
      <c r="M128" s="117">
        <v>12.879000000000001</v>
      </c>
      <c r="N128" s="117">
        <v>12.982000000000001</v>
      </c>
      <c r="O128" s="117">
        <v>20.672999999999998</v>
      </c>
      <c r="P128" s="117">
        <v>13.112</v>
      </c>
      <c r="Q128" s="117">
        <v>22.03</v>
      </c>
      <c r="R128" s="117">
        <v>19.652999999999999</v>
      </c>
      <c r="S128" s="117">
        <v>20.988999999999997</v>
      </c>
      <c r="T128" s="117">
        <v>15.744999999999999</v>
      </c>
      <c r="U128" s="117">
        <v>15.806000000000001</v>
      </c>
      <c r="V128" s="117">
        <v>6.2519999999999998</v>
      </c>
      <c r="W128" s="117">
        <v>17.763000000000002</v>
      </c>
      <c r="X128" s="117">
        <v>16.377000000000002</v>
      </c>
      <c r="Y128" s="117">
        <v>16.358000000000004</v>
      </c>
      <c r="Z128" s="117">
        <v>2.6749999999999998</v>
      </c>
      <c r="AA128" s="117">
        <v>25.122</v>
      </c>
      <c r="AB128" s="117">
        <v>22.254999999999999</v>
      </c>
      <c r="AC128" s="117">
        <v>8.0380000000000003</v>
      </c>
      <c r="AD128" s="117">
        <v>24.83</v>
      </c>
      <c r="AE128" s="117">
        <v>17.951999999999998</v>
      </c>
      <c r="AF128" s="117">
        <v>11.189</v>
      </c>
      <c r="AG128" s="117">
        <v>15.337870967741935</v>
      </c>
    </row>
    <row r="129" spans="1:33" x14ac:dyDescent="0.3">
      <c r="A129" s="10" t="s">
        <v>747</v>
      </c>
      <c r="B129" s="117">
        <v>216.10099999999997</v>
      </c>
      <c r="C129" s="117">
        <v>135.97399999999996</v>
      </c>
      <c r="D129" s="117">
        <v>189.31700000000006</v>
      </c>
      <c r="E129" s="117">
        <v>186.48999999999998</v>
      </c>
      <c r="F129" s="117">
        <v>174.66299999999998</v>
      </c>
      <c r="G129" s="117">
        <v>193.64199999999997</v>
      </c>
      <c r="H129" s="117">
        <v>194.14099999999996</v>
      </c>
      <c r="I129" s="117">
        <v>184.53399999999999</v>
      </c>
      <c r="J129" s="117">
        <v>162.78299999999999</v>
      </c>
      <c r="K129" s="117">
        <v>164.447</v>
      </c>
      <c r="L129" s="117">
        <v>168.70800000000003</v>
      </c>
      <c r="M129" s="117">
        <v>203.34700000000001</v>
      </c>
      <c r="N129" s="117">
        <v>206.55899999999997</v>
      </c>
      <c r="O129" s="117">
        <v>199.02499999999998</v>
      </c>
      <c r="P129" s="117">
        <v>199.81900000000002</v>
      </c>
      <c r="Q129" s="117">
        <v>205.79500000000007</v>
      </c>
      <c r="R129" s="117">
        <v>207.28699999999998</v>
      </c>
      <c r="S129" s="117">
        <v>181.83799999999999</v>
      </c>
      <c r="T129" s="117">
        <v>198.96599999999998</v>
      </c>
      <c r="U129" s="117">
        <v>221.53700000000001</v>
      </c>
      <c r="V129" s="117">
        <v>210.34000000000009</v>
      </c>
      <c r="W129" s="117">
        <v>187.81100000000001</v>
      </c>
      <c r="X129" s="117">
        <v>218.89999999999995</v>
      </c>
      <c r="Y129" s="117">
        <v>216.45499999999996</v>
      </c>
      <c r="Z129" s="117">
        <v>242.60000000000005</v>
      </c>
      <c r="AA129" s="117">
        <v>204.71500000000006</v>
      </c>
      <c r="AB129" s="117">
        <v>228.70299999999997</v>
      </c>
      <c r="AC129" s="117">
        <v>248.33500000000004</v>
      </c>
      <c r="AD129" s="117">
        <v>234.27600000000001</v>
      </c>
      <c r="AE129" s="117">
        <v>159.29300000000001</v>
      </c>
      <c r="AF129" s="117">
        <v>61.404000000000003</v>
      </c>
      <c r="AG129" s="117">
        <v>193.80016129032256</v>
      </c>
    </row>
    <row r="130" spans="1:33" x14ac:dyDescent="0.3">
      <c r="A130" s="10" t="s">
        <v>748</v>
      </c>
      <c r="B130" s="117">
        <v>94.923000000000002</v>
      </c>
      <c r="C130" s="117">
        <v>89.072999999999993</v>
      </c>
      <c r="D130" s="117">
        <v>68.313000000000002</v>
      </c>
      <c r="E130" s="117">
        <v>93.208999999999989</v>
      </c>
      <c r="F130" s="117">
        <v>89.991000000000014</v>
      </c>
      <c r="G130" s="117">
        <v>76.74799999999999</v>
      </c>
      <c r="H130" s="117">
        <v>55.259999999999991</v>
      </c>
      <c r="I130" s="117">
        <v>80.692000000000007</v>
      </c>
      <c r="J130" s="117">
        <v>68.138000000000005</v>
      </c>
      <c r="K130" s="117">
        <v>77.363</v>
      </c>
      <c r="L130" s="117">
        <v>109.50200000000001</v>
      </c>
      <c r="M130" s="117">
        <v>30.604000000000006</v>
      </c>
      <c r="N130" s="117">
        <v>61.069000000000003</v>
      </c>
      <c r="O130" s="117">
        <v>43.527000000000001</v>
      </c>
      <c r="P130" s="117">
        <v>56.884999999999998</v>
      </c>
      <c r="Q130" s="117">
        <v>88.048999999999992</v>
      </c>
      <c r="R130" s="117">
        <v>73.399000000000015</v>
      </c>
      <c r="S130" s="117">
        <v>88.539000000000016</v>
      </c>
      <c r="T130" s="117">
        <v>96.853000000000009</v>
      </c>
      <c r="U130" s="117">
        <v>105.75700000000001</v>
      </c>
      <c r="V130" s="117">
        <v>43.314999999999998</v>
      </c>
      <c r="W130" s="117">
        <v>93.332999999999984</v>
      </c>
      <c r="X130" s="117">
        <v>67.865000000000009</v>
      </c>
      <c r="Y130" s="117">
        <v>59.305999999999997</v>
      </c>
      <c r="Z130" s="117">
        <v>74.558000000000007</v>
      </c>
      <c r="AA130" s="117">
        <v>80.971000000000004</v>
      </c>
      <c r="AB130" s="117">
        <v>85.135000000000005</v>
      </c>
      <c r="AC130" s="117">
        <v>53.972000000000001</v>
      </c>
      <c r="AD130" s="117">
        <v>57.207000000000008</v>
      </c>
      <c r="AE130" s="117">
        <v>69.792999999999992</v>
      </c>
      <c r="AF130" s="117">
        <v>31.000999999999998</v>
      </c>
      <c r="AG130" s="117">
        <v>73.043548387096806</v>
      </c>
    </row>
    <row r="131" spans="1:33" x14ac:dyDescent="0.3">
      <c r="A131" s="10" t="s">
        <v>749</v>
      </c>
      <c r="B131" s="117">
        <v>146.595</v>
      </c>
      <c r="C131" s="117">
        <v>81.227999999999994</v>
      </c>
      <c r="D131" s="117">
        <v>84.080999999999989</v>
      </c>
      <c r="E131" s="117">
        <v>140.11699999999996</v>
      </c>
      <c r="F131" s="117">
        <v>97.609000000000023</v>
      </c>
      <c r="G131" s="117">
        <v>125.255</v>
      </c>
      <c r="H131" s="117">
        <v>87.45</v>
      </c>
      <c r="I131" s="117">
        <v>85.075000000000003</v>
      </c>
      <c r="J131" s="117">
        <v>102.32300000000001</v>
      </c>
      <c r="K131" s="117">
        <v>95.161999999999992</v>
      </c>
      <c r="L131" s="117">
        <v>90.945999999999998</v>
      </c>
      <c r="M131" s="117">
        <v>42.75</v>
      </c>
      <c r="N131" s="117">
        <v>43.82</v>
      </c>
      <c r="O131" s="117">
        <v>59.603999999999999</v>
      </c>
      <c r="P131" s="117">
        <v>26.021000000000001</v>
      </c>
      <c r="Q131" s="117">
        <v>35.403999999999996</v>
      </c>
      <c r="R131" s="117">
        <v>34.762</v>
      </c>
      <c r="S131" s="117">
        <v>32.03</v>
      </c>
      <c r="T131" s="117">
        <v>56.321999999999996</v>
      </c>
      <c r="U131" s="117">
        <v>32.43</v>
      </c>
      <c r="V131" s="117">
        <v>23.907</v>
      </c>
      <c r="W131" s="117">
        <v>33.290999999999997</v>
      </c>
      <c r="X131" s="117">
        <v>59.135999999999996</v>
      </c>
      <c r="Y131" s="117">
        <v>36.587000000000003</v>
      </c>
      <c r="Z131" s="117">
        <v>32.182000000000002</v>
      </c>
      <c r="AA131" s="117">
        <v>44.014000000000003</v>
      </c>
      <c r="AB131" s="117">
        <v>37.211999999999996</v>
      </c>
      <c r="AC131" s="117">
        <v>34.677</v>
      </c>
      <c r="AD131" s="117">
        <v>47.435000000000002</v>
      </c>
      <c r="AE131" s="117">
        <v>40.215000000000003</v>
      </c>
      <c r="AF131" s="117">
        <v>22.846</v>
      </c>
      <c r="AG131" s="117">
        <v>61.628580645161264</v>
      </c>
    </row>
    <row r="132" spans="1:33" x14ac:dyDescent="0.3">
      <c r="A132" s="10" t="s">
        <v>953</v>
      </c>
      <c r="B132" s="117">
        <v>17.006</v>
      </c>
      <c r="C132" s="117">
        <v>27.424999999999997</v>
      </c>
      <c r="D132" s="117">
        <v>5.3790000000000004</v>
      </c>
      <c r="E132" s="117">
        <v>35.576000000000022</v>
      </c>
      <c r="F132" s="117">
        <v>13.286</v>
      </c>
      <c r="G132" s="117">
        <v>23.558</v>
      </c>
      <c r="H132" s="117">
        <v>30.642999999999994</v>
      </c>
      <c r="I132" s="117">
        <v>17.148</v>
      </c>
      <c r="J132" s="117">
        <v>22.21</v>
      </c>
      <c r="K132" s="117">
        <v>34.591999999999999</v>
      </c>
      <c r="L132" s="117">
        <v>41.239999999999995</v>
      </c>
      <c r="M132" s="117">
        <v>20.344000000000001</v>
      </c>
      <c r="N132" s="117">
        <v>20.32</v>
      </c>
      <c r="O132" s="117">
        <v>21.685000000000002</v>
      </c>
      <c r="P132" s="117">
        <v>33.517000000000003</v>
      </c>
      <c r="Q132" s="117">
        <v>16.341999999999999</v>
      </c>
      <c r="R132" s="117">
        <v>22.024000000000001</v>
      </c>
      <c r="S132" s="117">
        <v>25.691000000000003</v>
      </c>
      <c r="T132" s="117">
        <v>25.373000000000005</v>
      </c>
      <c r="U132" s="117">
        <v>21.323</v>
      </c>
      <c r="V132" s="117">
        <v>30.661000000000001</v>
      </c>
      <c r="W132" s="117">
        <v>30.145</v>
      </c>
      <c r="X132" s="117">
        <v>46.521000000000008</v>
      </c>
      <c r="Y132" s="117">
        <v>29.559000000000001</v>
      </c>
      <c r="Z132" s="117">
        <v>30.808000000000003</v>
      </c>
      <c r="AA132" s="117">
        <v>26.053000000000004</v>
      </c>
      <c r="AB132" s="117">
        <v>21.88</v>
      </c>
      <c r="AC132" s="117">
        <v>11.651000000000002</v>
      </c>
      <c r="AD132" s="117">
        <v>39.609000000000002</v>
      </c>
      <c r="AE132" s="117">
        <v>19.480999999999998</v>
      </c>
      <c r="AF132" s="117">
        <v>30.991</v>
      </c>
      <c r="AG132" s="117">
        <v>25.549709677419351</v>
      </c>
    </row>
    <row r="133" spans="1:33" x14ac:dyDescent="0.3">
      <c r="A133" s="10" t="s">
        <v>750</v>
      </c>
      <c r="B133" s="117">
        <v>55.557000000000002</v>
      </c>
      <c r="C133" s="117">
        <v>49.569999999999993</v>
      </c>
      <c r="D133" s="117">
        <v>36.86</v>
      </c>
      <c r="E133" s="117">
        <v>36.020000000000003</v>
      </c>
      <c r="F133" s="117">
        <v>65.634</v>
      </c>
      <c r="G133" s="117">
        <v>48.951999999999998</v>
      </c>
      <c r="H133" s="117">
        <v>44.169000000000004</v>
      </c>
      <c r="I133" s="117">
        <v>47.814999999999998</v>
      </c>
      <c r="J133" s="117">
        <v>51.053000000000004</v>
      </c>
      <c r="K133" s="117">
        <v>38.460000000000008</v>
      </c>
      <c r="L133" s="117">
        <v>50.64200000000001</v>
      </c>
      <c r="M133" s="117">
        <v>42.278999999999996</v>
      </c>
      <c r="N133" s="117">
        <v>44.569000000000003</v>
      </c>
      <c r="O133" s="117">
        <v>48.688000000000002</v>
      </c>
      <c r="P133" s="117">
        <v>34.710999999999999</v>
      </c>
      <c r="Q133" s="117">
        <v>57.125</v>
      </c>
      <c r="R133" s="117">
        <v>52.731000000000002</v>
      </c>
      <c r="S133" s="117">
        <v>38.175999999999995</v>
      </c>
      <c r="T133" s="117">
        <v>49.045999999999999</v>
      </c>
      <c r="U133" s="117">
        <v>44.003</v>
      </c>
      <c r="V133" s="117">
        <v>44.530999999999999</v>
      </c>
      <c r="W133" s="117">
        <v>50.423000000000009</v>
      </c>
      <c r="X133" s="117">
        <v>48.713999999999999</v>
      </c>
      <c r="Y133" s="117">
        <v>38.582999999999998</v>
      </c>
      <c r="Z133" s="117">
        <v>46.551999999999992</v>
      </c>
      <c r="AA133" s="117">
        <v>32.795000000000002</v>
      </c>
      <c r="AB133" s="117">
        <v>52.690999999999995</v>
      </c>
      <c r="AC133" s="117">
        <v>40.165000000000006</v>
      </c>
      <c r="AD133" s="117">
        <v>36.244</v>
      </c>
      <c r="AE133" s="117">
        <v>44.140999999999998</v>
      </c>
      <c r="AF133" s="117">
        <v>33.701999999999998</v>
      </c>
      <c r="AG133" s="117">
        <v>45.309709677419356</v>
      </c>
    </row>
    <row r="134" spans="1:33" x14ac:dyDescent="0.3">
      <c r="A134" s="10" t="s">
        <v>751</v>
      </c>
      <c r="B134" s="117">
        <v>206.44</v>
      </c>
      <c r="C134" s="117">
        <v>142.95200000000003</v>
      </c>
      <c r="D134" s="117">
        <v>175.48399999999998</v>
      </c>
      <c r="E134" s="117">
        <v>167.26000000000005</v>
      </c>
      <c r="F134" s="117">
        <v>136.48000000000005</v>
      </c>
      <c r="G134" s="117">
        <v>182.39400000000006</v>
      </c>
      <c r="H134" s="117">
        <v>184.154</v>
      </c>
      <c r="I134" s="117">
        <v>216.59300000000002</v>
      </c>
      <c r="J134" s="117">
        <v>219.76100000000005</v>
      </c>
      <c r="K134" s="117">
        <v>184.31599999999997</v>
      </c>
      <c r="L134" s="117">
        <v>152.33500000000006</v>
      </c>
      <c r="M134" s="117">
        <v>178.06300000000002</v>
      </c>
      <c r="N134" s="117">
        <v>200.42599999999999</v>
      </c>
      <c r="O134" s="117">
        <v>125.56500000000003</v>
      </c>
      <c r="P134" s="117">
        <v>90.263999999999996</v>
      </c>
      <c r="Q134" s="117">
        <v>138.136</v>
      </c>
      <c r="R134" s="117">
        <v>135.64200000000005</v>
      </c>
      <c r="S134" s="117">
        <v>168.54799999999997</v>
      </c>
      <c r="T134" s="117">
        <v>219.11200000000002</v>
      </c>
      <c r="U134" s="117">
        <v>181.12400000000005</v>
      </c>
      <c r="V134" s="117">
        <v>156.65800000000002</v>
      </c>
      <c r="W134" s="117">
        <v>170.70500000000007</v>
      </c>
      <c r="X134" s="117">
        <v>157.49199999999999</v>
      </c>
      <c r="Y134" s="117">
        <v>178.333</v>
      </c>
      <c r="Z134" s="117">
        <v>164.07700000000003</v>
      </c>
      <c r="AA134" s="117">
        <v>160.27500000000003</v>
      </c>
      <c r="AB134" s="117">
        <v>188.40700000000001</v>
      </c>
      <c r="AC134" s="117">
        <v>173.63499999999996</v>
      </c>
      <c r="AD134" s="117">
        <v>188.70899999999997</v>
      </c>
      <c r="AE134" s="117">
        <v>179.42</v>
      </c>
      <c r="AF134" s="117">
        <v>127.592</v>
      </c>
      <c r="AG134" s="117">
        <v>169.36619354838709</v>
      </c>
    </row>
    <row r="135" spans="1:33" x14ac:dyDescent="0.3">
      <c r="A135" s="10" t="s">
        <v>752</v>
      </c>
      <c r="B135" s="117">
        <v>24.091999999999999</v>
      </c>
      <c r="C135" s="117">
        <v>4.101</v>
      </c>
      <c r="D135" s="117">
        <v>19.400000000000002</v>
      </c>
      <c r="E135" s="117">
        <v>4.5150000000000006</v>
      </c>
      <c r="F135" s="117">
        <v>12.515000000000001</v>
      </c>
      <c r="G135" s="117">
        <v>12.202999999999999</v>
      </c>
      <c r="H135" s="117">
        <v>7.7809999999999997</v>
      </c>
      <c r="I135" s="117">
        <v>11.95</v>
      </c>
      <c r="J135" s="117">
        <v>4.5960000000000001</v>
      </c>
      <c r="K135" s="117">
        <v>15.46</v>
      </c>
      <c r="L135" s="117">
        <v>10.009</v>
      </c>
      <c r="M135" s="117">
        <v>13.526000000000002</v>
      </c>
      <c r="N135" s="117">
        <v>9.2390000000000008</v>
      </c>
      <c r="O135" s="117">
        <v>0</v>
      </c>
      <c r="P135" s="117">
        <v>11.368</v>
      </c>
      <c r="Q135" s="117">
        <v>10.544</v>
      </c>
      <c r="R135" s="117">
        <v>12.884</v>
      </c>
      <c r="S135" s="117">
        <v>9.0569999999999986</v>
      </c>
      <c r="T135" s="117">
        <v>11.611000000000001</v>
      </c>
      <c r="U135" s="117">
        <v>7.2089999999999996</v>
      </c>
      <c r="V135" s="117">
        <v>23.664999999999999</v>
      </c>
      <c r="W135" s="117">
        <v>4.9730000000000008</v>
      </c>
      <c r="X135" s="117">
        <v>0</v>
      </c>
      <c r="Y135" s="117">
        <v>5.2610000000000001</v>
      </c>
      <c r="Z135" s="117">
        <v>8.9789999999999992</v>
      </c>
      <c r="AA135" s="117">
        <v>8.702</v>
      </c>
      <c r="AB135" s="117">
        <v>9.6180000000000003</v>
      </c>
      <c r="AC135" s="117">
        <v>9.1180000000000003</v>
      </c>
      <c r="AD135" s="117">
        <v>9.2250000000000014</v>
      </c>
      <c r="AE135" s="117">
        <v>13.405000000000001</v>
      </c>
      <c r="AF135" s="117">
        <v>5.18</v>
      </c>
      <c r="AG135" s="117">
        <v>10.006000000000004</v>
      </c>
    </row>
    <row r="136" spans="1:33" x14ac:dyDescent="0.3">
      <c r="A136" s="10" t="s">
        <v>753</v>
      </c>
      <c r="B136" s="117">
        <v>11.291</v>
      </c>
      <c r="C136" s="117">
        <v>19.458000000000002</v>
      </c>
      <c r="D136" s="117">
        <v>6.13</v>
      </c>
      <c r="E136" s="117">
        <v>79.075000000000003</v>
      </c>
      <c r="F136" s="117">
        <v>53.024000000000001</v>
      </c>
      <c r="G136" s="117">
        <v>18.146999999999998</v>
      </c>
      <c r="H136" s="117">
        <v>8.5560000000000009</v>
      </c>
      <c r="I136" s="117">
        <v>9.7039999999999988</v>
      </c>
      <c r="J136" s="117">
        <v>19.579000000000001</v>
      </c>
      <c r="K136" s="117">
        <v>9.6159999999999997</v>
      </c>
      <c r="L136" s="117">
        <v>37.502999999999993</v>
      </c>
      <c r="M136" s="117">
        <v>61.391000000000005</v>
      </c>
      <c r="N136" s="117">
        <v>50.302</v>
      </c>
      <c r="O136" s="117">
        <v>17.89</v>
      </c>
      <c r="P136" s="117">
        <v>26.338999999999999</v>
      </c>
      <c r="Q136" s="117">
        <v>14.042999999999999</v>
      </c>
      <c r="R136" s="117">
        <v>1.96</v>
      </c>
      <c r="S136" s="117">
        <v>51.216000000000001</v>
      </c>
      <c r="T136" s="117">
        <v>22.378999999999998</v>
      </c>
      <c r="U136" s="117">
        <v>55.349999999999994</v>
      </c>
      <c r="V136" s="117">
        <v>33.484000000000002</v>
      </c>
      <c r="W136" s="117">
        <v>8.1610000000000014</v>
      </c>
      <c r="X136" s="117">
        <v>31.915999999999997</v>
      </c>
      <c r="Y136" s="117">
        <v>13.806999999999999</v>
      </c>
      <c r="Z136" s="117">
        <v>17.399999999999999</v>
      </c>
      <c r="AA136" s="117">
        <v>0</v>
      </c>
      <c r="AB136" s="117">
        <v>40.037000000000006</v>
      </c>
      <c r="AC136" s="117">
        <v>34.138000000000005</v>
      </c>
      <c r="AD136" s="117">
        <v>68.58</v>
      </c>
      <c r="AE136" s="117">
        <v>10.808</v>
      </c>
      <c r="AF136" s="117">
        <v>6.4770000000000012</v>
      </c>
      <c r="AG136" s="117">
        <v>27.178281105990791</v>
      </c>
    </row>
    <row r="137" spans="1:33" x14ac:dyDescent="0.3">
      <c r="A137" s="10" t="s">
        <v>754</v>
      </c>
      <c r="B137" s="117">
        <v>25.302</v>
      </c>
      <c r="C137" s="117">
        <v>27.204000000000001</v>
      </c>
      <c r="D137" s="117">
        <v>56.147999999999996</v>
      </c>
      <c r="E137" s="117">
        <v>53.87700000000001</v>
      </c>
      <c r="F137" s="117">
        <v>50.326999999999998</v>
      </c>
      <c r="G137" s="117">
        <v>47.094999999999999</v>
      </c>
      <c r="H137" s="117">
        <v>36.478999999999999</v>
      </c>
      <c r="I137" s="117">
        <v>46.58</v>
      </c>
      <c r="J137" s="117">
        <v>28.867000000000004</v>
      </c>
      <c r="K137" s="117">
        <v>27.731000000000005</v>
      </c>
      <c r="L137" s="117">
        <v>42.673000000000002</v>
      </c>
      <c r="M137" s="117">
        <v>34.308999999999997</v>
      </c>
      <c r="N137" s="117">
        <v>44.981999999999999</v>
      </c>
      <c r="O137" s="117">
        <v>40.290999999999997</v>
      </c>
      <c r="P137" s="117">
        <v>34.392000000000003</v>
      </c>
      <c r="Q137" s="117">
        <v>49.404000000000003</v>
      </c>
      <c r="R137" s="117">
        <v>43.187999999999995</v>
      </c>
      <c r="S137" s="117">
        <v>27.258999999999997</v>
      </c>
      <c r="T137" s="117">
        <v>33.459000000000003</v>
      </c>
      <c r="U137" s="117">
        <v>54.858999999999995</v>
      </c>
      <c r="V137" s="117">
        <v>46.756999999999991</v>
      </c>
      <c r="W137" s="117">
        <v>26.978000000000002</v>
      </c>
      <c r="X137" s="117">
        <v>26.180999999999997</v>
      </c>
      <c r="Y137" s="117">
        <v>47.218000000000004</v>
      </c>
      <c r="Z137" s="117">
        <v>32.819000000000003</v>
      </c>
      <c r="AA137" s="117">
        <v>42.106999999999999</v>
      </c>
      <c r="AB137" s="117">
        <v>27.923000000000002</v>
      </c>
      <c r="AC137" s="117">
        <v>20.718</v>
      </c>
      <c r="AD137" s="117">
        <v>51.37700000000001</v>
      </c>
      <c r="AE137" s="117">
        <v>31.278999999999996</v>
      </c>
      <c r="AF137" s="117">
        <v>39.094999999999999</v>
      </c>
      <c r="AG137" s="117">
        <v>38.60896774193548</v>
      </c>
    </row>
    <row r="138" spans="1:33" x14ac:dyDescent="0.3">
      <c r="A138" s="10" t="s">
        <v>755</v>
      </c>
      <c r="B138" s="117">
        <v>124.89700000000002</v>
      </c>
      <c r="C138" s="117">
        <v>155.00599999999997</v>
      </c>
      <c r="D138" s="117">
        <v>111.43700000000001</v>
      </c>
      <c r="E138" s="117">
        <v>86.79</v>
      </c>
      <c r="F138" s="117">
        <v>148.35099999999997</v>
      </c>
      <c r="G138" s="117">
        <v>149.24199999999999</v>
      </c>
      <c r="H138" s="117">
        <v>168.71500000000003</v>
      </c>
      <c r="I138" s="117">
        <v>144.47800000000009</v>
      </c>
      <c r="J138" s="117">
        <v>160.26599999999999</v>
      </c>
      <c r="K138" s="117">
        <v>160.66500000000002</v>
      </c>
      <c r="L138" s="117">
        <v>160.547</v>
      </c>
      <c r="M138" s="117">
        <v>180.12200000000001</v>
      </c>
      <c r="N138" s="117">
        <v>183.08700000000002</v>
      </c>
      <c r="O138" s="117">
        <v>138.15799999999996</v>
      </c>
      <c r="P138" s="117">
        <v>152.52999999999997</v>
      </c>
      <c r="Q138" s="117">
        <v>155.77299999999997</v>
      </c>
      <c r="R138" s="117">
        <v>157.45400000000004</v>
      </c>
      <c r="S138" s="117">
        <v>137.24800000000002</v>
      </c>
      <c r="T138" s="117">
        <v>133.84899999999999</v>
      </c>
      <c r="U138" s="117">
        <v>144.58600000000004</v>
      </c>
      <c r="V138" s="117">
        <v>98.944999999999979</v>
      </c>
      <c r="W138" s="117">
        <v>110.63599999999997</v>
      </c>
      <c r="X138" s="117">
        <v>110.42400000000002</v>
      </c>
      <c r="Y138" s="117">
        <v>94.373999999999995</v>
      </c>
      <c r="Z138" s="117">
        <v>126.017</v>
      </c>
      <c r="AA138" s="117">
        <v>129.56200000000001</v>
      </c>
      <c r="AB138" s="117">
        <v>95.854000000000013</v>
      </c>
      <c r="AC138" s="117">
        <v>95.183999999999983</v>
      </c>
      <c r="AD138" s="117">
        <v>115.274</v>
      </c>
      <c r="AE138" s="117">
        <v>66.62700000000001</v>
      </c>
      <c r="AF138" s="117">
        <v>60.682999999999993</v>
      </c>
      <c r="AG138" s="117">
        <v>130.86390322580647</v>
      </c>
    </row>
    <row r="139" spans="1:33" x14ac:dyDescent="0.3">
      <c r="A139" s="10" t="s">
        <v>756</v>
      </c>
      <c r="B139" s="117">
        <v>56.393999999999998</v>
      </c>
      <c r="C139" s="117">
        <v>56.25800000000001</v>
      </c>
      <c r="D139" s="117">
        <v>46.128999999999991</v>
      </c>
      <c r="E139" s="117">
        <v>56.697000000000003</v>
      </c>
      <c r="F139" s="117">
        <v>36.010000000000005</v>
      </c>
      <c r="G139" s="117">
        <v>54.325000000000003</v>
      </c>
      <c r="H139" s="117">
        <v>52.971000000000004</v>
      </c>
      <c r="I139" s="117">
        <v>56.131</v>
      </c>
      <c r="J139" s="117">
        <v>53.304000000000002</v>
      </c>
      <c r="K139" s="117">
        <v>35.167999999999999</v>
      </c>
      <c r="L139" s="117">
        <v>61.482999999999997</v>
      </c>
      <c r="M139" s="117">
        <v>59.483000000000004</v>
      </c>
      <c r="N139" s="117">
        <v>55.348999999999997</v>
      </c>
      <c r="O139" s="117">
        <v>31.503</v>
      </c>
      <c r="P139" s="117">
        <v>16.596</v>
      </c>
      <c r="Q139" s="117">
        <v>58.328000000000003</v>
      </c>
      <c r="R139" s="117">
        <v>33.088999999999999</v>
      </c>
      <c r="S139" s="117">
        <v>50.220999999999997</v>
      </c>
      <c r="T139" s="117">
        <v>72.763000000000005</v>
      </c>
      <c r="U139" s="117">
        <v>52.426000000000002</v>
      </c>
      <c r="V139" s="117">
        <v>43.669999999999995</v>
      </c>
      <c r="W139" s="117">
        <v>35.010999999999996</v>
      </c>
      <c r="X139" s="117">
        <v>48.274000000000008</v>
      </c>
      <c r="Y139" s="117">
        <v>48.338999999999999</v>
      </c>
      <c r="Z139" s="117">
        <v>35.299999999999997</v>
      </c>
      <c r="AA139" s="117">
        <v>31.183</v>
      </c>
      <c r="AB139" s="117">
        <v>48.92799999999999</v>
      </c>
      <c r="AC139" s="117">
        <v>65.490999999999985</v>
      </c>
      <c r="AD139" s="117">
        <v>37.875</v>
      </c>
      <c r="AE139" s="117">
        <v>40.367000000000004</v>
      </c>
      <c r="AF139" s="117">
        <v>29.622999999999998</v>
      </c>
      <c r="AG139" s="117">
        <v>47.054483870967736</v>
      </c>
    </row>
    <row r="140" spans="1:33" x14ac:dyDescent="0.3">
      <c r="A140" s="10" t="s">
        <v>757</v>
      </c>
      <c r="B140" s="117">
        <v>266.2469999999999</v>
      </c>
      <c r="C140" s="117">
        <v>249.85799999999998</v>
      </c>
      <c r="D140" s="117">
        <v>296.08800000000014</v>
      </c>
      <c r="E140" s="117">
        <v>290.74</v>
      </c>
      <c r="F140" s="117">
        <v>263.95299999999992</v>
      </c>
      <c r="G140" s="117">
        <v>302.18299999999994</v>
      </c>
      <c r="H140" s="117">
        <v>293.80700000000002</v>
      </c>
      <c r="I140" s="117">
        <v>247.70200000000003</v>
      </c>
      <c r="J140" s="117">
        <v>252.20699999999997</v>
      </c>
      <c r="K140" s="117">
        <v>247.69399999999999</v>
      </c>
      <c r="L140" s="117">
        <v>252.09399999999991</v>
      </c>
      <c r="M140" s="117">
        <v>228.78400000000002</v>
      </c>
      <c r="N140" s="117">
        <v>277.84799999999996</v>
      </c>
      <c r="O140" s="117">
        <v>163.91400000000002</v>
      </c>
      <c r="P140" s="117">
        <v>297.19700000000006</v>
      </c>
      <c r="Q140" s="117">
        <v>295.3</v>
      </c>
      <c r="R140" s="117">
        <v>338.601</v>
      </c>
      <c r="S140" s="117">
        <v>271.053</v>
      </c>
      <c r="T140" s="117">
        <v>305.20400000000006</v>
      </c>
      <c r="U140" s="117">
        <v>299.22000000000003</v>
      </c>
      <c r="V140" s="117">
        <v>241.928</v>
      </c>
      <c r="W140" s="117">
        <v>280.60300000000001</v>
      </c>
      <c r="X140" s="117">
        <v>263.48499999999996</v>
      </c>
      <c r="Y140" s="117">
        <v>249.40199999999996</v>
      </c>
      <c r="Z140" s="117">
        <v>274.12299999999999</v>
      </c>
      <c r="AA140" s="117">
        <v>232.22099999999995</v>
      </c>
      <c r="AB140" s="117">
        <v>252.85300000000001</v>
      </c>
      <c r="AC140" s="117">
        <v>229.05299999999997</v>
      </c>
      <c r="AD140" s="117">
        <v>259.75299999999999</v>
      </c>
      <c r="AE140" s="117">
        <v>225.98399999999995</v>
      </c>
      <c r="AF140" s="117">
        <v>136.05599999999998</v>
      </c>
      <c r="AG140" s="117">
        <v>260.81145161290317</v>
      </c>
    </row>
    <row r="141" spans="1:33" x14ac:dyDescent="0.3">
      <c r="A141" s="10" t="s">
        <v>904</v>
      </c>
      <c r="B141" s="117">
        <v>34.037000000000006</v>
      </c>
      <c r="C141" s="117">
        <v>27.759</v>
      </c>
      <c r="D141" s="117">
        <v>17.460999999999999</v>
      </c>
      <c r="E141" s="117">
        <v>64.025999999999996</v>
      </c>
      <c r="F141" s="117">
        <v>173.21700000000001</v>
      </c>
      <c r="G141" s="117">
        <v>58.898999999999994</v>
      </c>
      <c r="H141" s="117">
        <v>5.8849999999999998</v>
      </c>
      <c r="I141" s="117">
        <v>102.229</v>
      </c>
      <c r="J141" s="117">
        <v>112.25000000000001</v>
      </c>
      <c r="K141" s="117">
        <v>399.68299999999994</v>
      </c>
      <c r="L141" s="117">
        <v>179.78700000000001</v>
      </c>
      <c r="M141" s="117">
        <v>168.10700000000003</v>
      </c>
      <c r="N141" s="117">
        <v>276.85299999999995</v>
      </c>
      <c r="O141" s="117">
        <v>171.92300000000003</v>
      </c>
      <c r="P141" s="117">
        <v>70.459000000000003</v>
      </c>
      <c r="Q141" s="117">
        <v>228.92000000000002</v>
      </c>
      <c r="R141" s="117">
        <v>225.732</v>
      </c>
      <c r="S141" s="117">
        <v>374.63699999999994</v>
      </c>
      <c r="T141" s="117">
        <v>253.66500000000008</v>
      </c>
      <c r="U141" s="117">
        <v>256.35099999999989</v>
      </c>
      <c r="V141" s="117">
        <v>301.91499999999996</v>
      </c>
      <c r="W141" s="117">
        <v>269.40000000000009</v>
      </c>
      <c r="X141" s="117">
        <v>255.30999999999997</v>
      </c>
      <c r="Y141" s="117">
        <v>233.47099999999998</v>
      </c>
      <c r="Z141" s="117">
        <v>305.74400000000009</v>
      </c>
      <c r="AA141" s="117">
        <v>217.45900000000003</v>
      </c>
      <c r="AB141" s="117">
        <v>306.20299999999997</v>
      </c>
      <c r="AC141" s="117">
        <v>319.471</v>
      </c>
      <c r="AD141" s="117">
        <v>340.97100000000012</v>
      </c>
      <c r="AE141" s="117">
        <v>346.94399999999996</v>
      </c>
      <c r="AF141" s="117">
        <v>318.25599999999997</v>
      </c>
      <c r="AG141" s="117">
        <v>207.00077419354835</v>
      </c>
    </row>
    <row r="142" spans="1:33" x14ac:dyDescent="0.3">
      <c r="A142" s="10" t="s">
        <v>758</v>
      </c>
      <c r="B142" s="117">
        <v>139.29599999999999</v>
      </c>
      <c r="C142" s="117">
        <v>135.16300000000001</v>
      </c>
      <c r="D142" s="117">
        <v>153.11199999999997</v>
      </c>
      <c r="E142" s="117">
        <v>153.965</v>
      </c>
      <c r="F142" s="117">
        <v>162.11199999999999</v>
      </c>
      <c r="G142" s="117">
        <v>131.64300000000006</v>
      </c>
      <c r="H142" s="117">
        <v>140.113</v>
      </c>
      <c r="I142" s="117">
        <v>142.25600000000003</v>
      </c>
      <c r="J142" s="117">
        <v>162.95700000000002</v>
      </c>
      <c r="K142" s="117">
        <v>121.22900000000003</v>
      </c>
      <c r="L142" s="117">
        <v>126.92100000000002</v>
      </c>
      <c r="M142" s="117">
        <v>138.94199999999998</v>
      </c>
      <c r="N142" s="117">
        <v>155.02099999999996</v>
      </c>
      <c r="O142" s="117">
        <v>139.05499999999998</v>
      </c>
      <c r="P142" s="117">
        <v>163.93900000000002</v>
      </c>
      <c r="Q142" s="117">
        <v>147.44800000000001</v>
      </c>
      <c r="R142" s="117">
        <v>127.69799999999999</v>
      </c>
      <c r="S142" s="117">
        <v>154.541</v>
      </c>
      <c r="T142" s="117">
        <v>144.333</v>
      </c>
      <c r="U142" s="117">
        <v>120.795</v>
      </c>
      <c r="V142" s="117">
        <v>135.779</v>
      </c>
      <c r="W142" s="117">
        <v>117.90000000000002</v>
      </c>
      <c r="X142" s="117">
        <v>144.90299999999999</v>
      </c>
      <c r="Y142" s="117">
        <v>155.15600000000003</v>
      </c>
      <c r="Z142" s="117">
        <v>137.58200000000002</v>
      </c>
      <c r="AA142" s="117">
        <v>148.00599999999997</v>
      </c>
      <c r="AB142" s="117">
        <v>110.30699999999996</v>
      </c>
      <c r="AC142" s="117">
        <v>144.89400000000006</v>
      </c>
      <c r="AD142" s="117">
        <v>114.143</v>
      </c>
      <c r="AE142" s="117">
        <v>92.191000000000003</v>
      </c>
      <c r="AF142" s="117">
        <v>108.68</v>
      </c>
      <c r="AG142" s="117">
        <v>137.74451612903226</v>
      </c>
    </row>
    <row r="143" spans="1:33" x14ac:dyDescent="0.3">
      <c r="A143" s="10" t="s">
        <v>759</v>
      </c>
      <c r="B143" s="117">
        <v>129.166</v>
      </c>
      <c r="C143" s="117">
        <v>94.826000000000008</v>
      </c>
      <c r="D143" s="117">
        <v>75.532999999999987</v>
      </c>
      <c r="E143" s="117">
        <v>107.11400000000002</v>
      </c>
      <c r="F143" s="117">
        <v>76.478999999999999</v>
      </c>
      <c r="G143" s="117">
        <v>107.251</v>
      </c>
      <c r="H143" s="117">
        <v>127.11299999999999</v>
      </c>
      <c r="I143" s="117">
        <v>100.75800000000001</v>
      </c>
      <c r="J143" s="117">
        <v>77.647000000000006</v>
      </c>
      <c r="K143" s="117">
        <v>100.27500000000001</v>
      </c>
      <c r="L143" s="117">
        <v>111.91399999999999</v>
      </c>
      <c r="M143" s="117">
        <v>113.471</v>
      </c>
      <c r="N143" s="117">
        <v>129.93</v>
      </c>
      <c r="O143" s="117">
        <v>109.15600000000001</v>
      </c>
      <c r="P143" s="117">
        <v>77.275000000000006</v>
      </c>
      <c r="Q143" s="117">
        <v>78.613</v>
      </c>
      <c r="R143" s="117">
        <v>60.91399999999998</v>
      </c>
      <c r="S143" s="117">
        <v>135.709</v>
      </c>
      <c r="T143" s="117">
        <v>157.18900000000002</v>
      </c>
      <c r="U143" s="117">
        <v>65.917999999999992</v>
      </c>
      <c r="V143" s="117">
        <v>129.44200000000001</v>
      </c>
      <c r="W143" s="117">
        <v>91.284999999999968</v>
      </c>
      <c r="X143" s="117">
        <v>95.736999999999995</v>
      </c>
      <c r="Y143" s="117">
        <v>67.894000000000005</v>
      </c>
      <c r="Z143" s="117">
        <v>118.443</v>
      </c>
      <c r="AA143" s="117">
        <v>99.576999999999998</v>
      </c>
      <c r="AB143" s="117">
        <v>101.65599999999999</v>
      </c>
      <c r="AC143" s="117">
        <v>93.530000000000015</v>
      </c>
      <c r="AD143" s="117">
        <v>27.492999999999995</v>
      </c>
      <c r="AE143" s="117">
        <v>63.197999999999993</v>
      </c>
      <c r="AF143" s="117">
        <v>47.466000000000001</v>
      </c>
      <c r="AG143" s="117">
        <v>95.870064516129048</v>
      </c>
    </row>
    <row r="144" spans="1:33" x14ac:dyDescent="0.3">
      <c r="A144" s="10" t="s">
        <v>760</v>
      </c>
      <c r="B144" s="117">
        <v>233.81300000000005</v>
      </c>
      <c r="C144" s="117">
        <v>164.59899999999996</v>
      </c>
      <c r="D144" s="117">
        <v>181.25700000000003</v>
      </c>
      <c r="E144" s="117">
        <v>173.73500000000001</v>
      </c>
      <c r="F144" s="117">
        <v>246.87599999999998</v>
      </c>
      <c r="G144" s="117">
        <v>220.53599999999997</v>
      </c>
      <c r="H144" s="117">
        <v>186.45500000000001</v>
      </c>
      <c r="I144" s="117">
        <v>199.036</v>
      </c>
      <c r="J144" s="117">
        <v>220.60700000000003</v>
      </c>
      <c r="K144" s="117">
        <v>222.29200000000006</v>
      </c>
      <c r="L144" s="117">
        <v>262.00699999999995</v>
      </c>
      <c r="M144" s="117">
        <v>159.06100000000004</v>
      </c>
      <c r="N144" s="117">
        <v>249.74900000000002</v>
      </c>
      <c r="O144" s="117">
        <v>212.89600000000004</v>
      </c>
      <c r="P144" s="117">
        <v>233.48099999999999</v>
      </c>
      <c r="Q144" s="117">
        <v>248.65400000000002</v>
      </c>
      <c r="R144" s="117">
        <v>283.85299999999995</v>
      </c>
      <c r="S144" s="117">
        <v>267.50200000000001</v>
      </c>
      <c r="T144" s="117">
        <v>260.85899999999998</v>
      </c>
      <c r="U144" s="117">
        <v>222.36100000000002</v>
      </c>
      <c r="V144" s="117">
        <v>214.10500000000002</v>
      </c>
      <c r="W144" s="117">
        <v>271.79500000000002</v>
      </c>
      <c r="X144" s="117">
        <v>195.42599999999999</v>
      </c>
      <c r="Y144" s="117">
        <v>227.33400000000006</v>
      </c>
      <c r="Z144" s="117">
        <v>205.78799999999998</v>
      </c>
      <c r="AA144" s="117">
        <v>205.82400000000001</v>
      </c>
      <c r="AB144" s="117">
        <v>245.73399999999998</v>
      </c>
      <c r="AC144" s="117">
        <v>197.09399999999997</v>
      </c>
      <c r="AD144" s="117">
        <v>256.77499999999998</v>
      </c>
      <c r="AE144" s="117">
        <v>211.53899999999999</v>
      </c>
      <c r="AF144" s="117">
        <v>166.34199999999998</v>
      </c>
      <c r="AG144" s="117">
        <v>220.88338709677416</v>
      </c>
    </row>
    <row r="145" spans="1:33" x14ac:dyDescent="0.3">
      <c r="A145" s="10" t="s">
        <v>761</v>
      </c>
      <c r="B145" s="117">
        <v>648.7800000000002</v>
      </c>
      <c r="C145" s="117">
        <v>732.85599999999988</v>
      </c>
      <c r="D145" s="117">
        <v>670.505</v>
      </c>
      <c r="E145" s="117">
        <v>684.43799999999987</v>
      </c>
      <c r="F145" s="117">
        <v>715.56299999999965</v>
      </c>
      <c r="G145" s="117">
        <v>549.75499999999977</v>
      </c>
      <c r="H145" s="117">
        <v>457.50099999999992</v>
      </c>
      <c r="I145" s="117">
        <v>832.27900000000022</v>
      </c>
      <c r="J145" s="117">
        <v>660.85</v>
      </c>
      <c r="K145" s="117">
        <v>695.75299999999982</v>
      </c>
      <c r="L145" s="117">
        <v>666.06700000000035</v>
      </c>
      <c r="M145" s="117">
        <v>660.58499999999981</v>
      </c>
      <c r="N145" s="117">
        <v>622.27199999999993</v>
      </c>
      <c r="O145" s="117">
        <v>656.22400000000005</v>
      </c>
      <c r="P145" s="117">
        <v>722.93800000000022</v>
      </c>
      <c r="Q145" s="117">
        <v>415.41699999999992</v>
      </c>
      <c r="R145" s="117">
        <v>561.25200000000018</v>
      </c>
      <c r="S145" s="117">
        <v>590.69699999999989</v>
      </c>
      <c r="T145" s="117">
        <v>681.38900000000024</v>
      </c>
      <c r="U145" s="117">
        <v>614.08500000000004</v>
      </c>
      <c r="V145" s="117">
        <v>638.55399999999997</v>
      </c>
      <c r="W145" s="117">
        <v>620.42599999999982</v>
      </c>
      <c r="X145" s="117">
        <v>549.88700000000006</v>
      </c>
      <c r="Y145" s="117">
        <v>524.67000000000019</v>
      </c>
      <c r="Z145" s="117">
        <v>172.39000000000001</v>
      </c>
      <c r="AA145" s="117">
        <v>644.84199999999987</v>
      </c>
      <c r="AB145" s="117">
        <v>754.11899999999969</v>
      </c>
      <c r="AC145" s="117">
        <v>649.08500000000015</v>
      </c>
      <c r="AD145" s="117">
        <v>681.827</v>
      </c>
      <c r="AE145" s="117">
        <v>600.98599999999999</v>
      </c>
      <c r="AF145" s="117">
        <v>418.87499999999989</v>
      </c>
      <c r="AG145" s="117">
        <v>615.96345161290333</v>
      </c>
    </row>
    <row r="146" spans="1:33" x14ac:dyDescent="0.3">
      <c r="A146" s="10" t="s">
        <v>762</v>
      </c>
      <c r="B146" s="117">
        <v>133.477</v>
      </c>
      <c r="C146" s="117">
        <v>129.49</v>
      </c>
      <c r="D146" s="117">
        <v>59.795999999999999</v>
      </c>
      <c r="E146" s="117">
        <v>171.50200000000004</v>
      </c>
      <c r="F146" s="117">
        <v>143.33000000000001</v>
      </c>
      <c r="G146" s="117">
        <v>189.29100000000003</v>
      </c>
      <c r="H146" s="117">
        <v>135.31299999999999</v>
      </c>
      <c r="I146" s="117">
        <v>132.244</v>
      </c>
      <c r="J146" s="117">
        <v>153.10399999999998</v>
      </c>
      <c r="K146" s="117">
        <v>44.578000000000003</v>
      </c>
      <c r="L146" s="117">
        <v>173.98399999999998</v>
      </c>
      <c r="M146" s="117">
        <v>152.34300000000002</v>
      </c>
      <c r="N146" s="117">
        <v>160.51500000000001</v>
      </c>
      <c r="O146" s="117">
        <v>155.73099999999999</v>
      </c>
      <c r="P146" s="117">
        <v>61.56</v>
      </c>
      <c r="Q146" s="117">
        <v>137.63200000000001</v>
      </c>
      <c r="R146" s="117">
        <v>37.433000000000007</v>
      </c>
      <c r="S146" s="117">
        <v>114.93700000000001</v>
      </c>
      <c r="T146" s="117">
        <v>148.31399999999999</v>
      </c>
      <c r="U146" s="117">
        <v>129.45099999999999</v>
      </c>
      <c r="V146" s="117">
        <v>163.92499999999998</v>
      </c>
      <c r="W146" s="117">
        <v>180.84499999999997</v>
      </c>
      <c r="X146" s="117">
        <v>104.62</v>
      </c>
      <c r="Y146" s="117">
        <v>51.727999999999994</v>
      </c>
      <c r="Z146" s="117">
        <v>121.52000000000004</v>
      </c>
      <c r="AA146" s="117">
        <v>150.51300000000001</v>
      </c>
      <c r="AB146" s="117">
        <v>129.74700000000001</v>
      </c>
      <c r="AC146" s="117">
        <v>131.626</v>
      </c>
      <c r="AD146" s="117">
        <v>186.19400000000002</v>
      </c>
      <c r="AE146" s="117">
        <v>139.93300000000002</v>
      </c>
      <c r="AF146" s="117">
        <v>72.793999999999997</v>
      </c>
      <c r="AG146" s="117">
        <v>128.95064516129031</v>
      </c>
    </row>
    <row r="147" spans="1:33" x14ac:dyDescent="0.3">
      <c r="A147" s="10" t="s">
        <v>937</v>
      </c>
      <c r="B147" s="117">
        <v>122.55900000000003</v>
      </c>
      <c r="C147" s="117">
        <v>118.13500000000001</v>
      </c>
      <c r="D147" s="117">
        <v>137.44499999999996</v>
      </c>
      <c r="E147" s="117">
        <v>178.71700000000001</v>
      </c>
      <c r="F147" s="117">
        <v>180.608</v>
      </c>
      <c r="G147" s="117">
        <v>170.31099999999998</v>
      </c>
      <c r="H147" s="117">
        <v>198.42</v>
      </c>
      <c r="I147" s="117">
        <v>190.32600000000005</v>
      </c>
      <c r="J147" s="117">
        <v>183.38099999999994</v>
      </c>
      <c r="K147" s="117">
        <v>189.70499999999998</v>
      </c>
      <c r="L147" s="117">
        <v>193.17199999999997</v>
      </c>
      <c r="M147" s="117">
        <v>163.33899999999997</v>
      </c>
      <c r="N147" s="117">
        <v>204.23500000000004</v>
      </c>
      <c r="O147" s="117">
        <v>113.16100000000002</v>
      </c>
      <c r="P147" s="117">
        <v>96.471000000000004</v>
      </c>
      <c r="Q147" s="117">
        <v>128.27700000000002</v>
      </c>
      <c r="R147" s="117">
        <v>158.61599999999999</v>
      </c>
      <c r="S147" s="117">
        <v>0</v>
      </c>
      <c r="T147" s="117">
        <v>165.892</v>
      </c>
      <c r="U147" s="117">
        <v>168.648</v>
      </c>
      <c r="V147" s="117">
        <v>161.721</v>
      </c>
      <c r="W147" s="117">
        <v>163.88200000000001</v>
      </c>
      <c r="X147" s="117">
        <v>142.155</v>
      </c>
      <c r="Y147" s="117">
        <v>177.143</v>
      </c>
      <c r="Z147" s="117">
        <v>153.57800000000003</v>
      </c>
      <c r="AA147" s="117">
        <v>173.30700000000002</v>
      </c>
      <c r="AB147" s="117">
        <v>155.517</v>
      </c>
      <c r="AC147" s="117">
        <v>159.30799999999996</v>
      </c>
      <c r="AD147" s="117">
        <v>137.62799999999999</v>
      </c>
      <c r="AE147" s="117">
        <v>199.76500000000001</v>
      </c>
      <c r="AF147" s="117">
        <v>141.01699999999997</v>
      </c>
      <c r="AG147" s="117">
        <v>155.69158064516128</v>
      </c>
    </row>
    <row r="148" spans="1:33" x14ac:dyDescent="0.3">
      <c r="A148" s="10" t="s">
        <v>763</v>
      </c>
      <c r="B148" s="117">
        <v>31.973000000000003</v>
      </c>
      <c r="C148" s="117">
        <v>10.341000000000001</v>
      </c>
      <c r="D148" s="117">
        <v>10.216999999999999</v>
      </c>
      <c r="E148" s="117">
        <v>24.266000000000002</v>
      </c>
      <c r="F148" s="117">
        <v>24.088999999999999</v>
      </c>
      <c r="G148" s="117">
        <v>23.222999999999999</v>
      </c>
      <c r="H148" s="117">
        <v>24.223999999999997</v>
      </c>
      <c r="I148" s="117">
        <v>31.428000000000001</v>
      </c>
      <c r="J148" s="117">
        <v>12.231999999999999</v>
      </c>
      <c r="K148" s="117">
        <v>19.47</v>
      </c>
      <c r="L148" s="117">
        <v>16.945</v>
      </c>
      <c r="M148" s="117">
        <v>4.6210000000000004</v>
      </c>
      <c r="N148" s="117">
        <v>20.337</v>
      </c>
      <c r="O148" s="117">
        <v>24.169</v>
      </c>
      <c r="P148" s="117">
        <v>34.149000000000001</v>
      </c>
      <c r="Q148" s="117">
        <v>22.29</v>
      </c>
      <c r="R148" s="117">
        <v>38.771000000000001</v>
      </c>
      <c r="S148" s="117">
        <v>13.051</v>
      </c>
      <c r="T148" s="117">
        <v>41.027000000000001</v>
      </c>
      <c r="U148" s="117">
        <v>15.845000000000001</v>
      </c>
      <c r="V148" s="117">
        <v>14.736000000000001</v>
      </c>
      <c r="W148" s="117">
        <v>48.186000000000007</v>
      </c>
      <c r="X148" s="117">
        <v>30.188000000000002</v>
      </c>
      <c r="Y148" s="117">
        <v>43.949999999999996</v>
      </c>
      <c r="Z148" s="117">
        <v>47.942000000000007</v>
      </c>
      <c r="AA148" s="117">
        <v>130.88499999999999</v>
      </c>
      <c r="AB148" s="117">
        <v>40.353000000000002</v>
      </c>
      <c r="AC148" s="117">
        <v>31.356000000000002</v>
      </c>
      <c r="AD148" s="117">
        <v>16.562999999999999</v>
      </c>
      <c r="AE148" s="117">
        <v>15.741</v>
      </c>
      <c r="AF148" s="117">
        <v>60.678999999999988</v>
      </c>
      <c r="AG148" s="117">
        <v>29.782161290322581</v>
      </c>
    </row>
    <row r="149" spans="1:33" x14ac:dyDescent="0.3">
      <c r="A149" s="10" t="s">
        <v>764</v>
      </c>
      <c r="B149" s="117">
        <v>209.14299999999994</v>
      </c>
      <c r="C149" s="117">
        <v>200.04599999999999</v>
      </c>
      <c r="D149" s="117">
        <v>170.38800000000001</v>
      </c>
      <c r="E149" s="117">
        <v>194.64300000000003</v>
      </c>
      <c r="F149" s="117">
        <v>212.36599999999999</v>
      </c>
      <c r="G149" s="117">
        <v>205.04999999999998</v>
      </c>
      <c r="H149" s="117">
        <v>225.41999999999993</v>
      </c>
      <c r="I149" s="117">
        <v>222.38000000000002</v>
      </c>
      <c r="J149" s="117">
        <v>235.68399999999997</v>
      </c>
      <c r="K149" s="117">
        <v>232.15999999999997</v>
      </c>
      <c r="L149" s="117">
        <v>228.63799999999992</v>
      </c>
      <c r="M149" s="117">
        <v>224.42399999999998</v>
      </c>
      <c r="N149" s="117">
        <v>193.02899999999997</v>
      </c>
      <c r="O149" s="117">
        <v>125.41899999999998</v>
      </c>
      <c r="P149" s="117">
        <v>54.402999999999992</v>
      </c>
      <c r="Q149" s="117">
        <v>120.01300000000001</v>
      </c>
      <c r="R149" s="117">
        <v>199.55399999999997</v>
      </c>
      <c r="S149" s="117">
        <v>216.57500000000002</v>
      </c>
      <c r="T149" s="117">
        <v>230.41600000000003</v>
      </c>
      <c r="U149" s="117">
        <v>207.94100000000003</v>
      </c>
      <c r="V149" s="117">
        <v>219.39900000000006</v>
      </c>
      <c r="W149" s="117">
        <v>310.79199999999992</v>
      </c>
      <c r="X149" s="117">
        <v>301.54300000000006</v>
      </c>
      <c r="Y149" s="117">
        <v>295.57599999999996</v>
      </c>
      <c r="Z149" s="117">
        <v>209.24700000000004</v>
      </c>
      <c r="AA149" s="117">
        <v>300.14100000000002</v>
      </c>
      <c r="AB149" s="117">
        <v>267.06300000000005</v>
      </c>
      <c r="AC149" s="117">
        <v>227.34399999999997</v>
      </c>
      <c r="AD149" s="117">
        <v>286.17500000000007</v>
      </c>
      <c r="AE149" s="117">
        <v>298.90399999999988</v>
      </c>
      <c r="AF149" s="117">
        <v>222.38500000000005</v>
      </c>
      <c r="AG149" s="117">
        <v>220.84712903225804</v>
      </c>
    </row>
    <row r="150" spans="1:33" x14ac:dyDescent="0.3">
      <c r="A150" s="10" t="s">
        <v>765</v>
      </c>
      <c r="B150" s="117">
        <v>28.317</v>
      </c>
      <c r="C150" s="117">
        <v>28.186</v>
      </c>
      <c r="D150" s="117">
        <v>24.173000000000002</v>
      </c>
      <c r="E150" s="117">
        <v>37.165999999999997</v>
      </c>
      <c r="F150" s="117">
        <v>22.551000000000002</v>
      </c>
      <c r="G150" s="117">
        <v>26.432000000000002</v>
      </c>
      <c r="H150" s="117">
        <v>18.957000000000001</v>
      </c>
      <c r="I150" s="117">
        <v>37.682999999999993</v>
      </c>
      <c r="J150" s="117">
        <v>15.356</v>
      </c>
      <c r="K150" s="117">
        <v>41.746000000000002</v>
      </c>
      <c r="L150" s="117">
        <v>24.600999999999999</v>
      </c>
      <c r="M150" s="117">
        <v>27.436</v>
      </c>
      <c r="N150" s="117">
        <v>12.861999999999998</v>
      </c>
      <c r="O150" s="117">
        <v>36.615000000000002</v>
      </c>
      <c r="P150" s="117">
        <v>20.93</v>
      </c>
      <c r="Q150" s="117">
        <v>24.349</v>
      </c>
      <c r="R150" s="117">
        <v>33.185000000000002</v>
      </c>
      <c r="S150" s="117">
        <v>19.974000000000004</v>
      </c>
      <c r="T150" s="117">
        <v>35.277999999999999</v>
      </c>
      <c r="U150" s="117">
        <v>28.199000000000002</v>
      </c>
      <c r="V150" s="117">
        <v>45.354999999999997</v>
      </c>
      <c r="W150" s="117">
        <v>16.970999999999997</v>
      </c>
      <c r="X150" s="117">
        <v>44.894000000000005</v>
      </c>
      <c r="Y150" s="117">
        <v>33.015000000000001</v>
      </c>
      <c r="Z150" s="117">
        <v>41.278999999999996</v>
      </c>
      <c r="AA150" s="117">
        <v>26.843999999999998</v>
      </c>
      <c r="AB150" s="117">
        <v>29.868000000000002</v>
      </c>
      <c r="AC150" s="117">
        <v>21.319000000000003</v>
      </c>
      <c r="AD150" s="117">
        <v>34.954999999999998</v>
      </c>
      <c r="AE150" s="117">
        <v>39.975999999999999</v>
      </c>
      <c r="AF150" s="117">
        <v>18.819000000000003</v>
      </c>
      <c r="AG150" s="117">
        <v>28.944870967741934</v>
      </c>
    </row>
    <row r="151" spans="1:33" x14ac:dyDescent="0.3">
      <c r="A151" s="10" t="s">
        <v>766</v>
      </c>
      <c r="B151" s="117">
        <v>62.101999999999997</v>
      </c>
      <c r="C151" s="117">
        <v>50.774000000000001</v>
      </c>
      <c r="D151" s="117">
        <v>56.902000000000001</v>
      </c>
      <c r="E151" s="117">
        <v>70.632999999999996</v>
      </c>
      <c r="F151" s="117">
        <v>79.206000000000003</v>
      </c>
      <c r="G151" s="117">
        <v>32.892000000000003</v>
      </c>
      <c r="H151" s="117">
        <v>57.892000000000003</v>
      </c>
      <c r="I151" s="117">
        <v>31.657</v>
      </c>
      <c r="J151" s="117">
        <v>84.975000000000009</v>
      </c>
      <c r="K151" s="117">
        <v>49.246999999999993</v>
      </c>
      <c r="L151" s="117">
        <v>49.731000000000002</v>
      </c>
      <c r="M151" s="117">
        <v>56.402000000000001</v>
      </c>
      <c r="N151" s="117">
        <v>101.02899999999998</v>
      </c>
      <c r="O151" s="117">
        <v>64.421999999999997</v>
      </c>
      <c r="P151" s="117">
        <v>71.512999999999991</v>
      </c>
      <c r="Q151" s="117">
        <v>49.815999999999995</v>
      </c>
      <c r="R151" s="117">
        <v>55.753999999999998</v>
      </c>
      <c r="S151" s="117">
        <v>106.14000000000001</v>
      </c>
      <c r="T151" s="117">
        <v>73.554000000000002</v>
      </c>
      <c r="U151" s="117">
        <v>105.027</v>
      </c>
      <c r="V151" s="117">
        <v>70.296999999999997</v>
      </c>
      <c r="W151" s="117">
        <v>59.007000000000005</v>
      </c>
      <c r="X151" s="117">
        <v>92.587000000000003</v>
      </c>
      <c r="Y151" s="117">
        <v>75.593999999999994</v>
      </c>
      <c r="Z151" s="117">
        <v>61.094000000000008</v>
      </c>
      <c r="AA151" s="117">
        <v>90.065000000000012</v>
      </c>
      <c r="AB151" s="117">
        <v>54.849999999999994</v>
      </c>
      <c r="AC151" s="117">
        <v>96.707999999999998</v>
      </c>
      <c r="AD151" s="117">
        <v>87.084000000000003</v>
      </c>
      <c r="AE151" s="117">
        <v>47.582999999999998</v>
      </c>
      <c r="AF151" s="117">
        <v>35.822000000000003</v>
      </c>
      <c r="AG151" s="117">
        <v>67.108354838709701</v>
      </c>
    </row>
    <row r="152" spans="1:33" x14ac:dyDescent="0.3">
      <c r="A152" s="10" t="s">
        <v>767</v>
      </c>
      <c r="B152" s="117">
        <v>150.60499999999999</v>
      </c>
      <c r="C152" s="117">
        <v>159.59200000000001</v>
      </c>
      <c r="D152" s="117">
        <v>137.19099999999997</v>
      </c>
      <c r="E152" s="117">
        <v>167.98599999999999</v>
      </c>
      <c r="F152" s="117">
        <v>150.898</v>
      </c>
      <c r="G152" s="117">
        <v>174.09599999999998</v>
      </c>
      <c r="H152" s="117">
        <v>164.91200000000003</v>
      </c>
      <c r="I152" s="117">
        <v>143.43299999999999</v>
      </c>
      <c r="J152" s="117">
        <v>187.48399999999992</v>
      </c>
      <c r="K152" s="117">
        <v>163.53899999999999</v>
      </c>
      <c r="L152" s="117">
        <v>150.56299999999999</v>
      </c>
      <c r="M152" s="117">
        <v>163.691</v>
      </c>
      <c r="N152" s="117">
        <v>131.57899999999998</v>
      </c>
      <c r="O152" s="117">
        <v>165.90899999999999</v>
      </c>
      <c r="P152" s="117">
        <v>168.172</v>
      </c>
      <c r="Q152" s="117">
        <v>176.15800000000004</v>
      </c>
      <c r="R152" s="117">
        <v>134.54799999999997</v>
      </c>
      <c r="S152" s="117">
        <v>138.755</v>
      </c>
      <c r="T152" s="117">
        <v>148.84899999999999</v>
      </c>
      <c r="U152" s="117">
        <v>118.08500000000002</v>
      </c>
      <c r="V152" s="117">
        <v>128.53299999999999</v>
      </c>
      <c r="W152" s="117">
        <v>123.684</v>
      </c>
      <c r="X152" s="117">
        <v>136.75</v>
      </c>
      <c r="Y152" s="117">
        <v>147.02999999999997</v>
      </c>
      <c r="Z152" s="117">
        <v>123.414</v>
      </c>
      <c r="AA152" s="117">
        <v>153.77099999999999</v>
      </c>
      <c r="AB152" s="117">
        <v>122.996</v>
      </c>
      <c r="AC152" s="117">
        <v>115.41200000000001</v>
      </c>
      <c r="AD152" s="117">
        <v>132.07300000000001</v>
      </c>
      <c r="AE152" s="117">
        <v>61.724999999999994</v>
      </c>
      <c r="AF152" s="117">
        <v>33.686</v>
      </c>
      <c r="AG152" s="117">
        <v>141.13287096774198</v>
      </c>
    </row>
    <row r="153" spans="1:33" x14ac:dyDescent="0.3">
      <c r="A153" s="10" t="s">
        <v>714</v>
      </c>
      <c r="B153" s="117">
        <v>98.823000000000022</v>
      </c>
      <c r="C153" s="117">
        <v>77.02</v>
      </c>
      <c r="D153" s="117">
        <v>62.552000000000007</v>
      </c>
      <c r="E153" s="117">
        <v>97.920000000000016</v>
      </c>
      <c r="F153" s="117">
        <v>82.345999999999989</v>
      </c>
      <c r="G153" s="117">
        <v>76.695999999999984</v>
      </c>
      <c r="H153" s="117">
        <v>72.007000000000005</v>
      </c>
      <c r="I153" s="117">
        <v>75.554000000000002</v>
      </c>
      <c r="J153" s="117">
        <v>74.245000000000005</v>
      </c>
      <c r="K153" s="117">
        <v>85.88900000000001</v>
      </c>
      <c r="L153" s="117">
        <v>68.647000000000006</v>
      </c>
      <c r="M153" s="117">
        <v>86.02</v>
      </c>
      <c r="N153" s="117">
        <v>88.924000000000007</v>
      </c>
      <c r="O153" s="117">
        <v>90.563000000000017</v>
      </c>
      <c r="P153" s="117">
        <v>74.753999999999991</v>
      </c>
      <c r="Q153" s="117">
        <v>94.919000000000011</v>
      </c>
      <c r="R153" s="117">
        <v>71.948000000000008</v>
      </c>
      <c r="S153" s="117">
        <v>72.588999999999999</v>
      </c>
      <c r="T153" s="117">
        <v>66.564999999999998</v>
      </c>
      <c r="U153" s="117">
        <v>52.448999999999998</v>
      </c>
      <c r="V153" s="117">
        <v>91.456000000000003</v>
      </c>
      <c r="W153" s="117">
        <v>70.756000000000014</v>
      </c>
      <c r="X153" s="117">
        <v>98.91</v>
      </c>
      <c r="Y153" s="117">
        <v>51.994999999999997</v>
      </c>
      <c r="Z153" s="117">
        <v>88.15</v>
      </c>
      <c r="AA153" s="117">
        <v>63.3</v>
      </c>
      <c r="AB153" s="117">
        <v>56.596000000000004</v>
      </c>
      <c r="AC153" s="117">
        <v>70.801000000000002</v>
      </c>
      <c r="AD153" s="117">
        <v>74.733000000000004</v>
      </c>
      <c r="AE153" s="117">
        <v>60.483000000000004</v>
      </c>
      <c r="AF153" s="117">
        <v>38.046999999999997</v>
      </c>
      <c r="AG153" s="117">
        <v>75.343774193548413</v>
      </c>
    </row>
    <row r="154" spans="1:33" x14ac:dyDescent="0.3">
      <c r="A154" s="10" t="s">
        <v>768</v>
      </c>
      <c r="B154" s="117">
        <v>56.052999999999997</v>
      </c>
      <c r="C154" s="117">
        <v>87.152999999999992</v>
      </c>
      <c r="D154" s="117">
        <v>75.501999999999995</v>
      </c>
      <c r="E154" s="117">
        <v>50.373000000000005</v>
      </c>
      <c r="F154" s="117">
        <v>74.853000000000009</v>
      </c>
      <c r="G154" s="117">
        <v>79.649000000000001</v>
      </c>
      <c r="H154" s="117">
        <v>82.242999999999995</v>
      </c>
      <c r="I154" s="117">
        <v>83.837999999999965</v>
      </c>
      <c r="J154" s="117">
        <v>92.371000000000009</v>
      </c>
      <c r="K154" s="117">
        <v>93.266999999999996</v>
      </c>
      <c r="L154" s="117">
        <v>68.572999999999993</v>
      </c>
      <c r="M154" s="117">
        <v>71.263000000000005</v>
      </c>
      <c r="N154" s="117">
        <v>74.94</v>
      </c>
      <c r="O154" s="117">
        <v>60.594999999999999</v>
      </c>
      <c r="P154" s="117">
        <v>69.736999999999995</v>
      </c>
      <c r="Q154" s="117">
        <v>67.972999999999999</v>
      </c>
      <c r="R154" s="117">
        <v>64.693999999999988</v>
      </c>
      <c r="S154" s="117">
        <v>84.461000000000013</v>
      </c>
      <c r="T154" s="117">
        <v>57.922000000000004</v>
      </c>
      <c r="U154" s="117">
        <v>63.861000000000011</v>
      </c>
      <c r="V154" s="117">
        <v>86.606999999999971</v>
      </c>
      <c r="W154" s="117">
        <v>69.265000000000015</v>
      </c>
      <c r="X154" s="117">
        <v>63.691000000000038</v>
      </c>
      <c r="Y154" s="117">
        <v>62.190999999999995</v>
      </c>
      <c r="Z154" s="117">
        <v>89.296000000000006</v>
      </c>
      <c r="AA154" s="117">
        <v>94.516000000000005</v>
      </c>
      <c r="AB154" s="117">
        <v>62.010999999999996</v>
      </c>
      <c r="AC154" s="117">
        <v>68.963000000000008</v>
      </c>
      <c r="AD154" s="117">
        <v>71.653999999999996</v>
      </c>
      <c r="AE154" s="117">
        <v>44.33</v>
      </c>
      <c r="AF154" s="117">
        <v>56.494</v>
      </c>
      <c r="AG154" s="117">
        <v>71.881903225806468</v>
      </c>
    </row>
    <row r="155" spans="1:33" x14ac:dyDescent="0.3">
      <c r="A155" s="10" t="s">
        <v>769</v>
      </c>
      <c r="B155" s="117">
        <v>75.018000000000001</v>
      </c>
      <c r="C155" s="117">
        <v>64.668000000000006</v>
      </c>
      <c r="D155" s="117">
        <v>67.715000000000003</v>
      </c>
      <c r="E155" s="117">
        <v>93.936999999999998</v>
      </c>
      <c r="F155" s="117">
        <v>79.688000000000002</v>
      </c>
      <c r="G155" s="117">
        <v>69.666999999999987</v>
      </c>
      <c r="H155" s="117">
        <v>56.108999999999995</v>
      </c>
      <c r="I155" s="117">
        <v>40.056999999999995</v>
      </c>
      <c r="J155" s="117">
        <v>50.940999999999995</v>
      </c>
      <c r="K155" s="117">
        <v>70.996999999999986</v>
      </c>
      <c r="L155" s="117">
        <v>49.485999999999997</v>
      </c>
      <c r="M155" s="117">
        <v>75.613</v>
      </c>
      <c r="N155" s="117">
        <v>86.602000000000004</v>
      </c>
      <c r="O155" s="117">
        <v>50.449000000000005</v>
      </c>
      <c r="P155" s="117">
        <v>35.311000000000007</v>
      </c>
      <c r="Q155" s="117">
        <v>73.879000000000005</v>
      </c>
      <c r="R155" s="117">
        <v>65.507999999999996</v>
      </c>
      <c r="S155" s="117">
        <v>102.21500000000002</v>
      </c>
      <c r="T155" s="117">
        <v>77.729000000000013</v>
      </c>
      <c r="U155" s="117">
        <v>74.475000000000009</v>
      </c>
      <c r="V155" s="117">
        <v>95.492000000000019</v>
      </c>
      <c r="W155" s="117">
        <v>113.873</v>
      </c>
      <c r="X155" s="117">
        <v>71.924000000000007</v>
      </c>
      <c r="Y155" s="117">
        <v>99.397999999999996</v>
      </c>
      <c r="Z155" s="117">
        <v>84.259</v>
      </c>
      <c r="AA155" s="117">
        <v>97.575999999999979</v>
      </c>
      <c r="AB155" s="117">
        <v>115.108</v>
      </c>
      <c r="AC155" s="117">
        <v>94.961000000000013</v>
      </c>
      <c r="AD155" s="117">
        <v>89.61999999999999</v>
      </c>
      <c r="AE155" s="117">
        <v>136.614</v>
      </c>
      <c r="AF155" s="117">
        <v>80.774000000000001</v>
      </c>
      <c r="AG155" s="117">
        <v>78.698806451612896</v>
      </c>
    </row>
    <row r="156" spans="1:33" x14ac:dyDescent="0.3">
      <c r="A156" s="10" t="s">
        <v>770</v>
      </c>
      <c r="B156" s="117">
        <v>165.90200000000004</v>
      </c>
      <c r="C156" s="117">
        <v>110.92499999999998</v>
      </c>
      <c r="D156" s="117">
        <v>129.50700000000001</v>
      </c>
      <c r="E156" s="117">
        <v>143.70400000000004</v>
      </c>
      <c r="F156" s="117">
        <v>118.78800000000001</v>
      </c>
      <c r="G156" s="117">
        <v>123.78999999999999</v>
      </c>
      <c r="H156" s="117">
        <v>125.32700000000001</v>
      </c>
      <c r="I156" s="117">
        <v>113.87299999999999</v>
      </c>
      <c r="J156" s="117">
        <v>145.76300000000001</v>
      </c>
      <c r="K156" s="117">
        <v>108.504</v>
      </c>
      <c r="L156" s="117">
        <v>147.45799999999997</v>
      </c>
      <c r="M156" s="117">
        <v>118.79599999999999</v>
      </c>
      <c r="N156" s="117">
        <v>175.11799999999999</v>
      </c>
      <c r="O156" s="117">
        <v>111.52199999999999</v>
      </c>
      <c r="P156" s="117">
        <v>108.24200000000002</v>
      </c>
      <c r="Q156" s="117">
        <v>129.739</v>
      </c>
      <c r="R156" s="117">
        <v>110.77200000000001</v>
      </c>
      <c r="S156" s="117">
        <v>133.48700000000002</v>
      </c>
      <c r="T156" s="117">
        <v>97.063999999999993</v>
      </c>
      <c r="U156" s="117">
        <v>154.24200000000005</v>
      </c>
      <c r="V156" s="117">
        <v>136.98799999999997</v>
      </c>
      <c r="W156" s="117">
        <v>131.45099999999999</v>
      </c>
      <c r="X156" s="117">
        <v>131.27500000000001</v>
      </c>
      <c r="Y156" s="117">
        <v>154.22699999999998</v>
      </c>
      <c r="Z156" s="117">
        <v>155.39200000000002</v>
      </c>
      <c r="AA156" s="117">
        <v>59.450999999999986</v>
      </c>
      <c r="AB156" s="117">
        <v>180.79599999999999</v>
      </c>
      <c r="AC156" s="117">
        <v>85.029999999999987</v>
      </c>
      <c r="AD156" s="117">
        <v>153.43800000000002</v>
      </c>
      <c r="AE156" s="117">
        <v>151.04200000000003</v>
      </c>
      <c r="AF156" s="117">
        <v>81.21899999999998</v>
      </c>
      <c r="AG156" s="117">
        <v>128.80103225806451</v>
      </c>
    </row>
    <row r="157" spans="1:33" x14ac:dyDescent="0.3">
      <c r="A157" s="26" t="s">
        <v>1022</v>
      </c>
      <c r="B157" s="117"/>
      <c r="C157" s="117"/>
      <c r="D157" s="117"/>
      <c r="E157" s="117"/>
      <c r="F157" s="117"/>
      <c r="G157" s="117"/>
      <c r="H157" s="117">
        <v>5.0999999999999996</v>
      </c>
      <c r="I157" s="117">
        <v>409.4</v>
      </c>
      <c r="J157" s="117">
        <v>0</v>
      </c>
      <c r="K157" s="117">
        <v>0</v>
      </c>
      <c r="L157" s="117">
        <v>3.7</v>
      </c>
      <c r="M157" s="117">
        <v>0</v>
      </c>
      <c r="N157" s="117">
        <v>0</v>
      </c>
      <c r="O157" s="117">
        <v>0</v>
      </c>
      <c r="P157" s="117">
        <v>0</v>
      </c>
      <c r="Q157" s="117">
        <v>0</v>
      </c>
      <c r="R157" s="117">
        <v>0</v>
      </c>
      <c r="S157" s="117">
        <v>0</v>
      </c>
      <c r="T157" s="117">
        <v>48.650000000000006</v>
      </c>
      <c r="U157" s="117">
        <v>0</v>
      </c>
      <c r="V157" s="117">
        <v>0</v>
      </c>
      <c r="W157" s="117">
        <v>0</v>
      </c>
      <c r="X157" s="117">
        <v>27.1</v>
      </c>
      <c r="Y157" s="117">
        <v>0</v>
      </c>
      <c r="Z157" s="117">
        <v>0</v>
      </c>
      <c r="AA157" s="117">
        <v>0</v>
      </c>
      <c r="AB157" s="117">
        <v>0</v>
      </c>
      <c r="AC157" s="117">
        <v>36.173999999999999</v>
      </c>
      <c r="AD157" s="117">
        <v>0</v>
      </c>
      <c r="AE157" s="117">
        <v>0</v>
      </c>
      <c r="AF157" s="117">
        <v>0</v>
      </c>
      <c r="AG157" s="117">
        <v>21.20496</v>
      </c>
    </row>
    <row r="158" spans="1:33" x14ac:dyDescent="0.3">
      <c r="A158" s="26" t="s">
        <v>1031</v>
      </c>
      <c r="B158" s="117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>
        <v>107.83000000000003</v>
      </c>
      <c r="O158" s="117">
        <v>114.77999999999999</v>
      </c>
      <c r="P158" s="117">
        <v>522.99</v>
      </c>
      <c r="Q158" s="117">
        <v>629.44999999999982</v>
      </c>
      <c r="R158" s="117">
        <v>259.83000000000004</v>
      </c>
      <c r="S158" s="117">
        <v>252.88</v>
      </c>
      <c r="T158" s="117">
        <v>156.03</v>
      </c>
      <c r="U158" s="117">
        <v>341.76000000000005</v>
      </c>
      <c r="V158" s="117">
        <v>169.35</v>
      </c>
      <c r="W158" s="117">
        <v>126.49</v>
      </c>
      <c r="X158" s="117">
        <v>62.33</v>
      </c>
      <c r="Y158" s="117">
        <v>89.08</v>
      </c>
      <c r="Z158" s="117">
        <v>254.96</v>
      </c>
      <c r="AA158" s="117">
        <v>313.65999999999991</v>
      </c>
      <c r="AB158" s="117">
        <v>151.23999999999998</v>
      </c>
      <c r="AC158" s="117">
        <v>358.19</v>
      </c>
      <c r="AD158" s="117">
        <v>244.4</v>
      </c>
      <c r="AE158" s="117">
        <v>100.05</v>
      </c>
      <c r="AF158" s="117">
        <v>104.9</v>
      </c>
      <c r="AG158" s="117">
        <v>229.48421052631574</v>
      </c>
    </row>
    <row r="159" spans="1:33" x14ac:dyDescent="0.3">
      <c r="A159" s="26" t="s">
        <v>1037</v>
      </c>
      <c r="B159" s="117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>
        <v>0</v>
      </c>
      <c r="T159" s="117">
        <v>0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7">
        <v>0</v>
      </c>
      <c r="AA159" s="117">
        <v>0</v>
      </c>
      <c r="AB159" s="117">
        <v>0</v>
      </c>
      <c r="AC159" s="117">
        <v>0</v>
      </c>
      <c r="AD159" s="117">
        <v>0</v>
      </c>
      <c r="AE159" s="117">
        <v>0</v>
      </c>
      <c r="AF159" s="117">
        <v>0</v>
      </c>
      <c r="AG159" s="117">
        <v>0</v>
      </c>
    </row>
    <row r="160" spans="1:33" x14ac:dyDescent="0.3">
      <c r="A160" s="26" t="s">
        <v>1049</v>
      </c>
      <c r="B160" s="117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>
        <v>0.29699999999999999</v>
      </c>
      <c r="Z160" s="117">
        <v>0</v>
      </c>
      <c r="AA160" s="117">
        <v>0</v>
      </c>
      <c r="AB160" s="117">
        <v>0</v>
      </c>
      <c r="AC160" s="117">
        <v>0</v>
      </c>
      <c r="AD160" s="117">
        <v>0</v>
      </c>
      <c r="AE160" s="117">
        <v>0</v>
      </c>
      <c r="AF160" s="117">
        <v>0</v>
      </c>
      <c r="AG160" s="117">
        <v>3.7124999999999998E-2</v>
      </c>
    </row>
    <row r="161" spans="1:33" x14ac:dyDescent="0.3">
      <c r="A161" s="26" t="s">
        <v>1045</v>
      </c>
      <c r="B161" s="117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>
        <v>0</v>
      </c>
      <c r="Z161" s="117">
        <v>0</v>
      </c>
      <c r="AA161" s="117">
        <v>0</v>
      </c>
      <c r="AB161" s="117">
        <v>0</v>
      </c>
      <c r="AC161" s="117">
        <v>0</v>
      </c>
      <c r="AD161" s="117">
        <v>0</v>
      </c>
      <c r="AE161" s="117">
        <v>0</v>
      </c>
      <c r="AF161" s="117">
        <v>0</v>
      </c>
      <c r="AG161" s="117">
        <v>0</v>
      </c>
    </row>
    <row r="162" spans="1:33" x14ac:dyDescent="0.3">
      <c r="A162" s="26" t="s">
        <v>1046</v>
      </c>
      <c r="B162" s="117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>
        <v>0</v>
      </c>
      <c r="Z162" s="117">
        <v>7.69</v>
      </c>
      <c r="AA162" s="117">
        <v>0</v>
      </c>
      <c r="AB162" s="117">
        <v>20.45</v>
      </c>
      <c r="AC162" s="117">
        <v>0</v>
      </c>
      <c r="AD162" s="117">
        <v>0</v>
      </c>
      <c r="AE162" s="117">
        <v>0</v>
      </c>
      <c r="AF162" s="117">
        <v>0</v>
      </c>
      <c r="AG162" s="117">
        <v>3.5175000000000001</v>
      </c>
    </row>
    <row r="163" spans="1:33" x14ac:dyDescent="0.3">
      <c r="A163" s="26" t="s">
        <v>1056</v>
      </c>
      <c r="B163" s="117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>
        <v>41.4</v>
      </c>
      <c r="AD163" s="117">
        <v>0</v>
      </c>
      <c r="AE163" s="117">
        <v>0</v>
      </c>
      <c r="AF163" s="117">
        <v>0</v>
      </c>
      <c r="AG163" s="117">
        <v>10.35</v>
      </c>
    </row>
    <row r="164" spans="1:33" x14ac:dyDescent="0.3">
      <c r="A164" s="10" t="s">
        <v>83</v>
      </c>
      <c r="B164" s="117">
        <v>6982.4529999999995</v>
      </c>
      <c r="C164" s="117">
        <v>5973.2560000000003</v>
      </c>
      <c r="D164" s="117">
        <v>6286.9960000000001</v>
      </c>
      <c r="E164" s="117">
        <v>7188.9359999999979</v>
      </c>
      <c r="F164" s="117">
        <v>7100.1559999999972</v>
      </c>
      <c r="G164" s="117">
        <v>7372.8040000000001</v>
      </c>
      <c r="H164" s="117">
        <v>7133.1680000000033</v>
      </c>
      <c r="I164" s="117">
        <v>7358.5049999999992</v>
      </c>
      <c r="J164" s="117">
        <v>5855.241</v>
      </c>
      <c r="K164" s="117">
        <v>6542.4780000000001</v>
      </c>
      <c r="L164" s="117">
        <v>6889.4729999999981</v>
      </c>
      <c r="M164" s="117">
        <v>7493.8700000000017</v>
      </c>
      <c r="N164" s="117">
        <v>7125.5159999999987</v>
      </c>
      <c r="O164" s="117">
        <v>6357.4329999999982</v>
      </c>
      <c r="P164" s="117">
        <v>6953.2809999999999</v>
      </c>
      <c r="Q164" s="117">
        <v>7038.0190000000021</v>
      </c>
      <c r="R164" s="117">
        <v>6896.7480000000023</v>
      </c>
      <c r="S164" s="117">
        <v>7429.9230000000016</v>
      </c>
      <c r="T164" s="117">
        <v>7428.4699999999993</v>
      </c>
      <c r="U164" s="117">
        <v>7567.5279999999993</v>
      </c>
      <c r="V164" s="117">
        <v>7537.7140000000009</v>
      </c>
      <c r="W164" s="117">
        <v>6656.641999999998</v>
      </c>
      <c r="X164" s="117">
        <v>6160.5450000000001</v>
      </c>
      <c r="Y164" s="117">
        <v>6641.9109999999973</v>
      </c>
      <c r="Z164" s="117">
        <v>7291.9030000000002</v>
      </c>
      <c r="AA164" s="117">
        <v>7299.7009999999973</v>
      </c>
      <c r="AB164" s="117">
        <v>8022.2630000000036</v>
      </c>
      <c r="AC164" s="117">
        <v>7046.6470000000008</v>
      </c>
      <c r="AD164" s="117">
        <v>6866.3319999999994</v>
      </c>
      <c r="AE164" s="117">
        <v>5870.335</v>
      </c>
      <c r="AF164" s="117">
        <v>4930.5939999999991</v>
      </c>
      <c r="AG164" s="117">
        <v>7000.430379627699</v>
      </c>
    </row>
    <row r="182" spans="1:32" x14ac:dyDescent="0.3">
      <c r="A182" s="30" t="s">
        <v>542</v>
      </c>
      <c r="B182" s="12" t="s">
        <v>1015</v>
      </c>
      <c r="C182" s="12" t="s">
        <v>1016</v>
      </c>
      <c r="D182" s="12" t="s">
        <v>1017</v>
      </c>
      <c r="E182" s="12" t="s">
        <v>1019</v>
      </c>
      <c r="F182" s="12" t="s">
        <v>1020</v>
      </c>
      <c r="G182" s="12" t="s">
        <v>1021</v>
      </c>
      <c r="H182" s="12" t="s">
        <v>1025</v>
      </c>
      <c r="I182" s="12" t="s">
        <v>1026</v>
      </c>
      <c r="J182" s="12" t="s">
        <v>1027</v>
      </c>
      <c r="K182" s="12" t="s">
        <v>1028</v>
      </c>
      <c r="L182" s="12" t="s">
        <v>1029</v>
      </c>
      <c r="M182" s="12" t="s">
        <v>1030</v>
      </c>
      <c r="N182" s="12" t="s">
        <v>1032</v>
      </c>
      <c r="O182" s="12" t="s">
        <v>1033</v>
      </c>
      <c r="P182" s="12" t="s">
        <v>1034</v>
      </c>
      <c r="Q182" s="12" t="s">
        <v>1035</v>
      </c>
      <c r="R182" s="12" t="s">
        <v>1036</v>
      </c>
      <c r="S182" s="12" t="s">
        <v>1039</v>
      </c>
      <c r="T182" s="12" t="s">
        <v>1040</v>
      </c>
      <c r="U182" s="12" t="s">
        <v>1041</v>
      </c>
      <c r="V182" s="12" t="s">
        <v>1042</v>
      </c>
      <c r="W182" s="12" t="s">
        <v>1043</v>
      </c>
      <c r="X182" s="12" t="s">
        <v>1044</v>
      </c>
      <c r="Y182" s="12" t="s">
        <v>1051</v>
      </c>
      <c r="Z182" s="12" t="s">
        <v>1053</v>
      </c>
      <c r="AA182" s="12" t="s">
        <v>1054</v>
      </c>
      <c r="AB182" s="12" t="s">
        <v>1055</v>
      </c>
      <c r="AC182" s="12" t="s">
        <v>1057</v>
      </c>
      <c r="AD182" s="12" t="s">
        <v>1058</v>
      </c>
      <c r="AE182" s="12" t="s">
        <v>1059</v>
      </c>
      <c r="AF182" s="12" t="s">
        <v>1060</v>
      </c>
    </row>
    <row r="183" spans="1:32" x14ac:dyDescent="0.3">
      <c r="A183" s="39" t="s">
        <v>589</v>
      </c>
      <c r="B183" s="137">
        <v>1664.3870000000002</v>
      </c>
      <c r="C183" s="137">
        <v>1513.4109999999998</v>
      </c>
      <c r="D183" s="137">
        <v>1393.2370000000001</v>
      </c>
      <c r="E183" s="137">
        <v>1432.8020000000001</v>
      </c>
      <c r="F183" s="137">
        <v>1434.066</v>
      </c>
      <c r="G183" s="137">
        <v>1607.0029999999999</v>
      </c>
      <c r="H183" s="137">
        <v>1735.9079999999999</v>
      </c>
      <c r="I183" s="137">
        <v>1789.7619999999997</v>
      </c>
      <c r="J183" s="137">
        <v>1364.8739999999996</v>
      </c>
      <c r="K183" s="137">
        <v>1117.971</v>
      </c>
      <c r="L183" s="137">
        <v>1126.6969999999999</v>
      </c>
      <c r="M183" s="137">
        <v>1292.0160000000003</v>
      </c>
      <c r="N183" s="137">
        <v>1074.8159999999998</v>
      </c>
      <c r="O183" s="137">
        <v>1140.7839999999999</v>
      </c>
      <c r="P183" s="137">
        <v>1261.3979999999995</v>
      </c>
      <c r="Q183" s="137">
        <v>1346.7190000000001</v>
      </c>
      <c r="R183" s="137">
        <v>1098.3629999999998</v>
      </c>
      <c r="S183" s="137">
        <v>1090.8560000000002</v>
      </c>
      <c r="T183" s="137">
        <v>1279.1479999999999</v>
      </c>
      <c r="U183" s="137">
        <v>1287.7450000000001</v>
      </c>
      <c r="V183" s="137">
        <v>1225.8050000000001</v>
      </c>
      <c r="W183" s="137">
        <v>1403.1789999999999</v>
      </c>
      <c r="X183" s="137">
        <v>1484.789</v>
      </c>
      <c r="Y183" s="137">
        <v>1271.8319999999999</v>
      </c>
      <c r="Z183" s="137">
        <v>1061.8519999999999</v>
      </c>
      <c r="AA183" s="137">
        <v>1228.9219999999998</v>
      </c>
      <c r="AB183" s="137">
        <v>1321.6829999999998</v>
      </c>
      <c r="AC183" s="137">
        <v>1188.9279999999999</v>
      </c>
      <c r="AD183" s="137">
        <v>1347.0970000000002</v>
      </c>
      <c r="AE183" s="137">
        <v>1170.6330000000003</v>
      </c>
      <c r="AF183" s="137">
        <v>1178.269</v>
      </c>
    </row>
    <row r="184" spans="1:32" x14ac:dyDescent="0.3">
      <c r="A184" s="39" t="s">
        <v>273</v>
      </c>
      <c r="B184" s="137">
        <v>3963.6779999999994</v>
      </c>
      <c r="C184" s="137">
        <v>3652.1750000000011</v>
      </c>
      <c r="D184" s="137">
        <v>3597.8110000000015</v>
      </c>
      <c r="E184" s="137">
        <v>3986.1259999999997</v>
      </c>
      <c r="F184" s="137">
        <v>3880.8419999999996</v>
      </c>
      <c r="G184" s="137">
        <v>3724.1519999999991</v>
      </c>
      <c r="H184" s="137">
        <v>3484.9170000000004</v>
      </c>
      <c r="I184" s="137">
        <v>3956.5929999999989</v>
      </c>
      <c r="J184" s="137">
        <v>3812.7379999999998</v>
      </c>
      <c r="K184" s="137">
        <v>3988.5079999999998</v>
      </c>
      <c r="L184" s="137">
        <v>4108.0599999999995</v>
      </c>
      <c r="M184" s="137">
        <v>3735.1200000000003</v>
      </c>
      <c r="N184" s="137">
        <v>4105.3810000000003</v>
      </c>
      <c r="O184" s="137">
        <v>3418.9649999999997</v>
      </c>
      <c r="P184" s="137">
        <v>3328.6129999999994</v>
      </c>
      <c r="Q184" s="137">
        <v>3558.2600000000007</v>
      </c>
      <c r="R184" s="137">
        <v>3675.25</v>
      </c>
      <c r="S184" s="137">
        <v>4091.1900000000005</v>
      </c>
      <c r="T184" s="137">
        <v>4124.549</v>
      </c>
      <c r="U184" s="137">
        <v>4041.2720000000004</v>
      </c>
      <c r="V184" s="137">
        <v>3946.1869999999999</v>
      </c>
      <c r="W184" s="137">
        <v>4153.1289999999999</v>
      </c>
      <c r="X184" s="137">
        <v>3877.3849999999998</v>
      </c>
      <c r="Y184" s="137">
        <v>3788.9169999999999</v>
      </c>
      <c r="Z184" s="137">
        <v>4166.4190000000017</v>
      </c>
      <c r="AA184" s="137">
        <v>3978.7590000000005</v>
      </c>
      <c r="AB184" s="137">
        <v>4197.585</v>
      </c>
      <c r="AC184" s="137">
        <v>3866.6439999999993</v>
      </c>
      <c r="AD184" s="137">
        <v>4264.7519999999995</v>
      </c>
      <c r="AE184" s="137">
        <v>3730.2229999999995</v>
      </c>
      <c r="AF184" s="137">
        <v>2773.9489999999996</v>
      </c>
    </row>
    <row r="185" spans="1:32" x14ac:dyDescent="0.3">
      <c r="A185" s="39" t="s">
        <v>160</v>
      </c>
      <c r="B185" s="137">
        <v>1258.0010000000002</v>
      </c>
      <c r="C185" s="137">
        <v>741.48400000000038</v>
      </c>
      <c r="D185" s="137">
        <v>1204.1980000000001</v>
      </c>
      <c r="E185" s="137">
        <v>1645.1209999999999</v>
      </c>
      <c r="F185" s="137">
        <v>1713.5819999999997</v>
      </c>
      <c r="G185" s="137">
        <v>1966.3549999999998</v>
      </c>
      <c r="H185" s="137">
        <v>1840.2729999999995</v>
      </c>
      <c r="I185" s="137">
        <v>1564.249</v>
      </c>
      <c r="J185" s="137">
        <v>647.11299999999994</v>
      </c>
      <c r="K185" s="137">
        <v>1346.99</v>
      </c>
      <c r="L185" s="137">
        <v>1612.7660000000003</v>
      </c>
      <c r="M185" s="137">
        <v>2394.2280000000005</v>
      </c>
      <c r="N185" s="137">
        <v>1873.9739999999995</v>
      </c>
      <c r="O185" s="137">
        <v>1765.7750000000001</v>
      </c>
      <c r="P185" s="137">
        <v>2325.79</v>
      </c>
      <c r="Q185" s="137">
        <v>2076.1779999999999</v>
      </c>
      <c r="R185" s="137">
        <v>1993.2520000000002</v>
      </c>
      <c r="S185" s="137">
        <v>2187.3310000000006</v>
      </c>
      <c r="T185" s="137">
        <v>1966.1389999999999</v>
      </c>
      <c r="U185" s="137">
        <v>2166.1449999999995</v>
      </c>
      <c r="V185" s="137">
        <v>2321.038</v>
      </c>
      <c r="W185" s="137">
        <v>1022.3199999999998</v>
      </c>
      <c r="X185" s="137">
        <v>756.34500000000003</v>
      </c>
      <c r="Y185" s="137">
        <v>1494.5009999999997</v>
      </c>
      <c r="Z185" s="137">
        <v>1940.4220000000003</v>
      </c>
      <c r="AA185" s="137">
        <v>2036.4289999999994</v>
      </c>
      <c r="AB185" s="137">
        <v>2360.9179999999992</v>
      </c>
      <c r="AC185" s="137">
        <v>1888.7030000000004</v>
      </c>
      <c r="AD185" s="137">
        <v>1220.271</v>
      </c>
      <c r="AE185" s="137">
        <v>864.43299999999999</v>
      </c>
      <c r="AF185" s="137">
        <v>960.12900000000013</v>
      </c>
    </row>
    <row r="186" spans="1:32" x14ac:dyDescent="0.3">
      <c r="A186" s="39" t="s">
        <v>590</v>
      </c>
      <c r="B186" s="137">
        <v>96.387000000000015</v>
      </c>
      <c r="C186" s="137">
        <v>66.186000000000007</v>
      </c>
      <c r="D186" s="137">
        <v>91.75</v>
      </c>
      <c r="E186" s="137">
        <v>124.887</v>
      </c>
      <c r="F186" s="137">
        <v>71.665999999999997</v>
      </c>
      <c r="G186" s="137">
        <v>75.293999999999997</v>
      </c>
      <c r="H186" s="137">
        <v>72.069999999999993</v>
      </c>
      <c r="I186" s="137">
        <v>47.900999999999996</v>
      </c>
      <c r="J186" s="137">
        <v>30.516000000000002</v>
      </c>
      <c r="K186" s="137">
        <v>89.009</v>
      </c>
      <c r="L186" s="137">
        <v>41.95</v>
      </c>
      <c r="M186" s="137">
        <v>72.506</v>
      </c>
      <c r="N186" s="137">
        <v>71.344999999999999</v>
      </c>
      <c r="O186" s="137">
        <v>31.908999999999999</v>
      </c>
      <c r="P186" s="137">
        <v>37.480000000000004</v>
      </c>
      <c r="Q186" s="137">
        <v>56.862000000000002</v>
      </c>
      <c r="R186" s="137">
        <v>129.88300000000001</v>
      </c>
      <c r="S186" s="137">
        <v>60.546000000000006</v>
      </c>
      <c r="T186" s="137">
        <v>58.633999999999993</v>
      </c>
      <c r="U186" s="137">
        <v>72.365999999999985</v>
      </c>
      <c r="V186" s="137">
        <v>44.684000000000005</v>
      </c>
      <c r="W186" s="137">
        <v>78.013999999999996</v>
      </c>
      <c r="X186" s="137">
        <v>42.025999999999996</v>
      </c>
      <c r="Y186" s="137">
        <v>86.661000000000001</v>
      </c>
      <c r="Z186" s="137">
        <v>123.21000000000001</v>
      </c>
      <c r="AA186" s="137">
        <v>55.591000000000001</v>
      </c>
      <c r="AB186" s="137">
        <v>142.077</v>
      </c>
      <c r="AC186" s="137">
        <v>102.37200000000001</v>
      </c>
      <c r="AD186" s="137">
        <v>34.211999999999996</v>
      </c>
      <c r="AE186" s="137">
        <v>105.04599999999999</v>
      </c>
      <c r="AF186" s="137">
        <v>18.247</v>
      </c>
    </row>
    <row r="187" spans="1:32" x14ac:dyDescent="0.3">
      <c r="A187" s="39" t="s">
        <v>83</v>
      </c>
      <c r="B187" s="137">
        <v>6982.4529999999995</v>
      </c>
      <c r="C187" s="137">
        <v>5973.2560000000012</v>
      </c>
      <c r="D187" s="137">
        <v>6286.9960000000019</v>
      </c>
      <c r="E187" s="137">
        <v>7188.9359999999997</v>
      </c>
      <c r="F187" s="137">
        <v>7100.155999999999</v>
      </c>
      <c r="G187" s="137">
        <v>7372.8039999999983</v>
      </c>
      <c r="H187" s="137">
        <v>7133.1679999999997</v>
      </c>
      <c r="I187" s="137">
        <v>7358.5049999999983</v>
      </c>
      <c r="J187" s="137">
        <v>5855.2409999999991</v>
      </c>
      <c r="K187" s="137">
        <v>6542.4779999999992</v>
      </c>
      <c r="L187" s="137">
        <v>6889.473</v>
      </c>
      <c r="M187" s="137">
        <v>7493.8700000000017</v>
      </c>
      <c r="N187" s="137">
        <v>7125.5159999999996</v>
      </c>
      <c r="O187" s="137">
        <v>6357.4329999999991</v>
      </c>
      <c r="P187" s="137">
        <v>6953.2809999999981</v>
      </c>
      <c r="Q187" s="137">
        <v>7038.0190000000011</v>
      </c>
      <c r="R187" s="137">
        <v>6896.7479999999996</v>
      </c>
      <c r="S187" s="137">
        <v>7429.9230000000007</v>
      </c>
      <c r="T187" s="137">
        <v>7428.47</v>
      </c>
      <c r="U187" s="137">
        <v>7567.5280000000002</v>
      </c>
      <c r="V187" s="137">
        <v>7537.7140000000009</v>
      </c>
      <c r="W187" s="137">
        <v>6656.6419999999998</v>
      </c>
      <c r="X187" s="137">
        <v>6160.5450000000001</v>
      </c>
      <c r="Y187" s="137">
        <v>6641.9110000000001</v>
      </c>
      <c r="Z187" s="137">
        <v>7291.9030000000021</v>
      </c>
      <c r="AA187" s="137">
        <v>7299.701</v>
      </c>
      <c r="AB187" s="137">
        <v>8022.2629999999999</v>
      </c>
      <c r="AC187" s="137">
        <v>7046.6469999999999</v>
      </c>
      <c r="AD187" s="137">
        <v>6866.3320000000003</v>
      </c>
      <c r="AE187" s="137">
        <v>5870.335</v>
      </c>
      <c r="AF187" s="137">
        <v>4930.5940000000001</v>
      </c>
    </row>
  </sheetData>
  <pageMargins left="0.7" right="0.7" top="0.75" bottom="0.75" header="0.3" footer="0.3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Q191"/>
  <sheetViews>
    <sheetView topLeftCell="A161" zoomScale="86" zoomScaleNormal="86" workbookViewId="0">
      <pane xSplit="9" topLeftCell="AM1" activePane="topRight" state="frozen"/>
      <selection activeCell="G150" sqref="G150"/>
      <selection pane="topRight" activeCell="AQ185" sqref="AQ185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customWidth="1"/>
    <col min="4" max="4" width="58.109375" customWidth="1"/>
    <col min="5" max="5" width="15.5546875" customWidth="1"/>
    <col min="6" max="6" width="12.6640625" bestFit="1" customWidth="1"/>
    <col min="7" max="7" width="9.33203125" customWidth="1"/>
    <col min="8" max="8" width="10.6640625" bestFit="1" customWidth="1"/>
    <col min="9" max="9" width="8.88671875" bestFit="1" customWidth="1"/>
    <col min="10" max="10" width="21" bestFit="1" customWidth="1"/>
    <col min="11" max="11" width="12.33203125" style="28" customWidth="1"/>
    <col min="12" max="12" width="12" style="27" customWidth="1"/>
    <col min="13" max="13" width="12.44140625" style="28" customWidth="1"/>
    <col min="14" max="14" width="12.33203125" customWidth="1"/>
    <col min="15" max="15" width="12.5546875" customWidth="1"/>
    <col min="16" max="16" width="13.109375" customWidth="1"/>
    <col min="17" max="17" width="15" bestFit="1" customWidth="1"/>
    <col min="18" max="18" width="12.88671875" customWidth="1"/>
    <col min="19" max="19" width="13.33203125" customWidth="1"/>
    <col min="20" max="20" width="15.44140625" customWidth="1"/>
    <col min="21" max="21" width="15" bestFit="1" customWidth="1"/>
    <col min="22" max="22" width="17.109375" bestFit="1" customWidth="1"/>
    <col min="23" max="23" width="13.44140625" customWidth="1"/>
    <col min="24" max="24" width="12.33203125" customWidth="1"/>
    <col min="25" max="25" width="11.5546875" customWidth="1"/>
    <col min="26" max="26" width="14.44140625" customWidth="1"/>
    <col min="27" max="27" width="13.6640625" customWidth="1"/>
    <col min="28" max="28" width="12.88671875" customWidth="1"/>
    <col min="29" max="29" width="13" customWidth="1"/>
    <col min="30" max="30" width="11.88671875" customWidth="1"/>
    <col min="31" max="31" width="12.44140625" customWidth="1"/>
    <col min="32" max="32" width="12.109375" customWidth="1"/>
    <col min="33" max="33" width="11.6640625" customWidth="1"/>
    <col min="34" max="34" width="12.5546875" customWidth="1"/>
    <col min="35" max="35" width="15" bestFit="1" customWidth="1"/>
    <col min="36" max="36" width="13.33203125" customWidth="1"/>
    <col min="37" max="37" width="11.88671875" customWidth="1"/>
    <col min="38" max="41" width="13.33203125" customWidth="1"/>
    <col min="42" max="42" width="9.33203125" bestFit="1" customWidth="1"/>
    <col min="43" max="43" width="13.88671875" customWidth="1"/>
  </cols>
  <sheetData>
    <row r="1" spans="1:43" ht="30.75" customHeight="1" x14ac:dyDescent="0.3">
      <c r="A1" s="13" t="s">
        <v>0</v>
      </c>
      <c r="B1" s="14" t="s">
        <v>1</v>
      </c>
      <c r="C1" s="111" t="s">
        <v>599</v>
      </c>
      <c r="D1" s="111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3" t="s">
        <v>7</v>
      </c>
      <c r="J1" s="13" t="s">
        <v>158</v>
      </c>
      <c r="K1" s="99">
        <v>45717</v>
      </c>
      <c r="L1" s="99">
        <v>45718</v>
      </c>
      <c r="M1" s="99">
        <v>45719</v>
      </c>
      <c r="N1" s="99">
        <v>45720</v>
      </c>
      <c r="O1" s="99">
        <v>45721</v>
      </c>
      <c r="P1" s="99">
        <v>45722</v>
      </c>
      <c r="Q1" s="99">
        <v>45723</v>
      </c>
      <c r="R1" s="99">
        <v>45724</v>
      </c>
      <c r="S1" s="99">
        <v>45725</v>
      </c>
      <c r="T1" s="99">
        <v>45726</v>
      </c>
      <c r="U1" s="99">
        <v>45727</v>
      </c>
      <c r="V1" s="99">
        <v>45728</v>
      </c>
      <c r="W1" s="99">
        <v>45729</v>
      </c>
      <c r="X1" s="99">
        <v>45730</v>
      </c>
      <c r="Y1" s="99">
        <v>45731</v>
      </c>
      <c r="Z1" s="99">
        <v>45732</v>
      </c>
      <c r="AA1" s="99">
        <v>45733</v>
      </c>
      <c r="AB1" s="99">
        <v>45734</v>
      </c>
      <c r="AC1" s="99">
        <v>45735</v>
      </c>
      <c r="AD1" s="99">
        <v>45736</v>
      </c>
      <c r="AE1" s="99">
        <v>45737</v>
      </c>
      <c r="AF1" s="99">
        <v>45738</v>
      </c>
      <c r="AG1" s="99">
        <v>45739</v>
      </c>
      <c r="AH1" s="99">
        <v>45740</v>
      </c>
      <c r="AI1" s="99">
        <v>45741</v>
      </c>
      <c r="AJ1" s="99">
        <v>45742</v>
      </c>
      <c r="AK1" s="99">
        <v>45743</v>
      </c>
      <c r="AL1" s="99">
        <v>45744</v>
      </c>
      <c r="AM1" s="99">
        <v>45745</v>
      </c>
      <c r="AN1" s="99">
        <v>45746</v>
      </c>
      <c r="AO1" s="99">
        <v>45747</v>
      </c>
      <c r="AP1" s="13" t="s">
        <v>8</v>
      </c>
      <c r="AQ1" s="12" t="s">
        <v>154</v>
      </c>
    </row>
    <row r="2" spans="1:43" x14ac:dyDescent="0.3">
      <c r="A2" s="5">
        <v>1</v>
      </c>
      <c r="B2" s="107" t="s">
        <v>9</v>
      </c>
      <c r="C2" s="112" t="s">
        <v>600</v>
      </c>
      <c r="D2" s="112" t="s">
        <v>739</v>
      </c>
      <c r="E2" s="110" t="s">
        <v>11</v>
      </c>
      <c r="F2" s="6" t="s">
        <v>12</v>
      </c>
      <c r="G2" s="6" t="s">
        <v>976</v>
      </c>
      <c r="H2" s="6" t="s">
        <v>35</v>
      </c>
      <c r="I2" s="5">
        <v>6</v>
      </c>
      <c r="J2" s="67" t="s">
        <v>160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v>0</v>
      </c>
      <c r="AP2" s="46">
        <f>AVERAGE(K2:AO2)</f>
        <v>0</v>
      </c>
      <c r="AQ2" s="7">
        <f>AP2/I2</f>
        <v>0</v>
      </c>
    </row>
    <row r="3" spans="1:43" x14ac:dyDescent="0.3">
      <c r="A3" s="5">
        <v>2</v>
      </c>
      <c r="B3" s="107" t="s">
        <v>9</v>
      </c>
      <c r="C3" s="112" t="s">
        <v>601</v>
      </c>
      <c r="D3" s="112" t="s">
        <v>740</v>
      </c>
      <c r="E3" s="110" t="s">
        <v>11</v>
      </c>
      <c r="F3" s="6" t="s">
        <v>12</v>
      </c>
      <c r="G3" s="6" t="s">
        <v>976</v>
      </c>
      <c r="H3" s="6" t="s">
        <v>35</v>
      </c>
      <c r="I3" s="5">
        <v>9</v>
      </c>
      <c r="J3" s="67" t="s">
        <v>160</v>
      </c>
      <c r="K3" s="46">
        <v>163.43699999999998</v>
      </c>
      <c r="L3" s="46">
        <v>151.22300000000004</v>
      </c>
      <c r="M3" s="46">
        <v>145.16399999999999</v>
      </c>
      <c r="N3" s="46">
        <v>149.28400000000002</v>
      </c>
      <c r="O3" s="46">
        <v>169.62699999999998</v>
      </c>
      <c r="P3" s="46">
        <v>169.62300000000002</v>
      </c>
      <c r="Q3" s="46">
        <v>137.61699999999999</v>
      </c>
      <c r="R3" s="46">
        <v>178.25999999999993</v>
      </c>
      <c r="S3" s="46">
        <v>165.18299999999994</v>
      </c>
      <c r="T3" s="46">
        <v>136.99200000000002</v>
      </c>
      <c r="U3" s="46">
        <v>167.57700000000003</v>
      </c>
      <c r="V3" s="46">
        <v>153.33699999999999</v>
      </c>
      <c r="W3" s="46">
        <v>156.21399999999997</v>
      </c>
      <c r="X3" s="46">
        <v>116.67</v>
      </c>
      <c r="Y3" s="46">
        <v>181.00100000000003</v>
      </c>
      <c r="Z3" s="46">
        <v>161.209</v>
      </c>
      <c r="AA3" s="46">
        <v>158.95099999999999</v>
      </c>
      <c r="AB3" s="46">
        <v>177.64600000000007</v>
      </c>
      <c r="AC3" s="46">
        <v>150.83700000000002</v>
      </c>
      <c r="AD3" s="46">
        <v>156.12300000000002</v>
      </c>
      <c r="AE3" s="46">
        <v>199.83599999999998</v>
      </c>
      <c r="AF3" s="46">
        <v>164.87400000000002</v>
      </c>
      <c r="AG3" s="46">
        <v>142.90499999999992</v>
      </c>
      <c r="AH3" s="46">
        <v>163.268</v>
      </c>
      <c r="AI3" s="46">
        <v>173.62900000000002</v>
      </c>
      <c r="AJ3" s="46">
        <v>167.191</v>
      </c>
      <c r="AK3" s="46">
        <v>145.25400000000002</v>
      </c>
      <c r="AL3" s="46">
        <v>135.51799999999997</v>
      </c>
      <c r="AM3" s="46">
        <v>146.643</v>
      </c>
      <c r="AN3" s="46">
        <v>142.37499999999997</v>
      </c>
      <c r="AO3" s="46">
        <v>139.77600000000001</v>
      </c>
      <c r="AP3" s="46">
        <f t="shared" ref="AP3:AP66" si="0">AVERAGE(K3:AO3)</f>
        <v>157.00787096774192</v>
      </c>
      <c r="AQ3" s="7">
        <f t="shared" ref="AQ3:AQ66" si="1">AP3/I3</f>
        <v>17.445318996415768</v>
      </c>
    </row>
    <row r="4" spans="1:43" x14ac:dyDescent="0.3">
      <c r="A4" s="5">
        <v>3</v>
      </c>
      <c r="B4" s="107" t="s">
        <v>9</v>
      </c>
      <c r="C4" s="112" t="s">
        <v>602</v>
      </c>
      <c r="D4" s="112" t="s">
        <v>741</v>
      </c>
      <c r="E4" s="110" t="s">
        <v>11</v>
      </c>
      <c r="F4" s="6" t="s">
        <v>12</v>
      </c>
      <c r="G4" s="6" t="s">
        <v>976</v>
      </c>
      <c r="H4" s="6" t="s">
        <v>35</v>
      </c>
      <c r="I4" s="5">
        <v>3</v>
      </c>
      <c r="J4" s="67" t="s">
        <v>160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f t="shared" si="0"/>
        <v>0</v>
      </c>
      <c r="AQ4" s="7">
        <f t="shared" si="1"/>
        <v>0</v>
      </c>
    </row>
    <row r="5" spans="1:43" ht="15" customHeight="1" x14ac:dyDescent="0.3">
      <c r="A5" s="5">
        <v>4</v>
      </c>
      <c r="B5" s="107" t="s">
        <v>9</v>
      </c>
      <c r="C5" s="112" t="s">
        <v>604</v>
      </c>
      <c r="D5" s="112" t="s">
        <v>761</v>
      </c>
      <c r="E5" s="110" t="s">
        <v>128</v>
      </c>
      <c r="F5" s="6" t="s">
        <v>12</v>
      </c>
      <c r="G5" s="6" t="s">
        <v>976</v>
      </c>
      <c r="H5" s="6" t="s">
        <v>35</v>
      </c>
      <c r="I5" s="5">
        <v>29</v>
      </c>
      <c r="J5" s="94" t="s">
        <v>273</v>
      </c>
      <c r="K5" s="46">
        <v>648.7800000000002</v>
      </c>
      <c r="L5" s="46">
        <v>732.85599999999988</v>
      </c>
      <c r="M5" s="46">
        <v>670.505</v>
      </c>
      <c r="N5" s="46">
        <v>684.43799999999987</v>
      </c>
      <c r="O5" s="46">
        <v>715.56299999999965</v>
      </c>
      <c r="P5" s="46">
        <v>549.75499999999977</v>
      </c>
      <c r="Q5" s="46">
        <v>457.50099999999992</v>
      </c>
      <c r="R5" s="46">
        <v>832.27900000000022</v>
      </c>
      <c r="S5" s="46">
        <v>660.85</v>
      </c>
      <c r="T5" s="46">
        <v>695.75299999999982</v>
      </c>
      <c r="U5" s="46">
        <v>666.06700000000035</v>
      </c>
      <c r="V5" s="46">
        <v>660.58499999999981</v>
      </c>
      <c r="W5" s="46">
        <v>622.27199999999993</v>
      </c>
      <c r="X5" s="46">
        <v>656.22400000000005</v>
      </c>
      <c r="Y5" s="46">
        <v>722.93800000000022</v>
      </c>
      <c r="Z5" s="46">
        <v>415.41699999999992</v>
      </c>
      <c r="AA5" s="46">
        <v>561.25200000000018</v>
      </c>
      <c r="AB5" s="46">
        <v>590.69699999999989</v>
      </c>
      <c r="AC5" s="46">
        <v>681.38900000000024</v>
      </c>
      <c r="AD5" s="46">
        <v>614.08500000000004</v>
      </c>
      <c r="AE5" s="46">
        <v>638.55399999999997</v>
      </c>
      <c r="AF5" s="46">
        <v>620.42599999999982</v>
      </c>
      <c r="AG5" s="46">
        <v>549.88700000000006</v>
      </c>
      <c r="AH5" s="46">
        <v>524.67000000000019</v>
      </c>
      <c r="AI5" s="46">
        <v>172.39000000000001</v>
      </c>
      <c r="AJ5" s="46">
        <v>644.84199999999987</v>
      </c>
      <c r="AK5" s="46">
        <v>754.11899999999969</v>
      </c>
      <c r="AL5" s="46">
        <v>649.08500000000015</v>
      </c>
      <c r="AM5" s="46">
        <v>681.827</v>
      </c>
      <c r="AN5" s="46">
        <v>600.98599999999999</v>
      </c>
      <c r="AO5" s="46">
        <v>418.87499999999989</v>
      </c>
      <c r="AP5" s="46">
        <f t="shared" si="0"/>
        <v>615.96345161290333</v>
      </c>
      <c r="AQ5" s="7">
        <f t="shared" si="1"/>
        <v>21.240119021134596</v>
      </c>
    </row>
    <row r="6" spans="1:43" x14ac:dyDescent="0.3">
      <c r="A6" s="5">
        <v>5</v>
      </c>
      <c r="B6" s="107" t="s">
        <v>9</v>
      </c>
      <c r="C6" s="112" t="s">
        <v>961</v>
      </c>
      <c r="D6" s="112" t="s">
        <v>983</v>
      </c>
      <c r="E6" s="110" t="s">
        <v>128</v>
      </c>
      <c r="F6" s="6" t="s">
        <v>12</v>
      </c>
      <c r="G6" s="6" t="s">
        <v>971</v>
      </c>
      <c r="H6" s="6" t="s">
        <v>80</v>
      </c>
      <c r="I6" s="5">
        <v>8</v>
      </c>
      <c r="J6" s="94" t="s">
        <v>273</v>
      </c>
      <c r="K6" s="46">
        <v>169.87</v>
      </c>
      <c r="L6" s="46">
        <v>185.75</v>
      </c>
      <c r="M6" s="46">
        <v>164.50000000000003</v>
      </c>
      <c r="N6" s="46">
        <v>93.570000000000022</v>
      </c>
      <c r="O6" s="46">
        <v>18.3</v>
      </c>
      <c r="P6" s="46">
        <v>27.590000000000003</v>
      </c>
      <c r="Q6" s="46">
        <v>18.07</v>
      </c>
      <c r="R6" s="46">
        <v>37.17</v>
      </c>
      <c r="S6" s="46">
        <v>0.4</v>
      </c>
      <c r="T6" s="46">
        <v>71.939000000000007</v>
      </c>
      <c r="U6" s="46">
        <v>186.28</v>
      </c>
      <c r="V6" s="46">
        <v>52.929999999999993</v>
      </c>
      <c r="W6" s="46">
        <v>54.190000000000005</v>
      </c>
      <c r="X6" s="46">
        <v>50.399999999999991</v>
      </c>
      <c r="Y6" s="46">
        <v>102.63</v>
      </c>
      <c r="Z6" s="46">
        <v>77.22999999999999</v>
      </c>
      <c r="AA6" s="46">
        <v>74.299999999999983</v>
      </c>
      <c r="AB6" s="46">
        <v>100.68000000000002</v>
      </c>
      <c r="AC6" s="46">
        <v>103.21899999999998</v>
      </c>
      <c r="AD6" s="46">
        <v>209.75999999999996</v>
      </c>
      <c r="AE6" s="46">
        <v>171.51000000000005</v>
      </c>
      <c r="AF6" s="46">
        <v>129.95999999999998</v>
      </c>
      <c r="AG6" s="46">
        <v>171.23000000000002</v>
      </c>
      <c r="AH6" s="46">
        <v>150.44</v>
      </c>
      <c r="AI6" s="46">
        <v>711.0010000000002</v>
      </c>
      <c r="AJ6" s="46">
        <v>206.52999999999997</v>
      </c>
      <c r="AK6" s="46">
        <v>247.22800000000007</v>
      </c>
      <c r="AL6" s="46">
        <v>228.73000000000002</v>
      </c>
      <c r="AM6" s="46">
        <v>219.10900000000004</v>
      </c>
      <c r="AN6" s="46">
        <v>164.23000000000005</v>
      </c>
      <c r="AO6" s="46">
        <v>151.91</v>
      </c>
      <c r="AP6" s="46">
        <f t="shared" si="0"/>
        <v>140.34374193548391</v>
      </c>
      <c r="AQ6" s="7">
        <f t="shared" si="1"/>
        <v>17.542967741935488</v>
      </c>
    </row>
    <row r="7" spans="1:43" x14ac:dyDescent="0.3">
      <c r="A7" s="5">
        <v>6</v>
      </c>
      <c r="B7" s="107" t="s">
        <v>9</v>
      </c>
      <c r="C7" s="112" t="s">
        <v>605</v>
      </c>
      <c r="D7" s="112" t="s">
        <v>750</v>
      </c>
      <c r="E7" s="110" t="s">
        <v>128</v>
      </c>
      <c r="F7" s="6" t="s">
        <v>12</v>
      </c>
      <c r="G7" s="6" t="s">
        <v>976</v>
      </c>
      <c r="H7" s="6" t="s">
        <v>35</v>
      </c>
      <c r="I7" s="5">
        <v>6</v>
      </c>
      <c r="J7" s="94" t="s">
        <v>273</v>
      </c>
      <c r="K7" s="46">
        <v>55.557000000000002</v>
      </c>
      <c r="L7" s="46">
        <v>49.569999999999993</v>
      </c>
      <c r="M7" s="46">
        <v>36.86</v>
      </c>
      <c r="N7" s="46">
        <v>36.020000000000003</v>
      </c>
      <c r="O7" s="46">
        <v>65.634</v>
      </c>
      <c r="P7" s="46">
        <v>48.951999999999998</v>
      </c>
      <c r="Q7" s="46">
        <v>44.169000000000004</v>
      </c>
      <c r="R7" s="46">
        <v>47.814999999999998</v>
      </c>
      <c r="S7" s="46">
        <v>51.053000000000004</v>
      </c>
      <c r="T7" s="46">
        <v>38.460000000000008</v>
      </c>
      <c r="U7" s="46">
        <v>50.64200000000001</v>
      </c>
      <c r="V7" s="46">
        <v>42.278999999999996</v>
      </c>
      <c r="W7" s="46">
        <v>44.569000000000003</v>
      </c>
      <c r="X7" s="46">
        <v>48.688000000000002</v>
      </c>
      <c r="Y7" s="46">
        <v>34.710999999999999</v>
      </c>
      <c r="Z7" s="46">
        <v>57.125</v>
      </c>
      <c r="AA7" s="46">
        <v>52.731000000000002</v>
      </c>
      <c r="AB7" s="46">
        <v>38.175999999999995</v>
      </c>
      <c r="AC7" s="46">
        <v>49.045999999999999</v>
      </c>
      <c r="AD7" s="46">
        <v>44.003</v>
      </c>
      <c r="AE7" s="46">
        <v>44.530999999999999</v>
      </c>
      <c r="AF7" s="46">
        <v>50.423000000000009</v>
      </c>
      <c r="AG7" s="46">
        <v>48.713999999999999</v>
      </c>
      <c r="AH7" s="46">
        <v>38.582999999999998</v>
      </c>
      <c r="AI7" s="46">
        <v>46.551999999999992</v>
      </c>
      <c r="AJ7" s="46">
        <v>32.795000000000002</v>
      </c>
      <c r="AK7" s="46">
        <v>52.690999999999995</v>
      </c>
      <c r="AL7" s="46">
        <v>40.165000000000006</v>
      </c>
      <c r="AM7" s="46">
        <v>36.244</v>
      </c>
      <c r="AN7" s="46">
        <v>44.140999999999998</v>
      </c>
      <c r="AO7" s="46">
        <v>33.701999999999998</v>
      </c>
      <c r="AP7" s="46">
        <f t="shared" si="0"/>
        <v>45.309709677419356</v>
      </c>
      <c r="AQ7" s="7">
        <f t="shared" si="1"/>
        <v>7.551618279569893</v>
      </c>
    </row>
    <row r="8" spans="1:43" x14ac:dyDescent="0.3">
      <c r="A8" s="5">
        <v>7</v>
      </c>
      <c r="B8" s="107" t="s">
        <v>9</v>
      </c>
      <c r="C8" s="112" t="s">
        <v>606</v>
      </c>
      <c r="D8" s="112" t="s">
        <v>728</v>
      </c>
      <c r="E8" s="110" t="s">
        <v>30</v>
      </c>
      <c r="F8" s="6" t="s">
        <v>12</v>
      </c>
      <c r="G8" s="6" t="s">
        <v>976</v>
      </c>
      <c r="H8" s="6" t="s">
        <v>35</v>
      </c>
      <c r="I8" s="5">
        <v>3</v>
      </c>
      <c r="J8" s="94" t="s">
        <v>589</v>
      </c>
      <c r="K8" s="46">
        <v>122.03</v>
      </c>
      <c r="L8" s="46">
        <v>113.20999999999998</v>
      </c>
      <c r="M8" s="46">
        <v>101.42200000000003</v>
      </c>
      <c r="N8" s="46">
        <v>101.92100000000001</v>
      </c>
      <c r="O8" s="46">
        <v>113.94500000000001</v>
      </c>
      <c r="P8" s="46">
        <v>127.88200000000001</v>
      </c>
      <c r="Q8" s="46">
        <v>125.84600000000002</v>
      </c>
      <c r="R8" s="46">
        <v>117.383</v>
      </c>
      <c r="S8" s="46">
        <v>94.928000000000011</v>
      </c>
      <c r="T8" s="46">
        <v>94.516999999999996</v>
      </c>
      <c r="U8" s="46">
        <v>128.55500000000001</v>
      </c>
      <c r="V8" s="46">
        <v>113.64300000000001</v>
      </c>
      <c r="W8" s="46">
        <v>96.626999999999995</v>
      </c>
      <c r="X8" s="46">
        <v>108.58000000000001</v>
      </c>
      <c r="Y8" s="46">
        <v>105.92000000000002</v>
      </c>
      <c r="Z8" s="46">
        <v>120.28</v>
      </c>
      <c r="AA8" s="46">
        <v>100.73400000000001</v>
      </c>
      <c r="AB8" s="46">
        <v>103.17299999999999</v>
      </c>
      <c r="AC8" s="46">
        <v>100.63</v>
      </c>
      <c r="AD8" s="46">
        <v>124.23</v>
      </c>
      <c r="AE8" s="46">
        <v>98.366</v>
      </c>
      <c r="AF8" s="46">
        <v>123.34599999999999</v>
      </c>
      <c r="AG8" s="46">
        <v>117.00800000000001</v>
      </c>
      <c r="AH8" s="46">
        <v>113.90199999999999</v>
      </c>
      <c r="AI8" s="46">
        <v>115.955</v>
      </c>
      <c r="AJ8" s="46">
        <v>89.667000000000002</v>
      </c>
      <c r="AK8" s="46">
        <v>100.631</v>
      </c>
      <c r="AL8" s="46">
        <v>96.852000000000004</v>
      </c>
      <c r="AM8" s="46">
        <v>97.98299999999999</v>
      </c>
      <c r="AN8" s="46">
        <v>75.123999999999995</v>
      </c>
      <c r="AO8" s="46">
        <v>59.107999999999997</v>
      </c>
      <c r="AP8" s="46">
        <f t="shared" si="0"/>
        <v>106.5612258064516</v>
      </c>
      <c r="AQ8" s="7">
        <f t="shared" si="1"/>
        <v>35.520408602150532</v>
      </c>
    </row>
    <row r="9" spans="1:43" x14ac:dyDescent="0.3">
      <c r="A9" s="5">
        <v>8</v>
      </c>
      <c r="B9" s="107" t="s">
        <v>9</v>
      </c>
      <c r="C9" s="112" t="s">
        <v>607</v>
      </c>
      <c r="D9" s="112" t="s">
        <v>958</v>
      </c>
      <c r="E9" s="110" t="s">
        <v>128</v>
      </c>
      <c r="F9" s="6" t="s">
        <v>19</v>
      </c>
      <c r="G9" s="6" t="s">
        <v>976</v>
      </c>
      <c r="H9" s="6" t="s">
        <v>35</v>
      </c>
      <c r="I9" s="5">
        <v>1</v>
      </c>
      <c r="J9" s="12" t="s">
        <v>590</v>
      </c>
      <c r="K9" s="46">
        <v>0</v>
      </c>
      <c r="L9" s="46">
        <v>0</v>
      </c>
      <c r="M9" s="46">
        <v>0</v>
      </c>
      <c r="N9" s="46">
        <v>0</v>
      </c>
      <c r="O9" s="46">
        <v>1.681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3.3439999999999999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4.7370000000000001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>
        <v>0</v>
      </c>
      <c r="AP9" s="46">
        <f t="shared" si="0"/>
        <v>0.31490322580645164</v>
      </c>
      <c r="AQ9" s="7">
        <f t="shared" si="1"/>
        <v>0.31490322580645164</v>
      </c>
    </row>
    <row r="10" spans="1:43" x14ac:dyDescent="0.3">
      <c r="A10" s="5">
        <v>9</v>
      </c>
      <c r="B10" s="107" t="s">
        <v>9</v>
      </c>
      <c r="C10" s="112" t="s">
        <v>608</v>
      </c>
      <c r="D10" s="113" t="s">
        <v>984</v>
      </c>
      <c r="E10" s="110" t="s">
        <v>128</v>
      </c>
      <c r="F10" s="6" t="s">
        <v>12</v>
      </c>
      <c r="G10" s="6" t="s">
        <v>979</v>
      </c>
      <c r="H10" s="6" t="s">
        <v>35</v>
      </c>
      <c r="I10" s="5">
        <v>2</v>
      </c>
      <c r="J10" s="67" t="s">
        <v>160</v>
      </c>
      <c r="K10" s="46">
        <v>0</v>
      </c>
      <c r="L10" s="46">
        <v>0</v>
      </c>
      <c r="M10" s="46">
        <v>0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0</v>
      </c>
      <c r="AL10" s="46">
        <v>0</v>
      </c>
      <c r="AM10" s="46">
        <v>0</v>
      </c>
      <c r="AN10" s="46">
        <v>0</v>
      </c>
      <c r="AO10" s="46">
        <v>0</v>
      </c>
      <c r="AP10" s="46">
        <f t="shared" si="0"/>
        <v>0</v>
      </c>
      <c r="AQ10" s="7">
        <f t="shared" si="1"/>
        <v>0</v>
      </c>
    </row>
    <row r="11" spans="1:43" x14ac:dyDescent="0.3">
      <c r="A11" s="5">
        <v>10</v>
      </c>
      <c r="B11" s="107" t="s">
        <v>9</v>
      </c>
      <c r="C11" s="112" t="s">
        <v>608</v>
      </c>
      <c r="D11" s="113" t="s">
        <v>772</v>
      </c>
      <c r="E11" s="110" t="s">
        <v>128</v>
      </c>
      <c r="F11" s="6" t="s">
        <v>12</v>
      </c>
      <c r="G11" s="6" t="s">
        <v>973</v>
      </c>
      <c r="H11" s="6" t="s">
        <v>80</v>
      </c>
      <c r="I11" s="5">
        <v>2</v>
      </c>
      <c r="J11" s="67" t="s">
        <v>160</v>
      </c>
      <c r="K11" s="46">
        <v>41.980000000000004</v>
      </c>
      <c r="L11" s="46">
        <v>24.019999999999996</v>
      </c>
      <c r="M11" s="46">
        <v>16.32</v>
      </c>
      <c r="N11" s="46">
        <v>0</v>
      </c>
      <c r="O11" s="46">
        <v>0</v>
      </c>
      <c r="P11" s="46">
        <v>1.1599999999999999</v>
      </c>
      <c r="Q11" s="46">
        <v>27.700000000000003</v>
      </c>
      <c r="R11" s="46">
        <v>30.43</v>
      </c>
      <c r="S11" s="46">
        <v>18.87</v>
      </c>
      <c r="T11" s="46">
        <v>47.14</v>
      </c>
      <c r="U11" s="46">
        <v>40.619999999999997</v>
      </c>
      <c r="V11" s="46">
        <v>39.069999999999993</v>
      </c>
      <c r="W11" s="46">
        <v>38.970000000000006</v>
      </c>
      <c r="X11" s="46">
        <v>36.479999999999997</v>
      </c>
      <c r="Y11" s="46">
        <v>20.13</v>
      </c>
      <c r="Z11" s="46">
        <v>45.069999999999993</v>
      </c>
      <c r="AA11" s="46">
        <v>14.02</v>
      </c>
      <c r="AB11" s="46">
        <v>35.58</v>
      </c>
      <c r="AC11" s="46">
        <v>28.250000000000004</v>
      </c>
      <c r="AD11" s="46">
        <v>50.62</v>
      </c>
      <c r="AE11" s="46">
        <v>20.009999999999998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0</v>
      </c>
      <c r="AN11" s="46">
        <v>0</v>
      </c>
      <c r="AO11" s="46">
        <v>0</v>
      </c>
      <c r="AP11" s="46">
        <f t="shared" si="0"/>
        <v>18.594838709677418</v>
      </c>
      <c r="AQ11" s="7">
        <f t="shared" si="1"/>
        <v>9.2974193548387092</v>
      </c>
    </row>
    <row r="12" spans="1:43" x14ac:dyDescent="0.3">
      <c r="A12" s="5">
        <v>11</v>
      </c>
      <c r="B12" s="107" t="s">
        <v>9</v>
      </c>
      <c r="C12" s="112" t="s">
        <v>608</v>
      </c>
      <c r="D12" s="113" t="s">
        <v>772</v>
      </c>
      <c r="E12" s="110" t="s">
        <v>128</v>
      </c>
      <c r="F12" s="6" t="s">
        <v>12</v>
      </c>
      <c r="G12" s="6" t="s">
        <v>1052</v>
      </c>
      <c r="H12" s="6" t="s">
        <v>80</v>
      </c>
      <c r="I12" s="5">
        <v>1</v>
      </c>
      <c r="J12" s="67" t="s">
        <v>160</v>
      </c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>
        <v>36.82</v>
      </c>
      <c r="AJ12" s="46">
        <v>0</v>
      </c>
      <c r="AK12" s="46">
        <v>0</v>
      </c>
      <c r="AL12" s="46">
        <v>0</v>
      </c>
      <c r="AM12" s="46">
        <v>0</v>
      </c>
      <c r="AN12" s="46">
        <v>0</v>
      </c>
      <c r="AO12" s="46">
        <v>0</v>
      </c>
      <c r="AP12" s="46">
        <f t="shared" si="0"/>
        <v>5.26</v>
      </c>
      <c r="AQ12" s="7">
        <f t="shared" si="1"/>
        <v>5.26</v>
      </c>
    </row>
    <row r="13" spans="1:43" x14ac:dyDescent="0.3">
      <c r="A13" s="5">
        <v>12</v>
      </c>
      <c r="B13" s="107" t="s">
        <v>9</v>
      </c>
      <c r="C13" s="112" t="s">
        <v>609</v>
      </c>
      <c r="D13" s="112" t="s">
        <v>745</v>
      </c>
      <c r="E13" s="110" t="s">
        <v>128</v>
      </c>
      <c r="F13" s="6" t="s">
        <v>12</v>
      </c>
      <c r="G13" s="6" t="s">
        <v>976</v>
      </c>
      <c r="H13" s="6" t="s">
        <v>35</v>
      </c>
      <c r="I13" s="5">
        <v>7</v>
      </c>
      <c r="J13" s="94" t="s">
        <v>273</v>
      </c>
      <c r="K13" s="46">
        <v>90.60199999999999</v>
      </c>
      <c r="L13" s="46">
        <v>67.131</v>
      </c>
      <c r="M13" s="46">
        <v>94.456000000000017</v>
      </c>
      <c r="N13" s="46">
        <v>114.349</v>
      </c>
      <c r="O13" s="46">
        <v>66.403999999999982</v>
      </c>
      <c r="P13" s="46">
        <v>109.63599999999998</v>
      </c>
      <c r="Q13" s="46">
        <v>71.310999999999993</v>
      </c>
      <c r="R13" s="46">
        <v>112.559</v>
      </c>
      <c r="S13" s="46">
        <v>63.308</v>
      </c>
      <c r="T13" s="46">
        <v>55.917000000000002</v>
      </c>
      <c r="U13" s="46">
        <v>110.00700000000001</v>
      </c>
      <c r="V13" s="46">
        <v>104.402</v>
      </c>
      <c r="W13" s="46">
        <v>89.78400000000002</v>
      </c>
      <c r="X13" s="46">
        <v>89.274000000000001</v>
      </c>
      <c r="Y13" s="46">
        <v>68.597999999999999</v>
      </c>
      <c r="Z13" s="46">
        <v>110.164</v>
      </c>
      <c r="AA13" s="46">
        <v>66.373000000000005</v>
      </c>
      <c r="AB13" s="46">
        <v>117.60300000000001</v>
      </c>
      <c r="AC13" s="46">
        <v>45.04</v>
      </c>
      <c r="AD13" s="46">
        <v>121.56000000000002</v>
      </c>
      <c r="AE13" s="46">
        <v>91.347999999999999</v>
      </c>
      <c r="AF13" s="46">
        <v>104.747</v>
      </c>
      <c r="AG13" s="46">
        <v>72.722000000000008</v>
      </c>
      <c r="AH13" s="46">
        <v>74.052999999999997</v>
      </c>
      <c r="AI13" s="46">
        <v>120.387</v>
      </c>
      <c r="AJ13" s="46">
        <v>66.401999999999987</v>
      </c>
      <c r="AK13" s="46">
        <v>60.887</v>
      </c>
      <c r="AL13" s="46">
        <v>48.146000000000001</v>
      </c>
      <c r="AM13" s="46">
        <v>92.983000000000004</v>
      </c>
      <c r="AN13" s="46">
        <v>64.933000000000007</v>
      </c>
      <c r="AO13" s="46">
        <v>57.215000000000011</v>
      </c>
      <c r="AP13" s="46">
        <f t="shared" si="0"/>
        <v>84.590354838709715</v>
      </c>
      <c r="AQ13" s="7">
        <f t="shared" si="1"/>
        <v>12.084336405529958</v>
      </c>
    </row>
    <row r="14" spans="1:43" x14ac:dyDescent="0.3">
      <c r="A14" s="5">
        <v>13</v>
      </c>
      <c r="B14" s="107" t="s">
        <v>9</v>
      </c>
      <c r="C14" s="112" t="s">
        <v>960</v>
      </c>
      <c r="D14" s="112" t="s">
        <v>985</v>
      </c>
      <c r="E14" s="110" t="s">
        <v>128</v>
      </c>
      <c r="F14" s="6" t="s">
        <v>12</v>
      </c>
      <c r="G14" s="6" t="s">
        <v>971</v>
      </c>
      <c r="H14" s="6" t="s">
        <v>80</v>
      </c>
      <c r="I14" s="5">
        <v>1</v>
      </c>
      <c r="J14" s="94" t="s">
        <v>273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>
        <v>0</v>
      </c>
      <c r="AO14" s="46">
        <v>0</v>
      </c>
      <c r="AP14" s="46">
        <f t="shared" si="0"/>
        <v>0</v>
      </c>
      <c r="AQ14" s="7">
        <f t="shared" si="1"/>
        <v>0</v>
      </c>
    </row>
    <row r="15" spans="1:43" x14ac:dyDescent="0.3">
      <c r="A15" s="5">
        <v>14</v>
      </c>
      <c r="B15" s="107" t="s">
        <v>9</v>
      </c>
      <c r="C15" s="112" t="s">
        <v>965</v>
      </c>
      <c r="D15" s="112" t="s">
        <v>914</v>
      </c>
      <c r="E15" s="110" t="s">
        <v>128</v>
      </c>
      <c r="F15" s="6" t="s">
        <v>12</v>
      </c>
      <c r="G15" s="6" t="s">
        <v>976</v>
      </c>
      <c r="H15" s="6" t="s">
        <v>35</v>
      </c>
      <c r="I15" s="5">
        <v>4</v>
      </c>
      <c r="J15" s="67" t="s">
        <v>160</v>
      </c>
      <c r="K15" s="46">
        <v>28.596</v>
      </c>
      <c r="L15" s="46">
        <v>19.994</v>
      </c>
      <c r="M15" s="46">
        <v>15.782999999999999</v>
      </c>
      <c r="N15" s="46">
        <v>18.016999999999999</v>
      </c>
      <c r="O15" s="46">
        <v>24.048000000000002</v>
      </c>
      <c r="P15" s="46">
        <v>29.45</v>
      </c>
      <c r="Q15" s="46">
        <v>13.764999999999999</v>
      </c>
      <c r="R15" s="46">
        <v>22.384</v>
      </c>
      <c r="S15" s="46">
        <v>23.302</v>
      </c>
      <c r="T15" s="46">
        <v>5.5370000000000008</v>
      </c>
      <c r="U15" s="46">
        <v>15.106999999999999</v>
      </c>
      <c r="V15" s="46">
        <v>15.289</v>
      </c>
      <c r="W15" s="46">
        <v>23.724</v>
      </c>
      <c r="X15" s="46">
        <v>16.103999999999999</v>
      </c>
      <c r="Y15" s="46">
        <v>25.807000000000002</v>
      </c>
      <c r="Z15" s="46">
        <v>6.601</v>
      </c>
      <c r="AA15" s="46">
        <v>20.380000000000003</v>
      </c>
      <c r="AB15" s="46">
        <v>32.97</v>
      </c>
      <c r="AC15" s="46">
        <v>34.297999999999995</v>
      </c>
      <c r="AD15" s="46">
        <v>24.729000000000003</v>
      </c>
      <c r="AE15" s="46">
        <v>28.840999999999998</v>
      </c>
      <c r="AF15" s="46">
        <v>31.998000000000001</v>
      </c>
      <c r="AG15" s="46">
        <v>23.125999999999998</v>
      </c>
      <c r="AH15" s="46">
        <v>26.558</v>
      </c>
      <c r="AI15" s="46">
        <v>8.8970000000000002</v>
      </c>
      <c r="AJ15" s="46">
        <v>27.883999999999997</v>
      </c>
      <c r="AK15" s="46">
        <v>34.07</v>
      </c>
      <c r="AL15" s="46">
        <v>22.177</v>
      </c>
      <c r="AM15" s="46">
        <v>5.8079999999999998</v>
      </c>
      <c r="AN15" s="46">
        <v>30.131999999999998</v>
      </c>
      <c r="AO15" s="46">
        <v>9.6029999999999998</v>
      </c>
      <c r="AP15" s="46">
        <f t="shared" si="0"/>
        <v>21.450935483870964</v>
      </c>
      <c r="AQ15" s="7">
        <f t="shared" si="1"/>
        <v>5.362733870967741</v>
      </c>
    </row>
    <row r="16" spans="1:43" x14ac:dyDescent="0.3">
      <c r="A16" s="5">
        <v>15</v>
      </c>
      <c r="B16" s="107" t="s">
        <v>9</v>
      </c>
      <c r="C16" s="112" t="s">
        <v>611</v>
      </c>
      <c r="D16" s="112" t="s">
        <v>747</v>
      </c>
      <c r="E16" s="110" t="s">
        <v>128</v>
      </c>
      <c r="F16" s="6" t="s">
        <v>12</v>
      </c>
      <c r="G16" s="6" t="s">
        <v>976</v>
      </c>
      <c r="H16" s="6" t="s">
        <v>35</v>
      </c>
      <c r="I16" s="5">
        <v>19</v>
      </c>
      <c r="J16" s="94" t="s">
        <v>273</v>
      </c>
      <c r="K16" s="46">
        <v>216.10099999999997</v>
      </c>
      <c r="L16" s="46">
        <v>135.97399999999996</v>
      </c>
      <c r="M16" s="46">
        <v>189.31700000000006</v>
      </c>
      <c r="N16" s="46">
        <v>186.48999999999998</v>
      </c>
      <c r="O16" s="46">
        <v>174.66299999999998</v>
      </c>
      <c r="P16" s="46">
        <v>193.64199999999997</v>
      </c>
      <c r="Q16" s="46">
        <v>194.14099999999996</v>
      </c>
      <c r="R16" s="46">
        <v>184.53399999999999</v>
      </c>
      <c r="S16" s="46">
        <v>162.78299999999999</v>
      </c>
      <c r="T16" s="46">
        <v>164.447</v>
      </c>
      <c r="U16" s="46">
        <v>168.70800000000003</v>
      </c>
      <c r="V16" s="46">
        <v>203.34700000000001</v>
      </c>
      <c r="W16" s="46">
        <v>206.55899999999997</v>
      </c>
      <c r="X16" s="46">
        <v>199.02499999999998</v>
      </c>
      <c r="Y16" s="46">
        <v>199.81900000000002</v>
      </c>
      <c r="Z16" s="46">
        <v>205.79500000000007</v>
      </c>
      <c r="AA16" s="46">
        <v>207.28699999999998</v>
      </c>
      <c r="AB16" s="46">
        <v>181.83799999999999</v>
      </c>
      <c r="AC16" s="46">
        <v>198.96599999999998</v>
      </c>
      <c r="AD16" s="46">
        <v>221.53700000000001</v>
      </c>
      <c r="AE16" s="46">
        <v>210.34000000000009</v>
      </c>
      <c r="AF16" s="46">
        <v>187.81100000000001</v>
      </c>
      <c r="AG16" s="46">
        <v>218.89999999999995</v>
      </c>
      <c r="AH16" s="46">
        <v>216.45499999999996</v>
      </c>
      <c r="AI16" s="46">
        <v>242.60000000000005</v>
      </c>
      <c r="AJ16" s="46">
        <v>204.71500000000006</v>
      </c>
      <c r="AK16" s="46">
        <v>228.70299999999997</v>
      </c>
      <c r="AL16" s="46">
        <v>248.33500000000004</v>
      </c>
      <c r="AM16" s="46">
        <v>234.27600000000001</v>
      </c>
      <c r="AN16" s="46">
        <v>159.29300000000001</v>
      </c>
      <c r="AO16" s="46">
        <v>61.404000000000003</v>
      </c>
      <c r="AP16" s="46">
        <f t="shared" si="0"/>
        <v>193.80016129032256</v>
      </c>
      <c r="AQ16" s="7">
        <f t="shared" si="1"/>
        <v>10.200008488964345</v>
      </c>
    </row>
    <row r="17" spans="1:43" x14ac:dyDescent="0.3">
      <c r="A17" s="5">
        <v>16</v>
      </c>
      <c r="B17" s="107" t="s">
        <v>9</v>
      </c>
      <c r="C17" s="112" t="s">
        <v>964</v>
      </c>
      <c r="D17" s="112" t="s">
        <v>982</v>
      </c>
      <c r="E17" s="110" t="s">
        <v>128</v>
      </c>
      <c r="F17" s="6" t="s">
        <v>12</v>
      </c>
      <c r="G17" s="6" t="s">
        <v>973</v>
      </c>
      <c r="H17" s="6" t="s">
        <v>80</v>
      </c>
      <c r="I17" s="5">
        <v>1</v>
      </c>
      <c r="J17" s="94" t="s">
        <v>273</v>
      </c>
      <c r="K17" s="46">
        <v>70.119</v>
      </c>
      <c r="L17" s="46">
        <v>67.891000000000005</v>
      </c>
      <c r="M17" s="46">
        <v>69.308000000000007</v>
      </c>
      <c r="N17" s="46">
        <v>59.48</v>
      </c>
      <c r="O17" s="46">
        <v>50.22</v>
      </c>
      <c r="P17" s="46">
        <v>81.72</v>
      </c>
      <c r="Q17" s="46">
        <v>85.050000000000026</v>
      </c>
      <c r="R17" s="46">
        <v>76.041000000000011</v>
      </c>
      <c r="S17" s="46">
        <v>48.259999999999991</v>
      </c>
      <c r="T17" s="46">
        <v>53.928999999999995</v>
      </c>
      <c r="U17" s="46">
        <v>56.859000000000002</v>
      </c>
      <c r="V17" s="46">
        <v>45.999000000000002</v>
      </c>
      <c r="W17" s="46">
        <v>50.130999999999986</v>
      </c>
      <c r="X17" s="46">
        <v>67.328999999999994</v>
      </c>
      <c r="Y17" s="46">
        <v>66.290000000000006</v>
      </c>
      <c r="Z17" s="46">
        <v>49.009000000000007</v>
      </c>
      <c r="AA17" s="46">
        <v>94.13000000000001</v>
      </c>
      <c r="AB17" s="46">
        <v>53.41899999999999</v>
      </c>
      <c r="AC17" s="46">
        <v>70.189000000000007</v>
      </c>
      <c r="AD17" s="46">
        <v>55.27000000000001</v>
      </c>
      <c r="AE17" s="46">
        <v>8.2200000000000006</v>
      </c>
      <c r="AF17" s="46">
        <v>44.091000000000001</v>
      </c>
      <c r="AG17" s="46">
        <v>54.868999999999993</v>
      </c>
      <c r="AH17" s="46">
        <v>71.889999999999986</v>
      </c>
      <c r="AI17" s="46">
        <v>60.140999999999998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>
        <v>0</v>
      </c>
      <c r="AP17" s="46">
        <f t="shared" si="0"/>
        <v>48.704967741935491</v>
      </c>
      <c r="AQ17" s="7">
        <f t="shared" si="1"/>
        <v>48.704967741935491</v>
      </c>
    </row>
    <row r="18" spans="1:43" x14ac:dyDescent="0.3">
      <c r="A18" s="5">
        <v>17</v>
      </c>
      <c r="B18" s="107" t="s">
        <v>9</v>
      </c>
      <c r="C18" s="112" t="s">
        <v>964</v>
      </c>
      <c r="D18" s="112" t="s">
        <v>982</v>
      </c>
      <c r="E18" s="110" t="s">
        <v>128</v>
      </c>
      <c r="F18" s="6" t="s">
        <v>12</v>
      </c>
      <c r="G18" s="6" t="s">
        <v>971</v>
      </c>
      <c r="H18" s="6" t="s">
        <v>80</v>
      </c>
      <c r="I18" s="5">
        <v>2</v>
      </c>
      <c r="J18" s="94" t="s">
        <v>273</v>
      </c>
      <c r="K18" s="46">
        <v>32.67</v>
      </c>
      <c r="L18" s="46">
        <v>50.189999999999991</v>
      </c>
      <c r="M18" s="46">
        <v>70.28</v>
      </c>
      <c r="N18" s="46">
        <v>31.88</v>
      </c>
      <c r="O18" s="46">
        <v>39.309999999999995</v>
      </c>
      <c r="P18" s="46">
        <v>21.299999999999994</v>
      </c>
      <c r="Q18" s="46">
        <v>32.800000000000004</v>
      </c>
      <c r="R18" s="46">
        <v>53.970000000000006</v>
      </c>
      <c r="S18" s="46">
        <v>48.32</v>
      </c>
      <c r="T18" s="46">
        <v>49.91</v>
      </c>
      <c r="U18" s="46">
        <v>17.079999999999998</v>
      </c>
      <c r="V18" s="46">
        <v>0</v>
      </c>
      <c r="W18" s="46">
        <v>0.01</v>
      </c>
      <c r="X18" s="46">
        <v>0</v>
      </c>
      <c r="Y18" s="46">
        <v>0</v>
      </c>
      <c r="Z18" s="46">
        <v>0</v>
      </c>
      <c r="AA18" s="46">
        <v>36.89</v>
      </c>
      <c r="AB18" s="46">
        <v>14.389999999999999</v>
      </c>
      <c r="AC18" s="46">
        <v>12.76</v>
      </c>
      <c r="AD18" s="46">
        <v>0</v>
      </c>
      <c r="AE18" s="46">
        <v>0</v>
      </c>
      <c r="AF18" s="46">
        <v>133.36000000000001</v>
      </c>
      <c r="AG18" s="46">
        <v>13.17</v>
      </c>
      <c r="AH18" s="46">
        <v>48.150000000000006</v>
      </c>
      <c r="AI18" s="46">
        <v>58.53</v>
      </c>
      <c r="AJ18" s="46">
        <v>14.129999999999999</v>
      </c>
      <c r="AK18" s="46">
        <v>7.29</v>
      </c>
      <c r="AL18" s="46">
        <v>15.23</v>
      </c>
      <c r="AM18" s="46">
        <v>45.59</v>
      </c>
      <c r="AN18" s="46">
        <v>45.61999999999999</v>
      </c>
      <c r="AO18" s="46">
        <v>53.91</v>
      </c>
      <c r="AP18" s="46">
        <f t="shared" si="0"/>
        <v>30.539999999999992</v>
      </c>
      <c r="AQ18" s="7">
        <f t="shared" si="1"/>
        <v>15.269999999999996</v>
      </c>
    </row>
    <row r="19" spans="1:43" x14ac:dyDescent="0.3">
      <c r="A19" s="5">
        <v>18</v>
      </c>
      <c r="B19" s="107" t="s">
        <v>9</v>
      </c>
      <c r="C19" s="112" t="s">
        <v>959</v>
      </c>
      <c r="D19" s="112" t="s">
        <v>755</v>
      </c>
      <c r="E19" s="110" t="s">
        <v>128</v>
      </c>
      <c r="F19" s="6" t="s">
        <v>12</v>
      </c>
      <c r="G19" s="6" t="s">
        <v>976</v>
      </c>
      <c r="H19" s="6" t="s">
        <v>35</v>
      </c>
      <c r="I19" s="5">
        <v>8</v>
      </c>
      <c r="J19" s="94" t="s">
        <v>273</v>
      </c>
      <c r="K19" s="46">
        <v>124.89700000000002</v>
      </c>
      <c r="L19" s="46">
        <v>155.00599999999997</v>
      </c>
      <c r="M19" s="46">
        <v>111.43700000000001</v>
      </c>
      <c r="N19" s="46">
        <v>86.79</v>
      </c>
      <c r="O19" s="46">
        <v>148.35099999999997</v>
      </c>
      <c r="P19" s="46">
        <v>149.24199999999999</v>
      </c>
      <c r="Q19" s="46">
        <v>168.71500000000003</v>
      </c>
      <c r="R19" s="46">
        <v>144.47800000000009</v>
      </c>
      <c r="S19" s="46">
        <v>160.26599999999999</v>
      </c>
      <c r="T19" s="46">
        <v>160.66500000000002</v>
      </c>
      <c r="U19" s="46">
        <v>160.547</v>
      </c>
      <c r="V19" s="46">
        <v>180.12200000000001</v>
      </c>
      <c r="W19" s="46">
        <v>183.08700000000002</v>
      </c>
      <c r="X19" s="46">
        <v>138.15799999999996</v>
      </c>
      <c r="Y19" s="46">
        <v>152.52999999999997</v>
      </c>
      <c r="Z19" s="46">
        <v>155.77299999999997</v>
      </c>
      <c r="AA19" s="46">
        <v>157.45400000000004</v>
      </c>
      <c r="AB19" s="46">
        <v>137.24800000000002</v>
      </c>
      <c r="AC19" s="46">
        <v>133.84899999999999</v>
      </c>
      <c r="AD19" s="46">
        <v>144.58600000000004</v>
      </c>
      <c r="AE19" s="46">
        <v>98.944999999999979</v>
      </c>
      <c r="AF19" s="46">
        <v>110.63599999999997</v>
      </c>
      <c r="AG19" s="46">
        <v>110.42400000000002</v>
      </c>
      <c r="AH19" s="46">
        <v>94.373999999999995</v>
      </c>
      <c r="AI19" s="46">
        <v>126.017</v>
      </c>
      <c r="AJ19" s="46">
        <v>129.56200000000001</v>
      </c>
      <c r="AK19" s="46">
        <v>95.854000000000013</v>
      </c>
      <c r="AL19" s="46">
        <v>95.183999999999983</v>
      </c>
      <c r="AM19" s="46">
        <v>115.274</v>
      </c>
      <c r="AN19" s="46">
        <v>66.62700000000001</v>
      </c>
      <c r="AO19" s="46">
        <v>60.682999999999993</v>
      </c>
      <c r="AP19" s="46">
        <f t="shared" si="0"/>
        <v>130.86390322580647</v>
      </c>
      <c r="AQ19" s="7">
        <f t="shared" si="1"/>
        <v>16.357987903225808</v>
      </c>
    </row>
    <row r="20" spans="1:43" x14ac:dyDescent="0.3">
      <c r="A20" s="5">
        <v>19</v>
      </c>
      <c r="B20" s="107" t="s">
        <v>9</v>
      </c>
      <c r="C20" s="112" t="s">
        <v>612</v>
      </c>
      <c r="D20" s="112" t="s">
        <v>771</v>
      </c>
      <c r="E20" s="110" t="s">
        <v>128</v>
      </c>
      <c r="F20" s="6" t="s">
        <v>12</v>
      </c>
      <c r="G20" s="6" t="s">
        <v>979</v>
      </c>
      <c r="H20" s="6" t="s">
        <v>35</v>
      </c>
      <c r="I20" s="5">
        <v>1</v>
      </c>
      <c r="J20" s="67" t="s">
        <v>160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v>0</v>
      </c>
      <c r="AP20" s="46">
        <f t="shared" si="0"/>
        <v>0</v>
      </c>
      <c r="AQ20" s="7">
        <f t="shared" si="1"/>
        <v>0</v>
      </c>
    </row>
    <row r="21" spans="1:43" x14ac:dyDescent="0.3">
      <c r="A21" s="5">
        <v>20</v>
      </c>
      <c r="B21" s="107" t="s">
        <v>9</v>
      </c>
      <c r="C21" s="112" t="s">
        <v>612</v>
      </c>
      <c r="D21" s="112" t="s">
        <v>981</v>
      </c>
      <c r="E21" s="110" t="s">
        <v>128</v>
      </c>
      <c r="F21" s="6" t="s">
        <v>12</v>
      </c>
      <c r="G21" s="6" t="s">
        <v>971</v>
      </c>
      <c r="H21" s="6" t="s">
        <v>80</v>
      </c>
      <c r="I21" s="5">
        <v>1</v>
      </c>
      <c r="J21" s="67" t="s">
        <v>160</v>
      </c>
      <c r="K21" s="46">
        <v>23.89</v>
      </c>
      <c r="L21" s="46">
        <v>49.12</v>
      </c>
      <c r="M21" s="46">
        <v>23.189999999999998</v>
      </c>
      <c r="N21" s="46">
        <v>11.419999999999998</v>
      </c>
      <c r="O21" s="46">
        <v>9.4300000000000015</v>
      </c>
      <c r="P21" s="46">
        <v>24.099999999999998</v>
      </c>
      <c r="Q21" s="46">
        <v>27.109999999999996</v>
      </c>
      <c r="R21" s="46">
        <v>30.499999999999996</v>
      </c>
      <c r="S21" s="46">
        <v>8.35</v>
      </c>
      <c r="T21" s="46">
        <v>6.46</v>
      </c>
      <c r="U21" s="46">
        <v>0.02</v>
      </c>
      <c r="V21" s="46">
        <v>0</v>
      </c>
      <c r="W21" s="46">
        <v>0</v>
      </c>
      <c r="X21" s="46">
        <v>0</v>
      </c>
      <c r="Y21" s="46">
        <v>6.8689999999999998</v>
      </c>
      <c r="Z21" s="46">
        <v>0</v>
      </c>
      <c r="AA21" s="46">
        <v>0</v>
      </c>
      <c r="AB21" s="46">
        <v>18.84</v>
      </c>
      <c r="AC21" s="46">
        <v>10.48</v>
      </c>
      <c r="AD21" s="46">
        <v>35.059999999999995</v>
      </c>
      <c r="AE21" s="46">
        <v>16.14</v>
      </c>
      <c r="AF21" s="46">
        <v>27.39</v>
      </c>
      <c r="AG21" s="46">
        <v>15</v>
      </c>
      <c r="AH21" s="46">
        <v>10.58</v>
      </c>
      <c r="AI21" s="46">
        <v>9.6300000000000008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f t="shared" si="0"/>
        <v>11.728354838709675</v>
      </c>
      <c r="AQ21" s="7">
        <f t="shared" si="1"/>
        <v>11.728354838709675</v>
      </c>
    </row>
    <row r="22" spans="1:43" x14ac:dyDescent="0.3">
      <c r="A22" s="5">
        <v>21</v>
      </c>
      <c r="B22" s="107" t="s">
        <v>9</v>
      </c>
      <c r="C22" s="112" t="s">
        <v>612</v>
      </c>
      <c r="D22" s="112" t="s">
        <v>981</v>
      </c>
      <c r="E22" s="110" t="s">
        <v>128</v>
      </c>
      <c r="F22" s="6" t="s">
        <v>12</v>
      </c>
      <c r="G22" s="6" t="s">
        <v>973</v>
      </c>
      <c r="H22" s="6" t="s">
        <v>80</v>
      </c>
      <c r="I22" s="5">
        <v>1</v>
      </c>
      <c r="J22" s="67" t="s">
        <v>160</v>
      </c>
      <c r="K22" s="46">
        <v>1.599</v>
      </c>
      <c r="L22" s="46">
        <v>0</v>
      </c>
      <c r="M22" s="46">
        <v>9.59</v>
      </c>
      <c r="N22" s="46">
        <v>6.3100000000000005</v>
      </c>
      <c r="O22" s="46">
        <v>4.24</v>
      </c>
      <c r="P22" s="46">
        <v>0</v>
      </c>
      <c r="Q22" s="46">
        <v>2.74</v>
      </c>
      <c r="R22" s="46">
        <v>0</v>
      </c>
      <c r="S22" s="46">
        <v>4.75</v>
      </c>
      <c r="T22" s="46">
        <v>2.8610000000000002</v>
      </c>
      <c r="U22" s="46">
        <v>0</v>
      </c>
      <c r="V22" s="46">
        <v>0</v>
      </c>
      <c r="W22" s="46">
        <v>3.4689999999999999</v>
      </c>
      <c r="X22" s="46">
        <v>0</v>
      </c>
      <c r="Y22" s="46">
        <v>2.6110000000000002</v>
      </c>
      <c r="Z22" s="46">
        <v>3.2789999999999999</v>
      </c>
      <c r="AA22" s="46">
        <v>0</v>
      </c>
      <c r="AB22" s="46">
        <v>9.5</v>
      </c>
      <c r="AC22" s="46">
        <v>0</v>
      </c>
      <c r="AD22" s="46">
        <v>0</v>
      </c>
      <c r="AE22" s="46">
        <v>0</v>
      </c>
      <c r="AF22" s="46">
        <v>0</v>
      </c>
      <c r="AG22" s="46">
        <v>2.601</v>
      </c>
      <c r="AH22" s="46">
        <v>3.55</v>
      </c>
      <c r="AI22" s="46">
        <v>0</v>
      </c>
      <c r="AJ22" s="46">
        <v>0</v>
      </c>
      <c r="AK22" s="46">
        <v>14.94</v>
      </c>
      <c r="AL22" s="46">
        <v>3.02</v>
      </c>
      <c r="AM22" s="46">
        <v>0</v>
      </c>
      <c r="AN22" s="46">
        <v>0</v>
      </c>
      <c r="AO22" s="46">
        <v>1.78</v>
      </c>
      <c r="AP22" s="46">
        <f t="shared" si="0"/>
        <v>2.4787096774193547</v>
      </c>
      <c r="AQ22" s="7">
        <f t="shared" si="1"/>
        <v>2.4787096774193547</v>
      </c>
    </row>
    <row r="23" spans="1:43" x14ac:dyDescent="0.3">
      <c r="A23" s="5">
        <v>22</v>
      </c>
      <c r="B23" s="107" t="s">
        <v>9</v>
      </c>
      <c r="C23" s="112" t="s">
        <v>612</v>
      </c>
      <c r="D23" s="112" t="s">
        <v>981</v>
      </c>
      <c r="E23" s="110" t="s">
        <v>128</v>
      </c>
      <c r="F23" s="6" t="s">
        <v>12</v>
      </c>
      <c r="G23" s="6" t="s">
        <v>290</v>
      </c>
      <c r="H23" s="6" t="s">
        <v>80</v>
      </c>
      <c r="I23" s="5">
        <v>1</v>
      </c>
      <c r="J23" s="67" t="s">
        <v>160</v>
      </c>
      <c r="K23" s="46">
        <v>183.42600000000002</v>
      </c>
      <c r="L23" s="46">
        <v>55.524000000000001</v>
      </c>
      <c r="M23" s="46">
        <v>240.04800000000006</v>
      </c>
      <c r="N23" s="46">
        <v>356.17599999999993</v>
      </c>
      <c r="O23" s="46">
        <v>363.17399999999998</v>
      </c>
      <c r="P23" s="46">
        <v>338.32599999999996</v>
      </c>
      <c r="Q23" s="46">
        <v>401.42399999999998</v>
      </c>
      <c r="R23" s="46">
        <v>180.22599999999997</v>
      </c>
      <c r="S23" s="46">
        <v>80.55</v>
      </c>
      <c r="T23" s="46">
        <v>230.29800000000009</v>
      </c>
      <c r="U23" s="46">
        <v>447.77600000000001</v>
      </c>
      <c r="V23" s="46">
        <v>438.04800000000006</v>
      </c>
      <c r="W23" s="46">
        <v>495.39399999999989</v>
      </c>
      <c r="X23" s="46">
        <v>423.726</v>
      </c>
      <c r="Y23" s="46">
        <v>471.40200000000004</v>
      </c>
      <c r="Z23" s="46">
        <v>449.14999999999992</v>
      </c>
      <c r="AA23" s="46">
        <v>446.39799999999997</v>
      </c>
      <c r="AB23" s="46">
        <v>535.57800000000009</v>
      </c>
      <c r="AC23" s="46">
        <v>536.548</v>
      </c>
      <c r="AD23" s="46">
        <v>474.95199999999994</v>
      </c>
      <c r="AE23" s="46">
        <v>428.75199999999978</v>
      </c>
      <c r="AF23" s="46">
        <v>193.00199999999995</v>
      </c>
      <c r="AG23" s="46">
        <v>137.976</v>
      </c>
      <c r="AH23" s="46">
        <v>354.19999999999993</v>
      </c>
      <c r="AI23" s="46">
        <v>407.32600000000002</v>
      </c>
      <c r="AJ23" s="46">
        <v>497.97799999999995</v>
      </c>
      <c r="AK23" s="46">
        <v>472.82600000000008</v>
      </c>
      <c r="AL23" s="46">
        <v>342.02400000000006</v>
      </c>
      <c r="AM23" s="46">
        <v>230.62200000000001</v>
      </c>
      <c r="AN23" s="46">
        <v>78.296000000000006</v>
      </c>
      <c r="AO23" s="46">
        <v>173.18</v>
      </c>
      <c r="AP23" s="46">
        <f t="shared" si="0"/>
        <v>337.55890322580638</v>
      </c>
      <c r="AQ23" s="7">
        <f t="shared" si="1"/>
        <v>337.55890322580638</v>
      </c>
    </row>
    <row r="24" spans="1:43" x14ac:dyDescent="0.3">
      <c r="A24" s="5">
        <v>23</v>
      </c>
      <c r="B24" s="107" t="s">
        <v>9</v>
      </c>
      <c r="C24" s="112" t="s">
        <v>612</v>
      </c>
      <c r="D24" s="112" t="s">
        <v>771</v>
      </c>
      <c r="E24" s="110" t="s">
        <v>128</v>
      </c>
      <c r="F24" s="6" t="s">
        <v>12</v>
      </c>
      <c r="G24" s="6" t="s">
        <v>972</v>
      </c>
      <c r="H24" s="6" t="s">
        <v>80</v>
      </c>
      <c r="I24" s="5">
        <v>1</v>
      </c>
      <c r="J24" s="67" t="s">
        <v>160</v>
      </c>
      <c r="K24" s="46">
        <v>140.26000000000005</v>
      </c>
      <c r="L24" s="46">
        <v>176.08</v>
      </c>
      <c r="M24" s="46">
        <v>320.70999999999992</v>
      </c>
      <c r="N24" s="46">
        <v>471.45</v>
      </c>
      <c r="O24" s="46">
        <v>419.92999999999995</v>
      </c>
      <c r="P24" s="46">
        <v>459.53</v>
      </c>
      <c r="Q24" s="46">
        <v>338.01000000000005</v>
      </c>
      <c r="R24" s="46">
        <v>167.67000000000002</v>
      </c>
      <c r="S24" s="46">
        <v>44.239999999999995</v>
      </c>
      <c r="T24" s="46">
        <v>474.63999999999987</v>
      </c>
      <c r="U24" s="46">
        <v>378.91000000000014</v>
      </c>
      <c r="V24" s="46">
        <v>634.7299999999999</v>
      </c>
      <c r="W24" s="46">
        <v>484.11999999999989</v>
      </c>
      <c r="X24" s="46">
        <v>436.39000000000004</v>
      </c>
      <c r="Y24" s="46">
        <v>674.50999999999988</v>
      </c>
      <c r="Z24" s="46">
        <v>502.86</v>
      </c>
      <c r="AA24" s="46">
        <v>456.42</v>
      </c>
      <c r="AB24" s="46">
        <v>542.09</v>
      </c>
      <c r="AC24" s="46">
        <v>454.90999999999991</v>
      </c>
      <c r="AD24" s="46">
        <v>448.51999999999987</v>
      </c>
      <c r="AE24" s="46">
        <v>482.17</v>
      </c>
      <c r="AF24" s="46">
        <v>177.16000000000003</v>
      </c>
      <c r="AG24" s="46">
        <v>86.04</v>
      </c>
      <c r="AH24" s="46">
        <v>344.91999999999996</v>
      </c>
      <c r="AI24" s="46">
        <v>500.00999999999982</v>
      </c>
      <c r="AJ24" s="46">
        <v>451.9199999999999</v>
      </c>
      <c r="AK24" s="46">
        <v>618.94999999999993</v>
      </c>
      <c r="AL24" s="46">
        <v>429.82000000000005</v>
      </c>
      <c r="AM24" s="46">
        <v>240.22</v>
      </c>
      <c r="AN24" s="46">
        <v>153.53</v>
      </c>
      <c r="AO24" s="46">
        <v>254.89000000000001</v>
      </c>
      <c r="AP24" s="46">
        <f t="shared" si="0"/>
        <v>379.53580645161293</v>
      </c>
      <c r="AQ24" s="7">
        <f t="shared" si="1"/>
        <v>379.53580645161293</v>
      </c>
    </row>
    <row r="25" spans="1:43" x14ac:dyDescent="0.3">
      <c r="A25" s="5">
        <v>24</v>
      </c>
      <c r="B25" s="107" t="s">
        <v>9</v>
      </c>
      <c r="C25" s="112" t="s">
        <v>612</v>
      </c>
      <c r="D25" s="112" t="s">
        <v>771</v>
      </c>
      <c r="E25" s="110" t="s">
        <v>128</v>
      </c>
      <c r="F25" s="6" t="s">
        <v>12</v>
      </c>
      <c r="G25" s="6" t="s">
        <v>1004</v>
      </c>
      <c r="H25" s="6" t="s">
        <v>80</v>
      </c>
      <c r="I25" s="5">
        <v>1</v>
      </c>
      <c r="J25" s="67" t="s">
        <v>160</v>
      </c>
      <c r="K25" s="46">
        <v>171.82500000000002</v>
      </c>
      <c r="L25" s="46">
        <v>0</v>
      </c>
      <c r="M25" s="46">
        <v>92.85</v>
      </c>
      <c r="N25" s="46">
        <v>41.85</v>
      </c>
      <c r="O25" s="46">
        <v>30.475000000000001</v>
      </c>
      <c r="P25" s="46">
        <v>384.12400000000002</v>
      </c>
      <c r="Q25" s="46">
        <v>313.57399999999996</v>
      </c>
      <c r="R25" s="46">
        <v>133.52500000000001</v>
      </c>
      <c r="S25" s="46">
        <v>0</v>
      </c>
      <c r="T25" s="46">
        <v>0</v>
      </c>
      <c r="U25" s="46">
        <v>57.65</v>
      </c>
      <c r="V25" s="46">
        <v>524.25000000000011</v>
      </c>
      <c r="W25" s="46">
        <v>9.5749999999999993</v>
      </c>
      <c r="X25" s="46">
        <v>0</v>
      </c>
      <c r="Y25" s="46">
        <v>0</v>
      </c>
      <c r="Z25" s="46">
        <v>0</v>
      </c>
      <c r="AA25" s="46">
        <v>271.25</v>
      </c>
      <c r="AB25" s="46">
        <v>27.3</v>
      </c>
      <c r="AC25" s="46">
        <v>0</v>
      </c>
      <c r="AD25" s="46">
        <v>56.175000000000004</v>
      </c>
      <c r="AE25" s="46">
        <v>421.95</v>
      </c>
      <c r="AF25" s="46">
        <v>32.15</v>
      </c>
      <c r="AG25" s="46">
        <v>0</v>
      </c>
      <c r="AH25" s="46">
        <v>31.375</v>
      </c>
      <c r="AI25" s="46">
        <v>60.249999999999986</v>
      </c>
      <c r="AJ25" s="46">
        <v>0</v>
      </c>
      <c r="AK25" s="46">
        <v>446.09999999999997</v>
      </c>
      <c r="AL25" s="46">
        <v>0</v>
      </c>
      <c r="AM25" s="46">
        <v>0</v>
      </c>
      <c r="AN25" s="46">
        <v>0</v>
      </c>
      <c r="AO25" s="46">
        <v>0</v>
      </c>
      <c r="AP25" s="46">
        <f t="shared" si="0"/>
        <v>100.20154838709678</v>
      </c>
      <c r="AQ25" s="7">
        <f t="shared" si="1"/>
        <v>100.20154838709678</v>
      </c>
    </row>
    <row r="26" spans="1:43" x14ac:dyDescent="0.3">
      <c r="A26" s="5">
        <v>25</v>
      </c>
      <c r="B26" s="107" t="s">
        <v>9</v>
      </c>
      <c r="C26" s="112" t="s">
        <v>614</v>
      </c>
      <c r="D26" s="112" t="s">
        <v>760</v>
      </c>
      <c r="E26" s="110" t="s">
        <v>128</v>
      </c>
      <c r="F26" s="6" t="s">
        <v>12</v>
      </c>
      <c r="G26" s="6" t="s">
        <v>976</v>
      </c>
      <c r="H26" s="6" t="s">
        <v>35</v>
      </c>
      <c r="I26" s="5">
        <v>7</v>
      </c>
      <c r="J26" s="94" t="s">
        <v>273</v>
      </c>
      <c r="K26" s="46">
        <v>233.81300000000005</v>
      </c>
      <c r="L26" s="46">
        <v>164.59899999999996</v>
      </c>
      <c r="M26" s="46">
        <v>181.25700000000003</v>
      </c>
      <c r="N26" s="46">
        <v>173.73500000000001</v>
      </c>
      <c r="O26" s="46">
        <v>246.87599999999998</v>
      </c>
      <c r="P26" s="46">
        <v>220.53599999999997</v>
      </c>
      <c r="Q26" s="46">
        <v>186.45500000000001</v>
      </c>
      <c r="R26" s="46">
        <v>199.036</v>
      </c>
      <c r="S26" s="46">
        <v>220.60700000000003</v>
      </c>
      <c r="T26" s="46">
        <v>222.29200000000006</v>
      </c>
      <c r="U26" s="46">
        <v>262.00699999999995</v>
      </c>
      <c r="V26" s="46">
        <v>159.06100000000004</v>
      </c>
      <c r="W26" s="46">
        <v>249.74900000000002</v>
      </c>
      <c r="X26" s="46">
        <v>212.89600000000004</v>
      </c>
      <c r="Y26" s="46">
        <v>233.48099999999999</v>
      </c>
      <c r="Z26" s="46">
        <v>248.65400000000002</v>
      </c>
      <c r="AA26" s="46">
        <v>283.85299999999995</v>
      </c>
      <c r="AB26" s="46">
        <v>267.50200000000001</v>
      </c>
      <c r="AC26" s="46">
        <v>260.85899999999998</v>
      </c>
      <c r="AD26" s="46">
        <v>222.36100000000002</v>
      </c>
      <c r="AE26" s="46">
        <v>214.10500000000002</v>
      </c>
      <c r="AF26" s="46">
        <v>271.79500000000002</v>
      </c>
      <c r="AG26" s="46">
        <v>195.42599999999999</v>
      </c>
      <c r="AH26" s="46">
        <v>227.33400000000006</v>
      </c>
      <c r="AI26" s="46">
        <v>205.78799999999998</v>
      </c>
      <c r="AJ26" s="46">
        <v>205.82400000000001</v>
      </c>
      <c r="AK26" s="46">
        <v>245.73399999999998</v>
      </c>
      <c r="AL26" s="46">
        <v>197.09399999999997</v>
      </c>
      <c r="AM26" s="46">
        <v>256.77499999999998</v>
      </c>
      <c r="AN26" s="46">
        <v>211.53899999999999</v>
      </c>
      <c r="AO26" s="46">
        <v>166.34199999999998</v>
      </c>
      <c r="AP26" s="46">
        <f t="shared" si="0"/>
        <v>220.88338709677416</v>
      </c>
      <c r="AQ26" s="7">
        <f t="shared" si="1"/>
        <v>31.55476958525345</v>
      </c>
    </row>
    <row r="27" spans="1:43" x14ac:dyDescent="0.3">
      <c r="A27" s="5">
        <v>26</v>
      </c>
      <c r="B27" s="107" t="s">
        <v>9</v>
      </c>
      <c r="C27" s="112" t="s">
        <v>613</v>
      </c>
      <c r="D27" s="112" t="s">
        <v>742</v>
      </c>
      <c r="E27" s="110" t="s">
        <v>128</v>
      </c>
      <c r="F27" s="6" t="s">
        <v>12</v>
      </c>
      <c r="G27" s="6" t="s">
        <v>976</v>
      </c>
      <c r="H27" s="6" t="s">
        <v>35</v>
      </c>
      <c r="I27" s="5">
        <v>1</v>
      </c>
      <c r="J27" s="67" t="s">
        <v>160</v>
      </c>
      <c r="K27" s="46">
        <v>23.081000000000003</v>
      </c>
      <c r="L27" s="46">
        <v>0.70099999999999996</v>
      </c>
      <c r="M27" s="46">
        <v>9.82</v>
      </c>
      <c r="N27" s="46">
        <v>8.7420000000000009</v>
      </c>
      <c r="O27" s="46">
        <v>14.393999999999998</v>
      </c>
      <c r="P27" s="46">
        <v>7.5960000000000001</v>
      </c>
      <c r="Q27" s="46">
        <v>12.021999999999998</v>
      </c>
      <c r="R27" s="46">
        <v>2.7170000000000001</v>
      </c>
      <c r="S27" s="46">
        <v>0</v>
      </c>
      <c r="T27" s="46">
        <v>14.777000000000001</v>
      </c>
      <c r="U27" s="46">
        <v>15.151</v>
      </c>
      <c r="V27" s="46">
        <v>11.134</v>
      </c>
      <c r="W27" s="46">
        <v>12.983000000000001</v>
      </c>
      <c r="X27" s="46">
        <v>20.738000000000003</v>
      </c>
      <c r="Y27" s="46">
        <v>15.938000000000002</v>
      </c>
      <c r="Z27" s="46">
        <v>0</v>
      </c>
      <c r="AA27" s="46">
        <v>5.3999999999999999E-2</v>
      </c>
      <c r="AB27" s="46">
        <v>8.99</v>
      </c>
      <c r="AC27" s="46">
        <v>8.6649999999999991</v>
      </c>
      <c r="AD27" s="46">
        <v>4.9619999999999997</v>
      </c>
      <c r="AE27" s="46">
        <v>17.931000000000001</v>
      </c>
      <c r="AF27" s="46">
        <v>8.0399999999999991</v>
      </c>
      <c r="AG27" s="46">
        <v>2.972</v>
      </c>
      <c r="AH27" s="46">
        <v>2.4649999999999999</v>
      </c>
      <c r="AI27" s="46">
        <v>0.114</v>
      </c>
      <c r="AJ27" s="46">
        <v>1.8409999999999997</v>
      </c>
      <c r="AK27" s="46">
        <v>1E-3</v>
      </c>
      <c r="AL27" s="46">
        <v>9.6419999999999995</v>
      </c>
      <c r="AM27" s="46">
        <v>0.13</v>
      </c>
      <c r="AN27" s="46">
        <v>14.038</v>
      </c>
      <c r="AO27" s="46">
        <v>5.5460000000000003</v>
      </c>
      <c r="AP27" s="46">
        <f t="shared" si="0"/>
        <v>8.2317741935483877</v>
      </c>
      <c r="AQ27" s="7">
        <f t="shared" si="1"/>
        <v>8.2317741935483877</v>
      </c>
    </row>
    <row r="28" spans="1:43" x14ac:dyDescent="0.3">
      <c r="A28" s="5">
        <v>27</v>
      </c>
      <c r="B28" s="107" t="s">
        <v>9</v>
      </c>
      <c r="C28" s="112" t="s">
        <v>613</v>
      </c>
      <c r="D28" s="112" t="s">
        <v>742</v>
      </c>
      <c r="E28" s="110" t="s">
        <v>128</v>
      </c>
      <c r="F28" s="6" t="s">
        <v>12</v>
      </c>
      <c r="G28" s="6" t="s">
        <v>979</v>
      </c>
      <c r="H28" s="6" t="s">
        <v>35</v>
      </c>
      <c r="I28" s="5">
        <v>1</v>
      </c>
      <c r="J28" s="67" t="s">
        <v>160</v>
      </c>
      <c r="K28" s="46">
        <v>13.519</v>
      </c>
      <c r="L28" s="46">
        <v>42.024000000000001</v>
      </c>
      <c r="M28" s="46">
        <v>0</v>
      </c>
      <c r="N28" s="46">
        <v>4.0090000000000003</v>
      </c>
      <c r="O28" s="46">
        <v>43.146000000000001</v>
      </c>
      <c r="P28" s="46">
        <v>0</v>
      </c>
      <c r="Q28" s="46">
        <v>0</v>
      </c>
      <c r="R28" s="46">
        <v>0</v>
      </c>
      <c r="S28" s="46">
        <v>0</v>
      </c>
      <c r="T28" s="46">
        <v>37.572999999999993</v>
      </c>
      <c r="U28" s="46">
        <v>0.14799999999999999</v>
      </c>
      <c r="V28" s="46">
        <v>5.0490000000000004</v>
      </c>
      <c r="W28" s="46">
        <v>0</v>
      </c>
      <c r="X28" s="46">
        <v>33.89</v>
      </c>
      <c r="Y28" s="46">
        <v>0</v>
      </c>
      <c r="Z28" s="46">
        <v>16.172000000000001</v>
      </c>
      <c r="AA28" s="46">
        <v>0</v>
      </c>
      <c r="AB28" s="46">
        <v>16.097999999999999</v>
      </c>
      <c r="AC28" s="46">
        <v>2E-3</v>
      </c>
      <c r="AD28" s="46">
        <v>3.0000000000000001E-3</v>
      </c>
      <c r="AE28" s="46">
        <v>0</v>
      </c>
      <c r="AF28" s="46">
        <v>0</v>
      </c>
      <c r="AG28" s="46">
        <v>0</v>
      </c>
      <c r="AH28" s="46">
        <v>0</v>
      </c>
      <c r="AI28" s="46">
        <v>9.3320000000000007</v>
      </c>
      <c r="AJ28" s="46">
        <v>0</v>
      </c>
      <c r="AK28" s="46">
        <v>0</v>
      </c>
      <c r="AL28" s="46">
        <v>13.761000000000001</v>
      </c>
      <c r="AM28" s="46">
        <v>15.202999999999999</v>
      </c>
      <c r="AN28" s="46">
        <v>0</v>
      </c>
      <c r="AO28" s="46">
        <v>5.1260000000000003</v>
      </c>
      <c r="AP28" s="46">
        <f t="shared" si="0"/>
        <v>8.2275806451612894</v>
      </c>
      <c r="AQ28" s="7">
        <f t="shared" si="1"/>
        <v>8.2275806451612894</v>
      </c>
    </row>
    <row r="29" spans="1:43" x14ac:dyDescent="0.3">
      <c r="A29" s="5">
        <v>28</v>
      </c>
      <c r="B29" s="107" t="s">
        <v>9</v>
      </c>
      <c r="C29" s="112" t="s">
        <v>613</v>
      </c>
      <c r="D29" s="112" t="s">
        <v>980</v>
      </c>
      <c r="E29" s="110" t="s">
        <v>128</v>
      </c>
      <c r="F29" s="6" t="s">
        <v>12</v>
      </c>
      <c r="G29" s="6" t="s">
        <v>971</v>
      </c>
      <c r="H29" s="6" t="s">
        <v>80</v>
      </c>
      <c r="I29" s="5">
        <v>3</v>
      </c>
      <c r="J29" s="67" t="s">
        <v>160</v>
      </c>
      <c r="K29" s="46">
        <v>55.12</v>
      </c>
      <c r="L29" s="46">
        <v>41.57</v>
      </c>
      <c r="M29" s="46">
        <v>54.279999999999994</v>
      </c>
      <c r="N29" s="46">
        <v>43.9</v>
      </c>
      <c r="O29" s="46">
        <v>0.14000000000000001</v>
      </c>
      <c r="P29" s="46">
        <v>70.350000000000009</v>
      </c>
      <c r="Q29" s="46">
        <v>65.47999999999999</v>
      </c>
      <c r="R29" s="46">
        <v>79.849999999999994</v>
      </c>
      <c r="S29" s="46">
        <v>27.1</v>
      </c>
      <c r="T29" s="46">
        <v>6.73</v>
      </c>
      <c r="U29" s="46">
        <v>1.08</v>
      </c>
      <c r="V29" s="46">
        <v>53.449999999999989</v>
      </c>
      <c r="W29" s="46">
        <v>14.61</v>
      </c>
      <c r="X29" s="46">
        <v>13.31</v>
      </c>
      <c r="Y29" s="46">
        <v>0</v>
      </c>
      <c r="Z29" s="46">
        <v>3.9</v>
      </c>
      <c r="AA29" s="46">
        <v>4.51</v>
      </c>
      <c r="AB29" s="46">
        <v>1.8599999999999999</v>
      </c>
      <c r="AC29" s="46">
        <v>14.57</v>
      </c>
      <c r="AD29" s="46">
        <v>10.29</v>
      </c>
      <c r="AE29" s="46">
        <v>52.27</v>
      </c>
      <c r="AF29" s="46">
        <v>20.39</v>
      </c>
      <c r="AG29" s="46">
        <v>32.56</v>
      </c>
      <c r="AH29" s="46">
        <v>27.2</v>
      </c>
      <c r="AI29" s="46">
        <v>2.16</v>
      </c>
      <c r="AJ29" s="46">
        <v>22.17</v>
      </c>
      <c r="AK29" s="46">
        <v>4.6900000000000004</v>
      </c>
      <c r="AL29" s="46">
        <v>14.469999999999999</v>
      </c>
      <c r="AM29" s="46">
        <v>11.529999999999998</v>
      </c>
      <c r="AN29" s="46">
        <v>19.25</v>
      </c>
      <c r="AO29" s="46">
        <v>28.55</v>
      </c>
      <c r="AP29" s="46">
        <f t="shared" si="0"/>
        <v>25.720645161290321</v>
      </c>
      <c r="AQ29" s="7">
        <f t="shared" si="1"/>
        <v>8.573548387096773</v>
      </c>
    </row>
    <row r="30" spans="1:43" x14ac:dyDescent="0.3">
      <c r="A30" s="5">
        <v>29</v>
      </c>
      <c r="B30" s="107" t="s">
        <v>9</v>
      </c>
      <c r="C30" s="112" t="s">
        <v>613</v>
      </c>
      <c r="D30" s="112" t="s">
        <v>980</v>
      </c>
      <c r="E30" s="110" t="s">
        <v>128</v>
      </c>
      <c r="F30" s="6" t="s">
        <v>12</v>
      </c>
      <c r="G30" s="6" t="s">
        <v>975</v>
      </c>
      <c r="H30" s="6" t="s">
        <v>80</v>
      </c>
      <c r="I30" s="5">
        <v>1</v>
      </c>
      <c r="J30" s="67" t="s">
        <v>160</v>
      </c>
      <c r="K30" s="46">
        <v>54.405999999999999</v>
      </c>
      <c r="L30" s="46">
        <v>59.540999999999997</v>
      </c>
      <c r="M30" s="46">
        <v>69.302999999999997</v>
      </c>
      <c r="N30" s="46">
        <v>133.244</v>
      </c>
      <c r="O30" s="46">
        <v>33.617999999999995</v>
      </c>
      <c r="P30" s="46">
        <v>14.469999999999999</v>
      </c>
      <c r="Q30" s="46">
        <v>13.657999999999999</v>
      </c>
      <c r="R30" s="46">
        <v>48.836999999999996</v>
      </c>
      <c r="S30" s="46">
        <v>43.117000000000004</v>
      </c>
      <c r="T30" s="46">
        <v>49.265000000000001</v>
      </c>
      <c r="U30" s="46">
        <v>275.84899999999999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v>0</v>
      </c>
      <c r="AP30" s="46">
        <f t="shared" si="0"/>
        <v>25.655096774193549</v>
      </c>
      <c r="AQ30" s="7">
        <f t="shared" si="1"/>
        <v>25.655096774193549</v>
      </c>
    </row>
    <row r="31" spans="1:43" x14ac:dyDescent="0.3">
      <c r="A31" s="5">
        <v>30</v>
      </c>
      <c r="B31" s="107" t="s">
        <v>9</v>
      </c>
      <c r="C31" s="112" t="s">
        <v>613</v>
      </c>
      <c r="D31" s="112" t="s">
        <v>980</v>
      </c>
      <c r="E31" s="110" t="s">
        <v>128</v>
      </c>
      <c r="F31" s="6" t="s">
        <v>12</v>
      </c>
      <c r="G31" s="6" t="s">
        <v>1018</v>
      </c>
      <c r="H31" s="6" t="s">
        <v>80</v>
      </c>
      <c r="I31" s="5">
        <v>1</v>
      </c>
      <c r="J31" s="67" t="s">
        <v>160</v>
      </c>
      <c r="K31" s="46"/>
      <c r="L31" s="46"/>
      <c r="M31" s="46"/>
      <c r="N31" s="46">
        <v>9.7900000000000009</v>
      </c>
      <c r="O31" s="46">
        <v>140.85</v>
      </c>
      <c r="P31" s="46">
        <v>93.47</v>
      </c>
      <c r="Q31" s="46">
        <v>168.83999999999997</v>
      </c>
      <c r="R31" s="46">
        <v>102.84</v>
      </c>
      <c r="S31" s="46">
        <v>94.050000000000011</v>
      </c>
      <c r="T31" s="46">
        <v>123.56000000000002</v>
      </c>
      <c r="U31" s="46">
        <v>179.04999999999998</v>
      </c>
      <c r="V31" s="46">
        <v>124.22999999999999</v>
      </c>
      <c r="W31" s="46">
        <v>141.09</v>
      </c>
      <c r="X31" s="46">
        <v>265.08999999999992</v>
      </c>
      <c r="Y31" s="46">
        <v>120.48</v>
      </c>
      <c r="Z31" s="46">
        <v>58.54</v>
      </c>
      <c r="AA31" s="46">
        <v>86.91</v>
      </c>
      <c r="AB31" s="46">
        <v>110.02000000000001</v>
      </c>
      <c r="AC31" s="46">
        <v>83.899999999999991</v>
      </c>
      <c r="AD31" s="46">
        <v>101.77000000000001</v>
      </c>
      <c r="AE31" s="46">
        <v>68.36</v>
      </c>
      <c r="AF31" s="46">
        <v>76.06</v>
      </c>
      <c r="AG31" s="46">
        <v>59.22999999999999</v>
      </c>
      <c r="AH31" s="46">
        <v>111.89</v>
      </c>
      <c r="AI31" s="46">
        <v>131.36999999999998</v>
      </c>
      <c r="AJ31" s="46">
        <v>86.6</v>
      </c>
      <c r="AK31" s="46">
        <v>22.020000000000003</v>
      </c>
      <c r="AL31" s="46">
        <v>58.03</v>
      </c>
      <c r="AM31" s="46">
        <v>7.65</v>
      </c>
      <c r="AN31" s="46">
        <v>103.77</v>
      </c>
      <c r="AO31" s="46">
        <v>32.480000000000004</v>
      </c>
      <c r="AP31" s="46">
        <f t="shared" si="0"/>
        <v>98.640714285714267</v>
      </c>
      <c r="AQ31" s="7">
        <f t="shared" si="1"/>
        <v>98.640714285714267</v>
      </c>
    </row>
    <row r="32" spans="1:43" x14ac:dyDescent="0.3">
      <c r="A32" s="5">
        <v>31</v>
      </c>
      <c r="B32" s="107" t="s">
        <v>9</v>
      </c>
      <c r="C32" s="112" t="s">
        <v>615</v>
      </c>
      <c r="D32" s="112" t="s">
        <v>770</v>
      </c>
      <c r="E32" s="110" t="s">
        <v>128</v>
      </c>
      <c r="F32" s="6" t="s">
        <v>12</v>
      </c>
      <c r="G32" s="6" t="s">
        <v>976</v>
      </c>
      <c r="H32" s="6" t="s">
        <v>35</v>
      </c>
      <c r="I32" s="5">
        <v>9</v>
      </c>
      <c r="J32" s="94" t="s">
        <v>273</v>
      </c>
      <c r="K32" s="46">
        <v>165.90200000000004</v>
      </c>
      <c r="L32" s="46">
        <v>110.92499999999998</v>
      </c>
      <c r="M32" s="46">
        <v>129.50700000000001</v>
      </c>
      <c r="N32" s="46">
        <v>143.70400000000004</v>
      </c>
      <c r="O32" s="46">
        <v>118.78800000000001</v>
      </c>
      <c r="P32" s="46">
        <v>123.78999999999999</v>
      </c>
      <c r="Q32" s="46">
        <v>125.32700000000001</v>
      </c>
      <c r="R32" s="46">
        <v>113.87299999999999</v>
      </c>
      <c r="S32" s="46">
        <v>145.76300000000001</v>
      </c>
      <c r="T32" s="46">
        <v>108.504</v>
      </c>
      <c r="U32" s="46">
        <v>147.45799999999997</v>
      </c>
      <c r="V32" s="46">
        <v>118.79599999999999</v>
      </c>
      <c r="W32" s="46">
        <v>175.11799999999999</v>
      </c>
      <c r="X32" s="46">
        <v>111.52199999999999</v>
      </c>
      <c r="Y32" s="46">
        <v>108.24200000000002</v>
      </c>
      <c r="Z32" s="46">
        <v>129.739</v>
      </c>
      <c r="AA32" s="46">
        <v>110.77200000000001</v>
      </c>
      <c r="AB32" s="46">
        <v>133.48700000000002</v>
      </c>
      <c r="AC32" s="46">
        <v>97.063999999999993</v>
      </c>
      <c r="AD32" s="46">
        <v>154.24200000000005</v>
      </c>
      <c r="AE32" s="46">
        <v>136.98799999999997</v>
      </c>
      <c r="AF32" s="46">
        <v>131.45099999999999</v>
      </c>
      <c r="AG32" s="46">
        <v>131.27500000000001</v>
      </c>
      <c r="AH32" s="46">
        <v>154.22699999999998</v>
      </c>
      <c r="AI32" s="46">
        <v>155.39200000000002</v>
      </c>
      <c r="AJ32" s="46">
        <v>59.450999999999986</v>
      </c>
      <c r="AK32" s="46">
        <v>180.79599999999999</v>
      </c>
      <c r="AL32" s="46">
        <v>85.029999999999987</v>
      </c>
      <c r="AM32" s="46">
        <v>153.43800000000002</v>
      </c>
      <c r="AN32" s="46">
        <v>151.04200000000003</v>
      </c>
      <c r="AO32" s="46">
        <v>81.21899999999998</v>
      </c>
      <c r="AP32" s="46">
        <f t="shared" si="0"/>
        <v>128.80103225806451</v>
      </c>
      <c r="AQ32" s="7">
        <f t="shared" si="1"/>
        <v>14.311225806451612</v>
      </c>
    </row>
    <row r="33" spans="1:43" ht="14.25" customHeight="1" x14ac:dyDescent="0.3">
      <c r="A33" s="5">
        <v>32</v>
      </c>
      <c r="B33" s="107" t="s">
        <v>9</v>
      </c>
      <c r="C33" s="112" t="s">
        <v>966</v>
      </c>
      <c r="D33" s="112" t="s">
        <v>967</v>
      </c>
      <c r="E33" s="110" t="s">
        <v>128</v>
      </c>
      <c r="F33" s="6" t="s">
        <v>12</v>
      </c>
      <c r="G33" s="6" t="s">
        <v>973</v>
      </c>
      <c r="H33" s="6" t="s">
        <v>80</v>
      </c>
      <c r="I33" s="5">
        <v>1</v>
      </c>
      <c r="J33" s="94" t="s">
        <v>273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v>0</v>
      </c>
      <c r="AP33" s="46">
        <f t="shared" si="0"/>
        <v>0</v>
      </c>
      <c r="AQ33" s="7">
        <f t="shared" si="1"/>
        <v>0</v>
      </c>
    </row>
    <row r="34" spans="1:43" x14ac:dyDescent="0.3">
      <c r="A34" s="5">
        <v>33</v>
      </c>
      <c r="B34" s="107" t="s">
        <v>9</v>
      </c>
      <c r="C34" s="112" t="s">
        <v>616</v>
      </c>
      <c r="D34" s="112" t="s">
        <v>748</v>
      </c>
      <c r="E34" s="110" t="s">
        <v>128</v>
      </c>
      <c r="F34" s="6" t="s">
        <v>12</v>
      </c>
      <c r="G34" s="6" t="s">
        <v>976</v>
      </c>
      <c r="H34" s="6" t="s">
        <v>35</v>
      </c>
      <c r="I34" s="5">
        <v>8</v>
      </c>
      <c r="J34" s="94" t="s">
        <v>273</v>
      </c>
      <c r="K34" s="46">
        <v>94.923000000000002</v>
      </c>
      <c r="L34" s="46">
        <v>89.072999999999993</v>
      </c>
      <c r="M34" s="46">
        <v>68.313000000000002</v>
      </c>
      <c r="N34" s="46">
        <v>93.208999999999989</v>
      </c>
      <c r="O34" s="46">
        <v>89.991000000000014</v>
      </c>
      <c r="P34" s="46">
        <v>76.74799999999999</v>
      </c>
      <c r="Q34" s="46">
        <v>55.259999999999991</v>
      </c>
      <c r="R34" s="46">
        <v>80.692000000000007</v>
      </c>
      <c r="S34" s="46">
        <v>68.138000000000005</v>
      </c>
      <c r="T34" s="46">
        <v>77.363</v>
      </c>
      <c r="U34" s="46">
        <v>109.50200000000001</v>
      </c>
      <c r="V34" s="46">
        <v>30.604000000000006</v>
      </c>
      <c r="W34" s="46">
        <v>61.069000000000003</v>
      </c>
      <c r="X34" s="46">
        <v>43.527000000000001</v>
      </c>
      <c r="Y34" s="46">
        <v>56.884999999999998</v>
      </c>
      <c r="Z34" s="46">
        <v>88.048999999999992</v>
      </c>
      <c r="AA34" s="46">
        <v>73.399000000000015</v>
      </c>
      <c r="AB34" s="46">
        <v>88.539000000000016</v>
      </c>
      <c r="AC34" s="46">
        <v>96.853000000000009</v>
      </c>
      <c r="AD34" s="46">
        <v>105.75700000000001</v>
      </c>
      <c r="AE34" s="46">
        <v>43.314999999999998</v>
      </c>
      <c r="AF34" s="46">
        <v>93.332999999999984</v>
      </c>
      <c r="AG34" s="46">
        <v>67.865000000000009</v>
      </c>
      <c r="AH34" s="46">
        <v>59.305999999999997</v>
      </c>
      <c r="AI34" s="46">
        <v>74.558000000000007</v>
      </c>
      <c r="AJ34" s="46">
        <v>80.971000000000004</v>
      </c>
      <c r="AK34" s="46">
        <v>85.135000000000005</v>
      </c>
      <c r="AL34" s="46">
        <v>53.972000000000001</v>
      </c>
      <c r="AM34" s="46">
        <v>57.207000000000008</v>
      </c>
      <c r="AN34" s="46">
        <v>69.792999999999992</v>
      </c>
      <c r="AO34" s="46">
        <v>31.000999999999998</v>
      </c>
      <c r="AP34" s="46">
        <f t="shared" si="0"/>
        <v>73.043548387096806</v>
      </c>
      <c r="AQ34" s="7">
        <f t="shared" si="1"/>
        <v>9.1304435483871007</v>
      </c>
    </row>
    <row r="35" spans="1:43" ht="13.5" customHeight="1" x14ac:dyDescent="0.3">
      <c r="A35" s="5">
        <v>34</v>
      </c>
      <c r="B35" s="107" t="s">
        <v>9</v>
      </c>
      <c r="C35" s="10" t="s">
        <v>616</v>
      </c>
      <c r="D35" s="39" t="s">
        <v>748</v>
      </c>
      <c r="E35" s="110" t="s">
        <v>128</v>
      </c>
      <c r="F35" s="6" t="s">
        <v>12</v>
      </c>
      <c r="G35" s="6" t="s">
        <v>979</v>
      </c>
      <c r="H35" s="6" t="s">
        <v>35</v>
      </c>
      <c r="I35" s="5">
        <v>2</v>
      </c>
      <c r="J35" s="94" t="s">
        <v>273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f t="shared" si="0"/>
        <v>0</v>
      </c>
      <c r="AQ35" s="7">
        <f t="shared" si="1"/>
        <v>0</v>
      </c>
    </row>
    <row r="36" spans="1:43" ht="15.75" customHeight="1" x14ac:dyDescent="0.3">
      <c r="A36" s="5">
        <v>35</v>
      </c>
      <c r="B36" s="107" t="s">
        <v>9</v>
      </c>
      <c r="C36" s="112" t="s">
        <v>617</v>
      </c>
      <c r="D36" s="112" t="s">
        <v>722</v>
      </c>
      <c r="E36" s="110" t="s">
        <v>128</v>
      </c>
      <c r="F36" s="6" t="s">
        <v>12</v>
      </c>
      <c r="G36" s="6" t="s">
        <v>976</v>
      </c>
      <c r="H36" s="6" t="s">
        <v>35</v>
      </c>
      <c r="I36" s="5">
        <v>2</v>
      </c>
      <c r="J36" s="12" t="s">
        <v>589</v>
      </c>
      <c r="K36" s="46">
        <v>9.2379999999999995</v>
      </c>
      <c r="L36" s="46">
        <v>24.228999999999999</v>
      </c>
      <c r="M36" s="46">
        <v>15.637999999999998</v>
      </c>
      <c r="N36" s="46">
        <v>17.229000000000003</v>
      </c>
      <c r="O36" s="46">
        <v>26.698999999999998</v>
      </c>
      <c r="P36" s="46">
        <v>10.405999999999999</v>
      </c>
      <c r="Q36" s="46">
        <v>5.7620000000000005</v>
      </c>
      <c r="R36" s="46">
        <v>13.202</v>
      </c>
      <c r="S36" s="46">
        <v>12.398000000000001</v>
      </c>
      <c r="T36" s="46">
        <v>9.6389999999999993</v>
      </c>
      <c r="U36" s="46">
        <v>18.613</v>
      </c>
      <c r="V36" s="46">
        <v>19.373999999999999</v>
      </c>
      <c r="W36" s="46">
        <v>16.541</v>
      </c>
      <c r="X36" s="46">
        <v>24.059000000000001</v>
      </c>
      <c r="Y36" s="46">
        <v>32.116</v>
      </c>
      <c r="Z36" s="46">
        <v>8.4239999999999995</v>
      </c>
      <c r="AA36" s="46">
        <v>18.677</v>
      </c>
      <c r="AB36" s="46">
        <v>27.445</v>
      </c>
      <c r="AC36" s="46">
        <v>21.706</v>
      </c>
      <c r="AD36" s="46">
        <v>14.443</v>
      </c>
      <c r="AE36" s="46">
        <v>13.609</v>
      </c>
      <c r="AF36" s="46">
        <v>21.088000000000001</v>
      </c>
      <c r="AG36" s="46">
        <v>15.047999999999998</v>
      </c>
      <c r="AH36" s="46">
        <v>18.121000000000002</v>
      </c>
      <c r="AI36" s="46">
        <v>17.483999999999998</v>
      </c>
      <c r="AJ36" s="46">
        <v>19.303000000000001</v>
      </c>
      <c r="AK36" s="46">
        <v>12.885999999999999</v>
      </c>
      <c r="AL36" s="46">
        <v>20.573</v>
      </c>
      <c r="AM36" s="46">
        <v>16.094999999999999</v>
      </c>
      <c r="AN36" s="46">
        <v>8.5399999999999991</v>
      </c>
      <c r="AO36" s="46">
        <v>12.882</v>
      </c>
      <c r="AP36" s="46">
        <f t="shared" si="0"/>
        <v>16.821516129032258</v>
      </c>
      <c r="AQ36" s="7">
        <f t="shared" si="1"/>
        <v>8.4107580645161288</v>
      </c>
    </row>
    <row r="37" spans="1:43" x14ac:dyDescent="0.3">
      <c r="A37" s="5">
        <v>36</v>
      </c>
      <c r="B37" s="107" t="s">
        <v>9</v>
      </c>
      <c r="C37" s="112" t="s">
        <v>618</v>
      </c>
      <c r="D37" s="112" t="s">
        <v>762</v>
      </c>
      <c r="E37" s="110" t="s">
        <v>128</v>
      </c>
      <c r="F37" s="6" t="s">
        <v>12</v>
      </c>
      <c r="G37" s="6" t="s">
        <v>976</v>
      </c>
      <c r="H37" s="6" t="s">
        <v>35</v>
      </c>
      <c r="I37" s="5">
        <v>11</v>
      </c>
      <c r="J37" s="94" t="s">
        <v>273</v>
      </c>
      <c r="K37" s="46">
        <v>133.477</v>
      </c>
      <c r="L37" s="46">
        <v>129.49</v>
      </c>
      <c r="M37" s="46">
        <v>59.795999999999999</v>
      </c>
      <c r="N37" s="46">
        <v>171.50200000000004</v>
      </c>
      <c r="O37" s="46">
        <v>143.33000000000001</v>
      </c>
      <c r="P37" s="46">
        <v>189.29100000000003</v>
      </c>
      <c r="Q37" s="46">
        <v>135.31299999999999</v>
      </c>
      <c r="R37" s="46">
        <v>132.244</v>
      </c>
      <c r="S37" s="46">
        <v>153.10399999999998</v>
      </c>
      <c r="T37" s="46">
        <v>44.578000000000003</v>
      </c>
      <c r="U37" s="46">
        <v>173.98399999999998</v>
      </c>
      <c r="V37" s="46">
        <v>152.34300000000002</v>
      </c>
      <c r="W37" s="46">
        <v>160.51500000000001</v>
      </c>
      <c r="X37" s="46">
        <v>155.73099999999999</v>
      </c>
      <c r="Y37" s="46">
        <v>61.56</v>
      </c>
      <c r="Z37" s="46">
        <v>137.63200000000001</v>
      </c>
      <c r="AA37" s="46">
        <v>37.433000000000007</v>
      </c>
      <c r="AB37" s="46">
        <v>114.93700000000001</v>
      </c>
      <c r="AC37" s="46">
        <v>148.31399999999999</v>
      </c>
      <c r="AD37" s="46">
        <v>129.45099999999999</v>
      </c>
      <c r="AE37" s="46">
        <v>163.92499999999998</v>
      </c>
      <c r="AF37" s="46">
        <v>180.84499999999997</v>
      </c>
      <c r="AG37" s="46">
        <v>104.62</v>
      </c>
      <c r="AH37" s="46">
        <v>51.727999999999994</v>
      </c>
      <c r="AI37" s="46">
        <v>121.52000000000004</v>
      </c>
      <c r="AJ37" s="46">
        <v>150.51300000000001</v>
      </c>
      <c r="AK37" s="46">
        <v>129.74700000000001</v>
      </c>
      <c r="AL37" s="46">
        <v>131.626</v>
      </c>
      <c r="AM37" s="46">
        <v>186.19400000000002</v>
      </c>
      <c r="AN37" s="46">
        <v>139.93300000000002</v>
      </c>
      <c r="AO37" s="46">
        <v>72.793999999999997</v>
      </c>
      <c r="AP37" s="46">
        <f t="shared" si="0"/>
        <v>128.95064516129031</v>
      </c>
      <c r="AQ37" s="7">
        <f t="shared" si="1"/>
        <v>11.722785923753664</v>
      </c>
    </row>
    <row r="38" spans="1:43" x14ac:dyDescent="0.3">
      <c r="A38" s="5">
        <v>37</v>
      </c>
      <c r="B38" s="107" t="s">
        <v>9</v>
      </c>
      <c r="C38" s="112" t="s">
        <v>962</v>
      </c>
      <c r="D38" s="112" t="s">
        <v>963</v>
      </c>
      <c r="E38" s="110" t="s">
        <v>128</v>
      </c>
      <c r="F38" s="6" t="s">
        <v>12</v>
      </c>
      <c r="G38" s="6" t="s">
        <v>971</v>
      </c>
      <c r="H38" s="6" t="s">
        <v>80</v>
      </c>
      <c r="I38" s="5">
        <v>1</v>
      </c>
      <c r="J38" s="94" t="s">
        <v>273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v>0</v>
      </c>
      <c r="AP38" s="46">
        <f t="shared" si="0"/>
        <v>0</v>
      </c>
      <c r="AQ38" s="7">
        <f t="shared" si="1"/>
        <v>0</v>
      </c>
    </row>
    <row r="39" spans="1:43" x14ac:dyDescent="0.3">
      <c r="A39" s="5">
        <v>38</v>
      </c>
      <c r="B39" s="107" t="s">
        <v>9</v>
      </c>
      <c r="C39" s="112" t="s">
        <v>619</v>
      </c>
      <c r="D39" s="112" t="s">
        <v>736</v>
      </c>
      <c r="E39" s="110" t="s">
        <v>128</v>
      </c>
      <c r="F39" s="6" t="s">
        <v>12</v>
      </c>
      <c r="G39" s="6" t="s">
        <v>976</v>
      </c>
      <c r="H39" s="6" t="s">
        <v>35</v>
      </c>
      <c r="I39" s="5">
        <v>1</v>
      </c>
      <c r="J39" s="12" t="s">
        <v>590</v>
      </c>
      <c r="K39" s="46">
        <v>0</v>
      </c>
      <c r="L39" s="46">
        <v>0</v>
      </c>
      <c r="M39" s="46">
        <v>1.738</v>
      </c>
      <c r="N39" s="46">
        <v>0</v>
      </c>
      <c r="O39" s="46">
        <v>0</v>
      </c>
      <c r="P39" s="46">
        <v>0</v>
      </c>
      <c r="Q39" s="46">
        <v>2.0630000000000002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2.306</v>
      </c>
      <c r="AA39" s="46">
        <v>2.6640000000000001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1.8959999999999999</v>
      </c>
      <c r="AJ39" s="46">
        <v>0</v>
      </c>
      <c r="AK39" s="46">
        <v>0</v>
      </c>
      <c r="AL39" s="46">
        <v>0</v>
      </c>
      <c r="AM39" s="46">
        <v>0</v>
      </c>
      <c r="AN39" s="46">
        <v>0</v>
      </c>
      <c r="AO39" s="46">
        <v>0</v>
      </c>
      <c r="AP39" s="46">
        <f t="shared" si="0"/>
        <v>0.34409677419354845</v>
      </c>
      <c r="AQ39" s="7">
        <f t="shared" si="1"/>
        <v>0.34409677419354845</v>
      </c>
    </row>
    <row r="40" spans="1:43" x14ac:dyDescent="0.3">
      <c r="A40" s="5">
        <v>39</v>
      </c>
      <c r="B40" s="107" t="s">
        <v>9</v>
      </c>
      <c r="C40" s="112" t="s">
        <v>620</v>
      </c>
      <c r="D40" s="112" t="s">
        <v>768</v>
      </c>
      <c r="E40" s="110" t="s">
        <v>128</v>
      </c>
      <c r="F40" s="6" t="s">
        <v>12</v>
      </c>
      <c r="G40" s="6" t="s">
        <v>976</v>
      </c>
      <c r="H40" s="6" t="s">
        <v>35</v>
      </c>
      <c r="I40" s="5">
        <v>6</v>
      </c>
      <c r="J40" s="94" t="s">
        <v>273</v>
      </c>
      <c r="K40" s="46">
        <v>56.052999999999997</v>
      </c>
      <c r="L40" s="46">
        <v>87.152999999999992</v>
      </c>
      <c r="M40" s="46">
        <v>75.501999999999995</v>
      </c>
      <c r="N40" s="46">
        <v>50.373000000000005</v>
      </c>
      <c r="O40" s="46">
        <v>74.853000000000009</v>
      </c>
      <c r="P40" s="46">
        <v>79.649000000000001</v>
      </c>
      <c r="Q40" s="46">
        <v>82.242999999999995</v>
      </c>
      <c r="R40" s="46">
        <v>83.837999999999965</v>
      </c>
      <c r="S40" s="46">
        <v>92.371000000000009</v>
      </c>
      <c r="T40" s="46">
        <v>93.266999999999996</v>
      </c>
      <c r="U40" s="46">
        <v>68.572999999999993</v>
      </c>
      <c r="V40" s="46">
        <v>71.263000000000005</v>
      </c>
      <c r="W40" s="46">
        <v>74.94</v>
      </c>
      <c r="X40" s="46">
        <v>60.594999999999999</v>
      </c>
      <c r="Y40" s="46">
        <v>69.736999999999995</v>
      </c>
      <c r="Z40" s="46">
        <v>67.972999999999999</v>
      </c>
      <c r="AA40" s="46">
        <v>64.693999999999988</v>
      </c>
      <c r="AB40" s="46">
        <v>84.461000000000013</v>
      </c>
      <c r="AC40" s="46">
        <v>57.922000000000004</v>
      </c>
      <c r="AD40" s="46">
        <v>63.861000000000011</v>
      </c>
      <c r="AE40" s="46">
        <v>86.606999999999971</v>
      </c>
      <c r="AF40" s="46">
        <v>69.265000000000015</v>
      </c>
      <c r="AG40" s="46">
        <v>63.691000000000038</v>
      </c>
      <c r="AH40" s="46">
        <v>62.190999999999995</v>
      </c>
      <c r="AI40" s="46">
        <v>89.296000000000006</v>
      </c>
      <c r="AJ40" s="46">
        <v>94.516000000000005</v>
      </c>
      <c r="AK40" s="46">
        <v>62.010999999999996</v>
      </c>
      <c r="AL40" s="46">
        <v>68.963000000000008</v>
      </c>
      <c r="AM40" s="46">
        <v>71.653999999999996</v>
      </c>
      <c r="AN40" s="46">
        <v>44.33</v>
      </c>
      <c r="AO40" s="46">
        <v>56.494</v>
      </c>
      <c r="AP40" s="46">
        <f t="shared" si="0"/>
        <v>71.881903225806468</v>
      </c>
      <c r="AQ40" s="7">
        <f t="shared" si="1"/>
        <v>11.980317204301079</v>
      </c>
    </row>
    <row r="41" spans="1:43" x14ac:dyDescent="0.3">
      <c r="A41" s="5">
        <v>40</v>
      </c>
      <c r="B41" s="107" t="s">
        <v>9</v>
      </c>
      <c r="C41" s="112" t="s">
        <v>621</v>
      </c>
      <c r="D41" s="112" t="s">
        <v>766</v>
      </c>
      <c r="E41" s="110" t="s">
        <v>128</v>
      </c>
      <c r="F41" s="6" t="s">
        <v>12</v>
      </c>
      <c r="G41" s="6" t="s">
        <v>976</v>
      </c>
      <c r="H41" s="6" t="s">
        <v>35</v>
      </c>
      <c r="I41" s="5">
        <v>13</v>
      </c>
      <c r="J41" s="94" t="s">
        <v>273</v>
      </c>
      <c r="K41" s="46">
        <v>62.101999999999997</v>
      </c>
      <c r="L41" s="46">
        <v>50.774000000000001</v>
      </c>
      <c r="M41" s="46">
        <v>56.902000000000001</v>
      </c>
      <c r="N41" s="46">
        <v>70.632999999999996</v>
      </c>
      <c r="O41" s="46">
        <v>79.206000000000003</v>
      </c>
      <c r="P41" s="46">
        <v>32.892000000000003</v>
      </c>
      <c r="Q41" s="46">
        <v>57.892000000000003</v>
      </c>
      <c r="R41" s="46">
        <v>31.657</v>
      </c>
      <c r="S41" s="46">
        <v>84.975000000000009</v>
      </c>
      <c r="T41" s="46">
        <v>49.246999999999993</v>
      </c>
      <c r="U41" s="46">
        <v>49.731000000000002</v>
      </c>
      <c r="V41" s="46">
        <v>56.402000000000001</v>
      </c>
      <c r="W41" s="46">
        <v>101.02899999999998</v>
      </c>
      <c r="X41" s="46">
        <v>64.421999999999997</v>
      </c>
      <c r="Y41" s="46">
        <v>71.512999999999991</v>
      </c>
      <c r="Z41" s="46">
        <v>49.815999999999995</v>
      </c>
      <c r="AA41" s="46">
        <v>55.753999999999998</v>
      </c>
      <c r="AB41" s="46">
        <v>106.14000000000001</v>
      </c>
      <c r="AC41" s="46">
        <v>73.554000000000002</v>
      </c>
      <c r="AD41" s="46">
        <v>105.027</v>
      </c>
      <c r="AE41" s="46">
        <v>70.296999999999997</v>
      </c>
      <c r="AF41" s="46">
        <v>59.007000000000005</v>
      </c>
      <c r="AG41" s="46">
        <v>92.587000000000003</v>
      </c>
      <c r="AH41" s="46">
        <v>75.593999999999994</v>
      </c>
      <c r="AI41" s="46">
        <v>61.094000000000008</v>
      </c>
      <c r="AJ41" s="46">
        <v>90.065000000000012</v>
      </c>
      <c r="AK41" s="46">
        <v>54.849999999999994</v>
      </c>
      <c r="AL41" s="46">
        <v>96.707999999999998</v>
      </c>
      <c r="AM41" s="46">
        <v>87.084000000000003</v>
      </c>
      <c r="AN41" s="46">
        <v>47.582999999999998</v>
      </c>
      <c r="AO41" s="46">
        <v>35.822000000000003</v>
      </c>
      <c r="AP41" s="46">
        <f t="shared" si="0"/>
        <v>67.108354838709701</v>
      </c>
      <c r="AQ41" s="7">
        <f t="shared" si="1"/>
        <v>5.1621811414392074</v>
      </c>
    </row>
    <row r="42" spans="1:43" x14ac:dyDescent="0.3">
      <c r="A42" s="5">
        <v>41</v>
      </c>
      <c r="B42" s="107" t="s">
        <v>9</v>
      </c>
      <c r="C42" s="112" t="s">
        <v>622</v>
      </c>
      <c r="D42" s="112" t="s">
        <v>987</v>
      </c>
      <c r="E42" s="110" t="s">
        <v>128</v>
      </c>
      <c r="F42" s="6" t="s">
        <v>12</v>
      </c>
      <c r="G42" s="6" t="s">
        <v>974</v>
      </c>
      <c r="H42" s="6" t="s">
        <v>35</v>
      </c>
      <c r="I42" s="5">
        <v>1</v>
      </c>
      <c r="J42" s="12" t="s">
        <v>590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35.76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12.388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v>0</v>
      </c>
      <c r="AP42" s="46">
        <f t="shared" si="0"/>
        <v>1.5531612903225804</v>
      </c>
      <c r="AQ42" s="7">
        <f t="shared" si="1"/>
        <v>1.5531612903225804</v>
      </c>
    </row>
    <row r="43" spans="1:43" x14ac:dyDescent="0.3">
      <c r="A43" s="5">
        <v>42</v>
      </c>
      <c r="B43" s="107" t="s">
        <v>9</v>
      </c>
      <c r="C43" s="112" t="s">
        <v>623</v>
      </c>
      <c r="D43" s="112" t="s">
        <v>752</v>
      </c>
      <c r="E43" s="110" t="s">
        <v>128</v>
      </c>
      <c r="F43" s="6" t="s">
        <v>12</v>
      </c>
      <c r="G43" s="6" t="s">
        <v>976</v>
      </c>
      <c r="H43" s="6" t="s">
        <v>35</v>
      </c>
      <c r="I43" s="5">
        <v>5</v>
      </c>
      <c r="J43" s="94" t="s">
        <v>273</v>
      </c>
      <c r="K43" s="46">
        <v>24.091999999999999</v>
      </c>
      <c r="L43" s="46">
        <v>4.101</v>
      </c>
      <c r="M43" s="46">
        <v>19.400000000000002</v>
      </c>
      <c r="N43" s="46">
        <v>4.5150000000000006</v>
      </c>
      <c r="O43" s="46">
        <v>12.515000000000001</v>
      </c>
      <c r="P43" s="46">
        <v>12.202999999999999</v>
      </c>
      <c r="Q43" s="46">
        <v>7.7809999999999997</v>
      </c>
      <c r="R43" s="46">
        <v>11.95</v>
      </c>
      <c r="S43" s="46">
        <v>4.5960000000000001</v>
      </c>
      <c r="T43" s="46">
        <v>15.46</v>
      </c>
      <c r="U43" s="46">
        <v>10.009</v>
      </c>
      <c r="V43" s="46">
        <v>13.526000000000002</v>
      </c>
      <c r="W43" s="46">
        <v>9.2390000000000008</v>
      </c>
      <c r="X43" s="46">
        <v>0</v>
      </c>
      <c r="Y43" s="46">
        <v>11.368</v>
      </c>
      <c r="Z43" s="46">
        <v>10.544</v>
      </c>
      <c r="AA43" s="46">
        <v>12.884</v>
      </c>
      <c r="AB43" s="46">
        <v>9.0569999999999986</v>
      </c>
      <c r="AC43" s="46">
        <v>11.611000000000001</v>
      </c>
      <c r="AD43" s="46">
        <v>7.2089999999999996</v>
      </c>
      <c r="AE43" s="46">
        <v>23.664999999999999</v>
      </c>
      <c r="AF43" s="46">
        <v>4.9730000000000008</v>
      </c>
      <c r="AG43" s="46">
        <v>0</v>
      </c>
      <c r="AH43" s="46">
        <v>5.2610000000000001</v>
      </c>
      <c r="AI43" s="46">
        <v>8.9789999999999992</v>
      </c>
      <c r="AJ43" s="46">
        <v>8.702</v>
      </c>
      <c r="AK43" s="46">
        <v>9.6180000000000003</v>
      </c>
      <c r="AL43" s="46">
        <v>9.1180000000000003</v>
      </c>
      <c r="AM43" s="46">
        <v>9.2250000000000014</v>
      </c>
      <c r="AN43" s="46">
        <v>13.405000000000001</v>
      </c>
      <c r="AO43" s="46">
        <v>5.18</v>
      </c>
      <c r="AP43" s="46">
        <f t="shared" si="0"/>
        <v>10.006000000000004</v>
      </c>
      <c r="AQ43" s="7">
        <f t="shared" si="1"/>
        <v>2.0012000000000008</v>
      </c>
    </row>
    <row r="44" spans="1:43" x14ac:dyDescent="0.3">
      <c r="A44" s="5">
        <v>43</v>
      </c>
      <c r="B44" s="107" t="s">
        <v>9</v>
      </c>
      <c r="C44" s="112" t="s">
        <v>624</v>
      </c>
      <c r="D44" s="112" t="s">
        <v>776</v>
      </c>
      <c r="E44" s="110" t="s">
        <v>30</v>
      </c>
      <c r="F44" s="6" t="s">
        <v>12</v>
      </c>
      <c r="G44" s="6" t="s">
        <v>976</v>
      </c>
      <c r="H44" s="6" t="s">
        <v>35</v>
      </c>
      <c r="I44" s="5">
        <v>1</v>
      </c>
      <c r="J44" s="12" t="s">
        <v>589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f t="shared" si="0"/>
        <v>0</v>
      </c>
      <c r="AQ44" s="7">
        <f t="shared" si="1"/>
        <v>0</v>
      </c>
    </row>
    <row r="45" spans="1:43" x14ac:dyDescent="0.3">
      <c r="A45" s="5">
        <v>44</v>
      </c>
      <c r="B45" s="107" t="s">
        <v>9</v>
      </c>
      <c r="C45" s="112" t="s">
        <v>625</v>
      </c>
      <c r="D45" s="112" t="s">
        <v>777</v>
      </c>
      <c r="E45" s="110" t="s">
        <v>128</v>
      </c>
      <c r="F45" s="6" t="s">
        <v>12</v>
      </c>
      <c r="G45" s="6" t="s">
        <v>976</v>
      </c>
      <c r="H45" s="6" t="s">
        <v>35</v>
      </c>
      <c r="I45" s="5">
        <v>1</v>
      </c>
      <c r="J45" s="12" t="s">
        <v>590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v>0</v>
      </c>
      <c r="AP45" s="46">
        <f t="shared" si="0"/>
        <v>0</v>
      </c>
      <c r="AQ45" s="7">
        <f t="shared" si="1"/>
        <v>0</v>
      </c>
    </row>
    <row r="46" spans="1:43" x14ac:dyDescent="0.3">
      <c r="A46" s="5">
        <v>45</v>
      </c>
      <c r="B46" s="107" t="s">
        <v>9</v>
      </c>
      <c r="C46" s="112" t="s">
        <v>626</v>
      </c>
      <c r="D46" s="112" t="s">
        <v>778</v>
      </c>
      <c r="E46" s="110" t="s">
        <v>30</v>
      </c>
      <c r="F46" s="6" t="s">
        <v>12</v>
      </c>
      <c r="G46" s="6" t="s">
        <v>976</v>
      </c>
      <c r="H46" s="6" t="s">
        <v>35</v>
      </c>
      <c r="I46" s="5">
        <v>1</v>
      </c>
      <c r="J46" s="12" t="s">
        <v>589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2.6930000000000001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3.0150000000000001</v>
      </c>
      <c r="AK46" s="46">
        <v>0</v>
      </c>
      <c r="AL46" s="46">
        <v>0</v>
      </c>
      <c r="AM46" s="46">
        <v>0</v>
      </c>
      <c r="AN46" s="46">
        <v>0</v>
      </c>
      <c r="AO46" s="46">
        <v>0</v>
      </c>
      <c r="AP46" s="46">
        <f t="shared" si="0"/>
        <v>0.18412903225806451</v>
      </c>
      <c r="AQ46" s="7">
        <f t="shared" si="1"/>
        <v>0.18412903225806451</v>
      </c>
    </row>
    <row r="47" spans="1:43" x14ac:dyDescent="0.3">
      <c r="A47" s="5">
        <v>46</v>
      </c>
      <c r="B47" s="107" t="s">
        <v>9</v>
      </c>
      <c r="C47" s="112" t="s">
        <v>627</v>
      </c>
      <c r="D47" s="112" t="s">
        <v>779</v>
      </c>
      <c r="E47" s="110" t="s">
        <v>30</v>
      </c>
      <c r="F47" s="6" t="s">
        <v>12</v>
      </c>
      <c r="G47" s="6" t="s">
        <v>976</v>
      </c>
      <c r="H47" s="6" t="s">
        <v>35</v>
      </c>
      <c r="I47" s="5">
        <v>1</v>
      </c>
      <c r="J47" s="12" t="s">
        <v>589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v>0</v>
      </c>
      <c r="AP47" s="46">
        <f t="shared" si="0"/>
        <v>0</v>
      </c>
      <c r="AQ47" s="7">
        <f t="shared" si="1"/>
        <v>0</v>
      </c>
    </row>
    <row r="48" spans="1:43" ht="15.75" customHeight="1" x14ac:dyDescent="0.3">
      <c r="A48" s="5">
        <v>47</v>
      </c>
      <c r="B48" s="107" t="s">
        <v>9</v>
      </c>
      <c r="C48" s="112" t="s">
        <v>628</v>
      </c>
      <c r="D48" s="112" t="s">
        <v>988</v>
      </c>
      <c r="E48" s="110" t="s">
        <v>128</v>
      </c>
      <c r="F48" s="6" t="s">
        <v>12</v>
      </c>
      <c r="G48" s="6" t="s">
        <v>975</v>
      </c>
      <c r="H48" s="6" t="s">
        <v>80</v>
      </c>
      <c r="I48" s="5">
        <v>2</v>
      </c>
      <c r="J48" s="67" t="s">
        <v>160</v>
      </c>
      <c r="K48" s="46">
        <v>245.04400000000004</v>
      </c>
      <c r="L48" s="46">
        <v>58.119</v>
      </c>
      <c r="M48" s="46">
        <v>200.16399999999996</v>
      </c>
      <c r="N48" s="46">
        <v>339.23200000000008</v>
      </c>
      <c r="O48" s="46">
        <v>350.85700000000003</v>
      </c>
      <c r="P48" s="46">
        <v>321.56200000000001</v>
      </c>
      <c r="Q48" s="46">
        <v>263.69599999999997</v>
      </c>
      <c r="R48" s="46">
        <v>128.66000000000003</v>
      </c>
      <c r="S48" s="46">
        <v>63.166999999999987</v>
      </c>
      <c r="T48" s="46">
        <v>162.74299999999999</v>
      </c>
      <c r="U48" s="46">
        <v>0</v>
      </c>
      <c r="V48" s="46">
        <v>325.28899999999999</v>
      </c>
      <c r="W48" s="46">
        <v>321.66300000000001</v>
      </c>
      <c r="X48" s="46">
        <v>264.55799999999999</v>
      </c>
      <c r="Y48" s="46">
        <v>220.23699999999999</v>
      </c>
      <c r="Z48" s="46">
        <v>148.964</v>
      </c>
      <c r="AA48" s="46">
        <v>242.58799999999999</v>
      </c>
      <c r="AB48" s="46">
        <v>352.98899999999998</v>
      </c>
      <c r="AC48" s="46">
        <v>397.0100000000001</v>
      </c>
      <c r="AD48" s="46">
        <v>360.49599999999992</v>
      </c>
      <c r="AE48" s="46">
        <v>359.82599999999996</v>
      </c>
      <c r="AF48" s="46">
        <v>121.73599999999999</v>
      </c>
      <c r="AG48" s="46">
        <v>55.872</v>
      </c>
      <c r="AH48" s="46">
        <v>243.90499999999997</v>
      </c>
      <c r="AI48" s="46">
        <v>305.16900000000004</v>
      </c>
      <c r="AJ48" s="46">
        <v>350.67199999999985</v>
      </c>
      <c r="AK48" s="46">
        <v>357.62099999999998</v>
      </c>
      <c r="AL48" s="46">
        <v>352.98199999999997</v>
      </c>
      <c r="AM48" s="46">
        <v>237.80900000000005</v>
      </c>
      <c r="AN48" s="46">
        <v>132.31300000000002</v>
      </c>
      <c r="AO48" s="46">
        <v>105.739</v>
      </c>
      <c r="AP48" s="46">
        <f t="shared" si="0"/>
        <v>238.40909677419353</v>
      </c>
      <c r="AQ48" s="7">
        <f t="shared" si="1"/>
        <v>119.20454838709676</v>
      </c>
    </row>
    <row r="49" spans="1:43" ht="16.5" customHeight="1" x14ac:dyDescent="0.3">
      <c r="A49" s="5">
        <v>48</v>
      </c>
      <c r="B49" s="107" t="s">
        <v>9</v>
      </c>
      <c r="C49" s="112" t="s">
        <v>629</v>
      </c>
      <c r="D49" s="112" t="s">
        <v>735</v>
      </c>
      <c r="E49" s="110" t="s">
        <v>128</v>
      </c>
      <c r="F49" s="6" t="s">
        <v>12</v>
      </c>
      <c r="G49" s="6" t="s">
        <v>976</v>
      </c>
      <c r="H49" s="6" t="s">
        <v>35</v>
      </c>
      <c r="I49" s="5">
        <v>5</v>
      </c>
      <c r="J49" s="12" t="s">
        <v>590</v>
      </c>
      <c r="K49" s="46">
        <v>15.716000000000001</v>
      </c>
      <c r="L49" s="46">
        <v>0</v>
      </c>
      <c r="M49" s="46">
        <v>21.911000000000001</v>
      </c>
      <c r="N49" s="46">
        <v>4.7690000000000001</v>
      </c>
      <c r="O49" s="46">
        <v>8.8239999999999998</v>
      </c>
      <c r="P49" s="46">
        <v>4.3049999999999997</v>
      </c>
      <c r="Q49" s="46">
        <v>3.2330000000000001</v>
      </c>
      <c r="R49" s="46">
        <v>6.87</v>
      </c>
      <c r="S49" s="46">
        <v>0</v>
      </c>
      <c r="T49" s="46">
        <v>3.9580000000000002</v>
      </c>
      <c r="U49" s="46">
        <v>10.472</v>
      </c>
      <c r="V49" s="46">
        <v>8.1340000000000003</v>
      </c>
      <c r="W49" s="46">
        <v>20.555</v>
      </c>
      <c r="X49" s="46">
        <v>6.9909999999999997</v>
      </c>
      <c r="Y49" s="46">
        <v>2.71</v>
      </c>
      <c r="Z49" s="46">
        <v>8.4049999999999994</v>
      </c>
      <c r="AA49" s="46">
        <v>25.983999999999995</v>
      </c>
      <c r="AB49" s="46">
        <v>2.5030000000000001</v>
      </c>
      <c r="AC49" s="46">
        <v>1.8</v>
      </c>
      <c r="AD49" s="46">
        <v>10.526999999999999</v>
      </c>
      <c r="AE49" s="46">
        <v>2.52</v>
      </c>
      <c r="AF49" s="46">
        <v>18.506</v>
      </c>
      <c r="AG49" s="46">
        <v>7.3369999999999997</v>
      </c>
      <c r="AH49" s="46">
        <v>1.4219999999999999</v>
      </c>
      <c r="AI49" s="46">
        <v>17.952000000000002</v>
      </c>
      <c r="AJ49" s="46">
        <v>2.7050000000000001</v>
      </c>
      <c r="AK49" s="46">
        <v>4.9470000000000001</v>
      </c>
      <c r="AL49" s="46">
        <v>25.552999999999997</v>
      </c>
      <c r="AM49" s="46">
        <v>7.8429999999999991</v>
      </c>
      <c r="AN49" s="46">
        <v>10.730999999999998</v>
      </c>
      <c r="AO49" s="46">
        <v>13.629</v>
      </c>
      <c r="AP49" s="46">
        <f t="shared" si="0"/>
        <v>9.0584516129032266</v>
      </c>
      <c r="AQ49" s="7">
        <f t="shared" si="1"/>
        <v>1.8116903225806453</v>
      </c>
    </row>
    <row r="50" spans="1:43" x14ac:dyDescent="0.3">
      <c r="A50" s="5">
        <v>49</v>
      </c>
      <c r="B50" s="107" t="s">
        <v>9</v>
      </c>
      <c r="C50" s="112" t="s">
        <v>630</v>
      </c>
      <c r="D50" s="112" t="s">
        <v>780</v>
      </c>
      <c r="E50" s="110" t="s">
        <v>128</v>
      </c>
      <c r="F50" s="6" t="s">
        <v>12</v>
      </c>
      <c r="G50" s="6" t="s">
        <v>976</v>
      </c>
      <c r="H50" s="6" t="s">
        <v>35</v>
      </c>
      <c r="I50" s="5">
        <v>2</v>
      </c>
      <c r="J50" s="12" t="s">
        <v>590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0</v>
      </c>
      <c r="AP50" s="46">
        <f t="shared" si="0"/>
        <v>0</v>
      </c>
      <c r="AQ50" s="7">
        <f t="shared" si="1"/>
        <v>0</v>
      </c>
    </row>
    <row r="51" spans="1:43" x14ac:dyDescent="0.3">
      <c r="A51" s="5">
        <v>50</v>
      </c>
      <c r="B51" s="107" t="s">
        <v>9</v>
      </c>
      <c r="C51" s="112" t="s">
        <v>630</v>
      </c>
      <c r="D51" s="112" t="s">
        <v>780</v>
      </c>
      <c r="E51" s="110" t="s">
        <v>128</v>
      </c>
      <c r="F51" s="6" t="s">
        <v>12</v>
      </c>
      <c r="G51" s="6" t="s">
        <v>974</v>
      </c>
      <c r="H51" s="6" t="s">
        <v>35</v>
      </c>
      <c r="I51" s="5">
        <v>2</v>
      </c>
      <c r="J51" s="12" t="s">
        <v>590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v>0</v>
      </c>
      <c r="AP51" s="46">
        <f t="shared" si="0"/>
        <v>0</v>
      </c>
      <c r="AQ51" s="7">
        <f t="shared" si="1"/>
        <v>0</v>
      </c>
    </row>
    <row r="52" spans="1:43" x14ac:dyDescent="0.3">
      <c r="A52" s="5">
        <v>51</v>
      </c>
      <c r="B52" s="107" t="s">
        <v>9</v>
      </c>
      <c r="C52" s="112" t="s">
        <v>631</v>
      </c>
      <c r="D52" s="112" t="s">
        <v>743</v>
      </c>
      <c r="E52" s="110" t="s">
        <v>128</v>
      </c>
      <c r="F52" s="6" t="s">
        <v>12</v>
      </c>
      <c r="G52" s="6" t="s">
        <v>976</v>
      </c>
      <c r="H52" s="6" t="s">
        <v>35</v>
      </c>
      <c r="I52" s="5">
        <v>1</v>
      </c>
      <c r="J52" s="67" t="s">
        <v>160</v>
      </c>
      <c r="K52" s="46">
        <v>3.008</v>
      </c>
      <c r="L52" s="46">
        <v>3.4609999999999999</v>
      </c>
      <c r="M52" s="46">
        <v>4.1529999999999996</v>
      </c>
      <c r="N52" s="46">
        <v>4.1669999999999998</v>
      </c>
      <c r="O52" s="46">
        <v>3.7349999999999999</v>
      </c>
      <c r="P52" s="46">
        <v>3.0110000000000001</v>
      </c>
      <c r="Q52" s="46">
        <v>5.4740000000000002</v>
      </c>
      <c r="R52" s="46">
        <v>4.274</v>
      </c>
      <c r="S52" s="46">
        <v>2.6859999999999999</v>
      </c>
      <c r="T52" s="46">
        <v>4.431</v>
      </c>
      <c r="U52" s="46">
        <v>4.056</v>
      </c>
      <c r="V52" s="46">
        <v>3.9409999999999998</v>
      </c>
      <c r="W52" s="46">
        <v>6.2970000000000006</v>
      </c>
      <c r="X52" s="46">
        <v>10.207000000000001</v>
      </c>
      <c r="Y52" s="46">
        <v>19.047000000000001</v>
      </c>
      <c r="Z52" s="46">
        <v>3.202</v>
      </c>
      <c r="AA52" s="46">
        <v>9.3840000000000003</v>
      </c>
      <c r="AB52" s="46">
        <v>11.709</v>
      </c>
      <c r="AC52" s="46">
        <v>5.5579999999999998</v>
      </c>
      <c r="AD52" s="46">
        <v>4.2510000000000003</v>
      </c>
      <c r="AE52" s="46">
        <v>6.1739999999999995</v>
      </c>
      <c r="AF52" s="46">
        <v>3.9630000000000001</v>
      </c>
      <c r="AG52" s="46">
        <v>2.36</v>
      </c>
      <c r="AH52" s="46">
        <v>2.5</v>
      </c>
      <c r="AI52" s="46">
        <v>2.7069999999999999</v>
      </c>
      <c r="AJ52" s="46">
        <v>3.5459999999999998</v>
      </c>
      <c r="AK52" s="46">
        <v>10.368</v>
      </c>
      <c r="AL52" s="46">
        <v>4.1240000000000006</v>
      </c>
      <c r="AM52" s="46">
        <v>3.1469999999999998</v>
      </c>
      <c r="AN52" s="46">
        <v>0</v>
      </c>
      <c r="AO52" s="46">
        <v>0</v>
      </c>
      <c r="AP52" s="46">
        <f t="shared" si="0"/>
        <v>4.9980967741935487</v>
      </c>
      <c r="AQ52" s="7">
        <f t="shared" si="1"/>
        <v>4.9980967741935487</v>
      </c>
    </row>
    <row r="53" spans="1:43" x14ac:dyDescent="0.3">
      <c r="A53" s="5">
        <v>52</v>
      </c>
      <c r="B53" s="107" t="s">
        <v>9</v>
      </c>
      <c r="C53" s="112" t="s">
        <v>631</v>
      </c>
      <c r="D53" s="112" t="s">
        <v>743</v>
      </c>
      <c r="E53" s="110" t="s">
        <v>128</v>
      </c>
      <c r="F53" s="6" t="s">
        <v>12</v>
      </c>
      <c r="G53" s="6" t="s">
        <v>979</v>
      </c>
      <c r="H53" s="6" t="s">
        <v>35</v>
      </c>
      <c r="I53" s="5">
        <v>1</v>
      </c>
      <c r="J53" s="67" t="s">
        <v>160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8.199999999999999E-2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v>0</v>
      </c>
      <c r="AP53" s="46">
        <f t="shared" si="0"/>
        <v>2.6451612903225803E-3</v>
      </c>
      <c r="AQ53" s="7">
        <f t="shared" si="1"/>
        <v>2.6451612903225803E-3</v>
      </c>
    </row>
    <row r="54" spans="1:43" x14ac:dyDescent="0.3">
      <c r="A54" s="5">
        <v>53</v>
      </c>
      <c r="B54" s="107" t="s">
        <v>9</v>
      </c>
      <c r="C54" s="112" t="s">
        <v>631</v>
      </c>
      <c r="D54" s="112" t="s">
        <v>743</v>
      </c>
      <c r="E54" s="110" t="s">
        <v>128</v>
      </c>
      <c r="F54" s="6" t="s">
        <v>12</v>
      </c>
      <c r="G54" s="6" t="s">
        <v>971</v>
      </c>
      <c r="H54" s="6" t="s">
        <v>80</v>
      </c>
      <c r="I54" s="5">
        <v>1</v>
      </c>
      <c r="J54" s="67" t="s">
        <v>160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v>0</v>
      </c>
      <c r="AP54" s="46">
        <f t="shared" si="0"/>
        <v>0</v>
      </c>
      <c r="AQ54" s="7">
        <f t="shared" si="1"/>
        <v>0</v>
      </c>
    </row>
    <row r="55" spans="1:43" x14ac:dyDescent="0.3">
      <c r="A55" s="5">
        <v>54</v>
      </c>
      <c r="B55" s="107" t="s">
        <v>9</v>
      </c>
      <c r="C55" s="112" t="s">
        <v>632</v>
      </c>
      <c r="D55" s="112" t="s">
        <v>781</v>
      </c>
      <c r="E55" s="110" t="s">
        <v>128</v>
      </c>
      <c r="F55" s="6" t="s">
        <v>12</v>
      </c>
      <c r="G55" s="6" t="s">
        <v>976</v>
      </c>
      <c r="H55" s="6" t="s">
        <v>35</v>
      </c>
      <c r="I55" s="5">
        <v>9</v>
      </c>
      <c r="J55" s="12" t="s">
        <v>590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v>0</v>
      </c>
      <c r="AP55" s="46">
        <f t="shared" si="0"/>
        <v>0</v>
      </c>
      <c r="AQ55" s="7">
        <f t="shared" si="1"/>
        <v>0</v>
      </c>
    </row>
    <row r="56" spans="1:43" x14ac:dyDescent="0.3">
      <c r="A56" s="5">
        <v>55</v>
      </c>
      <c r="B56" s="107" t="s">
        <v>9</v>
      </c>
      <c r="C56" s="112" t="s">
        <v>633</v>
      </c>
      <c r="D56" s="112" t="s">
        <v>782</v>
      </c>
      <c r="E56" s="110" t="s">
        <v>128</v>
      </c>
      <c r="F56" s="6" t="s">
        <v>12</v>
      </c>
      <c r="G56" s="6" t="s">
        <v>976</v>
      </c>
      <c r="H56" s="6" t="s">
        <v>35</v>
      </c>
      <c r="I56" s="5">
        <v>1</v>
      </c>
      <c r="J56" s="12" t="s">
        <v>590</v>
      </c>
      <c r="K56" s="46">
        <v>0</v>
      </c>
      <c r="L56" s="46">
        <v>0</v>
      </c>
      <c r="M56" s="46">
        <v>0</v>
      </c>
      <c r="N56" s="46">
        <v>0</v>
      </c>
      <c r="O56" s="46">
        <v>0.73899999999999999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v>0</v>
      </c>
      <c r="AP56" s="46">
        <f t="shared" si="0"/>
        <v>2.3838709677419353E-2</v>
      </c>
      <c r="AQ56" s="7">
        <f t="shared" si="1"/>
        <v>2.3838709677419353E-2</v>
      </c>
    </row>
    <row r="57" spans="1:43" x14ac:dyDescent="0.3">
      <c r="A57" s="5">
        <v>56</v>
      </c>
      <c r="B57" s="107" t="s">
        <v>498</v>
      </c>
      <c r="C57" s="112" t="s">
        <v>634</v>
      </c>
      <c r="D57" s="113" t="s">
        <v>783</v>
      </c>
      <c r="E57" s="110" t="s">
        <v>128</v>
      </c>
      <c r="F57" s="6" t="s">
        <v>12</v>
      </c>
      <c r="G57" s="6" t="s">
        <v>973</v>
      </c>
      <c r="H57" s="6" t="s">
        <v>80</v>
      </c>
      <c r="I57" s="5">
        <v>1</v>
      </c>
      <c r="J57" s="67" t="s">
        <v>160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26.003999999999998</v>
      </c>
      <c r="AK57" s="46">
        <v>0</v>
      </c>
      <c r="AL57" s="46">
        <v>0</v>
      </c>
      <c r="AM57" s="46">
        <v>0</v>
      </c>
      <c r="AN57" s="46">
        <v>0</v>
      </c>
      <c r="AO57" s="46">
        <v>0</v>
      </c>
      <c r="AP57" s="46">
        <f t="shared" si="0"/>
        <v>0.83883870967741925</v>
      </c>
      <c r="AQ57" s="7">
        <f t="shared" si="1"/>
        <v>0.83883870967741925</v>
      </c>
    </row>
    <row r="58" spans="1:43" x14ac:dyDescent="0.3">
      <c r="A58" s="5">
        <v>57</v>
      </c>
      <c r="B58" s="107" t="s">
        <v>9</v>
      </c>
      <c r="C58" s="112" t="s">
        <v>635</v>
      </c>
      <c r="D58" s="112" t="s">
        <v>720</v>
      </c>
      <c r="E58" s="110" t="s">
        <v>128</v>
      </c>
      <c r="F58" s="6" t="s">
        <v>12</v>
      </c>
      <c r="G58" s="6" t="s">
        <v>976</v>
      </c>
      <c r="H58" s="6" t="s">
        <v>35</v>
      </c>
      <c r="I58" s="5">
        <v>1</v>
      </c>
      <c r="J58" s="12" t="s">
        <v>589</v>
      </c>
      <c r="K58" s="46">
        <v>3.254</v>
      </c>
      <c r="L58" s="46">
        <v>1.377</v>
      </c>
      <c r="M58" s="46">
        <v>0</v>
      </c>
      <c r="N58" s="46">
        <v>3.7370000000000001</v>
      </c>
      <c r="O58" s="46">
        <v>3.0859999999999999</v>
      </c>
      <c r="P58" s="46">
        <v>2.7130000000000001</v>
      </c>
      <c r="Q58" s="46">
        <v>4.0339999999999998</v>
      </c>
      <c r="R58" s="46">
        <v>0</v>
      </c>
      <c r="S58" s="46">
        <v>0</v>
      </c>
      <c r="T58" s="46">
        <v>3.855</v>
      </c>
      <c r="U58" s="46">
        <v>6.0409999999999995</v>
      </c>
      <c r="V58" s="46">
        <v>3.7999999999999999E-2</v>
      </c>
      <c r="W58" s="46">
        <v>6.1349999999999998</v>
      </c>
      <c r="X58" s="46">
        <v>4.3869999999999996</v>
      </c>
      <c r="Y58" s="46">
        <v>3.3370000000000002</v>
      </c>
      <c r="Z58" s="46">
        <v>2.6150000000000002</v>
      </c>
      <c r="AA58" s="46">
        <v>3.1850000000000001</v>
      </c>
      <c r="AB58" s="46">
        <v>0.23300000000000001</v>
      </c>
      <c r="AC58" s="46">
        <v>4.8230000000000004</v>
      </c>
      <c r="AD58" s="46">
        <v>0.249</v>
      </c>
      <c r="AE58" s="46">
        <v>5.1239999999999997</v>
      </c>
      <c r="AF58" s="46">
        <v>3.99</v>
      </c>
      <c r="AG58" s="46">
        <v>0</v>
      </c>
      <c r="AH58" s="46">
        <v>0</v>
      </c>
      <c r="AI58" s="46">
        <v>4.3159999999999998</v>
      </c>
      <c r="AJ58" s="46">
        <v>0.41799999999999998</v>
      </c>
      <c r="AK58" s="46">
        <v>3.5609999999999999</v>
      </c>
      <c r="AL58" s="46">
        <v>4.2279999999999998</v>
      </c>
      <c r="AM58" s="46">
        <v>0</v>
      </c>
      <c r="AN58" s="46">
        <v>0</v>
      </c>
      <c r="AO58" s="46">
        <v>7.6989999999999998</v>
      </c>
      <c r="AP58" s="46">
        <f t="shared" si="0"/>
        <v>2.6591935483870968</v>
      </c>
      <c r="AQ58" s="7">
        <f t="shared" si="1"/>
        <v>2.6591935483870968</v>
      </c>
    </row>
    <row r="59" spans="1:43" x14ac:dyDescent="0.3">
      <c r="A59" s="5">
        <v>58</v>
      </c>
      <c r="B59" s="107" t="s">
        <v>9</v>
      </c>
      <c r="C59" s="112" t="s">
        <v>636</v>
      </c>
      <c r="D59" s="112" t="s">
        <v>753</v>
      </c>
      <c r="E59" s="110" t="s">
        <v>128</v>
      </c>
      <c r="F59" s="6" t="s">
        <v>12</v>
      </c>
      <c r="G59" s="6" t="s">
        <v>976</v>
      </c>
      <c r="H59" s="6" t="s">
        <v>35</v>
      </c>
      <c r="I59" s="5">
        <v>10</v>
      </c>
      <c r="J59" s="94" t="s">
        <v>273</v>
      </c>
      <c r="K59" s="46">
        <v>11.291</v>
      </c>
      <c r="L59" s="46">
        <v>19.458000000000002</v>
      </c>
      <c r="M59" s="46">
        <v>6.13</v>
      </c>
      <c r="N59" s="46">
        <v>79.075000000000003</v>
      </c>
      <c r="O59" s="46">
        <v>53.024000000000001</v>
      </c>
      <c r="P59" s="46">
        <v>18.146999999999998</v>
      </c>
      <c r="Q59" s="46">
        <v>8.5560000000000009</v>
      </c>
      <c r="R59" s="46">
        <v>9.7039999999999988</v>
      </c>
      <c r="S59" s="46">
        <v>19.579000000000001</v>
      </c>
      <c r="T59" s="46">
        <v>9.6159999999999997</v>
      </c>
      <c r="U59" s="46">
        <v>37.502999999999993</v>
      </c>
      <c r="V59" s="46">
        <v>61.391000000000005</v>
      </c>
      <c r="W59" s="46">
        <v>50.302</v>
      </c>
      <c r="X59" s="46">
        <v>17.89</v>
      </c>
      <c r="Y59" s="46">
        <v>26.338999999999999</v>
      </c>
      <c r="Z59" s="46">
        <v>14.042999999999999</v>
      </c>
      <c r="AA59" s="46">
        <v>1.96</v>
      </c>
      <c r="AB59" s="46">
        <v>51.216000000000001</v>
      </c>
      <c r="AC59" s="46">
        <v>22.378999999999998</v>
      </c>
      <c r="AD59" s="46">
        <v>55.349999999999994</v>
      </c>
      <c r="AE59" s="46">
        <v>33.484000000000002</v>
      </c>
      <c r="AF59" s="46">
        <v>8.1610000000000014</v>
      </c>
      <c r="AG59" s="46">
        <v>31.915999999999997</v>
      </c>
      <c r="AH59" s="46">
        <v>13.806999999999999</v>
      </c>
      <c r="AI59" s="46">
        <v>16.009999999999998</v>
      </c>
      <c r="AJ59" s="46">
        <v>0</v>
      </c>
      <c r="AK59" s="46">
        <v>40.037000000000006</v>
      </c>
      <c r="AL59" s="46">
        <v>34.138000000000005</v>
      </c>
      <c r="AM59" s="46">
        <v>68.58</v>
      </c>
      <c r="AN59" s="46">
        <v>10.808</v>
      </c>
      <c r="AO59" s="46">
        <v>6.4770000000000012</v>
      </c>
      <c r="AP59" s="46">
        <f t="shared" si="0"/>
        <v>26.979709677419361</v>
      </c>
      <c r="AQ59" s="7">
        <f t="shared" si="1"/>
        <v>2.6979709677419361</v>
      </c>
    </row>
    <row r="60" spans="1:43" x14ac:dyDescent="0.3">
      <c r="A60" s="5">
        <v>59</v>
      </c>
      <c r="B60" s="107" t="s">
        <v>9</v>
      </c>
      <c r="C60" s="112"/>
      <c r="D60" s="112" t="s">
        <v>753</v>
      </c>
      <c r="E60" s="110" t="s">
        <v>128</v>
      </c>
      <c r="F60" s="6" t="s">
        <v>12</v>
      </c>
      <c r="G60" s="6" t="s">
        <v>1052</v>
      </c>
      <c r="H60" s="6" t="s">
        <v>80</v>
      </c>
      <c r="I60" s="5">
        <v>1</v>
      </c>
      <c r="J60" s="67" t="s">
        <v>160</v>
      </c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>
        <v>1.39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v>0</v>
      </c>
      <c r="AP60" s="46">
        <f t="shared" si="0"/>
        <v>0.19857142857142857</v>
      </c>
      <c r="AQ60" s="7">
        <f t="shared" si="1"/>
        <v>0.19857142857142857</v>
      </c>
    </row>
    <row r="61" spans="1:43" x14ac:dyDescent="0.3">
      <c r="A61" s="5">
        <v>60</v>
      </c>
      <c r="B61" s="107" t="s">
        <v>9</v>
      </c>
      <c r="C61" s="112" t="s">
        <v>637</v>
      </c>
      <c r="D61" s="112" t="s">
        <v>721</v>
      </c>
      <c r="E61" s="110" t="s">
        <v>128</v>
      </c>
      <c r="F61" s="6" t="s">
        <v>12</v>
      </c>
      <c r="G61" s="6" t="s">
        <v>976</v>
      </c>
      <c r="H61" s="6" t="s">
        <v>35</v>
      </c>
      <c r="I61" s="5">
        <v>2</v>
      </c>
      <c r="J61" s="12" t="s">
        <v>589</v>
      </c>
      <c r="K61" s="46">
        <v>28.195</v>
      </c>
      <c r="L61" s="46">
        <v>16.123999999999999</v>
      </c>
      <c r="M61" s="46">
        <v>15.352</v>
      </c>
      <c r="N61" s="46">
        <v>32.292000000000002</v>
      </c>
      <c r="O61" s="46">
        <v>25.064</v>
      </c>
      <c r="P61" s="46">
        <v>22.051000000000002</v>
      </c>
      <c r="Q61" s="46">
        <v>25.592000000000002</v>
      </c>
      <c r="R61" s="46">
        <v>18.596</v>
      </c>
      <c r="S61" s="46">
        <v>17.326000000000001</v>
      </c>
      <c r="T61" s="46">
        <v>17.195</v>
      </c>
      <c r="U61" s="46">
        <v>33.138000000000005</v>
      </c>
      <c r="V61" s="46">
        <v>26.724</v>
      </c>
      <c r="W61" s="46">
        <v>21.640999999999998</v>
      </c>
      <c r="X61" s="46">
        <v>20.564000000000004</v>
      </c>
      <c r="Y61" s="46">
        <v>16.163</v>
      </c>
      <c r="Z61" s="46">
        <v>17.081</v>
      </c>
      <c r="AA61" s="46">
        <v>21.481999999999999</v>
      </c>
      <c r="AB61" s="46">
        <v>29.495999999999999</v>
      </c>
      <c r="AC61" s="46">
        <v>14.306000000000001</v>
      </c>
      <c r="AD61" s="46">
        <v>29.562000000000005</v>
      </c>
      <c r="AE61" s="46">
        <v>14.44</v>
      </c>
      <c r="AF61" s="46">
        <v>26.388000000000002</v>
      </c>
      <c r="AG61" s="46">
        <v>15.228</v>
      </c>
      <c r="AH61" s="46">
        <v>12.76</v>
      </c>
      <c r="AI61" s="46">
        <v>17.051000000000002</v>
      </c>
      <c r="AJ61" s="46">
        <v>24.741</v>
      </c>
      <c r="AK61" s="46">
        <v>23.318999999999999</v>
      </c>
      <c r="AL61" s="46">
        <v>16.478999999999999</v>
      </c>
      <c r="AM61" s="46">
        <v>13.686999999999999</v>
      </c>
      <c r="AN61" s="46">
        <v>9.0249999999999986</v>
      </c>
      <c r="AO61" s="46">
        <v>11.870000000000001</v>
      </c>
      <c r="AP61" s="46">
        <f t="shared" si="0"/>
        <v>20.417161290322586</v>
      </c>
      <c r="AQ61" s="7">
        <f t="shared" si="1"/>
        <v>10.208580645161293</v>
      </c>
    </row>
    <row r="62" spans="1:43" x14ac:dyDescent="0.3">
      <c r="A62" s="5">
        <v>61</v>
      </c>
      <c r="B62" s="107" t="s">
        <v>9</v>
      </c>
      <c r="C62" s="5"/>
      <c r="D62" s="6" t="s">
        <v>93</v>
      </c>
      <c r="E62" s="110" t="s">
        <v>26</v>
      </c>
      <c r="F62" s="6" t="s">
        <v>19</v>
      </c>
      <c r="G62" s="6" t="s">
        <v>976</v>
      </c>
      <c r="H62" s="6" t="s">
        <v>14</v>
      </c>
      <c r="I62" s="5">
        <v>1</v>
      </c>
      <c r="J62" s="67" t="s">
        <v>160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v>0</v>
      </c>
      <c r="AO62" s="46">
        <v>0</v>
      </c>
      <c r="AP62" s="46">
        <f t="shared" si="0"/>
        <v>0</v>
      </c>
      <c r="AQ62" s="7">
        <f t="shared" si="1"/>
        <v>0</v>
      </c>
    </row>
    <row r="63" spans="1:43" x14ac:dyDescent="0.3">
      <c r="A63" s="5">
        <v>62</v>
      </c>
      <c r="B63" s="107" t="s">
        <v>9</v>
      </c>
      <c r="C63" s="112" t="s">
        <v>638</v>
      </c>
      <c r="D63" s="112" t="s">
        <v>759</v>
      </c>
      <c r="E63" s="110" t="s">
        <v>128</v>
      </c>
      <c r="F63" s="6" t="s">
        <v>12</v>
      </c>
      <c r="G63" s="6" t="s">
        <v>976</v>
      </c>
      <c r="H63" s="6" t="s">
        <v>35</v>
      </c>
      <c r="I63" s="5">
        <v>8</v>
      </c>
      <c r="J63" s="94" t="s">
        <v>273</v>
      </c>
      <c r="K63" s="46">
        <v>129.166</v>
      </c>
      <c r="L63" s="46">
        <v>94.826000000000008</v>
      </c>
      <c r="M63" s="46">
        <v>75.532999999999987</v>
      </c>
      <c r="N63" s="46">
        <v>107.11400000000002</v>
      </c>
      <c r="O63" s="46">
        <v>76.478999999999999</v>
      </c>
      <c r="P63" s="46">
        <v>107.251</v>
      </c>
      <c r="Q63" s="46">
        <v>127.11299999999999</v>
      </c>
      <c r="R63" s="46">
        <v>100.75800000000001</v>
      </c>
      <c r="S63" s="46">
        <v>77.647000000000006</v>
      </c>
      <c r="T63" s="46">
        <v>100.27500000000001</v>
      </c>
      <c r="U63" s="46">
        <v>111.91399999999999</v>
      </c>
      <c r="V63" s="46">
        <v>113.471</v>
      </c>
      <c r="W63" s="46">
        <v>129.93</v>
      </c>
      <c r="X63" s="46">
        <v>109.15600000000001</v>
      </c>
      <c r="Y63" s="46">
        <v>77.275000000000006</v>
      </c>
      <c r="Z63" s="46">
        <v>78.613</v>
      </c>
      <c r="AA63" s="46">
        <v>60.91399999999998</v>
      </c>
      <c r="AB63" s="46">
        <v>135.709</v>
      </c>
      <c r="AC63" s="46">
        <v>157.18900000000002</v>
      </c>
      <c r="AD63" s="46">
        <v>65.917999999999992</v>
      </c>
      <c r="AE63" s="46">
        <v>129.44200000000001</v>
      </c>
      <c r="AF63" s="46">
        <v>91.284999999999968</v>
      </c>
      <c r="AG63" s="46">
        <v>95.736999999999995</v>
      </c>
      <c r="AH63" s="46">
        <v>67.894000000000005</v>
      </c>
      <c r="AI63" s="46">
        <v>118.443</v>
      </c>
      <c r="AJ63" s="46">
        <v>99.576999999999998</v>
      </c>
      <c r="AK63" s="46">
        <v>101.65599999999999</v>
      </c>
      <c r="AL63" s="46">
        <v>93.530000000000015</v>
      </c>
      <c r="AM63" s="46">
        <v>27.492999999999995</v>
      </c>
      <c r="AN63" s="46">
        <v>63.197999999999993</v>
      </c>
      <c r="AO63" s="46">
        <v>47.466000000000001</v>
      </c>
      <c r="AP63" s="46">
        <f t="shared" si="0"/>
        <v>95.870064516129048</v>
      </c>
      <c r="AQ63" s="7">
        <f t="shared" si="1"/>
        <v>11.983758064516131</v>
      </c>
    </row>
    <row r="64" spans="1:43" x14ac:dyDescent="0.3">
      <c r="A64" s="5">
        <v>63</v>
      </c>
      <c r="B64" s="107" t="s">
        <v>9</v>
      </c>
      <c r="C64" s="112" t="s">
        <v>713</v>
      </c>
      <c r="D64" s="112" t="s">
        <v>714</v>
      </c>
      <c r="E64" s="110" t="s">
        <v>128</v>
      </c>
      <c r="F64" s="6" t="s">
        <v>12</v>
      </c>
      <c r="G64" s="6" t="s">
        <v>976</v>
      </c>
      <c r="H64" s="6" t="s">
        <v>35</v>
      </c>
      <c r="I64" s="5">
        <v>6</v>
      </c>
      <c r="J64" s="94" t="s">
        <v>273</v>
      </c>
      <c r="K64" s="46">
        <v>98.823000000000022</v>
      </c>
      <c r="L64" s="46">
        <v>77.02</v>
      </c>
      <c r="M64" s="46">
        <v>62.552000000000007</v>
      </c>
      <c r="N64" s="46">
        <v>97.920000000000016</v>
      </c>
      <c r="O64" s="46">
        <v>82.345999999999989</v>
      </c>
      <c r="P64" s="46">
        <v>76.695999999999984</v>
      </c>
      <c r="Q64" s="46">
        <v>72.007000000000005</v>
      </c>
      <c r="R64" s="46">
        <v>75.554000000000002</v>
      </c>
      <c r="S64" s="46">
        <v>74.245000000000005</v>
      </c>
      <c r="T64" s="46">
        <v>85.88900000000001</v>
      </c>
      <c r="U64" s="46">
        <v>68.647000000000006</v>
      </c>
      <c r="V64" s="46">
        <v>86.02</v>
      </c>
      <c r="W64" s="46">
        <v>88.924000000000007</v>
      </c>
      <c r="X64" s="46">
        <v>90.563000000000017</v>
      </c>
      <c r="Y64" s="46">
        <v>74.753999999999991</v>
      </c>
      <c r="Z64" s="46">
        <v>94.919000000000011</v>
      </c>
      <c r="AA64" s="46">
        <v>71.948000000000008</v>
      </c>
      <c r="AB64" s="46">
        <v>72.588999999999999</v>
      </c>
      <c r="AC64" s="46">
        <v>66.564999999999998</v>
      </c>
      <c r="AD64" s="46">
        <v>52.448999999999998</v>
      </c>
      <c r="AE64" s="46">
        <v>91.456000000000003</v>
      </c>
      <c r="AF64" s="46">
        <v>70.756000000000014</v>
      </c>
      <c r="AG64" s="46">
        <v>98.91</v>
      </c>
      <c r="AH64" s="46">
        <v>51.994999999999997</v>
      </c>
      <c r="AI64" s="46">
        <v>88.15</v>
      </c>
      <c r="AJ64" s="46">
        <v>63.3</v>
      </c>
      <c r="AK64" s="46">
        <v>56.596000000000004</v>
      </c>
      <c r="AL64" s="46">
        <v>70.801000000000002</v>
      </c>
      <c r="AM64" s="46">
        <v>74.733000000000004</v>
      </c>
      <c r="AN64" s="46">
        <v>60.483000000000004</v>
      </c>
      <c r="AO64" s="46">
        <v>38.046999999999997</v>
      </c>
      <c r="AP64" s="46">
        <f t="shared" si="0"/>
        <v>75.343774193548413</v>
      </c>
      <c r="AQ64" s="7">
        <f t="shared" si="1"/>
        <v>12.557295698924735</v>
      </c>
    </row>
    <row r="65" spans="1:43" x14ac:dyDescent="0.3">
      <c r="A65" s="5">
        <v>64</v>
      </c>
      <c r="B65" s="107" t="s">
        <v>9</v>
      </c>
      <c r="C65" s="112" t="s">
        <v>857</v>
      </c>
      <c r="D65" s="112" t="s">
        <v>856</v>
      </c>
      <c r="E65" s="110" t="s">
        <v>128</v>
      </c>
      <c r="F65" s="6" t="s">
        <v>12</v>
      </c>
      <c r="G65" s="6" t="s">
        <v>290</v>
      </c>
      <c r="H65" s="6" t="s">
        <v>80</v>
      </c>
      <c r="I65" s="5">
        <v>1</v>
      </c>
      <c r="J65" s="12" t="s">
        <v>590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v>0</v>
      </c>
      <c r="AP65" s="46">
        <f t="shared" si="0"/>
        <v>0</v>
      </c>
      <c r="AQ65" s="7">
        <f t="shared" si="1"/>
        <v>0</v>
      </c>
    </row>
    <row r="66" spans="1:43" ht="15.6" x14ac:dyDescent="0.3">
      <c r="A66" s="5">
        <v>65</v>
      </c>
      <c r="B66" s="107" t="s">
        <v>9</v>
      </c>
      <c r="C66" s="112" t="s">
        <v>968</v>
      </c>
      <c r="D66" s="114" t="s">
        <v>969</v>
      </c>
      <c r="E66" s="110" t="s">
        <v>128</v>
      </c>
      <c r="F66" s="6" t="s">
        <v>12</v>
      </c>
      <c r="G66" s="6" t="s">
        <v>976</v>
      </c>
      <c r="H66" s="6" t="s">
        <v>35</v>
      </c>
      <c r="I66" s="5">
        <v>1</v>
      </c>
      <c r="J66" s="12" t="s">
        <v>590</v>
      </c>
      <c r="K66" s="46">
        <v>0</v>
      </c>
      <c r="L66" s="46">
        <v>0</v>
      </c>
      <c r="M66" s="46">
        <v>2.4079999999999999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2.6949999999999998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3.008</v>
      </c>
      <c r="AI66" s="46">
        <v>0</v>
      </c>
      <c r="AJ66" s="46">
        <v>0</v>
      </c>
      <c r="AK66" s="46">
        <v>23.287999999999997</v>
      </c>
      <c r="AL66" s="46">
        <v>0</v>
      </c>
      <c r="AM66" s="46">
        <v>2.9860000000000002</v>
      </c>
      <c r="AN66" s="46">
        <v>0</v>
      </c>
      <c r="AO66" s="46">
        <v>0</v>
      </c>
      <c r="AP66" s="46">
        <f t="shared" si="0"/>
        <v>1.1091935483870967</v>
      </c>
      <c r="AQ66" s="7">
        <f t="shared" si="1"/>
        <v>1.1091935483870967</v>
      </c>
    </row>
    <row r="67" spans="1:43" x14ac:dyDescent="0.3">
      <c r="A67" s="5">
        <v>66</v>
      </c>
      <c r="B67" s="107" t="s">
        <v>9</v>
      </c>
      <c r="C67" s="10"/>
      <c r="D67" s="39" t="s">
        <v>918</v>
      </c>
      <c r="E67" s="110" t="s">
        <v>128</v>
      </c>
      <c r="F67" s="6" t="s">
        <v>12</v>
      </c>
      <c r="G67" s="6" t="s">
        <v>976</v>
      </c>
      <c r="H67" s="6" t="s">
        <v>35</v>
      </c>
      <c r="I67" s="92">
        <v>2</v>
      </c>
      <c r="J67" s="94" t="s">
        <v>590</v>
      </c>
      <c r="K67" s="46">
        <v>2.8439999999999999</v>
      </c>
      <c r="L67" s="46">
        <v>3.327</v>
      </c>
      <c r="M67" s="46">
        <v>1.6990000000000001</v>
      </c>
      <c r="N67" s="46">
        <v>2.8370000000000002</v>
      </c>
      <c r="O67" s="46">
        <v>4.2690000000000001</v>
      </c>
      <c r="P67" s="46">
        <v>1.7969999999999999</v>
      </c>
      <c r="Q67" s="46">
        <v>2.4860000000000002</v>
      </c>
      <c r="R67" s="46">
        <v>0</v>
      </c>
      <c r="S67" s="46">
        <v>3.4860000000000002</v>
      </c>
      <c r="T67" s="46">
        <v>2.4900000000000002</v>
      </c>
      <c r="U67" s="46">
        <v>0</v>
      </c>
      <c r="V67" s="46">
        <v>0.77800000000000002</v>
      </c>
      <c r="W67" s="46">
        <v>0</v>
      </c>
      <c r="X67" s="46">
        <v>2.8079999999999998</v>
      </c>
      <c r="Y67" s="46">
        <v>0</v>
      </c>
      <c r="Z67" s="46">
        <v>7.2610000000000001</v>
      </c>
      <c r="AA67" s="46">
        <v>0</v>
      </c>
      <c r="AB67" s="46">
        <v>3.1560000000000001</v>
      </c>
      <c r="AC67" s="46">
        <v>0</v>
      </c>
      <c r="AD67" s="46">
        <v>1.5349999999999999</v>
      </c>
      <c r="AE67" s="46">
        <v>3.1470000000000002</v>
      </c>
      <c r="AF67" s="46">
        <v>0.71499999999999997</v>
      </c>
      <c r="AG67" s="46">
        <v>3.2610000000000001</v>
      </c>
      <c r="AH67" s="46">
        <v>2.7249999999999996</v>
      </c>
      <c r="AI67" s="46">
        <v>1.7729999999999999</v>
      </c>
      <c r="AJ67" s="46">
        <v>0</v>
      </c>
      <c r="AK67" s="46">
        <v>0</v>
      </c>
      <c r="AL67" s="46">
        <v>3.2519999999999998</v>
      </c>
      <c r="AM67" s="46">
        <v>1.8079999999999998</v>
      </c>
      <c r="AN67" s="46">
        <v>2.2589999999999999</v>
      </c>
      <c r="AO67" s="46">
        <v>4.6180000000000003</v>
      </c>
      <c r="AP67" s="46">
        <f t="shared" ref="AP67:AP130" si="2">AVERAGE(K67:AO67)</f>
        <v>2.0751935483870967</v>
      </c>
      <c r="AQ67" s="7">
        <f t="shared" ref="AQ67:AQ130" si="3">AP67/I67</f>
        <v>1.0375967741935483</v>
      </c>
    </row>
    <row r="68" spans="1:43" x14ac:dyDescent="0.3">
      <c r="A68" s="5">
        <v>67</v>
      </c>
      <c r="B68" s="107" t="s">
        <v>9</v>
      </c>
      <c r="C68" s="10"/>
      <c r="D68" s="39" t="s">
        <v>918</v>
      </c>
      <c r="E68" s="110" t="s">
        <v>128</v>
      </c>
      <c r="F68" s="6" t="s">
        <v>12</v>
      </c>
      <c r="G68" s="6" t="s">
        <v>979</v>
      </c>
      <c r="H68" s="6" t="s">
        <v>35</v>
      </c>
      <c r="I68" s="92">
        <v>2</v>
      </c>
      <c r="J68" s="94" t="s">
        <v>590</v>
      </c>
      <c r="K68" s="46">
        <v>63.036999999999999</v>
      </c>
      <c r="L68" s="46">
        <v>18.928999999999998</v>
      </c>
      <c r="M68" s="46">
        <v>0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29.741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45.010000000000005</v>
      </c>
      <c r="AL68" s="46">
        <v>0</v>
      </c>
      <c r="AM68" s="46">
        <v>0</v>
      </c>
      <c r="AN68" s="46">
        <v>56.734999999999999</v>
      </c>
      <c r="AO68" s="46">
        <v>0</v>
      </c>
      <c r="AP68" s="46">
        <f t="shared" si="2"/>
        <v>6.8855483870967742</v>
      </c>
      <c r="AQ68" s="7">
        <f t="shared" si="3"/>
        <v>3.4427741935483871</v>
      </c>
    </row>
    <row r="69" spans="1:43" x14ac:dyDescent="0.3">
      <c r="A69" s="5">
        <v>68</v>
      </c>
      <c r="B69" s="107" t="s">
        <v>9</v>
      </c>
      <c r="C69" s="10"/>
      <c r="D69" s="116" t="s">
        <v>991</v>
      </c>
      <c r="E69" s="6" t="s">
        <v>128</v>
      </c>
      <c r="F69" s="6" t="s">
        <v>12</v>
      </c>
      <c r="G69" s="6" t="s">
        <v>13</v>
      </c>
      <c r="H69" s="6" t="s">
        <v>35</v>
      </c>
      <c r="I69" s="92">
        <v>2</v>
      </c>
      <c r="J69" s="94" t="s">
        <v>590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0</v>
      </c>
      <c r="Q69" s="46">
        <v>0</v>
      </c>
      <c r="R69" s="46">
        <v>1.881</v>
      </c>
      <c r="S69" s="46">
        <v>0</v>
      </c>
      <c r="T69" s="46">
        <v>0</v>
      </c>
      <c r="U69" s="46">
        <v>0.54600000000000004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1.5</v>
      </c>
      <c r="AC69" s="46">
        <v>0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0</v>
      </c>
      <c r="AL69" s="46">
        <v>0</v>
      </c>
      <c r="AM69" s="46">
        <v>0</v>
      </c>
      <c r="AN69" s="46">
        <v>2.181</v>
      </c>
      <c r="AO69" s="46">
        <v>0</v>
      </c>
      <c r="AP69" s="46">
        <f t="shared" si="2"/>
        <v>0.19703225806451616</v>
      </c>
      <c r="AQ69" s="7">
        <f t="shared" si="3"/>
        <v>9.8516129032258079E-2</v>
      </c>
    </row>
    <row r="70" spans="1:43" x14ac:dyDescent="0.3">
      <c r="A70" s="5">
        <v>68</v>
      </c>
      <c r="B70" s="107" t="s">
        <v>9</v>
      </c>
      <c r="C70" s="10"/>
      <c r="D70" s="116" t="s">
        <v>991</v>
      </c>
      <c r="E70" s="6" t="s">
        <v>128</v>
      </c>
      <c r="F70" s="6" t="s">
        <v>12</v>
      </c>
      <c r="G70" s="6" t="s">
        <v>40</v>
      </c>
      <c r="H70" s="6" t="s">
        <v>35</v>
      </c>
      <c r="I70" s="92">
        <v>5</v>
      </c>
      <c r="J70" s="94" t="s">
        <v>590</v>
      </c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>
        <v>6.7149999999999999</v>
      </c>
      <c r="AM70" s="46">
        <v>0</v>
      </c>
      <c r="AN70" s="46">
        <v>0</v>
      </c>
      <c r="AO70" s="46">
        <v>0</v>
      </c>
      <c r="AP70" s="46">
        <f t="shared" si="2"/>
        <v>1.67875</v>
      </c>
      <c r="AQ70" s="7">
        <f t="shared" si="3"/>
        <v>0.33574999999999999</v>
      </c>
    </row>
    <row r="71" spans="1:43" x14ac:dyDescent="0.3">
      <c r="A71" s="5">
        <v>69</v>
      </c>
      <c r="B71" s="107" t="s">
        <v>1024</v>
      </c>
      <c r="C71" s="10"/>
      <c r="D71" s="116" t="s">
        <v>1022</v>
      </c>
      <c r="E71" s="6" t="s">
        <v>128</v>
      </c>
      <c r="F71" s="6" t="s">
        <v>12</v>
      </c>
      <c r="G71" s="6" t="s">
        <v>1023</v>
      </c>
      <c r="H71" s="6" t="s">
        <v>80</v>
      </c>
      <c r="I71" s="92">
        <v>1</v>
      </c>
      <c r="J71" s="67" t="s">
        <v>160</v>
      </c>
      <c r="K71" s="46"/>
      <c r="L71" s="46"/>
      <c r="M71" s="46"/>
      <c r="N71" s="46"/>
      <c r="O71" s="46"/>
      <c r="P71" s="46"/>
      <c r="Q71" s="46">
        <v>5.0999999999999996</v>
      </c>
      <c r="R71" s="46">
        <v>409.4</v>
      </c>
      <c r="S71" s="46">
        <v>0</v>
      </c>
      <c r="T71" s="46">
        <v>0</v>
      </c>
      <c r="U71" s="46">
        <v>3.7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48.650000000000006</v>
      </c>
      <c r="AD71" s="46">
        <v>0</v>
      </c>
      <c r="AE71" s="46">
        <v>0</v>
      </c>
      <c r="AF71" s="46">
        <v>0</v>
      </c>
      <c r="AG71" s="46">
        <v>27.1</v>
      </c>
      <c r="AH71" s="46">
        <v>0</v>
      </c>
      <c r="AI71" s="46">
        <v>0</v>
      </c>
      <c r="AJ71" s="46">
        <v>0</v>
      </c>
      <c r="AK71" s="46">
        <v>0</v>
      </c>
      <c r="AL71" s="46">
        <v>36.173999999999999</v>
      </c>
      <c r="AM71" s="46">
        <v>0</v>
      </c>
      <c r="AN71" s="46">
        <v>0</v>
      </c>
      <c r="AO71" s="46">
        <v>0</v>
      </c>
      <c r="AP71" s="46">
        <f t="shared" si="2"/>
        <v>21.20496</v>
      </c>
      <c r="AQ71" s="7">
        <f t="shared" si="3"/>
        <v>21.20496</v>
      </c>
    </row>
    <row r="72" spans="1:43" x14ac:dyDescent="0.3">
      <c r="A72" s="5">
        <v>70</v>
      </c>
      <c r="B72" s="107" t="s">
        <v>9</v>
      </c>
      <c r="C72" s="10"/>
      <c r="D72" s="116" t="s">
        <v>1031</v>
      </c>
      <c r="E72" s="6" t="s">
        <v>128</v>
      </c>
      <c r="F72" s="6" t="s">
        <v>12</v>
      </c>
      <c r="G72" s="6" t="s">
        <v>1023</v>
      </c>
      <c r="H72" s="6" t="s">
        <v>80</v>
      </c>
      <c r="I72" s="92">
        <v>4</v>
      </c>
      <c r="J72" s="67" t="s">
        <v>160</v>
      </c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>
        <v>107.83000000000003</v>
      </c>
      <c r="X72" s="46">
        <v>114.77999999999999</v>
      </c>
      <c r="Y72" s="46">
        <v>522.99</v>
      </c>
      <c r="Z72" s="46">
        <v>629.44999999999982</v>
      </c>
      <c r="AA72" s="46">
        <v>259.83000000000004</v>
      </c>
      <c r="AB72" s="46">
        <v>252.88</v>
      </c>
      <c r="AC72" s="46">
        <v>156.03</v>
      </c>
      <c r="AD72" s="46">
        <v>341.76000000000005</v>
      </c>
      <c r="AE72" s="46">
        <v>169.35</v>
      </c>
      <c r="AF72" s="46">
        <v>126.49</v>
      </c>
      <c r="AG72" s="46">
        <v>62.33</v>
      </c>
      <c r="AH72" s="46">
        <v>89.08</v>
      </c>
      <c r="AI72" s="46">
        <v>254.96</v>
      </c>
      <c r="AJ72" s="46">
        <v>313.65999999999991</v>
      </c>
      <c r="AK72" s="46">
        <v>151.23999999999998</v>
      </c>
      <c r="AL72" s="46">
        <v>358.19</v>
      </c>
      <c r="AM72" s="46">
        <v>244.4</v>
      </c>
      <c r="AN72" s="46">
        <v>100.05</v>
      </c>
      <c r="AO72" s="46">
        <v>104.9</v>
      </c>
      <c r="AP72" s="46">
        <f t="shared" si="2"/>
        <v>229.48421052631574</v>
      </c>
      <c r="AQ72" s="7">
        <f t="shared" si="3"/>
        <v>57.371052631578934</v>
      </c>
    </row>
    <row r="73" spans="1:43" x14ac:dyDescent="0.3">
      <c r="A73" s="5">
        <v>71</v>
      </c>
      <c r="B73" s="6" t="s">
        <v>1050</v>
      </c>
      <c r="C73" s="10"/>
      <c r="D73" s="116" t="s">
        <v>1049</v>
      </c>
      <c r="E73" s="6" t="s">
        <v>128</v>
      </c>
      <c r="F73" s="6" t="s">
        <v>12</v>
      </c>
      <c r="G73" s="6" t="s">
        <v>13</v>
      </c>
      <c r="H73" s="6" t="s">
        <v>35</v>
      </c>
      <c r="I73" s="92">
        <v>1</v>
      </c>
      <c r="J73" s="94" t="s">
        <v>590</v>
      </c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>
        <v>0.14699999999999999</v>
      </c>
      <c r="AI73" s="46">
        <v>0</v>
      </c>
      <c r="AJ73" s="46">
        <v>0</v>
      </c>
      <c r="AK73" s="46">
        <v>0</v>
      </c>
      <c r="AL73" s="46">
        <v>0</v>
      </c>
      <c r="AM73" s="46">
        <v>0</v>
      </c>
      <c r="AN73" s="46">
        <v>0</v>
      </c>
      <c r="AO73" s="46">
        <v>0</v>
      </c>
      <c r="AP73" s="46">
        <f t="shared" si="2"/>
        <v>1.8374999999999999E-2</v>
      </c>
      <c r="AQ73" s="7">
        <f t="shared" si="3"/>
        <v>1.8374999999999999E-2</v>
      </c>
    </row>
    <row r="74" spans="1:43" x14ac:dyDescent="0.3">
      <c r="A74" s="5">
        <v>72</v>
      </c>
      <c r="B74" s="6" t="s">
        <v>1050</v>
      </c>
      <c r="C74" s="10"/>
      <c r="D74" s="116" t="s">
        <v>1049</v>
      </c>
      <c r="E74" s="6" t="s">
        <v>128</v>
      </c>
      <c r="F74" s="6" t="s">
        <v>12</v>
      </c>
      <c r="G74" s="6" t="s">
        <v>135</v>
      </c>
      <c r="H74" s="6" t="s">
        <v>35</v>
      </c>
      <c r="I74" s="92">
        <v>1</v>
      </c>
      <c r="J74" s="94" t="s">
        <v>590</v>
      </c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>
        <v>0.15</v>
      </c>
      <c r="AI74" s="46">
        <v>0</v>
      </c>
      <c r="AJ74" s="46">
        <v>0</v>
      </c>
      <c r="AK74" s="46">
        <v>0</v>
      </c>
      <c r="AL74" s="46">
        <v>0</v>
      </c>
      <c r="AM74" s="46">
        <v>0</v>
      </c>
      <c r="AN74" s="46">
        <v>0</v>
      </c>
      <c r="AO74" s="46">
        <v>0</v>
      </c>
      <c r="AP74" s="46">
        <f t="shared" si="2"/>
        <v>1.8749999999999999E-2</v>
      </c>
      <c r="AQ74" s="7">
        <f t="shared" si="3"/>
        <v>1.8749999999999999E-2</v>
      </c>
    </row>
    <row r="75" spans="1:43" x14ac:dyDescent="0.3">
      <c r="A75" s="5">
        <v>73</v>
      </c>
      <c r="B75" s="6" t="s">
        <v>1050</v>
      </c>
      <c r="C75" s="10"/>
      <c r="D75" s="116" t="s">
        <v>1049</v>
      </c>
      <c r="E75" s="6" t="s">
        <v>128</v>
      </c>
      <c r="F75" s="6" t="s">
        <v>12</v>
      </c>
      <c r="G75" s="6" t="s">
        <v>41</v>
      </c>
      <c r="H75" s="6" t="s">
        <v>35</v>
      </c>
      <c r="I75" s="92">
        <v>1</v>
      </c>
      <c r="J75" s="94" t="s">
        <v>590</v>
      </c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>
        <v>0</v>
      </c>
      <c r="AI75" s="46">
        <v>0</v>
      </c>
      <c r="AJ75" s="46">
        <v>0</v>
      </c>
      <c r="AK75" s="46">
        <v>0</v>
      </c>
      <c r="AL75" s="46">
        <v>0</v>
      </c>
      <c r="AM75" s="46">
        <v>0</v>
      </c>
      <c r="AN75" s="46">
        <v>0</v>
      </c>
      <c r="AO75" s="46">
        <v>0</v>
      </c>
      <c r="AP75" s="46">
        <f t="shared" si="2"/>
        <v>0</v>
      </c>
      <c r="AQ75" s="7">
        <f t="shared" si="3"/>
        <v>0</v>
      </c>
    </row>
    <row r="76" spans="1:43" x14ac:dyDescent="0.3">
      <c r="A76" s="5">
        <v>74</v>
      </c>
      <c r="B76" s="107" t="s">
        <v>536</v>
      </c>
      <c r="C76" s="112" t="s">
        <v>639</v>
      </c>
      <c r="D76" s="112" t="s">
        <v>784</v>
      </c>
      <c r="E76" s="110" t="s">
        <v>128</v>
      </c>
      <c r="F76" s="6" t="s">
        <v>12</v>
      </c>
      <c r="G76" s="6" t="s">
        <v>973</v>
      </c>
      <c r="H76" s="6" t="s">
        <v>80</v>
      </c>
      <c r="I76" s="5">
        <v>1</v>
      </c>
      <c r="J76" s="67" t="s">
        <v>160</v>
      </c>
      <c r="K76" s="46">
        <v>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0</v>
      </c>
      <c r="AL76" s="46">
        <v>0</v>
      </c>
      <c r="AM76" s="46">
        <v>0</v>
      </c>
      <c r="AN76" s="46">
        <v>0</v>
      </c>
      <c r="AO76" s="46">
        <v>0</v>
      </c>
      <c r="AP76" s="46">
        <f t="shared" si="2"/>
        <v>0</v>
      </c>
      <c r="AQ76" s="7">
        <f t="shared" si="3"/>
        <v>0</v>
      </c>
    </row>
    <row r="77" spans="1:43" x14ac:dyDescent="0.3">
      <c r="A77" s="5">
        <v>75</v>
      </c>
      <c r="B77" s="107" t="s">
        <v>9</v>
      </c>
      <c r="C77" s="5"/>
      <c r="D77" s="6" t="s">
        <v>27</v>
      </c>
      <c r="E77" s="110" t="s">
        <v>28</v>
      </c>
      <c r="F77" s="6" t="s">
        <v>19</v>
      </c>
      <c r="G77" s="6" t="s">
        <v>976</v>
      </c>
      <c r="H77" s="6" t="s">
        <v>14</v>
      </c>
      <c r="I77" s="5">
        <v>4</v>
      </c>
      <c r="J77" s="67" t="s">
        <v>160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0</v>
      </c>
      <c r="AL77" s="46">
        <v>0</v>
      </c>
      <c r="AM77" s="46">
        <v>0</v>
      </c>
      <c r="AN77" s="46">
        <v>0</v>
      </c>
      <c r="AO77" s="46">
        <v>0</v>
      </c>
      <c r="AP77" s="46">
        <f t="shared" si="2"/>
        <v>0</v>
      </c>
      <c r="AQ77" s="7">
        <f t="shared" si="3"/>
        <v>0</v>
      </c>
    </row>
    <row r="78" spans="1:43" x14ac:dyDescent="0.3">
      <c r="A78" s="5">
        <v>76</v>
      </c>
      <c r="B78" s="107" t="s">
        <v>9</v>
      </c>
      <c r="C78" s="5"/>
      <c r="D78" s="6" t="s">
        <v>94</v>
      </c>
      <c r="E78" s="110" t="s">
        <v>32</v>
      </c>
      <c r="F78" s="6" t="s">
        <v>19</v>
      </c>
      <c r="G78" s="6" t="s">
        <v>976</v>
      </c>
      <c r="H78" s="6" t="s">
        <v>14</v>
      </c>
      <c r="I78" s="5">
        <v>2</v>
      </c>
      <c r="J78" s="67" t="s">
        <v>160</v>
      </c>
      <c r="K78" s="46">
        <v>0</v>
      </c>
      <c r="L78" s="46">
        <v>0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0</v>
      </c>
      <c r="AL78" s="46">
        <v>0</v>
      </c>
      <c r="AM78" s="46">
        <v>0</v>
      </c>
      <c r="AN78" s="46">
        <v>0</v>
      </c>
      <c r="AO78" s="46">
        <v>0</v>
      </c>
      <c r="AP78" s="46">
        <f t="shared" si="2"/>
        <v>0</v>
      </c>
      <c r="AQ78" s="7">
        <f t="shared" si="3"/>
        <v>0</v>
      </c>
    </row>
    <row r="79" spans="1:43" x14ac:dyDescent="0.3">
      <c r="A79" s="5">
        <v>76</v>
      </c>
      <c r="B79" s="107" t="s">
        <v>49</v>
      </c>
      <c r="C79" s="5"/>
      <c r="D79" s="39" t="s">
        <v>1056</v>
      </c>
      <c r="E79" s="110" t="s">
        <v>128</v>
      </c>
      <c r="F79" s="6" t="s">
        <v>12</v>
      </c>
      <c r="G79" s="6" t="s">
        <v>1023</v>
      </c>
      <c r="H79" s="6" t="s">
        <v>80</v>
      </c>
      <c r="I79" s="92">
        <v>1</v>
      </c>
      <c r="J79" s="67" t="s">
        <v>160</v>
      </c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>
        <v>41.4</v>
      </c>
      <c r="AM79" s="46">
        <v>0</v>
      </c>
      <c r="AN79" s="46">
        <v>0</v>
      </c>
      <c r="AO79" s="46">
        <v>0</v>
      </c>
      <c r="AP79" s="46">
        <f t="shared" si="2"/>
        <v>10.35</v>
      </c>
      <c r="AQ79" s="7">
        <f t="shared" si="3"/>
        <v>10.35</v>
      </c>
    </row>
    <row r="80" spans="1:43" x14ac:dyDescent="0.3">
      <c r="A80" s="5">
        <v>77</v>
      </c>
      <c r="B80" s="107" t="s">
        <v>49</v>
      </c>
      <c r="C80" s="112" t="s">
        <v>640</v>
      </c>
      <c r="D80" s="112" t="s">
        <v>717</v>
      </c>
      <c r="E80" s="110" t="s">
        <v>128</v>
      </c>
      <c r="F80" s="6" t="s">
        <v>12</v>
      </c>
      <c r="G80" s="6" t="s">
        <v>976</v>
      </c>
      <c r="H80" s="6" t="s">
        <v>35</v>
      </c>
      <c r="I80" s="5">
        <v>5</v>
      </c>
      <c r="J80" s="12" t="s">
        <v>589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v>53.774000000000001</v>
      </c>
      <c r="AP80" s="46">
        <f t="shared" si="2"/>
        <v>1.7346451612903226</v>
      </c>
      <c r="AQ80" s="7">
        <f t="shared" si="3"/>
        <v>0.34692903225806454</v>
      </c>
    </row>
    <row r="81" spans="1:43" x14ac:dyDescent="0.3">
      <c r="A81" s="5">
        <v>78</v>
      </c>
      <c r="B81" s="107" t="s">
        <v>49</v>
      </c>
      <c r="C81" s="112" t="s">
        <v>641</v>
      </c>
      <c r="D81" s="112" t="s">
        <v>725</v>
      </c>
      <c r="E81" s="110" t="s">
        <v>128</v>
      </c>
      <c r="F81" s="6" t="s">
        <v>12</v>
      </c>
      <c r="G81" s="6" t="s">
        <v>976</v>
      </c>
      <c r="H81" s="6" t="s">
        <v>35</v>
      </c>
      <c r="I81" s="5">
        <v>10</v>
      </c>
      <c r="J81" s="12" t="s">
        <v>589</v>
      </c>
      <c r="K81" s="46">
        <v>91.265999999999991</v>
      </c>
      <c r="L81" s="46">
        <v>64.608000000000004</v>
      </c>
      <c r="M81" s="46">
        <v>85.760999999999996</v>
      </c>
      <c r="N81" s="46">
        <v>85.239000000000004</v>
      </c>
      <c r="O81" s="46">
        <v>81.982000000000014</v>
      </c>
      <c r="P81" s="46">
        <v>64.785000000000011</v>
      </c>
      <c r="Q81" s="46">
        <v>83.502999999999986</v>
      </c>
      <c r="R81" s="46">
        <v>71.183999999999997</v>
      </c>
      <c r="S81" s="46">
        <v>73.528999999999996</v>
      </c>
      <c r="T81" s="46">
        <v>76.772999999999996</v>
      </c>
      <c r="U81" s="46">
        <v>69.894999999999982</v>
      </c>
      <c r="V81" s="46">
        <v>54.917000000000002</v>
      </c>
      <c r="W81" s="46">
        <v>67.515999999999991</v>
      </c>
      <c r="X81" s="46">
        <v>89.90300000000002</v>
      </c>
      <c r="Y81" s="46">
        <v>52.226000000000006</v>
      </c>
      <c r="Z81" s="46">
        <v>79.698000000000008</v>
      </c>
      <c r="AA81" s="46">
        <v>53.115999999999993</v>
      </c>
      <c r="AB81" s="46">
        <v>64.939000000000007</v>
      </c>
      <c r="AC81" s="46">
        <v>43.752999999999986</v>
      </c>
      <c r="AD81" s="46">
        <v>67</v>
      </c>
      <c r="AE81" s="46">
        <v>84.456000000000003</v>
      </c>
      <c r="AF81" s="46">
        <v>58.83</v>
      </c>
      <c r="AG81" s="46">
        <v>56.935999999999993</v>
      </c>
      <c r="AH81" s="46">
        <v>71.316999999999993</v>
      </c>
      <c r="AI81" s="46">
        <v>63.097999999999992</v>
      </c>
      <c r="AJ81" s="46">
        <v>52.524000000000001</v>
      </c>
      <c r="AK81" s="46">
        <v>72.430000000000007</v>
      </c>
      <c r="AL81" s="46">
        <v>76.222999999999999</v>
      </c>
      <c r="AM81" s="46">
        <v>101.95299999999999</v>
      </c>
      <c r="AN81" s="46">
        <v>47.034000000000006</v>
      </c>
      <c r="AO81" s="46">
        <v>62.612000000000009</v>
      </c>
      <c r="AP81" s="46">
        <f t="shared" si="2"/>
        <v>69.967935483870974</v>
      </c>
      <c r="AQ81" s="7">
        <f t="shared" si="3"/>
        <v>6.9967935483870978</v>
      </c>
    </row>
    <row r="82" spans="1:43" x14ac:dyDescent="0.3">
      <c r="A82" s="5">
        <v>79</v>
      </c>
      <c r="B82" s="107" t="s">
        <v>52</v>
      </c>
      <c r="C82" s="112" t="s">
        <v>642</v>
      </c>
      <c r="D82" s="112" t="s">
        <v>970</v>
      </c>
      <c r="E82" s="110" t="s">
        <v>128</v>
      </c>
      <c r="F82" s="6" t="s">
        <v>12</v>
      </c>
      <c r="G82" s="6" t="s">
        <v>976</v>
      </c>
      <c r="H82" s="6" t="s">
        <v>35</v>
      </c>
      <c r="I82" s="5">
        <v>3</v>
      </c>
      <c r="J82" s="12" t="s">
        <v>589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v>0</v>
      </c>
      <c r="AO82" s="46">
        <v>0</v>
      </c>
      <c r="AP82" s="46">
        <f t="shared" si="2"/>
        <v>0</v>
      </c>
      <c r="AQ82" s="7">
        <f t="shared" si="3"/>
        <v>0</v>
      </c>
    </row>
    <row r="83" spans="1:43" x14ac:dyDescent="0.3">
      <c r="A83" s="5">
        <v>80</v>
      </c>
      <c r="B83" s="107" t="s">
        <v>52</v>
      </c>
      <c r="C83" s="112" t="s">
        <v>643</v>
      </c>
      <c r="D83" s="112" t="s">
        <v>749</v>
      </c>
      <c r="E83" s="110" t="s">
        <v>128</v>
      </c>
      <c r="F83" s="6" t="s">
        <v>12</v>
      </c>
      <c r="G83" s="6" t="s">
        <v>976</v>
      </c>
      <c r="H83" s="6" t="s">
        <v>35</v>
      </c>
      <c r="I83" s="5">
        <v>7</v>
      </c>
      <c r="J83" s="12" t="s">
        <v>273</v>
      </c>
      <c r="K83" s="46">
        <v>146.595</v>
      </c>
      <c r="L83" s="46">
        <v>81.227999999999994</v>
      </c>
      <c r="M83" s="46">
        <v>84.080999999999989</v>
      </c>
      <c r="N83" s="46">
        <v>140.11699999999996</v>
      </c>
      <c r="O83" s="46">
        <v>97.609000000000023</v>
      </c>
      <c r="P83" s="46">
        <v>125.255</v>
      </c>
      <c r="Q83" s="46">
        <v>87.45</v>
      </c>
      <c r="R83" s="46">
        <v>85.075000000000003</v>
      </c>
      <c r="S83" s="46">
        <v>102.32300000000001</v>
      </c>
      <c r="T83" s="46">
        <v>95.161999999999992</v>
      </c>
      <c r="U83" s="46">
        <v>90.945999999999998</v>
      </c>
      <c r="V83" s="46">
        <v>42.75</v>
      </c>
      <c r="W83" s="46">
        <v>43.82</v>
      </c>
      <c r="X83" s="46">
        <v>59.603999999999999</v>
      </c>
      <c r="Y83" s="46">
        <v>26.021000000000001</v>
      </c>
      <c r="Z83" s="46">
        <v>35.403999999999996</v>
      </c>
      <c r="AA83" s="46">
        <v>34.762</v>
      </c>
      <c r="AB83" s="46">
        <v>32.03</v>
      </c>
      <c r="AC83" s="46">
        <v>56.321999999999996</v>
      </c>
      <c r="AD83" s="46">
        <v>32.43</v>
      </c>
      <c r="AE83" s="46">
        <v>23.907</v>
      </c>
      <c r="AF83" s="46">
        <v>33.290999999999997</v>
      </c>
      <c r="AG83" s="46">
        <v>59.135999999999996</v>
      </c>
      <c r="AH83" s="46">
        <v>36.587000000000003</v>
      </c>
      <c r="AI83" s="46">
        <v>32.182000000000002</v>
      </c>
      <c r="AJ83" s="46">
        <v>44.014000000000003</v>
      </c>
      <c r="AK83" s="46">
        <v>37.211999999999996</v>
      </c>
      <c r="AL83" s="46">
        <v>34.677</v>
      </c>
      <c r="AM83" s="46">
        <v>47.435000000000002</v>
      </c>
      <c r="AN83" s="46">
        <v>40.215000000000003</v>
      </c>
      <c r="AO83" s="46">
        <v>22.846</v>
      </c>
      <c r="AP83" s="46">
        <f t="shared" si="2"/>
        <v>61.628580645161264</v>
      </c>
      <c r="AQ83" s="7">
        <f t="shared" si="3"/>
        <v>8.8040829493087518</v>
      </c>
    </row>
    <row r="84" spans="1:43" ht="16.5" customHeight="1" x14ac:dyDescent="0.3">
      <c r="A84" s="5">
        <v>81</v>
      </c>
      <c r="B84" s="107" t="s">
        <v>134</v>
      </c>
      <c r="C84" s="112" t="s">
        <v>644</v>
      </c>
      <c r="D84" s="112" t="s">
        <v>754</v>
      </c>
      <c r="E84" s="110" t="s">
        <v>128</v>
      </c>
      <c r="F84" s="6" t="s">
        <v>12</v>
      </c>
      <c r="G84" s="6" t="s">
        <v>976</v>
      </c>
      <c r="H84" s="6" t="s">
        <v>35</v>
      </c>
      <c r="I84" s="5">
        <v>7</v>
      </c>
      <c r="J84" s="12" t="s">
        <v>273</v>
      </c>
      <c r="K84" s="46">
        <v>25.302</v>
      </c>
      <c r="L84" s="46">
        <v>27.204000000000001</v>
      </c>
      <c r="M84" s="46">
        <v>56.147999999999996</v>
      </c>
      <c r="N84" s="46">
        <v>53.87700000000001</v>
      </c>
      <c r="O84" s="46">
        <v>50.326999999999998</v>
      </c>
      <c r="P84" s="46">
        <v>47.094999999999999</v>
      </c>
      <c r="Q84" s="46">
        <v>36.478999999999999</v>
      </c>
      <c r="R84" s="46">
        <v>46.58</v>
      </c>
      <c r="S84" s="46">
        <v>28.867000000000004</v>
      </c>
      <c r="T84" s="46">
        <v>27.731000000000005</v>
      </c>
      <c r="U84" s="46">
        <v>42.673000000000002</v>
      </c>
      <c r="V84" s="46">
        <v>34.308999999999997</v>
      </c>
      <c r="W84" s="46">
        <v>44.981999999999999</v>
      </c>
      <c r="X84" s="46">
        <v>40.290999999999997</v>
      </c>
      <c r="Y84" s="46">
        <v>34.392000000000003</v>
      </c>
      <c r="Z84" s="46">
        <v>49.404000000000003</v>
      </c>
      <c r="AA84" s="46">
        <v>43.187999999999995</v>
      </c>
      <c r="AB84" s="46">
        <v>27.258999999999997</v>
      </c>
      <c r="AC84" s="46">
        <v>33.459000000000003</v>
      </c>
      <c r="AD84" s="46">
        <v>54.858999999999995</v>
      </c>
      <c r="AE84" s="46">
        <v>46.756999999999991</v>
      </c>
      <c r="AF84" s="46">
        <v>26.978000000000002</v>
      </c>
      <c r="AG84" s="46">
        <v>26.180999999999997</v>
      </c>
      <c r="AH84" s="46">
        <v>47.218000000000004</v>
      </c>
      <c r="AI84" s="46">
        <v>32.819000000000003</v>
      </c>
      <c r="AJ84" s="46">
        <v>42.106999999999999</v>
      </c>
      <c r="AK84" s="46">
        <v>27.923000000000002</v>
      </c>
      <c r="AL84" s="46">
        <v>20.718</v>
      </c>
      <c r="AM84" s="46">
        <v>51.37700000000001</v>
      </c>
      <c r="AN84" s="46">
        <v>31.278999999999996</v>
      </c>
      <c r="AO84" s="46">
        <v>39.094999999999999</v>
      </c>
      <c r="AP84" s="46">
        <f t="shared" si="2"/>
        <v>38.60896774193548</v>
      </c>
      <c r="AQ84" s="7">
        <f t="shared" si="3"/>
        <v>5.5155668202764971</v>
      </c>
    </row>
    <row r="85" spans="1:43" x14ac:dyDescent="0.3">
      <c r="A85" s="5">
        <v>82</v>
      </c>
      <c r="B85" s="107" t="s">
        <v>58</v>
      </c>
      <c r="C85" s="112"/>
      <c r="D85" s="39" t="s">
        <v>1037</v>
      </c>
      <c r="E85" s="110" t="s">
        <v>128</v>
      </c>
      <c r="F85" s="6" t="s">
        <v>12</v>
      </c>
      <c r="G85" s="6" t="s">
        <v>13</v>
      </c>
      <c r="H85" s="6" t="s">
        <v>35</v>
      </c>
      <c r="I85" s="5">
        <v>1</v>
      </c>
      <c r="J85" s="94" t="s">
        <v>590</v>
      </c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46">
        <v>0</v>
      </c>
      <c r="AN85" s="46">
        <v>0</v>
      </c>
      <c r="AO85" s="46">
        <v>0</v>
      </c>
      <c r="AP85" s="46">
        <f t="shared" si="2"/>
        <v>0</v>
      </c>
      <c r="AQ85" s="7">
        <f t="shared" si="3"/>
        <v>0</v>
      </c>
    </row>
    <row r="86" spans="1:43" x14ac:dyDescent="0.3">
      <c r="A86" s="5">
        <v>83</v>
      </c>
      <c r="B86" s="107" t="s">
        <v>58</v>
      </c>
      <c r="C86" s="112"/>
      <c r="D86" s="39" t="s">
        <v>1037</v>
      </c>
      <c r="E86" s="6" t="s">
        <v>128</v>
      </c>
      <c r="F86" s="6" t="s">
        <v>12</v>
      </c>
      <c r="G86" s="6" t="s">
        <v>1038</v>
      </c>
      <c r="H86" s="6" t="s">
        <v>35</v>
      </c>
      <c r="I86" s="92">
        <v>1</v>
      </c>
      <c r="J86" s="94" t="s">
        <v>590</v>
      </c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>
        <v>0</v>
      </c>
      <c r="AK86" s="46">
        <v>0</v>
      </c>
      <c r="AL86" s="46">
        <v>0</v>
      </c>
      <c r="AM86" s="46">
        <v>0</v>
      </c>
      <c r="AN86" s="46">
        <v>0</v>
      </c>
      <c r="AO86" s="46">
        <v>0</v>
      </c>
      <c r="AP86" s="46">
        <f t="shared" si="2"/>
        <v>0</v>
      </c>
      <c r="AQ86" s="7">
        <f t="shared" si="3"/>
        <v>0</v>
      </c>
    </row>
    <row r="87" spans="1:43" x14ac:dyDescent="0.3">
      <c r="A87" s="5">
        <v>84</v>
      </c>
      <c r="B87" s="107" t="s">
        <v>58</v>
      </c>
      <c r="C87" s="112"/>
      <c r="D87" s="39" t="s">
        <v>1037</v>
      </c>
      <c r="E87" s="6" t="s">
        <v>128</v>
      </c>
      <c r="F87" s="6" t="s">
        <v>12</v>
      </c>
      <c r="G87" s="6" t="s">
        <v>41</v>
      </c>
      <c r="H87" s="6" t="s">
        <v>35</v>
      </c>
      <c r="I87" s="92">
        <v>1</v>
      </c>
      <c r="J87" s="94" t="s">
        <v>590</v>
      </c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0</v>
      </c>
      <c r="AJ87" s="46">
        <v>0</v>
      </c>
      <c r="AK87" s="46">
        <v>0</v>
      </c>
      <c r="AL87" s="46">
        <v>0</v>
      </c>
      <c r="AM87" s="46">
        <v>0</v>
      </c>
      <c r="AN87" s="46">
        <v>0</v>
      </c>
      <c r="AO87" s="46">
        <v>0</v>
      </c>
      <c r="AP87" s="46">
        <f t="shared" si="2"/>
        <v>0</v>
      </c>
      <c r="AQ87" s="7">
        <f t="shared" si="3"/>
        <v>0</v>
      </c>
    </row>
    <row r="88" spans="1:43" x14ac:dyDescent="0.3">
      <c r="A88" s="5">
        <v>85</v>
      </c>
      <c r="B88" s="108" t="s">
        <v>246</v>
      </c>
      <c r="C88" s="112" t="s">
        <v>645</v>
      </c>
      <c r="D88" s="112" t="s">
        <v>765</v>
      </c>
      <c r="E88" s="6" t="s">
        <v>128</v>
      </c>
      <c r="F88" s="6" t="s">
        <v>12</v>
      </c>
      <c r="G88" s="6" t="s">
        <v>976</v>
      </c>
      <c r="H88" s="6" t="s">
        <v>35</v>
      </c>
      <c r="I88" s="92">
        <v>5</v>
      </c>
      <c r="J88" s="12" t="s">
        <v>273</v>
      </c>
      <c r="K88" s="46">
        <v>28.317</v>
      </c>
      <c r="L88" s="46">
        <v>28.186</v>
      </c>
      <c r="M88" s="46">
        <v>24.173000000000002</v>
      </c>
      <c r="N88" s="46">
        <v>37.165999999999997</v>
      </c>
      <c r="O88" s="46">
        <v>22.551000000000002</v>
      </c>
      <c r="P88" s="46">
        <v>26.432000000000002</v>
      </c>
      <c r="Q88" s="46">
        <v>18.957000000000001</v>
      </c>
      <c r="R88" s="46">
        <v>37.682999999999993</v>
      </c>
      <c r="S88" s="46">
        <v>15.356</v>
      </c>
      <c r="T88" s="46">
        <v>41.746000000000002</v>
      </c>
      <c r="U88" s="46">
        <v>24.600999999999999</v>
      </c>
      <c r="V88" s="46">
        <v>27.436</v>
      </c>
      <c r="W88" s="46">
        <v>12.861999999999998</v>
      </c>
      <c r="X88" s="46">
        <v>36.615000000000002</v>
      </c>
      <c r="Y88" s="46">
        <v>20.93</v>
      </c>
      <c r="Z88" s="46">
        <v>24.349</v>
      </c>
      <c r="AA88" s="46">
        <v>33.185000000000002</v>
      </c>
      <c r="AB88" s="46">
        <v>19.974000000000004</v>
      </c>
      <c r="AC88" s="46">
        <v>35.277999999999999</v>
      </c>
      <c r="AD88" s="46">
        <v>28.199000000000002</v>
      </c>
      <c r="AE88" s="46">
        <v>45.354999999999997</v>
      </c>
      <c r="AF88" s="46">
        <v>16.970999999999997</v>
      </c>
      <c r="AG88" s="46">
        <v>44.894000000000005</v>
      </c>
      <c r="AH88" s="46">
        <v>33.015000000000001</v>
      </c>
      <c r="AI88" s="46">
        <v>41.278999999999996</v>
      </c>
      <c r="AJ88" s="46">
        <v>26.843999999999998</v>
      </c>
      <c r="AK88" s="46">
        <v>29.868000000000002</v>
      </c>
      <c r="AL88" s="46">
        <v>21.319000000000003</v>
      </c>
      <c r="AM88" s="46">
        <v>34.954999999999998</v>
      </c>
      <c r="AN88" s="46">
        <v>39.975999999999999</v>
      </c>
      <c r="AO88" s="46">
        <v>18.819000000000003</v>
      </c>
      <c r="AP88" s="46">
        <f t="shared" si="2"/>
        <v>28.944870967741934</v>
      </c>
      <c r="AQ88" s="7">
        <f t="shared" si="3"/>
        <v>5.7889741935483867</v>
      </c>
    </row>
    <row r="89" spans="1:43" ht="17.25" customHeight="1" x14ac:dyDescent="0.3">
      <c r="A89" s="5">
        <v>86</v>
      </c>
      <c r="B89" s="107" t="s">
        <v>58</v>
      </c>
      <c r="C89" s="112" t="s">
        <v>646</v>
      </c>
      <c r="D89" s="112" t="s">
        <v>724</v>
      </c>
      <c r="E89" s="110" t="s">
        <v>61</v>
      </c>
      <c r="F89" s="6" t="s">
        <v>12</v>
      </c>
      <c r="G89" s="6" t="s">
        <v>976</v>
      </c>
      <c r="H89" s="6" t="s">
        <v>35</v>
      </c>
      <c r="I89" s="5">
        <v>4</v>
      </c>
      <c r="J89" s="12" t="s">
        <v>589</v>
      </c>
      <c r="K89" s="46">
        <v>83.875</v>
      </c>
      <c r="L89" s="46">
        <v>71.465000000000003</v>
      </c>
      <c r="M89" s="46">
        <v>94.190000000000012</v>
      </c>
      <c r="N89" s="46">
        <v>75.201999999999998</v>
      </c>
      <c r="O89" s="46">
        <v>73.582000000000008</v>
      </c>
      <c r="P89" s="46">
        <v>82.670000000000016</v>
      </c>
      <c r="Q89" s="46">
        <v>89.60299999999998</v>
      </c>
      <c r="R89" s="46">
        <v>57.713999999999999</v>
      </c>
      <c r="S89" s="46">
        <v>65.310000000000016</v>
      </c>
      <c r="T89" s="46">
        <v>24.629999999999995</v>
      </c>
      <c r="U89" s="46">
        <v>19.695</v>
      </c>
      <c r="V89" s="46">
        <v>9.6340000000000003</v>
      </c>
      <c r="W89" s="46">
        <v>7.2239999999999993</v>
      </c>
      <c r="X89" s="46">
        <v>23.035999999999998</v>
      </c>
      <c r="Y89" s="46">
        <v>20.798999999999999</v>
      </c>
      <c r="Z89" s="46">
        <v>19.405999999999999</v>
      </c>
      <c r="AA89" s="46">
        <v>21.517000000000003</v>
      </c>
      <c r="AB89" s="46">
        <v>23.756999999999998</v>
      </c>
      <c r="AC89" s="46">
        <v>18.701999999999998</v>
      </c>
      <c r="AD89" s="46">
        <v>10.704999999999998</v>
      </c>
      <c r="AE89" s="46">
        <v>19.82</v>
      </c>
      <c r="AF89" s="46">
        <v>13.657999999999999</v>
      </c>
      <c r="AG89" s="46">
        <v>8.5220000000000002</v>
      </c>
      <c r="AH89" s="46">
        <v>19.481999999999999</v>
      </c>
      <c r="AI89" s="46">
        <v>9.6810000000000009</v>
      </c>
      <c r="AJ89" s="46">
        <v>9.3070000000000004</v>
      </c>
      <c r="AK89" s="46">
        <v>16.068000000000001</v>
      </c>
      <c r="AL89" s="46">
        <v>10.531999999999998</v>
      </c>
      <c r="AM89" s="46">
        <v>14.340999999999999</v>
      </c>
      <c r="AN89" s="46">
        <v>5.5940000000000003</v>
      </c>
      <c r="AO89" s="46">
        <v>17.603000000000002</v>
      </c>
      <c r="AP89" s="46">
        <f t="shared" si="2"/>
        <v>33.46206451612904</v>
      </c>
      <c r="AQ89" s="7">
        <f t="shared" si="3"/>
        <v>8.3655161290322599</v>
      </c>
    </row>
    <row r="90" spans="1:43" x14ac:dyDescent="0.3">
      <c r="A90" s="5">
        <v>87</v>
      </c>
      <c r="B90" s="107" t="s">
        <v>58</v>
      </c>
      <c r="C90" s="112" t="s">
        <v>647</v>
      </c>
      <c r="D90" s="112" t="s">
        <v>727</v>
      </c>
      <c r="E90" s="110" t="s">
        <v>61</v>
      </c>
      <c r="F90" s="6" t="s">
        <v>12</v>
      </c>
      <c r="G90" s="6" t="s">
        <v>976</v>
      </c>
      <c r="H90" s="6" t="s">
        <v>35</v>
      </c>
      <c r="I90" s="5">
        <v>9</v>
      </c>
      <c r="J90" s="12" t="s">
        <v>589</v>
      </c>
      <c r="K90" s="46">
        <v>37.002999999999993</v>
      </c>
      <c r="L90" s="46">
        <v>42.533000000000008</v>
      </c>
      <c r="M90" s="46">
        <v>35.647000000000006</v>
      </c>
      <c r="N90" s="46">
        <v>70.11999999999999</v>
      </c>
      <c r="O90" s="46">
        <v>28.972999999999999</v>
      </c>
      <c r="P90" s="46">
        <v>46.732999999999997</v>
      </c>
      <c r="Q90" s="46">
        <v>35.779999999999994</v>
      </c>
      <c r="R90" s="46">
        <v>66.98899999999999</v>
      </c>
      <c r="S90" s="46">
        <v>46.727999999999994</v>
      </c>
      <c r="T90" s="46">
        <v>32.625999999999998</v>
      </c>
      <c r="U90" s="46">
        <v>30.494</v>
      </c>
      <c r="V90" s="46">
        <v>11.544</v>
      </c>
      <c r="W90" s="46">
        <v>16.48</v>
      </c>
      <c r="X90" s="46">
        <v>50.829999999999991</v>
      </c>
      <c r="Y90" s="46">
        <v>34.61</v>
      </c>
      <c r="Z90" s="46">
        <v>14.369000000000002</v>
      </c>
      <c r="AA90" s="46">
        <v>18.52</v>
      </c>
      <c r="AB90" s="46">
        <v>37.307000000000002</v>
      </c>
      <c r="AC90" s="46">
        <v>56.677</v>
      </c>
      <c r="AD90" s="46">
        <v>64.713999999999984</v>
      </c>
      <c r="AE90" s="46">
        <v>55.516999999999996</v>
      </c>
      <c r="AF90" s="46">
        <v>73.45</v>
      </c>
      <c r="AG90" s="46">
        <v>28.276000000000003</v>
      </c>
      <c r="AH90" s="46">
        <v>62.420000000000009</v>
      </c>
      <c r="AI90" s="46">
        <v>56.826000000000008</v>
      </c>
      <c r="AJ90" s="46">
        <v>49.651000000000003</v>
      </c>
      <c r="AK90" s="46">
        <v>43.553000000000011</v>
      </c>
      <c r="AL90" s="46">
        <v>37.822000000000003</v>
      </c>
      <c r="AM90" s="46">
        <v>59.531000000000006</v>
      </c>
      <c r="AN90" s="46">
        <v>54.227000000000004</v>
      </c>
      <c r="AO90" s="46">
        <v>41.882999999999996</v>
      </c>
      <c r="AP90" s="46">
        <f t="shared" si="2"/>
        <v>43.284935483870967</v>
      </c>
      <c r="AQ90" s="7">
        <f t="shared" si="3"/>
        <v>4.8094372759856627</v>
      </c>
    </row>
    <row r="91" spans="1:43" x14ac:dyDescent="0.3">
      <c r="A91" s="5">
        <v>88</v>
      </c>
      <c r="B91" s="107" t="s">
        <v>58</v>
      </c>
      <c r="C91" s="112" t="s">
        <v>648</v>
      </c>
      <c r="D91" s="113" t="s">
        <v>763</v>
      </c>
      <c r="E91" s="110" t="s">
        <v>63</v>
      </c>
      <c r="F91" s="6" t="s">
        <v>19</v>
      </c>
      <c r="G91" s="6" t="s">
        <v>976</v>
      </c>
      <c r="H91" s="12" t="s">
        <v>35</v>
      </c>
      <c r="I91" s="5">
        <v>8</v>
      </c>
      <c r="J91" s="94" t="s">
        <v>273</v>
      </c>
      <c r="K91" s="46">
        <v>31.973000000000003</v>
      </c>
      <c r="L91" s="46">
        <v>10.341000000000001</v>
      </c>
      <c r="M91" s="46">
        <v>10.216999999999999</v>
      </c>
      <c r="N91" s="46">
        <v>24.266000000000002</v>
      </c>
      <c r="O91" s="46">
        <v>24.088999999999999</v>
      </c>
      <c r="P91" s="46">
        <v>23.222999999999999</v>
      </c>
      <c r="Q91" s="46">
        <v>24.223999999999997</v>
      </c>
      <c r="R91" s="46">
        <v>31.428000000000001</v>
      </c>
      <c r="S91" s="46">
        <v>12.231999999999999</v>
      </c>
      <c r="T91" s="46">
        <v>19.47</v>
      </c>
      <c r="U91" s="46">
        <v>16.945</v>
      </c>
      <c r="V91" s="46">
        <v>4.6210000000000004</v>
      </c>
      <c r="W91" s="46">
        <v>20.337</v>
      </c>
      <c r="X91" s="46">
        <v>24.169</v>
      </c>
      <c r="Y91" s="46">
        <v>34.149000000000001</v>
      </c>
      <c r="Z91" s="46">
        <v>22.29</v>
      </c>
      <c r="AA91" s="46">
        <v>38.771000000000001</v>
      </c>
      <c r="AB91" s="46">
        <v>13.051</v>
      </c>
      <c r="AC91" s="46">
        <v>41.027000000000001</v>
      </c>
      <c r="AD91" s="46">
        <v>15.845000000000001</v>
      </c>
      <c r="AE91" s="46">
        <v>14.736000000000001</v>
      </c>
      <c r="AF91" s="46">
        <v>48.186000000000007</v>
      </c>
      <c r="AG91" s="46">
        <v>30.188000000000002</v>
      </c>
      <c r="AH91" s="46">
        <v>43.949999999999996</v>
      </c>
      <c r="AI91" s="46">
        <v>47.942000000000007</v>
      </c>
      <c r="AJ91" s="46">
        <v>130.88499999999999</v>
      </c>
      <c r="AK91" s="46">
        <v>40.353000000000002</v>
      </c>
      <c r="AL91" s="46">
        <v>31.356000000000002</v>
      </c>
      <c r="AM91" s="46">
        <v>16.562999999999999</v>
      </c>
      <c r="AN91" s="46">
        <v>15.741</v>
      </c>
      <c r="AO91" s="46">
        <v>60.678999999999988</v>
      </c>
      <c r="AP91" s="46">
        <f t="shared" si="2"/>
        <v>29.782161290322581</v>
      </c>
      <c r="AQ91" s="7">
        <f t="shared" si="3"/>
        <v>3.7227701612903226</v>
      </c>
    </row>
    <row r="92" spans="1:43" ht="15" customHeight="1" x14ac:dyDescent="0.3">
      <c r="A92" s="5">
        <v>89</v>
      </c>
      <c r="B92" s="107" t="s">
        <v>58</v>
      </c>
      <c r="C92" s="10" t="s">
        <v>648</v>
      </c>
      <c r="D92" s="39" t="s">
        <v>763</v>
      </c>
      <c r="E92" s="110" t="s">
        <v>63</v>
      </c>
      <c r="F92" s="6" t="s">
        <v>19</v>
      </c>
      <c r="G92" s="6" t="s">
        <v>978</v>
      </c>
      <c r="H92" s="6" t="s">
        <v>80</v>
      </c>
      <c r="I92" s="5">
        <v>1</v>
      </c>
      <c r="J92" s="94" t="s">
        <v>273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v>0</v>
      </c>
      <c r="AP92" s="46">
        <f t="shared" si="2"/>
        <v>0</v>
      </c>
      <c r="AQ92" s="7">
        <f t="shared" si="3"/>
        <v>0</v>
      </c>
    </row>
    <row r="93" spans="1:43" x14ac:dyDescent="0.3">
      <c r="A93" s="5">
        <v>90</v>
      </c>
      <c r="B93" s="107" t="s">
        <v>58</v>
      </c>
      <c r="C93" s="112" t="s">
        <v>649</v>
      </c>
      <c r="D93" s="112" t="s">
        <v>767</v>
      </c>
      <c r="E93" s="110" t="s">
        <v>128</v>
      </c>
      <c r="F93" s="6" t="s">
        <v>12</v>
      </c>
      <c r="G93" s="6" t="s">
        <v>976</v>
      </c>
      <c r="H93" s="12" t="s">
        <v>35</v>
      </c>
      <c r="I93" s="5">
        <v>7</v>
      </c>
      <c r="J93" s="94" t="s">
        <v>273</v>
      </c>
      <c r="K93" s="46">
        <v>150.60499999999999</v>
      </c>
      <c r="L93" s="46">
        <v>159.59200000000001</v>
      </c>
      <c r="M93" s="46">
        <v>137.19099999999997</v>
      </c>
      <c r="N93" s="46">
        <v>167.98599999999999</v>
      </c>
      <c r="O93" s="46">
        <v>150.898</v>
      </c>
      <c r="P93" s="46">
        <v>174.09599999999998</v>
      </c>
      <c r="Q93" s="46">
        <v>164.91200000000003</v>
      </c>
      <c r="R93" s="46">
        <v>143.43299999999999</v>
      </c>
      <c r="S93" s="46">
        <v>187.48399999999992</v>
      </c>
      <c r="T93" s="46">
        <v>163.53899999999999</v>
      </c>
      <c r="U93" s="46">
        <v>150.56299999999999</v>
      </c>
      <c r="V93" s="46">
        <v>163.691</v>
      </c>
      <c r="W93" s="46">
        <v>131.57899999999998</v>
      </c>
      <c r="X93" s="46">
        <v>165.90899999999999</v>
      </c>
      <c r="Y93" s="46">
        <v>168.172</v>
      </c>
      <c r="Z93" s="46">
        <v>176.15800000000004</v>
      </c>
      <c r="AA93" s="46">
        <v>134.54799999999997</v>
      </c>
      <c r="AB93" s="46">
        <v>138.755</v>
      </c>
      <c r="AC93" s="46">
        <v>148.84899999999999</v>
      </c>
      <c r="AD93" s="46">
        <v>118.08500000000002</v>
      </c>
      <c r="AE93" s="46">
        <v>128.53299999999999</v>
      </c>
      <c r="AF93" s="46">
        <v>123.684</v>
      </c>
      <c r="AG93" s="46">
        <v>136.75</v>
      </c>
      <c r="AH93" s="46">
        <v>147.02999999999997</v>
      </c>
      <c r="AI93" s="46">
        <v>123.414</v>
      </c>
      <c r="AJ93" s="46">
        <v>153.77099999999999</v>
      </c>
      <c r="AK93" s="46">
        <v>122.996</v>
      </c>
      <c r="AL93" s="46">
        <v>115.41200000000001</v>
      </c>
      <c r="AM93" s="46">
        <v>132.07300000000001</v>
      </c>
      <c r="AN93" s="46">
        <v>61.724999999999994</v>
      </c>
      <c r="AO93" s="46">
        <v>33.686</v>
      </c>
      <c r="AP93" s="46">
        <f t="shared" si="2"/>
        <v>141.13287096774198</v>
      </c>
      <c r="AQ93" s="7">
        <f t="shared" si="3"/>
        <v>20.161838709677426</v>
      </c>
    </row>
    <row r="94" spans="1:43" x14ac:dyDescent="0.3">
      <c r="A94" s="5">
        <v>91</v>
      </c>
      <c r="B94" s="107" t="s">
        <v>58</v>
      </c>
      <c r="C94" s="112" t="s">
        <v>650</v>
      </c>
      <c r="D94" s="112" t="s">
        <v>758</v>
      </c>
      <c r="E94" s="110" t="s">
        <v>128</v>
      </c>
      <c r="F94" s="6" t="s">
        <v>12</v>
      </c>
      <c r="G94" s="6" t="s">
        <v>976</v>
      </c>
      <c r="H94" s="12" t="s">
        <v>35</v>
      </c>
      <c r="I94" s="5">
        <v>10</v>
      </c>
      <c r="J94" s="94" t="s">
        <v>273</v>
      </c>
      <c r="K94" s="46">
        <v>139.29599999999999</v>
      </c>
      <c r="L94" s="46">
        <v>135.16300000000001</v>
      </c>
      <c r="M94" s="46">
        <v>153.11199999999997</v>
      </c>
      <c r="N94" s="46">
        <v>153.965</v>
      </c>
      <c r="O94" s="46">
        <v>162.11199999999999</v>
      </c>
      <c r="P94" s="46">
        <v>131.64300000000006</v>
      </c>
      <c r="Q94" s="46">
        <v>140.113</v>
      </c>
      <c r="R94" s="46">
        <v>142.25600000000003</v>
      </c>
      <c r="S94" s="46">
        <v>162.95700000000002</v>
      </c>
      <c r="T94" s="46">
        <v>121.22900000000003</v>
      </c>
      <c r="U94" s="46">
        <v>126.92100000000002</v>
      </c>
      <c r="V94" s="46">
        <v>138.94199999999998</v>
      </c>
      <c r="W94" s="46">
        <v>155.02099999999996</v>
      </c>
      <c r="X94" s="46">
        <v>139.05499999999998</v>
      </c>
      <c r="Y94" s="46">
        <v>163.93900000000002</v>
      </c>
      <c r="Z94" s="46">
        <v>147.44800000000001</v>
      </c>
      <c r="AA94" s="46">
        <v>127.69799999999999</v>
      </c>
      <c r="AB94" s="46">
        <v>154.541</v>
      </c>
      <c r="AC94" s="46">
        <v>144.333</v>
      </c>
      <c r="AD94" s="46">
        <v>120.795</v>
      </c>
      <c r="AE94" s="46">
        <v>135.779</v>
      </c>
      <c r="AF94" s="46">
        <v>117.90000000000002</v>
      </c>
      <c r="AG94" s="46">
        <v>144.90299999999999</v>
      </c>
      <c r="AH94" s="46">
        <v>155.15600000000003</v>
      </c>
      <c r="AI94" s="46">
        <v>137.58200000000002</v>
      </c>
      <c r="AJ94" s="46">
        <v>148.00599999999997</v>
      </c>
      <c r="AK94" s="46">
        <v>110.30699999999996</v>
      </c>
      <c r="AL94" s="46">
        <v>144.89400000000006</v>
      </c>
      <c r="AM94" s="46">
        <v>114.143</v>
      </c>
      <c r="AN94" s="46">
        <v>92.191000000000003</v>
      </c>
      <c r="AO94" s="46">
        <v>108.68</v>
      </c>
      <c r="AP94" s="46">
        <f t="shared" si="2"/>
        <v>137.74451612903226</v>
      </c>
      <c r="AQ94" s="7">
        <f t="shared" si="3"/>
        <v>13.774451612903226</v>
      </c>
    </row>
    <row r="95" spans="1:43" x14ac:dyDescent="0.3">
      <c r="A95" s="5">
        <v>92</v>
      </c>
      <c r="B95" s="107" t="s">
        <v>58</v>
      </c>
      <c r="C95" s="112" t="s">
        <v>651</v>
      </c>
      <c r="D95" s="112" t="s">
        <v>756</v>
      </c>
      <c r="E95" s="110" t="s">
        <v>128</v>
      </c>
      <c r="F95" s="6" t="s">
        <v>12</v>
      </c>
      <c r="G95" s="6" t="s">
        <v>976</v>
      </c>
      <c r="H95" s="12" t="s">
        <v>35</v>
      </c>
      <c r="I95" s="5">
        <v>8</v>
      </c>
      <c r="J95" s="94" t="s">
        <v>273</v>
      </c>
      <c r="K95" s="46">
        <v>56.393999999999998</v>
      </c>
      <c r="L95" s="46">
        <v>56.25800000000001</v>
      </c>
      <c r="M95" s="46">
        <v>46.128999999999991</v>
      </c>
      <c r="N95" s="46">
        <v>56.697000000000003</v>
      </c>
      <c r="O95" s="46">
        <v>36.010000000000005</v>
      </c>
      <c r="P95" s="46">
        <v>54.325000000000003</v>
      </c>
      <c r="Q95" s="46">
        <v>52.971000000000004</v>
      </c>
      <c r="R95" s="46">
        <v>56.131</v>
      </c>
      <c r="S95" s="46">
        <v>53.304000000000002</v>
      </c>
      <c r="T95" s="46">
        <v>35.167999999999999</v>
      </c>
      <c r="U95" s="46">
        <v>61.482999999999997</v>
      </c>
      <c r="V95" s="46">
        <v>59.483000000000004</v>
      </c>
      <c r="W95" s="46">
        <v>55.348999999999997</v>
      </c>
      <c r="X95" s="46">
        <v>31.503</v>
      </c>
      <c r="Y95" s="46">
        <v>16.596</v>
      </c>
      <c r="Z95" s="46">
        <v>58.328000000000003</v>
      </c>
      <c r="AA95" s="46">
        <v>33.088999999999999</v>
      </c>
      <c r="AB95" s="46">
        <v>50.220999999999997</v>
      </c>
      <c r="AC95" s="46">
        <v>72.763000000000005</v>
      </c>
      <c r="AD95" s="46">
        <v>52.426000000000002</v>
      </c>
      <c r="AE95" s="46">
        <v>43.669999999999995</v>
      </c>
      <c r="AF95" s="46">
        <v>35.010999999999996</v>
      </c>
      <c r="AG95" s="46">
        <v>48.274000000000008</v>
      </c>
      <c r="AH95" s="46">
        <v>48.338999999999999</v>
      </c>
      <c r="AI95" s="46">
        <v>35.299999999999997</v>
      </c>
      <c r="AJ95" s="46">
        <v>31.183</v>
      </c>
      <c r="AK95" s="46">
        <v>48.92799999999999</v>
      </c>
      <c r="AL95" s="46">
        <v>65.490999999999985</v>
      </c>
      <c r="AM95" s="46">
        <v>37.875</v>
      </c>
      <c r="AN95" s="46">
        <v>40.367000000000004</v>
      </c>
      <c r="AO95" s="46">
        <v>29.622999999999998</v>
      </c>
      <c r="AP95" s="46">
        <f t="shared" si="2"/>
        <v>47.054483870967736</v>
      </c>
      <c r="AQ95" s="7">
        <f t="shared" si="3"/>
        <v>5.8818104838709671</v>
      </c>
    </row>
    <row r="96" spans="1:43" x14ac:dyDescent="0.3">
      <c r="A96" s="5">
        <v>93</v>
      </c>
      <c r="B96" s="107" t="s">
        <v>58</v>
      </c>
      <c r="C96" s="112" t="s">
        <v>652</v>
      </c>
      <c r="D96" s="112" t="s">
        <v>786</v>
      </c>
      <c r="E96" s="110" t="s">
        <v>128</v>
      </c>
      <c r="F96" s="6" t="s">
        <v>12</v>
      </c>
      <c r="G96" s="6" t="s">
        <v>976</v>
      </c>
      <c r="H96" s="12" t="s">
        <v>35</v>
      </c>
      <c r="I96" s="5">
        <v>6</v>
      </c>
      <c r="J96" s="94" t="s">
        <v>273</v>
      </c>
      <c r="K96" s="46">
        <v>19.875</v>
      </c>
      <c r="L96" s="46">
        <v>12.252000000000001</v>
      </c>
      <c r="M96" s="46">
        <v>24.302</v>
      </c>
      <c r="N96" s="46">
        <v>23.008000000000003</v>
      </c>
      <c r="O96" s="46">
        <v>7.5430000000000001</v>
      </c>
      <c r="P96" s="46">
        <v>3.9499999999999997</v>
      </c>
      <c r="Q96" s="46">
        <v>14.466999999999999</v>
      </c>
      <c r="R96" s="46">
        <v>12.207000000000001</v>
      </c>
      <c r="S96" s="46">
        <v>24.731000000000002</v>
      </c>
      <c r="T96" s="46">
        <v>0</v>
      </c>
      <c r="U96" s="46">
        <v>10.459</v>
      </c>
      <c r="V96" s="46">
        <v>12.879000000000001</v>
      </c>
      <c r="W96" s="46">
        <v>12.982000000000001</v>
      </c>
      <c r="X96" s="46">
        <v>20.672999999999998</v>
      </c>
      <c r="Y96" s="46">
        <v>13.112</v>
      </c>
      <c r="Z96" s="46">
        <v>22.03</v>
      </c>
      <c r="AA96" s="46">
        <v>19.652999999999999</v>
      </c>
      <c r="AB96" s="46">
        <v>20.988999999999997</v>
      </c>
      <c r="AC96" s="46">
        <v>15.744999999999999</v>
      </c>
      <c r="AD96" s="46">
        <v>15.806000000000001</v>
      </c>
      <c r="AE96" s="46">
        <v>6.2519999999999998</v>
      </c>
      <c r="AF96" s="46">
        <v>17.763000000000002</v>
      </c>
      <c r="AG96" s="46">
        <v>16.377000000000002</v>
      </c>
      <c r="AH96" s="46">
        <v>16.358000000000004</v>
      </c>
      <c r="AI96" s="46">
        <v>2.6749999999999998</v>
      </c>
      <c r="AJ96" s="46">
        <v>25.122</v>
      </c>
      <c r="AK96" s="46">
        <v>22.254999999999999</v>
      </c>
      <c r="AL96" s="46">
        <v>8.0380000000000003</v>
      </c>
      <c r="AM96" s="46">
        <v>24.83</v>
      </c>
      <c r="AN96" s="46">
        <v>17.951999999999998</v>
      </c>
      <c r="AO96" s="46">
        <v>11.189</v>
      </c>
      <c r="AP96" s="46">
        <f t="shared" si="2"/>
        <v>15.337870967741935</v>
      </c>
      <c r="AQ96" s="7">
        <f t="shared" si="3"/>
        <v>2.5563118279569892</v>
      </c>
    </row>
    <row r="97" spans="1:43" x14ac:dyDescent="0.3">
      <c r="A97" s="5">
        <v>94</v>
      </c>
      <c r="B97" s="107" t="s">
        <v>58</v>
      </c>
      <c r="C97" s="112" t="s">
        <v>653</v>
      </c>
      <c r="D97" s="112" t="s">
        <v>953</v>
      </c>
      <c r="E97" s="110" t="s">
        <v>128</v>
      </c>
      <c r="F97" s="6" t="s">
        <v>12</v>
      </c>
      <c r="G97" s="6" t="s">
        <v>976</v>
      </c>
      <c r="H97" s="12" t="s">
        <v>35</v>
      </c>
      <c r="I97" s="5">
        <v>2</v>
      </c>
      <c r="J97" s="94" t="s">
        <v>273</v>
      </c>
      <c r="K97" s="46">
        <v>17.006</v>
      </c>
      <c r="L97" s="46">
        <v>27.424999999999997</v>
      </c>
      <c r="M97" s="46">
        <v>5.3790000000000004</v>
      </c>
      <c r="N97" s="46">
        <v>35.576000000000022</v>
      </c>
      <c r="O97" s="46">
        <v>13.286</v>
      </c>
      <c r="P97" s="46">
        <v>23.558</v>
      </c>
      <c r="Q97" s="46">
        <v>30.642999999999994</v>
      </c>
      <c r="R97" s="46">
        <v>17.148</v>
      </c>
      <c r="S97" s="46">
        <v>22.21</v>
      </c>
      <c r="T97" s="46">
        <v>34.591999999999999</v>
      </c>
      <c r="U97" s="46">
        <v>41.239999999999995</v>
      </c>
      <c r="V97" s="46">
        <v>20.344000000000001</v>
      </c>
      <c r="W97" s="46">
        <v>20.32</v>
      </c>
      <c r="X97" s="46">
        <v>21.685000000000002</v>
      </c>
      <c r="Y97" s="46">
        <v>33.517000000000003</v>
      </c>
      <c r="Z97" s="46">
        <v>16.341999999999999</v>
      </c>
      <c r="AA97" s="46">
        <v>22.024000000000001</v>
      </c>
      <c r="AB97" s="46">
        <v>25.691000000000003</v>
      </c>
      <c r="AC97" s="46">
        <v>25.373000000000005</v>
      </c>
      <c r="AD97" s="46">
        <v>21.323</v>
      </c>
      <c r="AE97" s="46">
        <v>30.661000000000001</v>
      </c>
      <c r="AF97" s="46">
        <v>30.145</v>
      </c>
      <c r="AG97" s="46">
        <v>46.521000000000008</v>
      </c>
      <c r="AH97" s="46">
        <v>29.559000000000001</v>
      </c>
      <c r="AI97" s="46">
        <v>30.808000000000003</v>
      </c>
      <c r="AJ97" s="46">
        <v>26.053000000000004</v>
      </c>
      <c r="AK97" s="46">
        <v>21.88</v>
      </c>
      <c r="AL97" s="46">
        <v>11.651000000000002</v>
      </c>
      <c r="AM97" s="46">
        <v>39.609000000000002</v>
      </c>
      <c r="AN97" s="46">
        <v>19.480999999999998</v>
      </c>
      <c r="AO97" s="46">
        <v>30.991</v>
      </c>
      <c r="AP97" s="46">
        <f t="shared" si="2"/>
        <v>25.549709677419351</v>
      </c>
      <c r="AQ97" s="7">
        <f t="shared" si="3"/>
        <v>12.774854838709675</v>
      </c>
    </row>
    <row r="98" spans="1:43" x14ac:dyDescent="0.3">
      <c r="A98" s="5">
        <v>95</v>
      </c>
      <c r="B98" s="107" t="s">
        <v>58</v>
      </c>
      <c r="C98" s="10"/>
      <c r="D98" s="39" t="s">
        <v>917</v>
      </c>
      <c r="E98" s="110" t="s">
        <v>128</v>
      </c>
      <c r="F98" s="6" t="s">
        <v>12</v>
      </c>
      <c r="G98" s="6" t="s">
        <v>973</v>
      </c>
      <c r="H98" s="6" t="s">
        <v>80</v>
      </c>
      <c r="I98" s="92">
        <v>1</v>
      </c>
      <c r="J98" s="67" t="s">
        <v>590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v>0</v>
      </c>
      <c r="AN98" s="46">
        <v>0</v>
      </c>
      <c r="AO98" s="46">
        <v>0</v>
      </c>
      <c r="AP98" s="46">
        <f t="shared" si="2"/>
        <v>0</v>
      </c>
      <c r="AQ98" s="7">
        <f t="shared" si="3"/>
        <v>0</v>
      </c>
    </row>
    <row r="99" spans="1:43" x14ac:dyDescent="0.3">
      <c r="A99" s="5">
        <v>96</v>
      </c>
      <c r="B99" s="107" t="s">
        <v>58</v>
      </c>
      <c r="C99" s="10"/>
      <c r="D99" s="39" t="s">
        <v>1007</v>
      </c>
      <c r="E99" s="110" t="s">
        <v>128</v>
      </c>
      <c r="F99" s="6" t="s">
        <v>12</v>
      </c>
      <c r="G99" s="6" t="s">
        <v>974</v>
      </c>
      <c r="H99" s="12" t="s">
        <v>35</v>
      </c>
      <c r="I99" s="5">
        <v>2</v>
      </c>
      <c r="J99" s="67" t="s">
        <v>590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v>0</v>
      </c>
      <c r="AP99" s="46">
        <f t="shared" si="2"/>
        <v>0</v>
      </c>
      <c r="AQ99" s="7">
        <f t="shared" si="3"/>
        <v>0</v>
      </c>
    </row>
    <row r="100" spans="1:43" ht="15.6" x14ac:dyDescent="0.3">
      <c r="A100" s="5">
        <v>97</v>
      </c>
      <c r="B100" s="107" t="s">
        <v>476</v>
      </c>
      <c r="C100" s="112" t="s">
        <v>698</v>
      </c>
      <c r="D100" s="114" t="s">
        <v>956</v>
      </c>
      <c r="E100" s="110" t="s">
        <v>128</v>
      </c>
      <c r="F100" s="6" t="s">
        <v>12</v>
      </c>
      <c r="G100" s="6" t="s">
        <v>976</v>
      </c>
      <c r="H100" s="12" t="s">
        <v>35</v>
      </c>
      <c r="I100" s="5">
        <v>1</v>
      </c>
      <c r="J100" s="67" t="s">
        <v>590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0</v>
      </c>
      <c r="AN100" s="46">
        <v>0</v>
      </c>
      <c r="AO100" s="46">
        <v>0</v>
      </c>
      <c r="AP100" s="46">
        <f t="shared" si="2"/>
        <v>0</v>
      </c>
      <c r="AQ100" s="7">
        <f t="shared" si="3"/>
        <v>0</v>
      </c>
    </row>
    <row r="101" spans="1:43" ht="15.6" x14ac:dyDescent="0.3">
      <c r="A101" s="5">
        <v>98</v>
      </c>
      <c r="B101" s="107" t="s">
        <v>569</v>
      </c>
      <c r="C101" s="112" t="s">
        <v>656</v>
      </c>
      <c r="D101" s="114" t="s">
        <v>955</v>
      </c>
      <c r="E101" s="110" t="s">
        <v>61</v>
      </c>
      <c r="F101" s="6" t="s">
        <v>12</v>
      </c>
      <c r="G101" s="6" t="s">
        <v>976</v>
      </c>
      <c r="H101" s="12" t="s">
        <v>35</v>
      </c>
      <c r="I101" s="5">
        <v>14</v>
      </c>
      <c r="J101" s="67" t="s">
        <v>160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1.9089999999999998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v>0</v>
      </c>
      <c r="AO101" s="46">
        <v>0</v>
      </c>
      <c r="AP101" s="46">
        <f t="shared" si="2"/>
        <v>6.1580645161290318E-2</v>
      </c>
      <c r="AQ101" s="7">
        <f t="shared" si="3"/>
        <v>4.3986175115207369E-3</v>
      </c>
    </row>
    <row r="102" spans="1:43" x14ac:dyDescent="0.3">
      <c r="A102" s="5">
        <v>99</v>
      </c>
      <c r="B102" s="107" t="s">
        <v>829</v>
      </c>
      <c r="C102" s="112" t="s">
        <v>831</v>
      </c>
      <c r="D102" s="112" t="s">
        <v>830</v>
      </c>
      <c r="E102" s="110" t="s">
        <v>128</v>
      </c>
      <c r="F102" s="6" t="s">
        <v>12</v>
      </c>
      <c r="G102" s="6" t="s">
        <v>973</v>
      </c>
      <c r="H102" s="6" t="s">
        <v>80</v>
      </c>
      <c r="I102" s="5">
        <v>1</v>
      </c>
      <c r="J102" s="67" t="s">
        <v>160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0</v>
      </c>
      <c r="AN102" s="46">
        <v>0</v>
      </c>
      <c r="AO102" s="46">
        <v>0</v>
      </c>
      <c r="AP102" s="46">
        <f t="shared" si="2"/>
        <v>0</v>
      </c>
      <c r="AQ102" s="7">
        <f t="shared" si="3"/>
        <v>0</v>
      </c>
    </row>
    <row r="103" spans="1:43" x14ac:dyDescent="0.3">
      <c r="A103" s="5">
        <v>100</v>
      </c>
      <c r="B103" s="107" t="s">
        <v>866</v>
      </c>
      <c r="C103" s="112" t="s">
        <v>957</v>
      </c>
      <c r="D103" s="112" t="s">
        <v>867</v>
      </c>
      <c r="E103" s="110" t="s">
        <v>128</v>
      </c>
      <c r="F103" s="6" t="s">
        <v>12</v>
      </c>
      <c r="G103" s="6" t="s">
        <v>973</v>
      </c>
      <c r="H103" s="6" t="s">
        <v>80</v>
      </c>
      <c r="I103" s="5">
        <v>1</v>
      </c>
      <c r="J103" s="67" t="s">
        <v>160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0</v>
      </c>
      <c r="AL103" s="46">
        <v>0</v>
      </c>
      <c r="AM103" s="46">
        <v>0</v>
      </c>
      <c r="AN103" s="46">
        <v>0</v>
      </c>
      <c r="AO103" s="46">
        <v>0</v>
      </c>
      <c r="AP103" s="46">
        <f t="shared" si="2"/>
        <v>0</v>
      </c>
      <c r="AQ103" s="7">
        <f t="shared" si="3"/>
        <v>0</v>
      </c>
    </row>
    <row r="104" spans="1:43" x14ac:dyDescent="0.3">
      <c r="A104" s="5">
        <v>101</v>
      </c>
      <c r="B104" s="107" t="s">
        <v>892</v>
      </c>
      <c r="C104" s="112" t="s">
        <v>954</v>
      </c>
      <c r="D104" s="112" t="s">
        <v>893</v>
      </c>
      <c r="E104" s="110" t="s">
        <v>128</v>
      </c>
      <c r="F104" s="6" t="s">
        <v>12</v>
      </c>
      <c r="G104" s="6" t="s">
        <v>973</v>
      </c>
      <c r="H104" s="6" t="s">
        <v>80</v>
      </c>
      <c r="I104" s="5">
        <v>1</v>
      </c>
      <c r="J104" s="67" t="s">
        <v>160</v>
      </c>
      <c r="K104" s="46">
        <v>21.121000000000002</v>
      </c>
      <c r="L104" s="46">
        <v>0</v>
      </c>
      <c r="M104" s="46">
        <v>0</v>
      </c>
      <c r="N104" s="46">
        <v>8.9600000000000009</v>
      </c>
      <c r="O104" s="46">
        <v>0</v>
      </c>
      <c r="P104" s="46">
        <v>0</v>
      </c>
      <c r="Q104" s="46">
        <v>0</v>
      </c>
      <c r="R104" s="46">
        <v>3.47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4.8310000000000004</v>
      </c>
      <c r="AC104" s="46">
        <v>2.899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8.7609999999999992</v>
      </c>
      <c r="AJ104" s="46">
        <v>10.989000000000001</v>
      </c>
      <c r="AK104" s="46">
        <v>8.39</v>
      </c>
      <c r="AL104" s="46">
        <v>7.2009999999999996</v>
      </c>
      <c r="AM104" s="46">
        <v>9.0500000000000007</v>
      </c>
      <c r="AN104" s="46">
        <v>0</v>
      </c>
      <c r="AO104" s="46">
        <v>12.7</v>
      </c>
      <c r="AP104" s="46">
        <f t="shared" si="2"/>
        <v>3.173290322580645</v>
      </c>
      <c r="AQ104" s="7">
        <f t="shared" si="3"/>
        <v>3.173290322580645</v>
      </c>
    </row>
    <row r="105" spans="1:43" x14ac:dyDescent="0.3">
      <c r="A105" s="5">
        <v>102</v>
      </c>
      <c r="B105" s="107" t="s">
        <v>895</v>
      </c>
      <c r="C105" s="115"/>
      <c r="D105" s="39" t="s">
        <v>896</v>
      </c>
      <c r="E105" s="110" t="s">
        <v>128</v>
      </c>
      <c r="F105" s="6" t="s">
        <v>12</v>
      </c>
      <c r="G105" s="6" t="s">
        <v>973</v>
      </c>
      <c r="H105" s="6" t="s">
        <v>80</v>
      </c>
      <c r="I105" s="5">
        <v>1</v>
      </c>
      <c r="J105" s="67" t="s">
        <v>160</v>
      </c>
      <c r="K105" s="46">
        <v>0</v>
      </c>
      <c r="L105" s="46">
        <v>0</v>
      </c>
      <c r="M105" s="46">
        <v>0.02</v>
      </c>
      <c r="N105" s="46">
        <v>5.3390000000000004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0</v>
      </c>
      <c r="AL105" s="46">
        <v>0</v>
      </c>
      <c r="AM105" s="46">
        <v>0</v>
      </c>
      <c r="AN105" s="46">
        <v>0</v>
      </c>
      <c r="AO105" s="46">
        <v>0</v>
      </c>
      <c r="AP105" s="46">
        <f t="shared" si="2"/>
        <v>0.17287096774193547</v>
      </c>
      <c r="AQ105" s="7">
        <f t="shared" si="3"/>
        <v>0.17287096774193547</v>
      </c>
    </row>
    <row r="106" spans="1:43" x14ac:dyDescent="0.3">
      <c r="A106" s="5">
        <v>103</v>
      </c>
      <c r="B106" s="6" t="s">
        <v>1047</v>
      </c>
      <c r="C106" s="115"/>
      <c r="D106" s="39" t="s">
        <v>1045</v>
      </c>
      <c r="E106" s="6" t="s">
        <v>128</v>
      </c>
      <c r="F106" s="6" t="s">
        <v>12</v>
      </c>
      <c r="G106" s="6" t="s">
        <v>255</v>
      </c>
      <c r="H106" s="6" t="s">
        <v>80</v>
      </c>
      <c r="I106" s="92">
        <v>2</v>
      </c>
      <c r="J106" s="67" t="s">
        <v>590</v>
      </c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>
        <v>0</v>
      </c>
      <c r="AI106" s="46">
        <v>0</v>
      </c>
      <c r="AJ106" s="46">
        <v>0</v>
      </c>
      <c r="AK106" s="46">
        <v>0</v>
      </c>
      <c r="AL106" s="46">
        <v>0</v>
      </c>
      <c r="AM106" s="46">
        <v>0</v>
      </c>
      <c r="AN106" s="46">
        <v>0</v>
      </c>
      <c r="AO106" s="46">
        <v>0</v>
      </c>
      <c r="AP106" s="46">
        <f t="shared" si="2"/>
        <v>0</v>
      </c>
      <c r="AQ106" s="7">
        <f t="shared" si="3"/>
        <v>0</v>
      </c>
    </row>
    <row r="107" spans="1:43" x14ac:dyDescent="0.3">
      <c r="A107" s="5">
        <v>104</v>
      </c>
      <c r="B107" s="6" t="s">
        <v>1048</v>
      </c>
      <c r="C107" s="115"/>
      <c r="D107" s="39" t="s">
        <v>1046</v>
      </c>
      <c r="E107" s="6" t="s">
        <v>128</v>
      </c>
      <c r="F107" s="6" t="s">
        <v>12</v>
      </c>
      <c r="G107" s="6" t="s">
        <v>255</v>
      </c>
      <c r="H107" s="6" t="s">
        <v>80</v>
      </c>
      <c r="I107" s="92">
        <v>1</v>
      </c>
      <c r="J107" s="67" t="s">
        <v>590</v>
      </c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>
        <v>0</v>
      </c>
      <c r="AI107" s="46">
        <v>7.69</v>
      </c>
      <c r="AJ107" s="46">
        <v>0</v>
      </c>
      <c r="AK107" s="46">
        <v>20.45</v>
      </c>
      <c r="AL107" s="46">
        <v>0</v>
      </c>
      <c r="AM107" s="46">
        <v>0</v>
      </c>
      <c r="AN107" s="46">
        <v>0</v>
      </c>
      <c r="AO107" s="46">
        <v>0</v>
      </c>
      <c r="AP107" s="46">
        <f t="shared" si="2"/>
        <v>3.5175000000000001</v>
      </c>
      <c r="AQ107" s="7">
        <f t="shared" si="3"/>
        <v>3.5175000000000001</v>
      </c>
    </row>
    <row r="108" spans="1:43" x14ac:dyDescent="0.3">
      <c r="A108" s="5">
        <v>105</v>
      </c>
      <c r="B108" s="107" t="s">
        <v>844</v>
      </c>
      <c r="C108" s="112" t="s">
        <v>845</v>
      </c>
      <c r="D108" s="112" t="s">
        <v>843</v>
      </c>
      <c r="E108" s="110" t="s">
        <v>128</v>
      </c>
      <c r="F108" s="6" t="s">
        <v>12</v>
      </c>
      <c r="G108" s="6" t="s">
        <v>973</v>
      </c>
      <c r="H108" s="6" t="s">
        <v>80</v>
      </c>
      <c r="I108" s="92">
        <v>1</v>
      </c>
      <c r="J108" s="67" t="s">
        <v>160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10.539</v>
      </c>
      <c r="R108" s="46">
        <v>5.25</v>
      </c>
      <c r="S108" s="46">
        <v>12.55</v>
      </c>
      <c r="T108" s="46">
        <v>0</v>
      </c>
      <c r="U108" s="46">
        <v>0</v>
      </c>
      <c r="V108" s="46">
        <v>0</v>
      </c>
      <c r="W108" s="46">
        <v>9.129999999999999</v>
      </c>
      <c r="X108" s="46">
        <v>0</v>
      </c>
      <c r="Y108" s="46">
        <v>4.08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5.97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0</v>
      </c>
      <c r="AN108" s="46">
        <v>0</v>
      </c>
      <c r="AO108" s="46">
        <v>0</v>
      </c>
      <c r="AP108" s="46">
        <f t="shared" si="2"/>
        <v>1.5328709677419352</v>
      </c>
      <c r="AQ108" s="7">
        <f t="shared" si="3"/>
        <v>1.5328709677419352</v>
      </c>
    </row>
    <row r="109" spans="1:43" x14ac:dyDescent="0.3">
      <c r="A109" s="5">
        <v>106</v>
      </c>
      <c r="B109" s="107" t="s">
        <v>119</v>
      </c>
      <c r="C109" s="112" t="s">
        <v>654</v>
      </c>
      <c r="D109" s="112" t="s">
        <v>716</v>
      </c>
      <c r="E109" s="110" t="s">
        <v>30</v>
      </c>
      <c r="F109" s="6" t="s">
        <v>12</v>
      </c>
      <c r="G109" s="6" t="s">
        <v>976</v>
      </c>
      <c r="H109" s="6" t="s">
        <v>35</v>
      </c>
      <c r="I109" s="5">
        <v>20</v>
      </c>
      <c r="J109" s="12" t="s">
        <v>589</v>
      </c>
      <c r="K109" s="46">
        <v>121.798</v>
      </c>
      <c r="L109" s="46">
        <v>26.798000000000002</v>
      </c>
      <c r="M109" s="46">
        <v>19.308</v>
      </c>
      <c r="N109" s="46">
        <v>41.308</v>
      </c>
      <c r="O109" s="46">
        <v>34.465000000000003</v>
      </c>
      <c r="P109" s="46">
        <v>16.981999999999999</v>
      </c>
      <c r="Q109" s="46">
        <v>15.653</v>
      </c>
      <c r="R109" s="46">
        <v>37.984999999999999</v>
      </c>
      <c r="S109" s="46">
        <v>26.495999999999999</v>
      </c>
      <c r="T109" s="46">
        <v>21.227</v>
      </c>
      <c r="U109" s="46">
        <v>19.633000000000003</v>
      </c>
      <c r="V109" s="46">
        <v>26.536000000000001</v>
      </c>
      <c r="W109" s="46">
        <v>42.984999999999999</v>
      </c>
      <c r="X109" s="46">
        <v>32.382000000000005</v>
      </c>
      <c r="Y109" s="46">
        <v>1.8240000000000001</v>
      </c>
      <c r="Z109" s="46">
        <v>8.6300000000000008</v>
      </c>
      <c r="AA109" s="46">
        <v>16.295999999999999</v>
      </c>
      <c r="AB109" s="46">
        <v>20.544</v>
      </c>
      <c r="AC109" s="46">
        <v>28.518000000000001</v>
      </c>
      <c r="AD109" s="46">
        <v>11.873000000000001</v>
      </c>
      <c r="AE109" s="46">
        <v>20.420000000000002</v>
      </c>
      <c r="AF109" s="46">
        <v>29.399000000000001</v>
      </c>
      <c r="AG109" s="46">
        <v>30.818000000000001</v>
      </c>
      <c r="AH109" s="46">
        <v>22.253999999999998</v>
      </c>
      <c r="AI109" s="46">
        <v>26.389000000000003</v>
      </c>
      <c r="AJ109" s="46">
        <v>44.323</v>
      </c>
      <c r="AK109" s="46">
        <v>20.52</v>
      </c>
      <c r="AL109" s="46">
        <v>29.518999999999998</v>
      </c>
      <c r="AM109" s="46">
        <v>32.783000000000001</v>
      </c>
      <c r="AN109" s="46">
        <v>19.312999999999999</v>
      </c>
      <c r="AO109" s="46">
        <v>0</v>
      </c>
      <c r="AP109" s="46">
        <f t="shared" si="2"/>
        <v>27.321903225806452</v>
      </c>
      <c r="AQ109" s="7">
        <f t="shared" si="3"/>
        <v>1.3660951612903225</v>
      </c>
    </row>
    <row r="110" spans="1:43" x14ac:dyDescent="0.3">
      <c r="A110" s="5">
        <v>107</v>
      </c>
      <c r="B110" s="107" t="s">
        <v>119</v>
      </c>
      <c r="C110" s="112" t="s">
        <v>655</v>
      </c>
      <c r="D110" s="112" t="s">
        <v>726</v>
      </c>
      <c r="E110" s="110" t="s">
        <v>30</v>
      </c>
      <c r="F110" s="6" t="s">
        <v>12</v>
      </c>
      <c r="G110" s="6" t="s">
        <v>976</v>
      </c>
      <c r="H110" s="6" t="s">
        <v>35</v>
      </c>
      <c r="I110" s="5">
        <v>3</v>
      </c>
      <c r="J110" s="12" t="s">
        <v>589</v>
      </c>
      <c r="K110" s="46">
        <v>15.626000000000001</v>
      </c>
      <c r="L110" s="46">
        <v>5.024</v>
      </c>
      <c r="M110" s="46">
        <v>15.450000000000001</v>
      </c>
      <c r="N110" s="46">
        <v>6.819</v>
      </c>
      <c r="O110" s="46">
        <v>13.997</v>
      </c>
      <c r="P110" s="46">
        <v>7.4749999999999996</v>
      </c>
      <c r="Q110" s="46">
        <v>11.707000000000001</v>
      </c>
      <c r="R110" s="46">
        <v>7.8879999999999999</v>
      </c>
      <c r="S110" s="46">
        <v>6.5250000000000004</v>
      </c>
      <c r="T110" s="46">
        <v>6.2789999999999999</v>
      </c>
      <c r="U110" s="46">
        <v>18.456</v>
      </c>
      <c r="V110" s="46">
        <v>11.54</v>
      </c>
      <c r="W110" s="46">
        <v>16.603999999999999</v>
      </c>
      <c r="X110" s="46">
        <v>0</v>
      </c>
      <c r="Y110" s="46">
        <v>8.4980000000000011</v>
      </c>
      <c r="Z110" s="46">
        <v>11.006</v>
      </c>
      <c r="AA110" s="46">
        <v>5.6210000000000004</v>
      </c>
      <c r="AB110" s="46">
        <v>14.436</v>
      </c>
      <c r="AC110" s="46">
        <v>7.3289999999999997</v>
      </c>
      <c r="AD110" s="46">
        <v>8.61</v>
      </c>
      <c r="AE110" s="46">
        <v>0</v>
      </c>
      <c r="AF110" s="46">
        <v>0</v>
      </c>
      <c r="AG110" s="46">
        <v>5.8</v>
      </c>
      <c r="AH110" s="46">
        <v>0</v>
      </c>
      <c r="AI110" s="46">
        <v>4.5940000000000003</v>
      </c>
      <c r="AJ110" s="46">
        <v>0</v>
      </c>
      <c r="AK110" s="46">
        <v>0</v>
      </c>
      <c r="AL110" s="46">
        <v>0</v>
      </c>
      <c r="AM110" s="46">
        <v>9.2029999999999994</v>
      </c>
      <c r="AN110" s="46">
        <v>6.6630000000000003</v>
      </c>
      <c r="AO110" s="46">
        <v>0</v>
      </c>
      <c r="AP110" s="46">
        <f t="shared" si="2"/>
        <v>7.2629032258064532</v>
      </c>
      <c r="AQ110" s="7">
        <f t="shared" si="3"/>
        <v>2.4209677419354843</v>
      </c>
    </row>
    <row r="111" spans="1:43" x14ac:dyDescent="0.3">
      <c r="A111" s="5">
        <v>108</v>
      </c>
      <c r="B111" s="107" t="s">
        <v>578</v>
      </c>
      <c r="C111" s="112" t="s">
        <v>657</v>
      </c>
      <c r="D111" s="113" t="s">
        <v>951</v>
      </c>
      <c r="E111" s="110" t="s">
        <v>128</v>
      </c>
      <c r="F111" s="6" t="s">
        <v>12</v>
      </c>
      <c r="G111" s="6" t="s">
        <v>973</v>
      </c>
      <c r="H111" s="6" t="s">
        <v>80</v>
      </c>
      <c r="I111" s="5">
        <v>1</v>
      </c>
      <c r="J111" s="67" t="s">
        <v>160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0</v>
      </c>
      <c r="AO111" s="46">
        <v>0</v>
      </c>
      <c r="AP111" s="46">
        <f t="shared" si="2"/>
        <v>0</v>
      </c>
      <c r="AQ111" s="7">
        <f t="shared" si="3"/>
        <v>0</v>
      </c>
    </row>
    <row r="112" spans="1:43" x14ac:dyDescent="0.3">
      <c r="A112" s="5">
        <v>109</v>
      </c>
      <c r="B112" s="107" t="s">
        <v>576</v>
      </c>
      <c r="C112" s="112" t="s">
        <v>658</v>
      </c>
      <c r="D112" s="112" t="s">
        <v>788</v>
      </c>
      <c r="E112" s="110" t="s">
        <v>128</v>
      </c>
      <c r="F112" s="6" t="s">
        <v>12</v>
      </c>
      <c r="G112" s="6" t="s">
        <v>973</v>
      </c>
      <c r="H112" s="6" t="s">
        <v>80</v>
      </c>
      <c r="I112" s="5">
        <v>1</v>
      </c>
      <c r="J112" s="67" t="s">
        <v>160</v>
      </c>
      <c r="K112" s="46">
        <v>0</v>
      </c>
      <c r="L112" s="46">
        <v>0</v>
      </c>
      <c r="M112" s="46">
        <v>0</v>
      </c>
      <c r="N112" s="46">
        <v>0</v>
      </c>
      <c r="O112" s="46">
        <v>10.62</v>
      </c>
      <c r="P112" s="46">
        <v>0</v>
      </c>
      <c r="Q112" s="46">
        <v>0</v>
      </c>
      <c r="R112" s="46">
        <v>8.41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5.629999999999999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f t="shared" si="2"/>
        <v>0.79548387096774198</v>
      </c>
      <c r="AQ112" s="7">
        <f t="shared" si="3"/>
        <v>0.79548387096774198</v>
      </c>
    </row>
    <row r="113" spans="1:43" x14ac:dyDescent="0.3">
      <c r="A113" s="5">
        <v>110</v>
      </c>
      <c r="B113" s="107" t="s">
        <v>499</v>
      </c>
      <c r="C113" s="10" t="s">
        <v>660</v>
      </c>
      <c r="D113" s="39" t="s">
        <v>789</v>
      </c>
      <c r="E113" s="110" t="s">
        <v>128</v>
      </c>
      <c r="F113" s="6" t="s">
        <v>12</v>
      </c>
      <c r="G113" s="6" t="s">
        <v>973</v>
      </c>
      <c r="H113" s="6" t="s">
        <v>80</v>
      </c>
      <c r="I113" s="5">
        <v>1</v>
      </c>
      <c r="J113" s="67" t="s">
        <v>160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46">
        <v>0</v>
      </c>
      <c r="AM113" s="46">
        <v>0</v>
      </c>
      <c r="AN113" s="46">
        <v>0</v>
      </c>
      <c r="AO113" s="46">
        <v>0</v>
      </c>
      <c r="AP113" s="46">
        <f t="shared" si="2"/>
        <v>0</v>
      </c>
      <c r="AQ113" s="7">
        <f t="shared" si="3"/>
        <v>0</v>
      </c>
    </row>
    <row r="114" spans="1:43" x14ac:dyDescent="0.3">
      <c r="A114" s="5">
        <v>111</v>
      </c>
      <c r="B114" s="109" t="s">
        <v>560</v>
      </c>
      <c r="C114" s="112" t="s">
        <v>661</v>
      </c>
      <c r="D114" s="112" t="s">
        <v>913</v>
      </c>
      <c r="E114" s="110" t="s">
        <v>128</v>
      </c>
      <c r="F114" s="6" t="s">
        <v>12</v>
      </c>
      <c r="G114" s="6" t="s">
        <v>973</v>
      </c>
      <c r="H114" s="6" t="s">
        <v>80</v>
      </c>
      <c r="I114" s="5">
        <v>1</v>
      </c>
      <c r="J114" s="67" t="s">
        <v>160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0</v>
      </c>
      <c r="AD114" s="46">
        <v>0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0</v>
      </c>
      <c r="AL114" s="46">
        <v>0</v>
      </c>
      <c r="AM114" s="46">
        <v>0</v>
      </c>
      <c r="AN114" s="46">
        <v>0</v>
      </c>
      <c r="AO114" s="46">
        <v>0</v>
      </c>
      <c r="AP114" s="46">
        <f t="shared" si="2"/>
        <v>0</v>
      </c>
      <c r="AQ114" s="7">
        <f t="shared" si="3"/>
        <v>0</v>
      </c>
    </row>
    <row r="115" spans="1:43" x14ac:dyDescent="0.3">
      <c r="A115" s="5">
        <v>112</v>
      </c>
      <c r="B115" s="107" t="s">
        <v>862</v>
      </c>
      <c r="C115" s="112" t="s">
        <v>864</v>
      </c>
      <c r="D115" s="112" t="s">
        <v>952</v>
      </c>
      <c r="E115" s="110" t="s">
        <v>128</v>
      </c>
      <c r="F115" s="6" t="s">
        <v>12</v>
      </c>
      <c r="G115" s="6" t="s">
        <v>973</v>
      </c>
      <c r="H115" s="6" t="s">
        <v>80</v>
      </c>
      <c r="I115" s="5">
        <v>1</v>
      </c>
      <c r="J115" s="67" t="s">
        <v>160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v>0</v>
      </c>
      <c r="AN115" s="46">
        <v>0</v>
      </c>
      <c r="AO115" s="46">
        <v>0</v>
      </c>
      <c r="AP115" s="46">
        <f t="shared" si="2"/>
        <v>0</v>
      </c>
      <c r="AQ115" s="7">
        <f t="shared" si="3"/>
        <v>0</v>
      </c>
    </row>
    <row r="116" spans="1:43" x14ac:dyDescent="0.3">
      <c r="A116" s="5">
        <v>113</v>
      </c>
      <c r="B116" s="107" t="s">
        <v>1014</v>
      </c>
      <c r="C116" s="112"/>
      <c r="D116" s="10" t="s">
        <v>1013</v>
      </c>
      <c r="E116" s="6" t="s">
        <v>128</v>
      </c>
      <c r="F116" s="6" t="s">
        <v>12</v>
      </c>
      <c r="G116" s="6" t="s">
        <v>973</v>
      </c>
      <c r="H116" s="6" t="s">
        <v>80</v>
      </c>
      <c r="I116" s="92">
        <v>1</v>
      </c>
      <c r="J116" s="67" t="s">
        <v>160</v>
      </c>
      <c r="K116" s="46">
        <v>16.548999999999999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8.3409999999999993</v>
      </c>
      <c r="AI116" s="46">
        <v>0</v>
      </c>
      <c r="AJ116" s="46">
        <v>0</v>
      </c>
      <c r="AK116" s="46">
        <v>0</v>
      </c>
      <c r="AL116" s="46">
        <v>0</v>
      </c>
      <c r="AM116" s="46">
        <v>18.91</v>
      </c>
      <c r="AN116" s="46">
        <v>0</v>
      </c>
      <c r="AO116" s="46">
        <v>0.09</v>
      </c>
      <c r="AP116" s="46">
        <f t="shared" si="2"/>
        <v>1.4158064516129032</v>
      </c>
      <c r="AQ116" s="7">
        <f t="shared" si="3"/>
        <v>1.4158064516129032</v>
      </c>
    </row>
    <row r="117" spans="1:43" x14ac:dyDescent="0.3">
      <c r="A117" s="5">
        <v>114</v>
      </c>
      <c r="B117" s="107" t="s">
        <v>905</v>
      </c>
      <c r="C117" s="10"/>
      <c r="D117" s="39" t="s">
        <v>906</v>
      </c>
      <c r="E117" s="110" t="s">
        <v>128</v>
      </c>
      <c r="F117" s="6" t="s">
        <v>12</v>
      </c>
      <c r="G117" s="6" t="s">
        <v>973</v>
      </c>
      <c r="H117" s="6" t="s">
        <v>80</v>
      </c>
      <c r="I117" s="5">
        <v>2</v>
      </c>
      <c r="J117" s="67" t="s">
        <v>590</v>
      </c>
      <c r="K117" s="46">
        <v>14.790000000000001</v>
      </c>
      <c r="L117" s="46">
        <v>43.93</v>
      </c>
      <c r="M117" s="46">
        <v>0</v>
      </c>
      <c r="N117" s="46">
        <v>35.909999999999997</v>
      </c>
      <c r="O117" s="46">
        <v>12.09</v>
      </c>
      <c r="P117" s="46">
        <v>14.660000000000002</v>
      </c>
      <c r="Q117" s="46">
        <v>8.6300000000000008</v>
      </c>
      <c r="R117" s="46">
        <v>6.15</v>
      </c>
      <c r="S117" s="46">
        <v>0</v>
      </c>
      <c r="T117" s="46">
        <v>7.92</v>
      </c>
      <c r="U117" s="46">
        <v>0</v>
      </c>
      <c r="V117" s="46">
        <v>0</v>
      </c>
      <c r="W117" s="46">
        <v>0</v>
      </c>
      <c r="X117" s="46">
        <v>0</v>
      </c>
      <c r="Y117" s="46">
        <v>11.27</v>
      </c>
      <c r="Z117" s="46">
        <v>0</v>
      </c>
      <c r="AA117" s="46">
        <v>36.590000000000003</v>
      </c>
      <c r="AB117" s="46">
        <v>9.89</v>
      </c>
      <c r="AC117" s="46">
        <v>0</v>
      </c>
      <c r="AD117" s="46">
        <v>7.18</v>
      </c>
      <c r="AE117" s="46">
        <v>11.29</v>
      </c>
      <c r="AF117" s="46">
        <v>44.339999999999996</v>
      </c>
      <c r="AG117" s="46">
        <v>0</v>
      </c>
      <c r="AH117" s="46">
        <v>10.180000000000001</v>
      </c>
      <c r="AI117" s="46">
        <v>21.659999999999997</v>
      </c>
      <c r="AJ117" s="46">
        <v>0.25</v>
      </c>
      <c r="AK117" s="46">
        <v>5.8400000000000007</v>
      </c>
      <c r="AL117" s="46">
        <v>33.160000000000004</v>
      </c>
      <c r="AM117" s="46">
        <v>0</v>
      </c>
      <c r="AN117" s="46">
        <v>0</v>
      </c>
      <c r="AO117" s="46">
        <v>0</v>
      </c>
      <c r="AP117" s="46">
        <f t="shared" si="2"/>
        <v>10.83</v>
      </c>
      <c r="AQ117" s="7">
        <f t="shared" si="3"/>
        <v>5.415</v>
      </c>
    </row>
    <row r="118" spans="1:43" x14ac:dyDescent="0.3">
      <c r="A118" s="5">
        <v>115</v>
      </c>
      <c r="B118" s="109" t="s">
        <v>563</v>
      </c>
      <c r="C118" s="112" t="s">
        <v>659</v>
      </c>
      <c r="D118" s="112" t="s">
        <v>791</v>
      </c>
      <c r="E118" s="110" t="s">
        <v>128</v>
      </c>
      <c r="F118" s="6" t="s">
        <v>12</v>
      </c>
      <c r="G118" s="6" t="s">
        <v>973</v>
      </c>
      <c r="H118" s="6" t="s">
        <v>80</v>
      </c>
      <c r="I118" s="5">
        <v>1</v>
      </c>
      <c r="J118" s="67" t="s">
        <v>160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0</v>
      </c>
      <c r="AN118" s="46">
        <v>0</v>
      </c>
      <c r="AO118" s="46">
        <v>0</v>
      </c>
      <c r="AP118" s="46">
        <f t="shared" si="2"/>
        <v>0</v>
      </c>
      <c r="AQ118" s="7">
        <f t="shared" si="3"/>
        <v>0</v>
      </c>
    </row>
    <row r="119" spans="1:43" x14ac:dyDescent="0.3">
      <c r="A119" s="5">
        <v>116</v>
      </c>
      <c r="B119" s="101" t="s">
        <v>832</v>
      </c>
      <c r="C119" s="112" t="s">
        <v>833</v>
      </c>
      <c r="D119" s="112" t="s">
        <v>834</v>
      </c>
      <c r="E119" s="110" t="s">
        <v>128</v>
      </c>
      <c r="F119" s="6" t="s">
        <v>12</v>
      </c>
      <c r="G119" s="6" t="s">
        <v>973</v>
      </c>
      <c r="H119" s="6" t="s">
        <v>80</v>
      </c>
      <c r="I119" s="92">
        <v>1</v>
      </c>
      <c r="J119" s="67" t="s">
        <v>160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v>0</v>
      </c>
      <c r="AP119" s="46">
        <f t="shared" si="2"/>
        <v>0</v>
      </c>
      <c r="AQ119" s="7">
        <f t="shared" si="3"/>
        <v>0</v>
      </c>
    </row>
    <row r="120" spans="1:43" x14ac:dyDescent="0.3">
      <c r="A120" s="5">
        <v>117</v>
      </c>
      <c r="B120" s="109" t="s">
        <v>597</v>
      </c>
      <c r="C120" s="112" t="s">
        <v>699</v>
      </c>
      <c r="D120" s="112" t="s">
        <v>792</v>
      </c>
      <c r="E120" s="110" t="s">
        <v>128</v>
      </c>
      <c r="F120" s="6" t="s">
        <v>12</v>
      </c>
      <c r="G120" s="6" t="s">
        <v>973</v>
      </c>
      <c r="H120" s="6" t="s">
        <v>80</v>
      </c>
      <c r="I120" s="5">
        <v>1</v>
      </c>
      <c r="J120" s="67" t="s">
        <v>160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v>0</v>
      </c>
      <c r="AP120" s="46">
        <f t="shared" si="2"/>
        <v>0</v>
      </c>
      <c r="AQ120" s="7">
        <f t="shared" si="3"/>
        <v>0</v>
      </c>
    </row>
    <row r="121" spans="1:43" x14ac:dyDescent="0.3">
      <c r="A121" s="5">
        <v>118</v>
      </c>
      <c r="B121" s="109" t="s">
        <v>885</v>
      </c>
      <c r="C121" s="112" t="s">
        <v>887</v>
      </c>
      <c r="D121" s="112" t="s">
        <v>886</v>
      </c>
      <c r="E121" s="110" t="s">
        <v>128</v>
      </c>
      <c r="F121" s="6" t="s">
        <v>12</v>
      </c>
      <c r="G121" s="6" t="s">
        <v>973</v>
      </c>
      <c r="H121" s="6" t="s">
        <v>80</v>
      </c>
      <c r="I121" s="5">
        <v>1</v>
      </c>
      <c r="J121" s="67" t="s">
        <v>160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v>0</v>
      </c>
      <c r="AP121" s="46">
        <f t="shared" si="2"/>
        <v>0</v>
      </c>
      <c r="AQ121" s="7">
        <f t="shared" si="3"/>
        <v>0</v>
      </c>
    </row>
    <row r="122" spans="1:43" x14ac:dyDescent="0.3">
      <c r="A122" s="5">
        <v>119</v>
      </c>
      <c r="B122" s="109" t="s">
        <v>598</v>
      </c>
      <c r="C122" s="112" t="s">
        <v>700</v>
      </c>
      <c r="D122" s="112" t="s">
        <v>793</v>
      </c>
      <c r="E122" s="110" t="s">
        <v>128</v>
      </c>
      <c r="F122" s="6" t="s">
        <v>12</v>
      </c>
      <c r="G122" s="6" t="s">
        <v>973</v>
      </c>
      <c r="H122" s="6" t="s">
        <v>80</v>
      </c>
      <c r="I122" s="5">
        <v>1</v>
      </c>
      <c r="J122" s="67" t="s">
        <v>160</v>
      </c>
      <c r="K122" s="46">
        <v>0</v>
      </c>
      <c r="L122" s="46">
        <v>0</v>
      </c>
      <c r="M122" s="46">
        <v>0</v>
      </c>
      <c r="N122" s="46">
        <v>0</v>
      </c>
      <c r="O122" s="46">
        <v>0</v>
      </c>
      <c r="P122" s="46">
        <v>0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0</v>
      </c>
      <c r="AK122" s="46">
        <v>0</v>
      </c>
      <c r="AL122" s="46">
        <v>0</v>
      </c>
      <c r="AM122" s="46">
        <v>0</v>
      </c>
      <c r="AN122" s="46">
        <v>0</v>
      </c>
      <c r="AO122" s="46">
        <v>0</v>
      </c>
      <c r="AP122" s="46">
        <f t="shared" si="2"/>
        <v>0</v>
      </c>
      <c r="AQ122" s="7">
        <f t="shared" si="3"/>
        <v>0</v>
      </c>
    </row>
    <row r="123" spans="1:43" x14ac:dyDescent="0.3">
      <c r="A123" s="5">
        <v>120</v>
      </c>
      <c r="B123" s="109" t="s">
        <v>708</v>
      </c>
      <c r="C123" s="112" t="s">
        <v>709</v>
      </c>
      <c r="D123" s="112" t="s">
        <v>794</v>
      </c>
      <c r="E123" s="110" t="s">
        <v>128</v>
      </c>
      <c r="F123" s="6" t="s">
        <v>12</v>
      </c>
      <c r="G123" s="6" t="s">
        <v>973</v>
      </c>
      <c r="H123" s="6" t="s">
        <v>80</v>
      </c>
      <c r="I123" s="5">
        <v>1</v>
      </c>
      <c r="J123" s="67" t="s">
        <v>160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f t="shared" si="2"/>
        <v>0</v>
      </c>
      <c r="AQ123" s="7">
        <f t="shared" si="3"/>
        <v>0</v>
      </c>
    </row>
    <row r="124" spans="1:43" x14ac:dyDescent="0.3">
      <c r="A124" s="5">
        <v>121</v>
      </c>
      <c r="B124" s="95" t="s">
        <v>822</v>
      </c>
      <c r="C124" s="112" t="s">
        <v>823</v>
      </c>
      <c r="D124" s="112" t="s">
        <v>824</v>
      </c>
      <c r="E124" s="110" t="s">
        <v>128</v>
      </c>
      <c r="F124" s="6" t="s">
        <v>12</v>
      </c>
      <c r="G124" s="6" t="s">
        <v>973</v>
      </c>
      <c r="H124" s="6" t="s">
        <v>80</v>
      </c>
      <c r="I124" s="5">
        <v>1</v>
      </c>
      <c r="J124" s="67" t="s">
        <v>160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0</v>
      </c>
      <c r="AP124" s="46">
        <f t="shared" si="2"/>
        <v>0</v>
      </c>
      <c r="AQ124" s="7">
        <f t="shared" si="3"/>
        <v>0</v>
      </c>
    </row>
    <row r="125" spans="1:43" x14ac:dyDescent="0.3">
      <c r="A125" s="5">
        <v>122</v>
      </c>
      <c r="B125" s="95" t="s">
        <v>882</v>
      </c>
      <c r="C125" s="112" t="s">
        <v>884</v>
      </c>
      <c r="D125" s="112" t="s">
        <v>883</v>
      </c>
      <c r="E125" s="110" t="s">
        <v>128</v>
      </c>
      <c r="F125" s="6" t="s">
        <v>12</v>
      </c>
      <c r="G125" s="6" t="s">
        <v>973</v>
      </c>
      <c r="H125" s="6" t="s">
        <v>80</v>
      </c>
      <c r="I125" s="5">
        <v>1</v>
      </c>
      <c r="J125" s="67" t="s">
        <v>160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0</v>
      </c>
      <c r="AN125" s="46">
        <v>0</v>
      </c>
      <c r="AO125" s="46">
        <v>0</v>
      </c>
      <c r="AP125" s="46">
        <f t="shared" si="2"/>
        <v>0</v>
      </c>
      <c r="AQ125" s="7">
        <f t="shared" si="3"/>
        <v>0</v>
      </c>
    </row>
    <row r="126" spans="1:43" x14ac:dyDescent="0.3">
      <c r="A126" s="5">
        <v>123</v>
      </c>
      <c r="B126" s="107" t="s">
        <v>55</v>
      </c>
      <c r="C126" s="112" t="s">
        <v>662</v>
      </c>
      <c r="D126" s="112" t="s">
        <v>731</v>
      </c>
      <c r="E126" s="110" t="s">
        <v>57</v>
      </c>
      <c r="F126" s="6" t="s">
        <v>12</v>
      </c>
      <c r="G126" s="6" t="s">
        <v>976</v>
      </c>
      <c r="H126" s="6" t="s">
        <v>35</v>
      </c>
      <c r="I126" s="5">
        <v>40</v>
      </c>
      <c r="J126" s="12" t="s">
        <v>589</v>
      </c>
      <c r="K126" s="46">
        <v>355.43200000000002</v>
      </c>
      <c r="L126" s="46">
        <v>370.90699999999993</v>
      </c>
      <c r="M126" s="46">
        <v>141.86799999999997</v>
      </c>
      <c r="N126" s="46">
        <v>155.51300000000001</v>
      </c>
      <c r="O126" s="46">
        <v>308.14199999999994</v>
      </c>
      <c r="P126" s="46">
        <v>230.566</v>
      </c>
      <c r="Q126" s="46">
        <v>367.90900000000005</v>
      </c>
      <c r="R126" s="46">
        <v>347.125</v>
      </c>
      <c r="S126" s="46">
        <v>380.59699999999998</v>
      </c>
      <c r="T126" s="46">
        <v>303.41099999999994</v>
      </c>
      <c r="U126" s="46">
        <v>108.74999999999999</v>
      </c>
      <c r="V126" s="46">
        <v>311.06499999999988</v>
      </c>
      <c r="W126" s="46">
        <v>220.62899999999988</v>
      </c>
      <c r="X126" s="46">
        <v>405.0949999999998</v>
      </c>
      <c r="Y126" s="46">
        <v>622.40499999999963</v>
      </c>
      <c r="Z126" s="46">
        <v>619.7109999999999</v>
      </c>
      <c r="AA126" s="46">
        <v>363.90300000000002</v>
      </c>
      <c r="AB126" s="46">
        <v>118.38299999999998</v>
      </c>
      <c r="AC126" s="46">
        <v>364.98600000000016</v>
      </c>
      <c r="AD126" s="46">
        <v>324.49899999999997</v>
      </c>
      <c r="AE126" s="46">
        <v>310.79200000000009</v>
      </c>
      <c r="AF126" s="46">
        <v>391.32399999999984</v>
      </c>
      <c r="AG126" s="46">
        <v>588.86599999999999</v>
      </c>
      <c r="AH126" s="46">
        <v>406.79099999999994</v>
      </c>
      <c r="AI126" s="46">
        <v>105.53999999999999</v>
      </c>
      <c r="AJ126" s="46">
        <v>336.31399999999996</v>
      </c>
      <c r="AK126" s="46">
        <v>346.66999999999979</v>
      </c>
      <c r="AL126" s="46">
        <v>315.94100000000003</v>
      </c>
      <c r="AM126" s="46">
        <v>342.6110000000001</v>
      </c>
      <c r="AN126" s="46">
        <v>450.25199999999995</v>
      </c>
      <c r="AO126" s="46">
        <v>410.82099999999997</v>
      </c>
      <c r="AP126" s="46">
        <f t="shared" si="2"/>
        <v>336.34896774193555</v>
      </c>
      <c r="AQ126" s="7">
        <f t="shared" si="3"/>
        <v>8.4087241935483892</v>
      </c>
    </row>
    <row r="127" spans="1:43" x14ac:dyDescent="0.3">
      <c r="A127" s="5">
        <v>124</v>
      </c>
      <c r="B127" s="107" t="s">
        <v>919</v>
      </c>
      <c r="C127" s="10"/>
      <c r="D127" s="39" t="s">
        <v>989</v>
      </c>
      <c r="E127" s="110" t="s">
        <v>128</v>
      </c>
      <c r="F127" s="6" t="s">
        <v>12</v>
      </c>
      <c r="G127" s="6" t="s">
        <v>977</v>
      </c>
      <c r="H127" s="6" t="s">
        <v>80</v>
      </c>
      <c r="I127" s="92">
        <v>1</v>
      </c>
      <c r="J127" s="12" t="s">
        <v>590</v>
      </c>
      <c r="K127" s="46">
        <v>0</v>
      </c>
      <c r="L127" s="46">
        <v>0</v>
      </c>
      <c r="M127" s="46">
        <v>24.98</v>
      </c>
      <c r="N127" s="46">
        <v>44.11</v>
      </c>
      <c r="O127" s="46">
        <v>15.65</v>
      </c>
      <c r="P127" s="46">
        <v>29.119999999999997</v>
      </c>
      <c r="Q127" s="46">
        <v>9.9600000000000009</v>
      </c>
      <c r="R127" s="46">
        <v>33</v>
      </c>
      <c r="S127" s="46">
        <v>27.03</v>
      </c>
      <c r="T127" s="46">
        <v>11.389999999999999</v>
      </c>
      <c r="U127" s="46">
        <v>9.0499999999999989</v>
      </c>
      <c r="V127" s="46">
        <v>28.34</v>
      </c>
      <c r="W127" s="46">
        <v>18.100000000000001</v>
      </c>
      <c r="X127" s="46">
        <v>22.11</v>
      </c>
      <c r="Y127" s="46">
        <v>23.5</v>
      </c>
      <c r="Z127" s="46">
        <v>3.13</v>
      </c>
      <c r="AA127" s="46">
        <v>27.990000000000002</v>
      </c>
      <c r="AB127" s="46">
        <v>15.600000000000001</v>
      </c>
      <c r="AC127" s="46">
        <v>11.04</v>
      </c>
      <c r="AD127" s="46">
        <v>17.309999999999999</v>
      </c>
      <c r="AE127" s="46">
        <v>0.14000000000000001</v>
      </c>
      <c r="AF127" s="46">
        <v>0</v>
      </c>
      <c r="AG127" s="46">
        <v>23.09</v>
      </c>
      <c r="AH127" s="46">
        <v>22.03</v>
      </c>
      <c r="AI127" s="46">
        <v>26.21</v>
      </c>
      <c r="AJ127" s="46">
        <v>9.98</v>
      </c>
      <c r="AK127" s="46">
        <v>6.44</v>
      </c>
      <c r="AL127" s="46">
        <v>10.48</v>
      </c>
      <c r="AM127" s="46">
        <v>10.23</v>
      </c>
      <c r="AN127" s="46">
        <v>33.14</v>
      </c>
      <c r="AO127" s="46">
        <v>0</v>
      </c>
      <c r="AP127" s="46">
        <f t="shared" si="2"/>
        <v>16.553225806451614</v>
      </c>
      <c r="AQ127" s="7">
        <f t="shared" si="3"/>
        <v>16.553225806451614</v>
      </c>
    </row>
    <row r="128" spans="1:43" x14ac:dyDescent="0.3">
      <c r="A128" s="5">
        <v>125</v>
      </c>
      <c r="B128" s="6" t="s">
        <v>1008</v>
      </c>
      <c r="C128" s="10"/>
      <c r="D128" s="39" t="s">
        <v>1009</v>
      </c>
      <c r="E128" s="6" t="s">
        <v>128</v>
      </c>
      <c r="F128" s="6" t="s">
        <v>12</v>
      </c>
      <c r="G128" s="6" t="s">
        <v>973</v>
      </c>
      <c r="H128" s="6" t="s">
        <v>80</v>
      </c>
      <c r="I128" s="92">
        <v>1</v>
      </c>
      <c r="J128" s="67" t="s">
        <v>160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v>0</v>
      </c>
      <c r="AP128" s="46">
        <f t="shared" si="2"/>
        <v>0</v>
      </c>
      <c r="AQ128" s="7">
        <f t="shared" si="3"/>
        <v>0</v>
      </c>
    </row>
    <row r="129" spans="1:43" x14ac:dyDescent="0.3">
      <c r="A129" s="5">
        <v>126</v>
      </c>
      <c r="B129" s="108" t="s">
        <v>221</v>
      </c>
      <c r="C129" s="112" t="s">
        <v>664</v>
      </c>
      <c r="D129" s="112" t="s">
        <v>795</v>
      </c>
      <c r="E129" s="110" t="s">
        <v>30</v>
      </c>
      <c r="F129" s="6" t="s">
        <v>12</v>
      </c>
      <c r="G129" s="6" t="s">
        <v>976</v>
      </c>
      <c r="H129" s="6" t="s">
        <v>35</v>
      </c>
      <c r="I129" s="5">
        <v>19</v>
      </c>
      <c r="J129" s="12" t="s">
        <v>589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1.321</v>
      </c>
      <c r="W129" s="46">
        <v>1.6139999999999999</v>
      </c>
      <c r="X129" s="46">
        <v>1.3109999999999999</v>
      </c>
      <c r="Y129" s="46">
        <v>0</v>
      </c>
      <c r="Z129" s="46">
        <v>0.72299999999999998</v>
      </c>
      <c r="AA129" s="46">
        <v>0.53600000000000003</v>
      </c>
      <c r="AB129" s="46">
        <v>0.14199999999999999</v>
      </c>
      <c r="AC129" s="46">
        <v>0.63700000000000001</v>
      </c>
      <c r="AD129" s="46">
        <v>0.84299999999999997</v>
      </c>
      <c r="AE129" s="46">
        <v>0.82</v>
      </c>
      <c r="AF129" s="46">
        <v>0.77400000000000002</v>
      </c>
      <c r="AG129" s="46">
        <v>0.60099999999999998</v>
      </c>
      <c r="AH129" s="46">
        <v>0.51300000000000001</v>
      </c>
      <c r="AI129" s="46">
        <v>0.874</v>
      </c>
      <c r="AJ129" s="46">
        <v>1.05</v>
      </c>
      <c r="AK129" s="46">
        <v>1.7389999999999999</v>
      </c>
      <c r="AL129" s="46">
        <v>1.627</v>
      </c>
      <c r="AM129" s="46">
        <v>0</v>
      </c>
      <c r="AN129" s="46">
        <v>0.68600000000000005</v>
      </c>
      <c r="AO129" s="46">
        <v>0.626</v>
      </c>
      <c r="AP129" s="46">
        <f t="shared" si="2"/>
        <v>0.53022580645161299</v>
      </c>
      <c r="AQ129" s="7">
        <f t="shared" si="3"/>
        <v>2.7906621392190158E-2</v>
      </c>
    </row>
    <row r="130" spans="1:43" ht="13.5" customHeight="1" x14ac:dyDescent="0.3">
      <c r="A130" s="5">
        <v>127</v>
      </c>
      <c r="B130" s="108" t="s">
        <v>222</v>
      </c>
      <c r="C130" s="112" t="s">
        <v>663</v>
      </c>
      <c r="D130" s="112" t="s">
        <v>796</v>
      </c>
      <c r="E130" s="110" t="s">
        <v>69</v>
      </c>
      <c r="F130" s="6" t="s">
        <v>12</v>
      </c>
      <c r="G130" s="6" t="s">
        <v>979</v>
      </c>
      <c r="H130" s="6" t="s">
        <v>35</v>
      </c>
      <c r="I130" s="5">
        <v>2</v>
      </c>
      <c r="J130" s="12" t="s">
        <v>160</v>
      </c>
      <c r="K130" s="46">
        <v>0</v>
      </c>
      <c r="L130" s="46">
        <v>39.497999999999998</v>
      </c>
      <c r="M130" s="46">
        <v>0</v>
      </c>
      <c r="N130" s="46">
        <v>0</v>
      </c>
      <c r="O130" s="46">
        <v>29.495999999999999</v>
      </c>
      <c r="P130" s="46">
        <v>30.722000000000001</v>
      </c>
      <c r="Q130" s="46">
        <v>0</v>
      </c>
      <c r="R130" s="46">
        <v>0</v>
      </c>
      <c r="S130" s="46">
        <v>0</v>
      </c>
      <c r="T130" s="46">
        <v>36.649000000000001</v>
      </c>
      <c r="U130" s="46">
        <v>0</v>
      </c>
      <c r="V130" s="46">
        <v>30.099</v>
      </c>
      <c r="W130" s="46">
        <v>0</v>
      </c>
      <c r="X130" s="46">
        <v>0</v>
      </c>
      <c r="Y130" s="46">
        <v>0</v>
      </c>
      <c r="Z130" s="46">
        <v>45.727000000000004</v>
      </c>
      <c r="AA130" s="46">
        <v>0</v>
      </c>
      <c r="AB130" s="46">
        <v>0</v>
      </c>
      <c r="AC130" s="46">
        <v>0</v>
      </c>
      <c r="AD130" s="46">
        <v>38.853999999999999</v>
      </c>
      <c r="AE130" s="46">
        <v>0</v>
      </c>
      <c r="AF130" s="46">
        <v>0</v>
      </c>
      <c r="AG130" s="46">
        <v>39.100999999999999</v>
      </c>
      <c r="AH130" s="46">
        <v>39.692</v>
      </c>
      <c r="AI130" s="46">
        <v>0</v>
      </c>
      <c r="AJ130" s="46">
        <v>0</v>
      </c>
      <c r="AK130" s="46">
        <v>38.968000000000004</v>
      </c>
      <c r="AL130" s="46">
        <v>3.7370000000000001</v>
      </c>
      <c r="AM130" s="46">
        <v>0</v>
      </c>
      <c r="AN130" s="46">
        <v>38.750999999999998</v>
      </c>
      <c r="AO130" s="46">
        <v>0</v>
      </c>
      <c r="AP130" s="46">
        <f t="shared" si="2"/>
        <v>13.267548387096776</v>
      </c>
      <c r="AQ130" s="7">
        <f t="shared" si="3"/>
        <v>6.6337741935483878</v>
      </c>
    </row>
    <row r="131" spans="1:43" x14ac:dyDescent="0.3">
      <c r="A131" s="5">
        <v>128</v>
      </c>
      <c r="B131" s="108" t="s">
        <v>175</v>
      </c>
      <c r="C131" s="112" t="s">
        <v>665</v>
      </c>
      <c r="D131" s="112" t="s">
        <v>718</v>
      </c>
      <c r="E131" s="110" t="s">
        <v>128</v>
      </c>
      <c r="F131" s="6" t="s">
        <v>12</v>
      </c>
      <c r="G131" s="6" t="s">
        <v>976</v>
      </c>
      <c r="H131" s="6" t="s">
        <v>35</v>
      </c>
      <c r="I131" s="5">
        <v>6</v>
      </c>
      <c r="J131" s="12" t="s">
        <v>589</v>
      </c>
      <c r="K131" s="46">
        <v>19.718</v>
      </c>
      <c r="L131" s="46">
        <v>7.87</v>
      </c>
      <c r="M131" s="46">
        <v>7.1310000000000002</v>
      </c>
      <c r="N131" s="46">
        <v>11.059000000000001</v>
      </c>
      <c r="O131" s="46">
        <v>13.044</v>
      </c>
      <c r="P131" s="46">
        <v>8.1760000000000002</v>
      </c>
      <c r="Q131" s="46">
        <v>0</v>
      </c>
      <c r="R131" s="46">
        <v>0</v>
      </c>
      <c r="S131" s="46">
        <v>0</v>
      </c>
      <c r="T131" s="46">
        <v>2.6920000000000002</v>
      </c>
      <c r="U131" s="46">
        <v>10.872</v>
      </c>
      <c r="V131" s="46">
        <v>13.084999999999997</v>
      </c>
      <c r="W131" s="46">
        <v>18.081000000000003</v>
      </c>
      <c r="X131" s="46">
        <v>7.0500000000000007</v>
      </c>
      <c r="Y131" s="46">
        <v>5.431</v>
      </c>
      <c r="Z131" s="46">
        <v>18.558</v>
      </c>
      <c r="AA131" s="46">
        <v>9.93</v>
      </c>
      <c r="AB131" s="46">
        <v>19.684999999999999</v>
      </c>
      <c r="AC131" s="46">
        <v>13.027999999999999</v>
      </c>
      <c r="AD131" s="46">
        <v>31.339000000000002</v>
      </c>
      <c r="AE131" s="46">
        <v>5.508</v>
      </c>
      <c r="AF131" s="46">
        <v>11.257</v>
      </c>
      <c r="AG131" s="46">
        <v>36.453000000000003</v>
      </c>
      <c r="AH131" s="46">
        <v>32.212999999999994</v>
      </c>
      <c r="AI131" s="46">
        <v>43.193000000000005</v>
      </c>
      <c r="AJ131" s="46">
        <v>50.598999999999997</v>
      </c>
      <c r="AK131" s="46">
        <v>40.202999999999996</v>
      </c>
      <c r="AL131" s="46">
        <v>35.909999999999997</v>
      </c>
      <c r="AM131" s="46">
        <v>19.989000000000001</v>
      </c>
      <c r="AN131" s="46">
        <v>7.6379999999999999</v>
      </c>
      <c r="AO131" s="46">
        <v>13.321000000000002</v>
      </c>
      <c r="AP131" s="46">
        <f t="shared" ref="AP131:AP185" si="4">AVERAGE(K131:AO131)</f>
        <v>16.549451612903223</v>
      </c>
      <c r="AQ131" s="7">
        <f t="shared" ref="AQ131:AQ185" si="5">AP131/I131</f>
        <v>2.7582419354838703</v>
      </c>
    </row>
    <row r="132" spans="1:43" x14ac:dyDescent="0.3">
      <c r="A132" s="5">
        <v>129</v>
      </c>
      <c r="B132" s="108" t="s">
        <v>175</v>
      </c>
      <c r="C132" s="112" t="s">
        <v>666</v>
      </c>
      <c r="D132" s="112" t="s">
        <v>799</v>
      </c>
      <c r="E132" s="110" t="s">
        <v>128</v>
      </c>
      <c r="F132" s="6" t="s">
        <v>12</v>
      </c>
      <c r="G132" s="6" t="s">
        <v>971</v>
      </c>
      <c r="H132" s="6" t="s">
        <v>80</v>
      </c>
      <c r="I132" s="5">
        <v>1</v>
      </c>
      <c r="J132" s="67" t="s">
        <v>160</v>
      </c>
      <c r="K132" s="46">
        <v>0</v>
      </c>
      <c r="L132" s="46">
        <v>0</v>
      </c>
      <c r="M132" s="46">
        <v>0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v>0</v>
      </c>
      <c r="AP132" s="46">
        <f t="shared" si="4"/>
        <v>0</v>
      </c>
      <c r="AQ132" s="7">
        <f t="shared" si="5"/>
        <v>0</v>
      </c>
    </row>
    <row r="133" spans="1:43" x14ac:dyDescent="0.3">
      <c r="A133" s="5">
        <v>130</v>
      </c>
      <c r="B133" s="108" t="s">
        <v>175</v>
      </c>
      <c r="C133" s="112" t="s">
        <v>667</v>
      </c>
      <c r="D133" s="112" t="s">
        <v>798</v>
      </c>
      <c r="E133" s="110" t="s">
        <v>128</v>
      </c>
      <c r="F133" s="6" t="s">
        <v>12</v>
      </c>
      <c r="G133" s="6" t="s">
        <v>971</v>
      </c>
      <c r="H133" s="6" t="s">
        <v>80</v>
      </c>
      <c r="I133" s="5">
        <v>1</v>
      </c>
      <c r="J133" s="67" t="s">
        <v>160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46">
        <v>0</v>
      </c>
      <c r="AN133" s="46">
        <v>0</v>
      </c>
      <c r="AO133" s="46">
        <v>0</v>
      </c>
      <c r="AP133" s="46">
        <f t="shared" si="4"/>
        <v>0</v>
      </c>
      <c r="AQ133" s="7">
        <f t="shared" si="5"/>
        <v>0</v>
      </c>
    </row>
    <row r="134" spans="1:43" x14ac:dyDescent="0.3">
      <c r="A134" s="5">
        <v>131</v>
      </c>
      <c r="B134" s="108" t="s">
        <v>175</v>
      </c>
      <c r="C134" s="112" t="s">
        <v>668</v>
      </c>
      <c r="D134" s="112" t="s">
        <v>797</v>
      </c>
      <c r="E134" s="110" t="s">
        <v>128</v>
      </c>
      <c r="F134" s="6" t="s">
        <v>12</v>
      </c>
      <c r="G134" s="6" t="s">
        <v>971</v>
      </c>
      <c r="H134" s="6" t="s">
        <v>80</v>
      </c>
      <c r="I134" s="5">
        <v>1</v>
      </c>
      <c r="J134" s="67" t="s">
        <v>160</v>
      </c>
      <c r="K134" s="46">
        <v>0</v>
      </c>
      <c r="L134" s="46">
        <v>0</v>
      </c>
      <c r="M134" s="46">
        <v>0</v>
      </c>
      <c r="N134" s="46">
        <v>0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0</v>
      </c>
      <c r="AL134" s="46">
        <v>0</v>
      </c>
      <c r="AM134" s="46">
        <v>0</v>
      </c>
      <c r="AN134" s="46">
        <v>0</v>
      </c>
      <c r="AO134" s="46">
        <v>0</v>
      </c>
      <c r="AP134" s="46">
        <f t="shared" si="4"/>
        <v>0</v>
      </c>
      <c r="AQ134" s="7">
        <f t="shared" si="5"/>
        <v>0</v>
      </c>
    </row>
    <row r="135" spans="1:43" x14ac:dyDescent="0.3">
      <c r="A135" s="5">
        <v>132</v>
      </c>
      <c r="B135" s="108" t="s">
        <v>565</v>
      </c>
      <c r="C135" s="10" t="s">
        <v>669</v>
      </c>
      <c r="D135" s="39" t="s">
        <v>764</v>
      </c>
      <c r="E135" s="110" t="s">
        <v>128</v>
      </c>
      <c r="F135" s="6" t="s">
        <v>12</v>
      </c>
      <c r="G135" s="6" t="s">
        <v>976</v>
      </c>
      <c r="H135" s="6" t="s">
        <v>35</v>
      </c>
      <c r="I135" s="5">
        <v>15</v>
      </c>
      <c r="J135" s="94" t="s">
        <v>273</v>
      </c>
      <c r="K135" s="46">
        <v>209.14299999999994</v>
      </c>
      <c r="L135" s="46">
        <v>200.04599999999999</v>
      </c>
      <c r="M135" s="46">
        <v>170.38800000000001</v>
      </c>
      <c r="N135" s="46">
        <v>194.64300000000003</v>
      </c>
      <c r="O135" s="46">
        <v>212.36599999999999</v>
      </c>
      <c r="P135" s="46">
        <v>205.04999999999998</v>
      </c>
      <c r="Q135" s="46">
        <v>225.41999999999993</v>
      </c>
      <c r="R135" s="46">
        <v>222.38000000000002</v>
      </c>
      <c r="S135" s="46">
        <v>235.68399999999997</v>
      </c>
      <c r="T135" s="46">
        <v>232.15999999999997</v>
      </c>
      <c r="U135" s="46">
        <v>228.63799999999992</v>
      </c>
      <c r="V135" s="46">
        <v>224.42399999999998</v>
      </c>
      <c r="W135" s="46">
        <v>193.02899999999997</v>
      </c>
      <c r="X135" s="46">
        <v>125.41899999999998</v>
      </c>
      <c r="Y135" s="46">
        <v>54.402999999999992</v>
      </c>
      <c r="Z135" s="46">
        <v>120.01300000000001</v>
      </c>
      <c r="AA135" s="46">
        <v>199.55399999999997</v>
      </c>
      <c r="AB135" s="46">
        <v>216.57500000000002</v>
      </c>
      <c r="AC135" s="46">
        <v>230.41600000000003</v>
      </c>
      <c r="AD135" s="46">
        <v>207.94100000000003</v>
      </c>
      <c r="AE135" s="46">
        <v>219.39900000000006</v>
      </c>
      <c r="AF135" s="46">
        <v>310.79199999999992</v>
      </c>
      <c r="AG135" s="46">
        <v>301.54300000000006</v>
      </c>
      <c r="AH135" s="46">
        <v>295.57599999999996</v>
      </c>
      <c r="AI135" s="46">
        <v>209.24700000000004</v>
      </c>
      <c r="AJ135" s="46">
        <v>300.14100000000002</v>
      </c>
      <c r="AK135" s="46">
        <v>267.06300000000005</v>
      </c>
      <c r="AL135" s="46">
        <v>227.34399999999997</v>
      </c>
      <c r="AM135" s="46">
        <v>286.17500000000007</v>
      </c>
      <c r="AN135" s="46">
        <v>298.90399999999988</v>
      </c>
      <c r="AO135" s="46">
        <v>222.38500000000005</v>
      </c>
      <c r="AP135" s="46">
        <f t="shared" si="4"/>
        <v>220.84712903225804</v>
      </c>
      <c r="AQ135" s="7">
        <f t="shared" si="5"/>
        <v>14.72314193548387</v>
      </c>
    </row>
    <row r="136" spans="1:43" x14ac:dyDescent="0.3">
      <c r="A136" s="5">
        <v>133</v>
      </c>
      <c r="B136" s="108" t="s">
        <v>565</v>
      </c>
      <c r="C136" s="10" t="s">
        <v>669</v>
      </c>
      <c r="D136" s="39" t="s">
        <v>912</v>
      </c>
      <c r="E136" s="110" t="s">
        <v>128</v>
      </c>
      <c r="F136" s="6" t="s">
        <v>12</v>
      </c>
      <c r="G136" s="6" t="s">
        <v>971</v>
      </c>
      <c r="H136" s="6" t="s">
        <v>80</v>
      </c>
      <c r="I136" s="5">
        <v>1</v>
      </c>
      <c r="J136" s="94" t="s">
        <v>273</v>
      </c>
      <c r="K136" s="46">
        <v>2.97</v>
      </c>
      <c r="L136" s="46">
        <v>0</v>
      </c>
      <c r="M136" s="46">
        <v>0</v>
      </c>
      <c r="N136" s="46">
        <v>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10.8</v>
      </c>
      <c r="V136" s="46">
        <v>14.309999999999999</v>
      </c>
      <c r="W136" s="46">
        <v>0</v>
      </c>
      <c r="X136" s="46">
        <v>0</v>
      </c>
      <c r="Y136" s="46">
        <v>0</v>
      </c>
      <c r="Z136" s="46">
        <v>0</v>
      </c>
      <c r="AA136" s="46">
        <v>20.060000000000002</v>
      </c>
      <c r="AB136" s="46">
        <v>7.07</v>
      </c>
      <c r="AC136" s="46">
        <v>0</v>
      </c>
      <c r="AD136" s="46">
        <v>11.18</v>
      </c>
      <c r="AE136" s="46">
        <v>25.41</v>
      </c>
      <c r="AF136" s="46">
        <v>18.25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10.39</v>
      </c>
      <c r="AM136" s="46">
        <v>8.43</v>
      </c>
      <c r="AN136" s="46">
        <v>0</v>
      </c>
      <c r="AO136" s="46">
        <v>4.75</v>
      </c>
      <c r="AP136" s="46">
        <f t="shared" si="4"/>
        <v>4.3103225806451615</v>
      </c>
      <c r="AQ136" s="7">
        <f t="shared" si="5"/>
        <v>4.3103225806451615</v>
      </c>
    </row>
    <row r="137" spans="1:43" ht="14.25" customHeight="1" x14ac:dyDescent="0.3">
      <c r="A137" s="5">
        <v>134</v>
      </c>
      <c r="B137" s="107" t="s">
        <v>65</v>
      </c>
      <c r="C137" s="10" t="s">
        <v>670</v>
      </c>
      <c r="D137" s="12" t="s">
        <v>732</v>
      </c>
      <c r="E137" s="110" t="s">
        <v>30</v>
      </c>
      <c r="F137" s="6" t="s">
        <v>12</v>
      </c>
      <c r="G137" s="6" t="s">
        <v>976</v>
      </c>
      <c r="H137" s="6" t="s">
        <v>35</v>
      </c>
      <c r="I137" s="5">
        <v>5</v>
      </c>
      <c r="J137" s="12" t="s">
        <v>589</v>
      </c>
      <c r="K137" s="46">
        <v>20.291999999999998</v>
      </c>
      <c r="L137" s="46">
        <v>17.094999999999999</v>
      </c>
      <c r="M137" s="46">
        <v>13.744</v>
      </c>
      <c r="N137" s="46">
        <v>23.109000000000002</v>
      </c>
      <c r="O137" s="46">
        <v>17.582000000000001</v>
      </c>
      <c r="P137" s="46">
        <v>12.49</v>
      </c>
      <c r="Q137" s="46">
        <v>23.746999999999996</v>
      </c>
      <c r="R137" s="46">
        <v>6.8689999999999998</v>
      </c>
      <c r="S137" s="46">
        <v>12.1</v>
      </c>
      <c r="T137" s="46">
        <v>11.574999999999999</v>
      </c>
      <c r="U137" s="46">
        <v>17.268000000000001</v>
      </c>
      <c r="V137" s="46">
        <v>25.321000000000002</v>
      </c>
      <c r="W137" s="46">
        <v>9.7670000000000012</v>
      </c>
      <c r="X137" s="46">
        <v>9.7189999999999994</v>
      </c>
      <c r="Y137" s="46">
        <v>11.485999999999999</v>
      </c>
      <c r="Z137" s="46">
        <v>4.5869999999999997</v>
      </c>
      <c r="AA137" s="46">
        <v>1E-3</v>
      </c>
      <c r="AB137" s="46">
        <v>2.6989999999999994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v>0</v>
      </c>
      <c r="AN137" s="46">
        <v>0</v>
      </c>
      <c r="AO137" s="46">
        <v>0</v>
      </c>
      <c r="AP137" s="46">
        <f t="shared" si="4"/>
        <v>7.7242258064516118</v>
      </c>
      <c r="AQ137" s="7">
        <f t="shared" si="5"/>
        <v>1.5448451612903225</v>
      </c>
    </row>
    <row r="138" spans="1:43" x14ac:dyDescent="0.3">
      <c r="A138" s="5">
        <v>135</v>
      </c>
      <c r="B138" s="107" t="s">
        <v>65</v>
      </c>
      <c r="C138" s="10" t="s">
        <v>671</v>
      </c>
      <c r="D138" s="12" t="s">
        <v>723</v>
      </c>
      <c r="E138" s="110" t="s">
        <v>30</v>
      </c>
      <c r="F138" s="6" t="s">
        <v>12</v>
      </c>
      <c r="G138" s="6" t="s">
        <v>976</v>
      </c>
      <c r="H138" s="6" t="s">
        <v>35</v>
      </c>
      <c r="I138" s="5">
        <v>16</v>
      </c>
      <c r="J138" s="12" t="s">
        <v>589</v>
      </c>
      <c r="K138" s="46">
        <v>106.50700000000002</v>
      </c>
      <c r="L138" s="46">
        <v>96.346999999999994</v>
      </c>
      <c r="M138" s="46">
        <v>154.38700000000003</v>
      </c>
      <c r="N138" s="46">
        <v>151.50399999999999</v>
      </c>
      <c r="O138" s="46">
        <v>155.74900000000002</v>
      </c>
      <c r="P138" s="46">
        <v>194.78099999999992</v>
      </c>
      <c r="Q138" s="46">
        <v>185.399</v>
      </c>
      <c r="R138" s="46">
        <v>201.60799999999998</v>
      </c>
      <c r="S138" s="46">
        <v>130.53399999999999</v>
      </c>
      <c r="T138" s="46">
        <v>150.55399999999997</v>
      </c>
      <c r="U138" s="46">
        <v>170.16399999999999</v>
      </c>
      <c r="V138" s="46">
        <v>133.80199999999999</v>
      </c>
      <c r="W138" s="46">
        <v>92.98599999999999</v>
      </c>
      <c r="X138" s="46">
        <v>29.843999999999998</v>
      </c>
      <c r="Y138" s="46">
        <v>59.981999999999999</v>
      </c>
      <c r="Z138" s="46">
        <v>133.25000000000003</v>
      </c>
      <c r="AA138" s="46">
        <v>126.96399999999998</v>
      </c>
      <c r="AB138" s="46">
        <v>190.47900000000004</v>
      </c>
      <c r="AC138" s="46">
        <v>131.03700000000001</v>
      </c>
      <c r="AD138" s="46">
        <v>135.13200000000003</v>
      </c>
      <c r="AE138" s="46">
        <v>130.14099999999999</v>
      </c>
      <c r="AF138" s="46">
        <v>146.51900000000001</v>
      </c>
      <c r="AG138" s="46">
        <v>126.85399999999998</v>
      </c>
      <c r="AH138" s="46">
        <v>130.53099999999998</v>
      </c>
      <c r="AI138" s="46">
        <v>129.12700000000001</v>
      </c>
      <c r="AJ138" s="46">
        <v>126.557</v>
      </c>
      <c r="AK138" s="46">
        <v>136.58699999999999</v>
      </c>
      <c r="AL138" s="46">
        <v>123.53000000000002</v>
      </c>
      <c r="AM138" s="46">
        <v>130.99600000000001</v>
      </c>
      <c r="AN138" s="46">
        <v>125.05599999999998</v>
      </c>
      <c r="AO138" s="46">
        <v>125.07000000000001</v>
      </c>
      <c r="AP138" s="46">
        <f t="shared" si="4"/>
        <v>134.25735483870966</v>
      </c>
      <c r="AQ138" s="7">
        <f t="shared" si="5"/>
        <v>8.3910846774193537</v>
      </c>
    </row>
    <row r="139" spans="1:43" x14ac:dyDescent="0.3">
      <c r="A139" s="5">
        <v>136</v>
      </c>
      <c r="B139" s="107" t="s">
        <v>65</v>
      </c>
      <c r="C139" s="10" t="s">
        <v>672</v>
      </c>
      <c r="D139" s="12" t="s">
        <v>818</v>
      </c>
      <c r="E139" s="110" t="s">
        <v>30</v>
      </c>
      <c r="F139" s="6" t="s">
        <v>12</v>
      </c>
      <c r="G139" s="6" t="s">
        <v>976</v>
      </c>
      <c r="H139" s="6" t="s">
        <v>35</v>
      </c>
      <c r="I139" s="5">
        <v>10</v>
      </c>
      <c r="J139" s="12" t="s">
        <v>589</v>
      </c>
      <c r="K139" s="46">
        <v>0</v>
      </c>
      <c r="L139" s="46">
        <v>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>
        <v>0</v>
      </c>
      <c r="AO139" s="46">
        <v>0</v>
      </c>
      <c r="AP139" s="46">
        <f t="shared" si="4"/>
        <v>0</v>
      </c>
      <c r="AQ139" s="7">
        <f t="shared" si="5"/>
        <v>0</v>
      </c>
    </row>
    <row r="140" spans="1:43" x14ac:dyDescent="0.3">
      <c r="A140" s="5">
        <v>137</v>
      </c>
      <c r="B140" s="107" t="s">
        <v>65</v>
      </c>
      <c r="C140" s="10" t="s">
        <v>673</v>
      </c>
      <c r="D140" s="12" t="s">
        <v>719</v>
      </c>
      <c r="E140" s="110" t="s">
        <v>30</v>
      </c>
      <c r="F140" s="6" t="s">
        <v>12</v>
      </c>
      <c r="G140" s="6" t="s">
        <v>976</v>
      </c>
      <c r="H140" s="6" t="s">
        <v>35</v>
      </c>
      <c r="I140" s="5">
        <v>13</v>
      </c>
      <c r="J140" s="12" t="s">
        <v>589</v>
      </c>
      <c r="K140" s="46">
        <v>183.38499999999999</v>
      </c>
      <c r="L140" s="46">
        <v>187.95699999999999</v>
      </c>
      <c r="M140" s="46">
        <v>168.64899999999997</v>
      </c>
      <c r="N140" s="46">
        <v>196.22500000000002</v>
      </c>
      <c r="O140" s="46">
        <v>72.358000000000004</v>
      </c>
      <c r="P140" s="46">
        <v>175.631</v>
      </c>
      <c r="Q140" s="46">
        <v>172.613</v>
      </c>
      <c r="R140" s="46">
        <v>178.03699999999998</v>
      </c>
      <c r="S140" s="46">
        <v>54.813000000000002</v>
      </c>
      <c r="T140" s="46">
        <v>94.265000000000001</v>
      </c>
      <c r="U140" s="46">
        <v>109.05800000000002</v>
      </c>
      <c r="V140" s="46">
        <v>123.36499999999997</v>
      </c>
      <c r="W140" s="46">
        <v>96.84899999999999</v>
      </c>
      <c r="X140" s="46">
        <v>30.972000000000005</v>
      </c>
      <c r="Y140" s="46">
        <v>96.409000000000006</v>
      </c>
      <c r="Z140" s="46">
        <v>34.536000000000001</v>
      </c>
      <c r="AA140" s="46">
        <v>76.283999999999992</v>
      </c>
      <c r="AB140" s="46">
        <v>78.655000000000015</v>
      </c>
      <c r="AC140" s="46">
        <v>124.94899999999998</v>
      </c>
      <c r="AD140" s="46">
        <v>163.51599999999999</v>
      </c>
      <c r="AE140" s="46">
        <v>166.35900000000004</v>
      </c>
      <c r="AF140" s="46">
        <v>179.28</v>
      </c>
      <c r="AG140" s="46">
        <v>139.91900000000001</v>
      </c>
      <c r="AH140" s="46">
        <v>118.254</v>
      </c>
      <c r="AI140" s="46">
        <v>181.06099999999995</v>
      </c>
      <c r="AJ140" s="46">
        <v>115.24799999999999</v>
      </c>
      <c r="AK140" s="46">
        <v>168.309</v>
      </c>
      <c r="AL140" s="46">
        <v>142.77099999999996</v>
      </c>
      <c r="AM140" s="46">
        <v>174.96300000000002</v>
      </c>
      <c r="AN140" s="46">
        <v>99.734000000000023</v>
      </c>
      <c r="AO140" s="46">
        <v>116.30799999999999</v>
      </c>
      <c r="AP140" s="46">
        <f t="shared" si="4"/>
        <v>129.70103225806454</v>
      </c>
      <c r="AQ140" s="7">
        <f t="shared" si="5"/>
        <v>9.9770024813895795</v>
      </c>
    </row>
    <row r="141" spans="1:43" x14ac:dyDescent="0.3">
      <c r="A141" s="5">
        <v>138</v>
      </c>
      <c r="B141" s="107" t="s">
        <v>65</v>
      </c>
      <c r="C141" s="112" t="s">
        <v>941</v>
      </c>
      <c r="D141" s="112" t="s">
        <v>904</v>
      </c>
      <c r="E141" s="110" t="s">
        <v>128</v>
      </c>
      <c r="F141" s="6" t="s">
        <v>12</v>
      </c>
      <c r="G141" s="6" t="s">
        <v>976</v>
      </c>
      <c r="H141" s="6" t="s">
        <v>35</v>
      </c>
      <c r="I141" s="5">
        <v>15</v>
      </c>
      <c r="J141" s="94" t="s">
        <v>273</v>
      </c>
      <c r="K141" s="46">
        <v>34.037000000000006</v>
      </c>
      <c r="L141" s="46">
        <v>27.759</v>
      </c>
      <c r="M141" s="46">
        <v>17.460999999999999</v>
      </c>
      <c r="N141" s="46">
        <v>64.025999999999996</v>
      </c>
      <c r="O141" s="46">
        <v>173.21700000000001</v>
      </c>
      <c r="P141" s="46">
        <v>58.898999999999994</v>
      </c>
      <c r="Q141" s="46">
        <v>5.8849999999999998</v>
      </c>
      <c r="R141" s="46">
        <v>102.229</v>
      </c>
      <c r="S141" s="46">
        <v>112.25000000000001</v>
      </c>
      <c r="T141" s="46">
        <v>399.68299999999994</v>
      </c>
      <c r="U141" s="46">
        <v>179.78700000000001</v>
      </c>
      <c r="V141" s="46">
        <v>168.10700000000003</v>
      </c>
      <c r="W141" s="46">
        <v>276.85299999999995</v>
      </c>
      <c r="X141" s="46">
        <v>171.92300000000003</v>
      </c>
      <c r="Y141" s="46">
        <v>70.459000000000003</v>
      </c>
      <c r="Z141" s="46">
        <v>228.92000000000002</v>
      </c>
      <c r="AA141" s="46">
        <v>225.732</v>
      </c>
      <c r="AB141" s="46">
        <v>374.63699999999994</v>
      </c>
      <c r="AC141" s="46">
        <v>253.66500000000008</v>
      </c>
      <c r="AD141" s="46">
        <v>256.35099999999989</v>
      </c>
      <c r="AE141" s="46">
        <v>301.91499999999996</v>
      </c>
      <c r="AF141" s="46">
        <v>269.40000000000009</v>
      </c>
      <c r="AG141" s="46">
        <v>255.30999999999997</v>
      </c>
      <c r="AH141" s="46">
        <v>233.47099999999998</v>
      </c>
      <c r="AI141" s="46">
        <v>305.74400000000009</v>
      </c>
      <c r="AJ141" s="46">
        <v>217.45900000000003</v>
      </c>
      <c r="AK141" s="46">
        <v>306.20299999999997</v>
      </c>
      <c r="AL141" s="46">
        <v>319.471</v>
      </c>
      <c r="AM141" s="46">
        <v>340.97100000000012</v>
      </c>
      <c r="AN141" s="46">
        <v>346.94399999999996</v>
      </c>
      <c r="AO141" s="46">
        <v>318.25599999999997</v>
      </c>
      <c r="AP141" s="46">
        <f t="shared" si="4"/>
        <v>207.00077419354835</v>
      </c>
      <c r="AQ141" s="7">
        <f t="shared" si="5"/>
        <v>13.800051612903223</v>
      </c>
    </row>
    <row r="142" spans="1:43" x14ac:dyDescent="0.3">
      <c r="A142" s="5">
        <v>139</v>
      </c>
      <c r="B142" s="107" t="s">
        <v>65</v>
      </c>
      <c r="C142" s="10" t="s">
        <v>674</v>
      </c>
      <c r="D142" s="12" t="s">
        <v>730</v>
      </c>
      <c r="E142" s="110" t="s">
        <v>30</v>
      </c>
      <c r="F142" s="6" t="s">
        <v>12</v>
      </c>
      <c r="G142" s="6" t="s">
        <v>976</v>
      </c>
      <c r="H142" s="6" t="s">
        <v>35</v>
      </c>
      <c r="I142" s="5">
        <v>20</v>
      </c>
      <c r="J142" s="12" t="s">
        <v>589</v>
      </c>
      <c r="K142" s="46">
        <v>395.75800000000004</v>
      </c>
      <c r="L142" s="46">
        <v>443.31700000000001</v>
      </c>
      <c r="M142" s="46">
        <v>462.90000000000009</v>
      </c>
      <c r="N142" s="46">
        <v>452.76500000000004</v>
      </c>
      <c r="O142" s="46">
        <v>465.178</v>
      </c>
      <c r="P142" s="46">
        <v>603.59199999999987</v>
      </c>
      <c r="Q142" s="46">
        <v>588.7600000000001</v>
      </c>
      <c r="R142" s="46">
        <v>508.26199999999983</v>
      </c>
      <c r="S142" s="46">
        <v>443.58999999999958</v>
      </c>
      <c r="T142" s="46">
        <v>245.07300000000004</v>
      </c>
      <c r="U142" s="46">
        <v>354.53499999999997</v>
      </c>
      <c r="V142" s="46">
        <v>396.47700000000003</v>
      </c>
      <c r="W142" s="46">
        <v>317.97399999999999</v>
      </c>
      <c r="X142" s="46">
        <v>303.05200000000002</v>
      </c>
      <c r="Y142" s="46">
        <v>186.35199999999998</v>
      </c>
      <c r="Z142" s="46">
        <v>253.84499999999997</v>
      </c>
      <c r="AA142" s="46">
        <v>261.59700000000004</v>
      </c>
      <c r="AB142" s="46">
        <v>282.28300000000007</v>
      </c>
      <c r="AC142" s="46">
        <v>293.24699999999996</v>
      </c>
      <c r="AD142" s="46">
        <v>247.78</v>
      </c>
      <c r="AE142" s="46">
        <v>265.94299999999998</v>
      </c>
      <c r="AF142" s="46">
        <v>298.87600000000003</v>
      </c>
      <c r="AG142" s="46">
        <v>257.64000000000004</v>
      </c>
      <c r="AH142" s="46">
        <v>240.03400000000002</v>
      </c>
      <c r="AI142" s="46">
        <v>286.60300000000001</v>
      </c>
      <c r="AJ142" s="46">
        <v>306.17499999999995</v>
      </c>
      <c r="AK142" s="46">
        <v>287.25700000000001</v>
      </c>
      <c r="AL142" s="46">
        <v>247.07099999999997</v>
      </c>
      <c r="AM142" s="46">
        <v>292.57199999999995</v>
      </c>
      <c r="AN142" s="46">
        <v>244.09700000000004</v>
      </c>
      <c r="AO142" s="46">
        <v>216.77200000000002</v>
      </c>
      <c r="AP142" s="46">
        <f t="shared" si="4"/>
        <v>337.07667741935478</v>
      </c>
      <c r="AQ142" s="7">
        <f t="shared" si="5"/>
        <v>16.85383387096774</v>
      </c>
    </row>
    <row r="143" spans="1:43" x14ac:dyDescent="0.3">
      <c r="A143" s="5">
        <v>140</v>
      </c>
      <c r="B143" s="107" t="s">
        <v>65</v>
      </c>
      <c r="C143" s="112" t="s">
        <v>942</v>
      </c>
      <c r="D143" s="112" t="s">
        <v>922</v>
      </c>
      <c r="E143" s="110" t="s">
        <v>30</v>
      </c>
      <c r="F143" s="6" t="s">
        <v>12</v>
      </c>
      <c r="G143" s="6" t="s">
        <v>971</v>
      </c>
      <c r="H143" s="6" t="s">
        <v>80</v>
      </c>
      <c r="I143" s="5">
        <v>2</v>
      </c>
      <c r="J143" s="12" t="s">
        <v>589</v>
      </c>
      <c r="K143" s="46">
        <v>71.009999999999991</v>
      </c>
      <c r="L143" s="46">
        <v>24.55</v>
      </c>
      <c r="M143" s="46">
        <v>61.79</v>
      </c>
      <c r="N143" s="46">
        <v>8.759999999999998</v>
      </c>
      <c r="O143" s="46">
        <v>0.22</v>
      </c>
      <c r="P143" s="46">
        <v>7.0000000000000007E-2</v>
      </c>
      <c r="Q143" s="46">
        <v>0</v>
      </c>
      <c r="R143" s="46">
        <v>156.91999999999999</v>
      </c>
      <c r="S143" s="46">
        <v>0</v>
      </c>
      <c r="T143" s="46">
        <v>23.66</v>
      </c>
      <c r="U143" s="46">
        <v>11.530000000000001</v>
      </c>
      <c r="V143" s="46">
        <v>13.629999999999999</v>
      </c>
      <c r="W143" s="46">
        <v>22.47</v>
      </c>
      <c r="X143" s="46">
        <v>0</v>
      </c>
      <c r="Y143" s="46">
        <v>3.84</v>
      </c>
      <c r="Z143" s="46">
        <v>0</v>
      </c>
      <c r="AA143" s="46">
        <v>0</v>
      </c>
      <c r="AB143" s="46">
        <v>77.199999999999989</v>
      </c>
      <c r="AC143" s="46">
        <v>54.820000000000007</v>
      </c>
      <c r="AD143" s="46">
        <v>53.249999999999993</v>
      </c>
      <c r="AE143" s="46">
        <v>34.489999999999995</v>
      </c>
      <c r="AF143" s="46">
        <v>25</v>
      </c>
      <c r="AG143" s="46">
        <v>56.820000000000007</v>
      </c>
      <c r="AH143" s="46">
        <v>23.240000000000002</v>
      </c>
      <c r="AI143" s="46">
        <v>6.0000000000000005E-2</v>
      </c>
      <c r="AJ143" s="46">
        <v>0.03</v>
      </c>
      <c r="AK143" s="46">
        <v>47.95</v>
      </c>
      <c r="AL143" s="46">
        <v>29.85</v>
      </c>
      <c r="AM143" s="46">
        <v>40.39</v>
      </c>
      <c r="AN143" s="46">
        <v>17.650000000000002</v>
      </c>
      <c r="AO143" s="46">
        <v>27.919999999999998</v>
      </c>
      <c r="AP143" s="46">
        <f t="shared" si="4"/>
        <v>28.616774193548387</v>
      </c>
      <c r="AQ143" s="7">
        <f t="shared" si="5"/>
        <v>14.308387096774194</v>
      </c>
    </row>
    <row r="144" spans="1:43" x14ac:dyDescent="0.3">
      <c r="A144" s="5">
        <v>141</v>
      </c>
      <c r="B144" s="107" t="s">
        <v>65</v>
      </c>
      <c r="C144" s="10" t="s">
        <v>675</v>
      </c>
      <c r="D144" s="12" t="s">
        <v>800</v>
      </c>
      <c r="E144" s="110" t="s">
        <v>30</v>
      </c>
      <c r="F144" s="6" t="s">
        <v>12</v>
      </c>
      <c r="G144" s="6" t="s">
        <v>976</v>
      </c>
      <c r="H144" s="6" t="s">
        <v>35</v>
      </c>
      <c r="I144" s="5">
        <v>1</v>
      </c>
      <c r="J144" s="12" t="s">
        <v>160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v>0</v>
      </c>
      <c r="AN144" s="46">
        <v>0</v>
      </c>
      <c r="AO144" s="46">
        <v>0</v>
      </c>
      <c r="AP144" s="46">
        <f t="shared" si="4"/>
        <v>0</v>
      </c>
      <c r="AQ144" s="7">
        <f t="shared" si="5"/>
        <v>0</v>
      </c>
    </row>
    <row r="145" spans="1:43" x14ac:dyDescent="0.3">
      <c r="A145" s="5">
        <v>142</v>
      </c>
      <c r="B145" s="107" t="s">
        <v>65</v>
      </c>
      <c r="C145" s="10" t="s">
        <v>676</v>
      </c>
      <c r="D145" s="12" t="s">
        <v>801</v>
      </c>
      <c r="E145" s="110" t="s">
        <v>30</v>
      </c>
      <c r="F145" s="6" t="s">
        <v>12</v>
      </c>
      <c r="G145" s="6" t="s">
        <v>976</v>
      </c>
      <c r="H145" s="6" t="s">
        <v>35</v>
      </c>
      <c r="I145" s="5">
        <v>1</v>
      </c>
      <c r="J145" s="12" t="s">
        <v>160</v>
      </c>
      <c r="K145" s="46">
        <v>0</v>
      </c>
      <c r="L145" s="46">
        <v>0</v>
      </c>
      <c r="M145" s="46">
        <v>0</v>
      </c>
      <c r="N145" s="46">
        <v>0</v>
      </c>
      <c r="O145" s="46">
        <v>0</v>
      </c>
      <c r="P145" s="46">
        <v>0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46">
        <v>0</v>
      </c>
      <c r="AA145" s="46">
        <v>0</v>
      </c>
      <c r="AB145" s="46">
        <v>0</v>
      </c>
      <c r="AC145" s="46">
        <v>0</v>
      </c>
      <c r="AD145" s="46">
        <v>0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>
        <v>0</v>
      </c>
      <c r="AK145" s="46">
        <v>0</v>
      </c>
      <c r="AL145" s="46">
        <v>0</v>
      </c>
      <c r="AM145" s="46">
        <v>0</v>
      </c>
      <c r="AN145" s="46">
        <v>0</v>
      </c>
      <c r="AO145" s="46">
        <v>0</v>
      </c>
      <c r="AP145" s="46">
        <f t="shared" si="4"/>
        <v>0</v>
      </c>
      <c r="AQ145" s="7">
        <f t="shared" si="5"/>
        <v>0</v>
      </c>
    </row>
    <row r="146" spans="1:43" x14ac:dyDescent="0.3">
      <c r="A146" s="5">
        <v>143</v>
      </c>
      <c r="B146" s="107" t="s">
        <v>65</v>
      </c>
      <c r="C146" s="10" t="s">
        <v>677</v>
      </c>
      <c r="D146" s="12" t="s">
        <v>990</v>
      </c>
      <c r="E146" s="110" t="s">
        <v>128</v>
      </c>
      <c r="F146" s="6" t="s">
        <v>12</v>
      </c>
      <c r="G146" s="6" t="s">
        <v>979</v>
      </c>
      <c r="H146" s="6" t="s">
        <v>35</v>
      </c>
      <c r="I146" s="5">
        <v>2</v>
      </c>
      <c r="J146" s="67" t="s">
        <v>160</v>
      </c>
      <c r="K146" s="46">
        <v>26.551000000000002</v>
      </c>
      <c r="L146" s="46">
        <v>0</v>
      </c>
      <c r="M146" s="46">
        <v>0</v>
      </c>
      <c r="N146" s="46">
        <v>0</v>
      </c>
      <c r="O146" s="46">
        <v>32.095999999999997</v>
      </c>
      <c r="P146" s="46">
        <v>0</v>
      </c>
      <c r="Q146" s="46">
        <v>0</v>
      </c>
      <c r="R146" s="46">
        <v>0</v>
      </c>
      <c r="S146" s="46">
        <v>29.494</v>
      </c>
      <c r="T146" s="46">
        <v>0</v>
      </c>
      <c r="U146" s="46">
        <v>9.9580000000000002</v>
      </c>
      <c r="V146" s="46">
        <v>0</v>
      </c>
      <c r="W146" s="46">
        <v>0</v>
      </c>
      <c r="X146" s="46">
        <v>0</v>
      </c>
      <c r="Y146" s="46">
        <v>28.257000000000001</v>
      </c>
      <c r="Z146" s="46">
        <v>0</v>
      </c>
      <c r="AA146" s="46">
        <v>0</v>
      </c>
      <c r="AB146" s="46">
        <v>0</v>
      </c>
      <c r="AC146" s="46">
        <v>0</v>
      </c>
      <c r="AD146" s="46">
        <v>0</v>
      </c>
      <c r="AE146" s="46">
        <v>0</v>
      </c>
      <c r="AF146" s="46">
        <v>0</v>
      </c>
      <c r="AG146" s="46">
        <v>0</v>
      </c>
      <c r="AH146" s="46">
        <v>0</v>
      </c>
      <c r="AI146" s="46">
        <v>0</v>
      </c>
      <c r="AJ146" s="46">
        <v>36.951000000000001</v>
      </c>
      <c r="AK146" s="46">
        <v>0</v>
      </c>
      <c r="AL146" s="46">
        <v>20.306000000000001</v>
      </c>
      <c r="AM146" s="46">
        <v>0</v>
      </c>
      <c r="AN146" s="46">
        <v>0</v>
      </c>
      <c r="AO146" s="46">
        <v>41.732999999999997</v>
      </c>
      <c r="AP146" s="46">
        <f t="shared" si="4"/>
        <v>7.2692258064516126</v>
      </c>
      <c r="AQ146" s="7">
        <f t="shared" si="5"/>
        <v>3.6346129032258063</v>
      </c>
    </row>
    <row r="147" spans="1:43" ht="15.75" customHeight="1" x14ac:dyDescent="0.3">
      <c r="A147" s="5">
        <v>144</v>
      </c>
      <c r="B147" s="107" t="s">
        <v>65</v>
      </c>
      <c r="C147" s="10" t="s">
        <v>678</v>
      </c>
      <c r="D147" s="12" t="s">
        <v>803</v>
      </c>
      <c r="E147" s="110"/>
      <c r="F147" s="6" t="s">
        <v>130</v>
      </c>
      <c r="G147" s="6" t="s">
        <v>976</v>
      </c>
      <c r="H147" s="6" t="s">
        <v>35</v>
      </c>
      <c r="I147" s="5">
        <v>2</v>
      </c>
      <c r="J147" s="12" t="s">
        <v>590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46">
        <v>0</v>
      </c>
      <c r="AA147" s="46">
        <v>0</v>
      </c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0</v>
      </c>
      <c r="AI147" s="46">
        <v>0</v>
      </c>
      <c r="AJ147" s="46">
        <v>0</v>
      </c>
      <c r="AK147" s="46">
        <v>0</v>
      </c>
      <c r="AL147" s="46">
        <v>0</v>
      </c>
      <c r="AM147" s="46">
        <v>0</v>
      </c>
      <c r="AN147" s="46">
        <v>0</v>
      </c>
      <c r="AO147" s="46">
        <v>0</v>
      </c>
      <c r="AP147" s="46">
        <f t="shared" si="4"/>
        <v>0</v>
      </c>
      <c r="AQ147" s="7">
        <f t="shared" si="5"/>
        <v>0</v>
      </c>
    </row>
    <row r="148" spans="1:43" x14ac:dyDescent="0.3">
      <c r="A148" s="5">
        <v>145</v>
      </c>
      <c r="B148" s="107" t="s">
        <v>65</v>
      </c>
      <c r="C148" s="10" t="s">
        <v>679</v>
      </c>
      <c r="D148" s="12" t="s">
        <v>737</v>
      </c>
      <c r="E148" s="110" t="s">
        <v>128</v>
      </c>
      <c r="F148" s="6" t="s">
        <v>19</v>
      </c>
      <c r="G148" s="6" t="s">
        <v>976</v>
      </c>
      <c r="H148" s="6" t="s">
        <v>35</v>
      </c>
      <c r="I148" s="5">
        <v>6</v>
      </c>
      <c r="J148" s="12" t="s">
        <v>590</v>
      </c>
      <c r="K148" s="46">
        <v>0</v>
      </c>
      <c r="L148" s="46">
        <v>0</v>
      </c>
      <c r="M148" s="46">
        <v>21.313000000000002</v>
      </c>
      <c r="N148" s="46">
        <v>19.440000000000001</v>
      </c>
      <c r="O148" s="46">
        <v>13.672000000000001</v>
      </c>
      <c r="P148" s="46">
        <v>15.045000000000002</v>
      </c>
      <c r="Q148" s="46">
        <v>19.443999999999999</v>
      </c>
      <c r="R148" s="46">
        <v>0</v>
      </c>
      <c r="S148" s="46">
        <v>0</v>
      </c>
      <c r="T148" s="46">
        <v>8.1949999999999985</v>
      </c>
      <c r="U148" s="46">
        <v>7.9770000000000003</v>
      </c>
      <c r="V148" s="46">
        <v>29.215</v>
      </c>
      <c r="W148" s="46">
        <v>20.054000000000002</v>
      </c>
      <c r="X148" s="46">
        <v>0</v>
      </c>
      <c r="Y148" s="46">
        <v>0</v>
      </c>
      <c r="Z148" s="46">
        <v>0</v>
      </c>
      <c r="AA148" s="46">
        <v>8.254999999999999</v>
      </c>
      <c r="AB148" s="46">
        <v>18.117000000000001</v>
      </c>
      <c r="AC148" s="46">
        <v>31.135999999999996</v>
      </c>
      <c r="AD148" s="46">
        <v>10.314</v>
      </c>
      <c r="AE148" s="46">
        <v>10.076999999999998</v>
      </c>
      <c r="AF148" s="46">
        <v>0</v>
      </c>
      <c r="AG148" s="46">
        <v>0</v>
      </c>
      <c r="AH148" s="46">
        <v>10.381</v>
      </c>
      <c r="AI148" s="46">
        <v>13.799999999999999</v>
      </c>
      <c r="AJ148" s="46">
        <v>25.001999999999999</v>
      </c>
      <c r="AK148" s="46">
        <v>13.712999999999999</v>
      </c>
      <c r="AL148" s="46">
        <v>2.65</v>
      </c>
      <c r="AM148" s="46">
        <v>0</v>
      </c>
      <c r="AN148" s="46">
        <v>0</v>
      </c>
      <c r="AO148" s="46">
        <v>0</v>
      </c>
      <c r="AP148" s="46">
        <f t="shared" si="4"/>
        <v>9.6064516129032249</v>
      </c>
      <c r="AQ148" s="7">
        <f t="shared" si="5"/>
        <v>1.6010752688172041</v>
      </c>
    </row>
    <row r="149" spans="1:43" x14ac:dyDescent="0.3">
      <c r="A149" s="5">
        <v>146</v>
      </c>
      <c r="B149" s="107" t="s">
        <v>65</v>
      </c>
      <c r="C149" s="10" t="s">
        <v>680</v>
      </c>
      <c r="D149" s="12" t="s">
        <v>751</v>
      </c>
      <c r="E149" s="110" t="s">
        <v>128</v>
      </c>
      <c r="F149" s="6" t="s">
        <v>12</v>
      </c>
      <c r="G149" s="6" t="s">
        <v>976</v>
      </c>
      <c r="H149" s="6" t="s">
        <v>35</v>
      </c>
      <c r="I149" s="5">
        <v>20</v>
      </c>
      <c r="J149" s="94" t="s">
        <v>273</v>
      </c>
      <c r="K149" s="46">
        <v>206.44</v>
      </c>
      <c r="L149" s="46">
        <v>142.95200000000003</v>
      </c>
      <c r="M149" s="46">
        <v>175.48399999999998</v>
      </c>
      <c r="N149" s="46">
        <v>167.26000000000005</v>
      </c>
      <c r="O149" s="46">
        <v>136.48000000000005</v>
      </c>
      <c r="P149" s="46">
        <v>182.39400000000006</v>
      </c>
      <c r="Q149" s="46">
        <v>184.154</v>
      </c>
      <c r="R149" s="46">
        <v>216.59300000000002</v>
      </c>
      <c r="S149" s="46">
        <v>219.76100000000005</v>
      </c>
      <c r="T149" s="46">
        <v>184.31599999999997</v>
      </c>
      <c r="U149" s="46">
        <v>152.33500000000006</v>
      </c>
      <c r="V149" s="46">
        <v>178.06300000000002</v>
      </c>
      <c r="W149" s="46">
        <v>200.42599999999999</v>
      </c>
      <c r="X149" s="46">
        <v>125.56500000000003</v>
      </c>
      <c r="Y149" s="46">
        <v>90.263999999999996</v>
      </c>
      <c r="Z149" s="46">
        <v>138.136</v>
      </c>
      <c r="AA149" s="46">
        <v>135.64200000000005</v>
      </c>
      <c r="AB149" s="46">
        <v>168.54799999999997</v>
      </c>
      <c r="AC149" s="46">
        <v>219.11200000000002</v>
      </c>
      <c r="AD149" s="46">
        <v>181.12400000000005</v>
      </c>
      <c r="AE149" s="46">
        <v>156.65800000000002</v>
      </c>
      <c r="AF149" s="46">
        <v>170.70500000000007</v>
      </c>
      <c r="AG149" s="46">
        <v>157.49199999999999</v>
      </c>
      <c r="AH149" s="46">
        <v>178.333</v>
      </c>
      <c r="AI149" s="46">
        <v>164.07700000000003</v>
      </c>
      <c r="AJ149" s="46">
        <v>160.27500000000003</v>
      </c>
      <c r="AK149" s="46">
        <v>188.40700000000001</v>
      </c>
      <c r="AL149" s="46">
        <v>173.63499999999996</v>
      </c>
      <c r="AM149" s="46">
        <v>188.70899999999997</v>
      </c>
      <c r="AN149" s="46">
        <v>179.42</v>
      </c>
      <c r="AO149" s="46">
        <v>127.592</v>
      </c>
      <c r="AP149" s="46">
        <f t="shared" si="4"/>
        <v>169.36619354838709</v>
      </c>
      <c r="AQ149" s="7">
        <f t="shared" si="5"/>
        <v>8.468309677419354</v>
      </c>
    </row>
    <row r="150" spans="1:43" x14ac:dyDescent="0.3">
      <c r="A150" s="5">
        <v>147</v>
      </c>
      <c r="B150" s="107" t="s">
        <v>65</v>
      </c>
      <c r="C150" s="112" t="s">
        <v>945</v>
      </c>
      <c r="D150" s="112" t="s">
        <v>946</v>
      </c>
      <c r="E150" s="110" t="s">
        <v>128</v>
      </c>
      <c r="F150" s="6" t="s">
        <v>12</v>
      </c>
      <c r="G150" s="6" t="s">
        <v>979</v>
      </c>
      <c r="H150" s="6" t="s">
        <v>35</v>
      </c>
      <c r="I150" s="5">
        <v>1</v>
      </c>
      <c r="J150" s="67" t="s">
        <v>160</v>
      </c>
      <c r="K150" s="46">
        <v>19.614999999999998</v>
      </c>
      <c r="L150" s="46">
        <v>0</v>
      </c>
      <c r="M150" s="46">
        <v>0</v>
      </c>
      <c r="N150" s="46">
        <v>19.745000000000001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15.71</v>
      </c>
      <c r="AC150" s="46">
        <v>22.026</v>
      </c>
      <c r="AD150" s="46">
        <v>17.564</v>
      </c>
      <c r="AE150" s="46">
        <v>12.718999999999999</v>
      </c>
      <c r="AF150" s="46">
        <v>13.939</v>
      </c>
      <c r="AG150" s="46">
        <v>25.894999999999996</v>
      </c>
      <c r="AH150" s="46">
        <v>19.511999999999997</v>
      </c>
      <c r="AI150" s="46">
        <v>0</v>
      </c>
      <c r="AJ150" s="46">
        <v>4.6609999999999996</v>
      </c>
      <c r="AK150" s="46">
        <v>5.6319999999999997</v>
      </c>
      <c r="AL150" s="46">
        <v>11.061</v>
      </c>
      <c r="AM150" s="46">
        <v>16.350999999999999</v>
      </c>
      <c r="AN150" s="46">
        <v>18.907</v>
      </c>
      <c r="AO150" s="46">
        <v>32.19</v>
      </c>
      <c r="AP150" s="46">
        <f t="shared" si="4"/>
        <v>8.2428064516129034</v>
      </c>
      <c r="AQ150" s="7">
        <f t="shared" si="5"/>
        <v>8.2428064516129034</v>
      </c>
    </row>
    <row r="151" spans="1:43" x14ac:dyDescent="0.3">
      <c r="A151" s="5">
        <v>148</v>
      </c>
      <c r="B151" s="107" t="s">
        <v>65</v>
      </c>
      <c r="C151" s="112" t="s">
        <v>945</v>
      </c>
      <c r="D151" s="112" t="s">
        <v>946</v>
      </c>
      <c r="E151" s="110" t="s">
        <v>128</v>
      </c>
      <c r="F151" s="6" t="s">
        <v>12</v>
      </c>
      <c r="G151" s="6" t="s">
        <v>971</v>
      </c>
      <c r="H151" s="6" t="s">
        <v>80</v>
      </c>
      <c r="I151" s="5">
        <v>1</v>
      </c>
      <c r="J151" s="12" t="s">
        <v>589</v>
      </c>
      <c r="K151" s="46">
        <v>0</v>
      </c>
      <c r="L151" s="46">
        <v>0</v>
      </c>
      <c r="M151" s="46">
        <v>0</v>
      </c>
      <c r="N151" s="46">
        <v>0</v>
      </c>
      <c r="O151" s="46">
        <v>0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46">
        <v>0</v>
      </c>
      <c r="AA151" s="46">
        <v>0</v>
      </c>
      <c r="AB151" s="46">
        <v>0</v>
      </c>
      <c r="AC151" s="46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0</v>
      </c>
      <c r="AI151" s="46">
        <v>0</v>
      </c>
      <c r="AJ151" s="46">
        <v>0</v>
      </c>
      <c r="AK151" s="46">
        <v>0</v>
      </c>
      <c r="AL151" s="46">
        <v>0</v>
      </c>
      <c r="AM151" s="46">
        <v>0</v>
      </c>
      <c r="AN151" s="46">
        <v>0</v>
      </c>
      <c r="AO151" s="46">
        <v>0</v>
      </c>
      <c r="AP151" s="46">
        <f t="shared" si="4"/>
        <v>0</v>
      </c>
      <c r="AQ151" s="7">
        <f t="shared" si="5"/>
        <v>0</v>
      </c>
    </row>
    <row r="152" spans="1:43" x14ac:dyDescent="0.3">
      <c r="A152" s="5">
        <v>149</v>
      </c>
      <c r="B152" s="107" t="s">
        <v>65</v>
      </c>
      <c r="C152" s="112" t="s">
        <v>701</v>
      </c>
      <c r="D152" s="112" t="s">
        <v>938</v>
      </c>
      <c r="E152" s="110" t="s">
        <v>128</v>
      </c>
      <c r="F152" s="6" t="s">
        <v>12</v>
      </c>
      <c r="G152" s="6" t="s">
        <v>976</v>
      </c>
      <c r="H152" s="6" t="s">
        <v>35</v>
      </c>
      <c r="I152" s="5">
        <v>5</v>
      </c>
      <c r="J152" s="12" t="s">
        <v>589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f t="shared" si="4"/>
        <v>0</v>
      </c>
      <c r="AQ152" s="7">
        <f t="shared" si="5"/>
        <v>0</v>
      </c>
    </row>
    <row r="153" spans="1:43" x14ac:dyDescent="0.3">
      <c r="A153" s="5">
        <v>150</v>
      </c>
      <c r="B153" s="107" t="s">
        <v>65</v>
      </c>
      <c r="C153" s="10" t="s">
        <v>681</v>
      </c>
      <c r="D153" s="12" t="s">
        <v>757</v>
      </c>
      <c r="E153" s="110" t="s">
        <v>128</v>
      </c>
      <c r="F153" s="6" t="s">
        <v>12</v>
      </c>
      <c r="G153" s="6" t="s">
        <v>976</v>
      </c>
      <c r="H153" s="6" t="s">
        <v>35</v>
      </c>
      <c r="I153" s="5">
        <v>15</v>
      </c>
      <c r="J153" s="94" t="s">
        <v>273</v>
      </c>
      <c r="K153" s="46">
        <v>266.2469999999999</v>
      </c>
      <c r="L153" s="46">
        <v>249.85799999999998</v>
      </c>
      <c r="M153" s="46">
        <v>296.08800000000014</v>
      </c>
      <c r="N153" s="46">
        <v>290.74</v>
      </c>
      <c r="O153" s="46">
        <v>263.95299999999992</v>
      </c>
      <c r="P153" s="46">
        <v>302.18299999999994</v>
      </c>
      <c r="Q153" s="46">
        <v>293.80700000000002</v>
      </c>
      <c r="R153" s="46">
        <v>247.70200000000003</v>
      </c>
      <c r="S153" s="46">
        <v>252.20699999999997</v>
      </c>
      <c r="T153" s="46">
        <v>247.69399999999999</v>
      </c>
      <c r="U153" s="46">
        <v>252.09399999999991</v>
      </c>
      <c r="V153" s="46">
        <v>228.78400000000002</v>
      </c>
      <c r="W153" s="46">
        <v>277.84799999999996</v>
      </c>
      <c r="X153" s="46">
        <v>163.91400000000002</v>
      </c>
      <c r="Y153" s="46">
        <v>297.19700000000006</v>
      </c>
      <c r="Z153" s="46">
        <v>295.3</v>
      </c>
      <c r="AA153" s="46">
        <v>338.601</v>
      </c>
      <c r="AB153" s="46">
        <v>271.053</v>
      </c>
      <c r="AC153" s="46">
        <v>305.20400000000006</v>
      </c>
      <c r="AD153" s="46">
        <v>299.22000000000003</v>
      </c>
      <c r="AE153" s="46">
        <v>241.928</v>
      </c>
      <c r="AF153" s="46">
        <v>280.60300000000001</v>
      </c>
      <c r="AG153" s="46">
        <v>263.48499999999996</v>
      </c>
      <c r="AH153" s="46">
        <v>249.40199999999996</v>
      </c>
      <c r="AI153" s="46">
        <v>274.12299999999999</v>
      </c>
      <c r="AJ153" s="46">
        <v>232.22099999999995</v>
      </c>
      <c r="AK153" s="46">
        <v>252.85300000000001</v>
      </c>
      <c r="AL153" s="46">
        <v>229.05299999999997</v>
      </c>
      <c r="AM153" s="46">
        <v>259.75299999999999</v>
      </c>
      <c r="AN153" s="46">
        <v>225.98399999999995</v>
      </c>
      <c r="AO153" s="46">
        <v>136.05599999999998</v>
      </c>
      <c r="AP153" s="46">
        <f t="shared" si="4"/>
        <v>260.81145161290317</v>
      </c>
      <c r="AQ153" s="7">
        <f t="shared" si="5"/>
        <v>17.387430107526878</v>
      </c>
    </row>
    <row r="154" spans="1:43" x14ac:dyDescent="0.3">
      <c r="A154" s="5">
        <v>151</v>
      </c>
      <c r="B154" s="107" t="s">
        <v>65</v>
      </c>
      <c r="C154" s="112" t="s">
        <v>943</v>
      </c>
      <c r="D154" s="112" t="s">
        <v>944</v>
      </c>
      <c r="E154" s="110" t="s">
        <v>128</v>
      </c>
      <c r="F154" s="6" t="s">
        <v>12</v>
      </c>
      <c r="G154" s="6" t="s">
        <v>971</v>
      </c>
      <c r="H154" s="6" t="s">
        <v>80</v>
      </c>
      <c r="I154" s="5">
        <v>1</v>
      </c>
      <c r="J154" s="94" t="s">
        <v>273</v>
      </c>
      <c r="K154" s="46">
        <v>8.26</v>
      </c>
      <c r="L154" s="46">
        <v>6.63</v>
      </c>
      <c r="M154" s="46">
        <v>5.4</v>
      </c>
      <c r="N154" s="46">
        <v>0</v>
      </c>
      <c r="O154" s="46">
        <v>4.05</v>
      </c>
      <c r="P154" s="46">
        <v>0</v>
      </c>
      <c r="Q154" s="46">
        <v>0</v>
      </c>
      <c r="R154" s="46">
        <v>15.079999999999998</v>
      </c>
      <c r="S154" s="46">
        <v>0</v>
      </c>
      <c r="T154" s="46">
        <v>0</v>
      </c>
      <c r="U154" s="46">
        <v>0</v>
      </c>
      <c r="V154" s="46">
        <v>6.56</v>
      </c>
      <c r="W154" s="46">
        <v>0</v>
      </c>
      <c r="X154" s="46">
        <v>13.63</v>
      </c>
      <c r="Y154" s="46">
        <v>13.05</v>
      </c>
      <c r="Z154" s="46">
        <v>6.81</v>
      </c>
      <c r="AA154" s="46">
        <v>5.95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6.14</v>
      </c>
      <c r="AH154" s="46">
        <v>10.43</v>
      </c>
      <c r="AI154" s="46">
        <v>0</v>
      </c>
      <c r="AJ154" s="46">
        <v>0</v>
      </c>
      <c r="AK154" s="46">
        <v>19.619999999999997</v>
      </c>
      <c r="AL154" s="46">
        <v>4.62</v>
      </c>
      <c r="AM154" s="46">
        <v>18.43</v>
      </c>
      <c r="AN154" s="46">
        <v>7.14</v>
      </c>
      <c r="AO154" s="46">
        <v>8.9700000000000006</v>
      </c>
      <c r="AP154" s="46">
        <f t="shared" si="4"/>
        <v>5.1861290322580649</v>
      </c>
      <c r="AQ154" s="7">
        <f t="shared" si="5"/>
        <v>5.1861290322580649</v>
      </c>
    </row>
    <row r="155" spans="1:43" x14ac:dyDescent="0.3">
      <c r="A155" s="5">
        <v>152</v>
      </c>
      <c r="B155" s="107" t="s">
        <v>65</v>
      </c>
      <c r="C155" s="10" t="s">
        <v>682</v>
      </c>
      <c r="D155" s="12" t="s">
        <v>744</v>
      </c>
      <c r="E155" s="110" t="s">
        <v>128</v>
      </c>
      <c r="F155" s="6" t="s">
        <v>12</v>
      </c>
      <c r="G155" s="6" t="s">
        <v>976</v>
      </c>
      <c r="H155" s="6" t="s">
        <v>35</v>
      </c>
      <c r="I155" s="5">
        <v>4</v>
      </c>
      <c r="J155" s="12" t="s">
        <v>160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0</v>
      </c>
      <c r="AO155" s="46">
        <v>3.0350000000000001</v>
      </c>
      <c r="AP155" s="46">
        <f t="shared" si="4"/>
        <v>9.7903225806451624E-2</v>
      </c>
      <c r="AQ155" s="7">
        <f t="shared" si="5"/>
        <v>2.4475806451612906E-2</v>
      </c>
    </row>
    <row r="156" spans="1:43" x14ac:dyDescent="0.3">
      <c r="A156" s="5">
        <v>153</v>
      </c>
      <c r="B156" s="107" t="s">
        <v>65</v>
      </c>
      <c r="C156" s="10" t="s">
        <v>682</v>
      </c>
      <c r="D156" s="12" t="s">
        <v>744</v>
      </c>
      <c r="E156" s="110" t="s">
        <v>128</v>
      </c>
      <c r="F156" s="6" t="s">
        <v>12</v>
      </c>
      <c r="G156" s="6" t="s">
        <v>979</v>
      </c>
      <c r="H156" s="6" t="s">
        <v>35</v>
      </c>
      <c r="I156" s="5">
        <v>2</v>
      </c>
      <c r="J156" s="12" t="s">
        <v>160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f t="shared" si="4"/>
        <v>0</v>
      </c>
      <c r="AQ156" s="7">
        <f t="shared" si="5"/>
        <v>0</v>
      </c>
    </row>
    <row r="157" spans="1:43" x14ac:dyDescent="0.3">
      <c r="A157" s="5">
        <v>154</v>
      </c>
      <c r="B157" s="107" t="s">
        <v>65</v>
      </c>
      <c r="C157" s="5" t="s">
        <v>702</v>
      </c>
      <c r="D157" s="12" t="s">
        <v>734</v>
      </c>
      <c r="E157" s="110" t="s">
        <v>236</v>
      </c>
      <c r="F157" s="6" t="s">
        <v>12</v>
      </c>
      <c r="G157" s="6" t="s">
        <v>976</v>
      </c>
      <c r="H157" s="6" t="s">
        <v>35</v>
      </c>
      <c r="I157" s="5">
        <v>2</v>
      </c>
      <c r="J157" s="67" t="s">
        <v>160</v>
      </c>
      <c r="K157" s="46">
        <v>0</v>
      </c>
      <c r="L157" s="46">
        <v>0</v>
      </c>
      <c r="M157" s="46">
        <v>0</v>
      </c>
      <c r="N157" s="46">
        <v>0</v>
      </c>
      <c r="O157" s="46">
        <v>10.311999999999999</v>
      </c>
      <c r="P157" s="46">
        <v>10.349</v>
      </c>
      <c r="Q157" s="46">
        <v>3.9180000000000001</v>
      </c>
      <c r="R157" s="46">
        <v>14.217000000000001</v>
      </c>
      <c r="S157" s="46">
        <v>10.975999999999999</v>
      </c>
      <c r="T157" s="46">
        <v>0</v>
      </c>
      <c r="U157" s="46">
        <v>8.988999999999999</v>
      </c>
      <c r="V157" s="46">
        <v>19.329000000000001</v>
      </c>
      <c r="W157" s="46">
        <v>31.138999999999996</v>
      </c>
      <c r="X157" s="46">
        <v>9.3089999999999993</v>
      </c>
      <c r="Y157" s="46">
        <v>3.3010000000000002</v>
      </c>
      <c r="Z157" s="46">
        <v>0.53800000000000003</v>
      </c>
      <c r="AA157" s="46">
        <v>8.4169999999999998</v>
      </c>
      <c r="AB157" s="46">
        <v>19.407</v>
      </c>
      <c r="AC157" s="46">
        <v>7.7080000000000002</v>
      </c>
      <c r="AD157" s="46">
        <v>18.853000000000002</v>
      </c>
      <c r="AE157" s="46">
        <v>20.476000000000003</v>
      </c>
      <c r="AF157" s="46">
        <v>12.509</v>
      </c>
      <c r="AG157" s="46">
        <v>17.352</v>
      </c>
      <c r="AH157" s="46">
        <v>6.4710000000000001</v>
      </c>
      <c r="AI157" s="46">
        <v>15.561</v>
      </c>
      <c r="AJ157" s="46">
        <v>15.000999999999999</v>
      </c>
      <c r="AK157" s="46">
        <v>14.332000000000001</v>
      </c>
      <c r="AL157" s="46">
        <v>11.713000000000001</v>
      </c>
      <c r="AM157" s="46">
        <v>14.170999999999999</v>
      </c>
      <c r="AN157" s="46">
        <v>11.733999999999998</v>
      </c>
      <c r="AO157" s="46">
        <v>0</v>
      </c>
      <c r="AP157" s="46">
        <f t="shared" si="4"/>
        <v>10.196193548387097</v>
      </c>
      <c r="AQ157" s="7">
        <f t="shared" si="5"/>
        <v>5.0980967741935483</v>
      </c>
    </row>
    <row r="158" spans="1:43" x14ac:dyDescent="0.3">
      <c r="A158" s="5">
        <v>155</v>
      </c>
      <c r="B158" s="107" t="s">
        <v>65</v>
      </c>
      <c r="C158" s="10" t="s">
        <v>683</v>
      </c>
      <c r="D158" s="12" t="s">
        <v>927</v>
      </c>
      <c r="E158" s="110" t="s">
        <v>236</v>
      </c>
      <c r="F158" s="6" t="s">
        <v>12</v>
      </c>
      <c r="G158" s="6" t="s">
        <v>976</v>
      </c>
      <c r="H158" s="6" t="s">
        <v>35</v>
      </c>
      <c r="I158" s="5">
        <v>3</v>
      </c>
      <c r="J158" s="67" t="s">
        <v>160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v>0</v>
      </c>
      <c r="AP158" s="46">
        <f t="shared" si="4"/>
        <v>0</v>
      </c>
      <c r="AQ158" s="7">
        <f t="shared" si="5"/>
        <v>0</v>
      </c>
    </row>
    <row r="159" spans="1:43" x14ac:dyDescent="0.3">
      <c r="A159" s="5">
        <v>156</v>
      </c>
      <c r="B159" s="107" t="s">
        <v>65</v>
      </c>
      <c r="C159" s="10" t="s">
        <v>684</v>
      </c>
      <c r="D159" s="12" t="s">
        <v>926</v>
      </c>
      <c r="E159" s="110" t="s">
        <v>236</v>
      </c>
      <c r="F159" s="6" t="s">
        <v>12</v>
      </c>
      <c r="G159" s="6" t="s">
        <v>976</v>
      </c>
      <c r="H159" s="6" t="s">
        <v>35</v>
      </c>
      <c r="I159" s="5">
        <v>3</v>
      </c>
      <c r="J159" s="67" t="s">
        <v>160</v>
      </c>
      <c r="K159" s="46">
        <v>0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f t="shared" si="4"/>
        <v>0</v>
      </c>
      <c r="AQ159" s="7">
        <f t="shared" si="5"/>
        <v>0</v>
      </c>
    </row>
    <row r="160" spans="1:43" x14ac:dyDescent="0.3">
      <c r="A160" s="5">
        <v>157</v>
      </c>
      <c r="B160" s="107" t="s">
        <v>65</v>
      </c>
      <c r="C160" s="10" t="s">
        <v>684</v>
      </c>
      <c r="D160" s="12" t="s">
        <v>926</v>
      </c>
      <c r="E160" s="110" t="s">
        <v>236</v>
      </c>
      <c r="F160" s="6" t="s">
        <v>12</v>
      </c>
      <c r="G160" s="6" t="s">
        <v>971</v>
      </c>
      <c r="H160" s="6" t="s">
        <v>80</v>
      </c>
      <c r="I160" s="5">
        <v>1</v>
      </c>
      <c r="J160" s="67" t="s">
        <v>160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0</v>
      </c>
      <c r="AM160" s="46">
        <v>0</v>
      </c>
      <c r="AN160" s="46">
        <v>0</v>
      </c>
      <c r="AO160" s="46">
        <v>0</v>
      </c>
      <c r="AP160" s="46">
        <f t="shared" si="4"/>
        <v>0</v>
      </c>
      <c r="AQ160" s="7">
        <f t="shared" si="5"/>
        <v>0</v>
      </c>
    </row>
    <row r="161" spans="1:43" x14ac:dyDescent="0.3">
      <c r="A161" s="5">
        <v>158</v>
      </c>
      <c r="B161" s="107" t="s">
        <v>65</v>
      </c>
      <c r="C161" s="10" t="s">
        <v>685</v>
      </c>
      <c r="D161" s="12" t="s">
        <v>928</v>
      </c>
      <c r="E161" s="110" t="s">
        <v>236</v>
      </c>
      <c r="F161" s="6" t="s">
        <v>12</v>
      </c>
      <c r="G161" s="6" t="s">
        <v>976</v>
      </c>
      <c r="H161" s="6" t="s">
        <v>35</v>
      </c>
      <c r="I161" s="5">
        <v>3</v>
      </c>
      <c r="J161" s="67" t="s">
        <v>160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v>0</v>
      </c>
      <c r="AP161" s="46">
        <f t="shared" si="4"/>
        <v>0</v>
      </c>
      <c r="AQ161" s="7">
        <f t="shared" si="5"/>
        <v>0</v>
      </c>
    </row>
    <row r="162" spans="1:43" x14ac:dyDescent="0.3">
      <c r="A162" s="5">
        <v>159</v>
      </c>
      <c r="B162" s="107" t="s">
        <v>65</v>
      </c>
      <c r="C162" s="10" t="s">
        <v>686</v>
      </c>
      <c r="D162" s="12" t="s">
        <v>929</v>
      </c>
      <c r="E162" s="110" t="s">
        <v>236</v>
      </c>
      <c r="F162" s="6" t="s">
        <v>12</v>
      </c>
      <c r="G162" s="6" t="s">
        <v>976</v>
      </c>
      <c r="H162" s="6" t="s">
        <v>35</v>
      </c>
      <c r="I162" s="5">
        <v>3</v>
      </c>
      <c r="J162" s="67" t="s">
        <v>160</v>
      </c>
      <c r="K162" s="46">
        <v>24.974</v>
      </c>
      <c r="L162" s="46">
        <v>20.609000000000002</v>
      </c>
      <c r="M162" s="46">
        <v>2.8029999999999999</v>
      </c>
      <c r="N162" s="46">
        <v>13.486000000000001</v>
      </c>
      <c r="O162" s="46">
        <v>23.394000000000002</v>
      </c>
      <c r="P162" s="46">
        <v>8.5120000000000005</v>
      </c>
      <c r="Q162" s="46">
        <v>29.606000000000002</v>
      </c>
      <c r="R162" s="46">
        <v>13.329000000000001</v>
      </c>
      <c r="S162" s="46">
        <v>18.727999999999998</v>
      </c>
      <c r="T162" s="46">
        <v>7.3339999999999996</v>
      </c>
      <c r="U162" s="46">
        <v>7.125</v>
      </c>
      <c r="V162" s="46">
        <v>16.983000000000001</v>
      </c>
      <c r="W162" s="46">
        <v>17.765999999999998</v>
      </c>
      <c r="X162" s="46">
        <v>4.5229999999999997</v>
      </c>
      <c r="Y162" s="46">
        <v>9.1300000000000008</v>
      </c>
      <c r="Z162" s="46">
        <v>1.516</v>
      </c>
      <c r="AA162" s="46">
        <v>8.51</v>
      </c>
      <c r="AB162" s="46">
        <v>13.251000000000001</v>
      </c>
      <c r="AC162" s="46">
        <v>3.798</v>
      </c>
      <c r="AD162" s="46">
        <v>21.163</v>
      </c>
      <c r="AE162" s="46">
        <v>16.233000000000001</v>
      </c>
      <c r="AF162" s="46">
        <v>10.71</v>
      </c>
      <c r="AG162" s="46">
        <v>17.955000000000002</v>
      </c>
      <c r="AH162" s="46">
        <v>8.9939999999999998</v>
      </c>
      <c r="AI162" s="46">
        <v>12.335999999999999</v>
      </c>
      <c r="AJ162" s="46">
        <v>19.361000000000001</v>
      </c>
      <c r="AK162" s="46">
        <v>15.516</v>
      </c>
      <c r="AL162" s="46">
        <v>13.353000000000002</v>
      </c>
      <c r="AM162" s="46">
        <v>18.627000000000002</v>
      </c>
      <c r="AN162" s="46">
        <v>21.286999999999999</v>
      </c>
      <c r="AO162" s="46">
        <v>8.8109999999999999</v>
      </c>
      <c r="AP162" s="46">
        <f t="shared" si="4"/>
        <v>13.862032258064517</v>
      </c>
      <c r="AQ162" s="7">
        <f t="shared" si="5"/>
        <v>4.6206774193548386</v>
      </c>
    </row>
    <row r="163" spans="1:43" x14ac:dyDescent="0.3">
      <c r="A163" s="5">
        <v>160</v>
      </c>
      <c r="B163" s="107" t="s">
        <v>65</v>
      </c>
      <c r="C163" s="10" t="s">
        <v>687</v>
      </c>
      <c r="D163" s="12" t="s">
        <v>930</v>
      </c>
      <c r="E163" s="110" t="s">
        <v>236</v>
      </c>
      <c r="F163" s="6" t="s">
        <v>12</v>
      </c>
      <c r="G163" s="6" t="s">
        <v>976</v>
      </c>
      <c r="H163" s="6" t="s">
        <v>35</v>
      </c>
      <c r="I163" s="5">
        <v>3</v>
      </c>
      <c r="J163" s="67" t="s">
        <v>160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v>0</v>
      </c>
      <c r="AP163" s="46">
        <f t="shared" si="4"/>
        <v>0</v>
      </c>
      <c r="AQ163" s="7">
        <f t="shared" si="5"/>
        <v>0</v>
      </c>
    </row>
    <row r="164" spans="1:43" x14ac:dyDescent="0.3">
      <c r="A164" s="5">
        <v>161</v>
      </c>
      <c r="B164" s="107" t="s">
        <v>65</v>
      </c>
      <c r="C164" s="10" t="s">
        <v>688</v>
      </c>
      <c r="D164" s="12" t="s">
        <v>931</v>
      </c>
      <c r="E164" s="110" t="s">
        <v>236</v>
      </c>
      <c r="F164" s="6" t="s">
        <v>12</v>
      </c>
      <c r="G164" s="6" t="s">
        <v>976</v>
      </c>
      <c r="H164" s="6" t="s">
        <v>35</v>
      </c>
      <c r="I164" s="5">
        <v>3</v>
      </c>
      <c r="J164" s="67" t="s">
        <v>160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f t="shared" si="4"/>
        <v>0</v>
      </c>
      <c r="AQ164" s="7">
        <f t="shared" si="5"/>
        <v>0</v>
      </c>
    </row>
    <row r="165" spans="1:43" x14ac:dyDescent="0.3">
      <c r="A165" s="5">
        <v>162</v>
      </c>
      <c r="B165" s="107" t="s">
        <v>65</v>
      </c>
      <c r="C165" s="10" t="s">
        <v>689</v>
      </c>
      <c r="D165" s="12" t="s">
        <v>811</v>
      </c>
      <c r="E165" s="110" t="s">
        <v>30</v>
      </c>
      <c r="F165" s="6" t="s">
        <v>12</v>
      </c>
      <c r="G165" s="6" t="s">
        <v>976</v>
      </c>
      <c r="H165" s="6" t="s">
        <v>35</v>
      </c>
      <c r="I165" s="5">
        <v>4</v>
      </c>
      <c r="J165" s="12" t="s">
        <v>590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2.0649999999999999</v>
      </c>
      <c r="AG165" s="46">
        <v>0</v>
      </c>
      <c r="AH165" s="46">
        <v>0</v>
      </c>
      <c r="AI165" s="46">
        <v>13.358000000000001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f t="shared" si="4"/>
        <v>0.49751612903225806</v>
      </c>
      <c r="AQ165" s="7">
        <f t="shared" si="5"/>
        <v>0.12437903225806451</v>
      </c>
    </row>
    <row r="166" spans="1:43" ht="15.75" customHeight="1" x14ac:dyDescent="0.3">
      <c r="A166" s="5">
        <v>163</v>
      </c>
      <c r="B166" s="107" t="s">
        <v>65</v>
      </c>
      <c r="C166" s="10" t="s">
        <v>690</v>
      </c>
      <c r="D166" s="12" t="s">
        <v>769</v>
      </c>
      <c r="E166" s="110" t="s">
        <v>128</v>
      </c>
      <c r="F166" s="6" t="s">
        <v>12</v>
      </c>
      <c r="G166" s="6" t="s">
        <v>976</v>
      </c>
      <c r="H166" s="6" t="s">
        <v>35</v>
      </c>
      <c r="I166" s="5">
        <v>15</v>
      </c>
      <c r="J166" s="94" t="s">
        <v>273</v>
      </c>
      <c r="K166" s="46">
        <v>75.018000000000001</v>
      </c>
      <c r="L166" s="46">
        <v>64.668000000000006</v>
      </c>
      <c r="M166" s="46">
        <v>67.715000000000003</v>
      </c>
      <c r="N166" s="46">
        <v>93.936999999999998</v>
      </c>
      <c r="O166" s="46">
        <v>79.688000000000002</v>
      </c>
      <c r="P166" s="46">
        <v>69.666999999999987</v>
      </c>
      <c r="Q166" s="46">
        <v>56.108999999999995</v>
      </c>
      <c r="R166" s="46">
        <v>40.056999999999995</v>
      </c>
      <c r="S166" s="46">
        <v>50.940999999999995</v>
      </c>
      <c r="T166" s="46">
        <v>70.996999999999986</v>
      </c>
      <c r="U166" s="46">
        <v>49.485999999999997</v>
      </c>
      <c r="V166" s="46">
        <v>75.613</v>
      </c>
      <c r="W166" s="46">
        <v>86.602000000000004</v>
      </c>
      <c r="X166" s="46">
        <v>50.449000000000005</v>
      </c>
      <c r="Y166" s="46">
        <v>35.311000000000007</v>
      </c>
      <c r="Z166" s="46">
        <v>73.879000000000005</v>
      </c>
      <c r="AA166" s="46">
        <v>65.507999999999996</v>
      </c>
      <c r="AB166" s="46">
        <v>102.21500000000002</v>
      </c>
      <c r="AC166" s="46">
        <v>77.729000000000013</v>
      </c>
      <c r="AD166" s="46">
        <v>74.475000000000009</v>
      </c>
      <c r="AE166" s="46">
        <v>95.492000000000019</v>
      </c>
      <c r="AF166" s="46">
        <v>113.873</v>
      </c>
      <c r="AG166" s="46">
        <v>71.924000000000007</v>
      </c>
      <c r="AH166" s="46">
        <v>99.397999999999996</v>
      </c>
      <c r="AI166" s="46">
        <v>84.259</v>
      </c>
      <c r="AJ166" s="46">
        <v>97.575999999999979</v>
      </c>
      <c r="AK166" s="46">
        <v>115.108</v>
      </c>
      <c r="AL166" s="46">
        <v>94.961000000000013</v>
      </c>
      <c r="AM166" s="46">
        <v>89.61999999999999</v>
      </c>
      <c r="AN166" s="46">
        <v>136.614</v>
      </c>
      <c r="AO166" s="46">
        <v>80.774000000000001</v>
      </c>
      <c r="AP166" s="46">
        <f t="shared" si="4"/>
        <v>78.698806451612896</v>
      </c>
      <c r="AQ166" s="7">
        <f t="shared" si="5"/>
        <v>5.246587096774193</v>
      </c>
    </row>
    <row r="167" spans="1:43" ht="15.75" customHeight="1" x14ac:dyDescent="0.3">
      <c r="A167" s="5">
        <v>164</v>
      </c>
      <c r="B167" s="107" t="s">
        <v>65</v>
      </c>
      <c r="C167" s="112" t="s">
        <v>947</v>
      </c>
      <c r="D167" s="112" t="s">
        <v>948</v>
      </c>
      <c r="E167" s="110" t="s">
        <v>128</v>
      </c>
      <c r="F167" s="6" t="s">
        <v>12</v>
      </c>
      <c r="G167" s="6" t="s">
        <v>971</v>
      </c>
      <c r="H167" s="6" t="s">
        <v>80</v>
      </c>
      <c r="I167" s="5">
        <v>1</v>
      </c>
      <c r="J167" s="67" t="s">
        <v>160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f t="shared" si="4"/>
        <v>0</v>
      </c>
      <c r="AQ167" s="7">
        <f t="shared" si="5"/>
        <v>0</v>
      </c>
    </row>
    <row r="168" spans="1:43" x14ac:dyDescent="0.3">
      <c r="A168" s="5">
        <v>165</v>
      </c>
      <c r="B168" s="107" t="s">
        <v>65</v>
      </c>
      <c r="C168" s="10" t="s">
        <v>691</v>
      </c>
      <c r="D168" s="12" t="s">
        <v>932</v>
      </c>
      <c r="E168" s="110" t="s">
        <v>407</v>
      </c>
      <c r="F168" s="6" t="s">
        <v>19</v>
      </c>
      <c r="G168" s="6" t="s">
        <v>976</v>
      </c>
      <c r="H168" s="6" t="s">
        <v>35</v>
      </c>
      <c r="I168" s="5">
        <v>2</v>
      </c>
      <c r="J168" s="12" t="s">
        <v>590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5.27</v>
      </c>
      <c r="AD168" s="46">
        <v>12.239000000000001</v>
      </c>
      <c r="AE168" s="46">
        <v>6.9149999999999991</v>
      </c>
      <c r="AF168" s="46">
        <v>0</v>
      </c>
      <c r="AG168" s="46">
        <v>0</v>
      </c>
      <c r="AH168" s="46">
        <v>6.915</v>
      </c>
      <c r="AI168" s="46">
        <v>10.45</v>
      </c>
      <c r="AJ168" s="46">
        <v>6.63</v>
      </c>
      <c r="AK168" s="46">
        <v>9.8810000000000002</v>
      </c>
      <c r="AL168" s="46">
        <v>0</v>
      </c>
      <c r="AM168" s="46">
        <v>11.345000000000001</v>
      </c>
      <c r="AN168" s="46">
        <v>0</v>
      </c>
      <c r="AO168" s="46">
        <v>0</v>
      </c>
      <c r="AP168" s="46">
        <f t="shared" si="4"/>
        <v>2.2466129032258069</v>
      </c>
      <c r="AQ168" s="7">
        <f t="shared" si="5"/>
        <v>1.1233064516129034</v>
      </c>
    </row>
    <row r="169" spans="1:43" x14ac:dyDescent="0.3">
      <c r="A169" s="5">
        <v>166</v>
      </c>
      <c r="B169" s="107" t="s">
        <v>65</v>
      </c>
      <c r="C169" s="10" t="s">
        <v>692</v>
      </c>
      <c r="D169" s="12" t="s">
        <v>933</v>
      </c>
      <c r="E169" s="110" t="s">
        <v>432</v>
      </c>
      <c r="F169" s="6" t="s">
        <v>19</v>
      </c>
      <c r="G169" s="6" t="s">
        <v>976</v>
      </c>
      <c r="H169" s="6" t="s">
        <v>35</v>
      </c>
      <c r="I169" s="5">
        <v>2</v>
      </c>
      <c r="J169" s="12" t="s">
        <v>590</v>
      </c>
      <c r="K169" s="46">
        <v>0</v>
      </c>
      <c r="L169" s="46">
        <v>0</v>
      </c>
      <c r="M169" s="46">
        <v>8.7010000000000005</v>
      </c>
      <c r="N169" s="46">
        <v>11.433</v>
      </c>
      <c r="O169" s="46">
        <v>6.3810000000000002</v>
      </c>
      <c r="P169" s="46">
        <v>0.879</v>
      </c>
      <c r="Q169" s="46">
        <v>10.548</v>
      </c>
      <c r="R169" s="46">
        <v>0</v>
      </c>
      <c r="S169" s="46">
        <v>0</v>
      </c>
      <c r="T169" s="46">
        <v>15.619</v>
      </c>
      <c r="U169" s="46">
        <v>6.891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15.364000000000001</v>
      </c>
      <c r="AB169" s="46">
        <v>6.7469999999999999</v>
      </c>
      <c r="AC169" s="46">
        <v>0</v>
      </c>
      <c r="AD169" s="46">
        <v>6.3620000000000001</v>
      </c>
      <c r="AE169" s="46">
        <v>0</v>
      </c>
      <c r="AF169" s="46">
        <v>0</v>
      </c>
      <c r="AG169" s="46">
        <v>0</v>
      </c>
      <c r="AH169" s="46">
        <v>25.43</v>
      </c>
      <c r="AI169" s="46">
        <v>0</v>
      </c>
      <c r="AJ169" s="46">
        <v>4.1790000000000003</v>
      </c>
      <c r="AK169" s="46">
        <v>7.2370000000000001</v>
      </c>
      <c r="AL169" s="46">
        <v>6.4429999999999996</v>
      </c>
      <c r="AM169" s="46">
        <v>0</v>
      </c>
      <c r="AN169" s="46">
        <v>0</v>
      </c>
      <c r="AO169" s="46">
        <v>0</v>
      </c>
      <c r="AP169" s="46">
        <f t="shared" si="4"/>
        <v>4.2649677419354841</v>
      </c>
      <c r="AQ169" s="7">
        <f t="shared" si="5"/>
        <v>2.1324838709677421</v>
      </c>
    </row>
    <row r="170" spans="1:43" x14ac:dyDescent="0.3">
      <c r="A170" s="5">
        <v>167</v>
      </c>
      <c r="B170" s="107" t="s">
        <v>65</v>
      </c>
      <c r="C170" s="10" t="s">
        <v>693</v>
      </c>
      <c r="D170" s="12" t="s">
        <v>934</v>
      </c>
      <c r="E170" s="110" t="s">
        <v>407</v>
      </c>
      <c r="F170" s="6" t="s">
        <v>19</v>
      </c>
      <c r="G170" s="6" t="s">
        <v>976</v>
      </c>
      <c r="H170" s="6" t="s">
        <v>35</v>
      </c>
      <c r="I170" s="5">
        <v>1</v>
      </c>
      <c r="J170" s="12" t="s">
        <v>590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f t="shared" si="4"/>
        <v>0</v>
      </c>
      <c r="AQ170" s="7">
        <f t="shared" si="5"/>
        <v>0</v>
      </c>
    </row>
    <row r="171" spans="1:43" x14ac:dyDescent="0.3">
      <c r="A171" s="5">
        <v>168</v>
      </c>
      <c r="B171" s="107" t="s">
        <v>65</v>
      </c>
      <c r="C171" s="112" t="s">
        <v>694</v>
      </c>
      <c r="D171" s="112" t="s">
        <v>935</v>
      </c>
      <c r="E171" s="110" t="s">
        <v>432</v>
      </c>
      <c r="F171" s="6" t="s">
        <v>19</v>
      </c>
      <c r="G171" s="6" t="s">
        <v>976</v>
      </c>
      <c r="H171" s="6" t="s">
        <v>35</v>
      </c>
      <c r="I171" s="5">
        <v>2</v>
      </c>
      <c r="J171" s="12" t="s">
        <v>590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7.3889999999999993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4.4870000000000001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5.9770000000000003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4.7719999999999994</v>
      </c>
      <c r="AM171" s="46">
        <v>0</v>
      </c>
      <c r="AN171" s="46">
        <v>0</v>
      </c>
      <c r="AO171" s="46">
        <v>0</v>
      </c>
      <c r="AP171" s="46">
        <f t="shared" si="4"/>
        <v>0.72983870967741937</v>
      </c>
      <c r="AQ171" s="7">
        <f t="shared" si="5"/>
        <v>0.36491935483870969</v>
      </c>
    </row>
    <row r="172" spans="1:43" x14ac:dyDescent="0.3">
      <c r="A172" s="5">
        <v>169</v>
      </c>
      <c r="B172" s="107" t="s">
        <v>65</v>
      </c>
      <c r="C172" s="112" t="s">
        <v>695</v>
      </c>
      <c r="D172" s="112" t="s">
        <v>936</v>
      </c>
      <c r="E172" s="110" t="s">
        <v>521</v>
      </c>
      <c r="F172" s="6" t="s">
        <v>19</v>
      </c>
      <c r="G172" s="6" t="s">
        <v>976</v>
      </c>
      <c r="H172" s="6" t="s">
        <v>35</v>
      </c>
      <c r="I172" s="5">
        <v>1</v>
      </c>
      <c r="J172" s="12" t="s">
        <v>590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0</v>
      </c>
      <c r="AI172" s="46">
        <v>0</v>
      </c>
      <c r="AJ172" s="46">
        <v>0</v>
      </c>
      <c r="AK172" s="46">
        <v>0</v>
      </c>
      <c r="AL172" s="46">
        <v>0</v>
      </c>
      <c r="AM172" s="46">
        <v>0</v>
      </c>
      <c r="AN172" s="46">
        <v>0</v>
      </c>
      <c r="AO172" s="46">
        <v>0</v>
      </c>
      <c r="AP172" s="46">
        <f t="shared" si="4"/>
        <v>0</v>
      </c>
      <c r="AQ172" s="7">
        <f t="shared" si="5"/>
        <v>0</v>
      </c>
    </row>
    <row r="173" spans="1:43" x14ac:dyDescent="0.3">
      <c r="A173" s="5">
        <v>170</v>
      </c>
      <c r="B173" s="107" t="s">
        <v>65</v>
      </c>
      <c r="C173" s="10" t="s">
        <v>846</v>
      </c>
      <c r="D173" s="39" t="s">
        <v>841</v>
      </c>
      <c r="E173" s="110" t="s">
        <v>521</v>
      </c>
      <c r="F173" s="6" t="s">
        <v>19</v>
      </c>
      <c r="G173" s="6" t="s">
        <v>976</v>
      </c>
      <c r="H173" s="6" t="s">
        <v>35</v>
      </c>
      <c r="I173" s="5">
        <v>2</v>
      </c>
      <c r="J173" s="12" t="s">
        <v>590</v>
      </c>
      <c r="K173" s="46">
        <v>0</v>
      </c>
      <c r="L173" s="46">
        <v>0</v>
      </c>
      <c r="M173" s="46">
        <v>9</v>
      </c>
      <c r="N173" s="46">
        <v>6.3879999999999999</v>
      </c>
      <c r="O173" s="46">
        <v>8.36</v>
      </c>
      <c r="P173" s="46">
        <v>9.4879999999999995</v>
      </c>
      <c r="Q173" s="46">
        <v>8.3170000000000002</v>
      </c>
      <c r="R173" s="46">
        <v>0</v>
      </c>
      <c r="S173" s="46">
        <v>0</v>
      </c>
      <c r="T173" s="46">
        <v>9.6959999999999997</v>
      </c>
      <c r="U173" s="46">
        <v>7.0140000000000002</v>
      </c>
      <c r="V173" s="46">
        <v>0</v>
      </c>
      <c r="W173" s="46">
        <v>8.1489999999999991</v>
      </c>
      <c r="X173" s="46">
        <v>0</v>
      </c>
      <c r="Y173" s="46">
        <v>0</v>
      </c>
      <c r="Z173" s="46">
        <v>0</v>
      </c>
      <c r="AA173" s="46">
        <v>13.036</v>
      </c>
      <c r="AB173" s="46">
        <v>3.0329999999999999</v>
      </c>
      <c r="AC173" s="46">
        <v>9.3879999999999999</v>
      </c>
      <c r="AD173" s="46">
        <v>6.899</v>
      </c>
      <c r="AE173" s="46">
        <v>4.6180000000000003</v>
      </c>
      <c r="AF173" s="46">
        <v>0</v>
      </c>
      <c r="AG173" s="46">
        <v>3.601</v>
      </c>
      <c r="AH173" s="46">
        <v>4.2729999999999997</v>
      </c>
      <c r="AI173" s="46">
        <v>8.4209999999999994</v>
      </c>
      <c r="AJ173" s="46">
        <v>6.8449999999999998</v>
      </c>
      <c r="AK173" s="46">
        <v>5.2709999999999999</v>
      </c>
      <c r="AL173" s="46">
        <v>9.3469999999999995</v>
      </c>
      <c r="AM173" s="46">
        <v>0</v>
      </c>
      <c r="AN173" s="46">
        <v>0</v>
      </c>
      <c r="AO173" s="46">
        <v>0</v>
      </c>
      <c r="AP173" s="46">
        <f t="shared" si="4"/>
        <v>4.5530322580645155</v>
      </c>
      <c r="AQ173" s="7">
        <f t="shared" si="5"/>
        <v>2.2765161290322578</v>
      </c>
    </row>
    <row r="174" spans="1:43" x14ac:dyDescent="0.3">
      <c r="A174" s="5">
        <v>171</v>
      </c>
      <c r="B174" s="107" t="s">
        <v>65</v>
      </c>
      <c r="C174" s="112" t="s">
        <v>696</v>
      </c>
      <c r="D174" s="112" t="s">
        <v>937</v>
      </c>
      <c r="E174" s="110" t="s">
        <v>128</v>
      </c>
      <c r="F174" s="6" t="s">
        <v>12</v>
      </c>
      <c r="G174" s="6" t="s">
        <v>976</v>
      </c>
      <c r="H174" s="6" t="s">
        <v>35</v>
      </c>
      <c r="I174" s="5">
        <v>15</v>
      </c>
      <c r="J174" s="94" t="s">
        <v>273</v>
      </c>
      <c r="K174" s="46">
        <v>122.55900000000003</v>
      </c>
      <c r="L174" s="46">
        <v>118.13500000000001</v>
      </c>
      <c r="M174" s="46">
        <v>137.44499999999996</v>
      </c>
      <c r="N174" s="46">
        <v>178.71700000000001</v>
      </c>
      <c r="O174" s="46">
        <v>180.608</v>
      </c>
      <c r="P174" s="46">
        <v>170.31099999999998</v>
      </c>
      <c r="Q174" s="46">
        <v>198.42</v>
      </c>
      <c r="R174" s="46">
        <v>190.32600000000005</v>
      </c>
      <c r="S174" s="46">
        <v>183.38099999999994</v>
      </c>
      <c r="T174" s="46">
        <v>189.70499999999998</v>
      </c>
      <c r="U174" s="46">
        <v>193.17199999999997</v>
      </c>
      <c r="V174" s="46">
        <v>163.33899999999997</v>
      </c>
      <c r="W174" s="46">
        <v>204.23500000000004</v>
      </c>
      <c r="X174" s="46">
        <v>113.16100000000002</v>
      </c>
      <c r="Y174" s="46">
        <v>96.471000000000004</v>
      </c>
      <c r="Z174" s="46">
        <v>128.27700000000002</v>
      </c>
      <c r="AA174" s="46">
        <v>158.61599999999999</v>
      </c>
      <c r="AB174" s="46">
        <v>0</v>
      </c>
      <c r="AC174" s="46">
        <v>165.892</v>
      </c>
      <c r="AD174" s="46">
        <v>168.648</v>
      </c>
      <c r="AE174" s="46">
        <v>161.721</v>
      </c>
      <c r="AF174" s="46">
        <v>163.88200000000001</v>
      </c>
      <c r="AG174" s="46">
        <v>142.155</v>
      </c>
      <c r="AH174" s="46">
        <v>177.143</v>
      </c>
      <c r="AI174" s="46">
        <v>153.57800000000003</v>
      </c>
      <c r="AJ174" s="46">
        <v>173.30700000000002</v>
      </c>
      <c r="AK174" s="46">
        <v>155.517</v>
      </c>
      <c r="AL174" s="46">
        <v>159.30799999999996</v>
      </c>
      <c r="AM174" s="46">
        <v>137.62799999999999</v>
      </c>
      <c r="AN174" s="46">
        <v>199.76500000000001</v>
      </c>
      <c r="AO174" s="46">
        <v>141.01699999999997</v>
      </c>
      <c r="AP174" s="46">
        <f t="shared" si="4"/>
        <v>155.69158064516128</v>
      </c>
      <c r="AQ174" s="7">
        <f t="shared" si="5"/>
        <v>10.379438709677419</v>
      </c>
    </row>
    <row r="175" spans="1:43" x14ac:dyDescent="0.3">
      <c r="A175" s="5">
        <v>172</v>
      </c>
      <c r="B175" s="107" t="s">
        <v>65</v>
      </c>
      <c r="C175" s="112" t="s">
        <v>939</v>
      </c>
      <c r="D175" s="112" t="s">
        <v>940</v>
      </c>
      <c r="E175" s="110" t="s">
        <v>128</v>
      </c>
      <c r="F175" s="6" t="s">
        <v>12</v>
      </c>
      <c r="G175" s="6" t="s">
        <v>971</v>
      </c>
      <c r="H175" s="6" t="s">
        <v>80</v>
      </c>
      <c r="I175" s="5">
        <v>2</v>
      </c>
      <c r="J175" s="94" t="s">
        <v>273</v>
      </c>
      <c r="K175" s="46">
        <v>0</v>
      </c>
      <c r="L175" s="46">
        <v>17.2</v>
      </c>
      <c r="M175" s="46">
        <v>40.310000000000009</v>
      </c>
      <c r="N175" s="46">
        <v>5.8999999999999995</v>
      </c>
      <c r="O175" s="46">
        <v>0.08</v>
      </c>
      <c r="P175" s="46">
        <v>0.02</v>
      </c>
      <c r="Q175" s="46">
        <v>6.0000000000000005E-2</v>
      </c>
      <c r="R175" s="46">
        <v>0</v>
      </c>
      <c r="S175" s="46">
        <v>0</v>
      </c>
      <c r="T175" s="46">
        <v>0.02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161.59400000000002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17.32</v>
      </c>
      <c r="AK175" s="46">
        <v>18.14</v>
      </c>
      <c r="AL175" s="46">
        <v>24.959999999999997</v>
      </c>
      <c r="AM175" s="46">
        <v>18.489999999999998</v>
      </c>
      <c r="AN175" s="46">
        <v>18.581</v>
      </c>
      <c r="AO175" s="46">
        <v>0</v>
      </c>
      <c r="AP175" s="46">
        <f t="shared" si="4"/>
        <v>10.408870967741937</v>
      </c>
      <c r="AQ175" s="7">
        <f t="shared" si="5"/>
        <v>5.2044354838709683</v>
      </c>
    </row>
    <row r="176" spans="1:43" x14ac:dyDescent="0.3">
      <c r="A176" s="5">
        <v>173</v>
      </c>
      <c r="B176" s="107" t="s">
        <v>65</v>
      </c>
      <c r="C176" s="112"/>
      <c r="D176" s="112" t="s">
        <v>1012</v>
      </c>
      <c r="E176" s="6" t="s">
        <v>128</v>
      </c>
      <c r="F176" s="6" t="s">
        <v>12</v>
      </c>
      <c r="G176" s="6" t="s">
        <v>13</v>
      </c>
      <c r="H176" s="6" t="s">
        <v>35</v>
      </c>
      <c r="I176" s="92">
        <v>2</v>
      </c>
      <c r="J176" s="94" t="s">
        <v>273</v>
      </c>
      <c r="K176" s="46">
        <v>5.4030000000000005</v>
      </c>
      <c r="L176" s="46">
        <v>15.491</v>
      </c>
      <c r="M176" s="46">
        <v>5.2329999999999997</v>
      </c>
      <c r="N176" s="46">
        <v>13.448</v>
      </c>
      <c r="O176" s="46">
        <v>10.122000000000002</v>
      </c>
      <c r="P176" s="46">
        <v>7.0109999999999992</v>
      </c>
      <c r="Q176" s="46">
        <v>21.141999999999996</v>
      </c>
      <c r="R176" s="46">
        <v>22.133000000000003</v>
      </c>
      <c r="S176" s="46">
        <v>12.784999999999998</v>
      </c>
      <c r="T176" s="46">
        <v>27.785</v>
      </c>
      <c r="U176" s="46">
        <v>20.399000000000001</v>
      </c>
      <c r="V176" s="46">
        <v>18.923999999999999</v>
      </c>
      <c r="W176" s="46">
        <v>17.719000000000001</v>
      </c>
      <c r="X176" s="46">
        <v>0</v>
      </c>
      <c r="Y176" s="46">
        <v>21.96</v>
      </c>
      <c r="Z176" s="46">
        <v>24.677000000000003</v>
      </c>
      <c r="AA176" s="46">
        <v>14.640999999999998</v>
      </c>
      <c r="AB176" s="46">
        <v>9.2989999999999995</v>
      </c>
      <c r="AC176" s="46">
        <v>12.613999999999997</v>
      </c>
      <c r="AD176" s="46">
        <v>10.138999999999999</v>
      </c>
      <c r="AE176" s="46">
        <v>11.282</v>
      </c>
      <c r="AF176" s="46">
        <v>13.369999999999997</v>
      </c>
      <c r="AG176" s="46">
        <v>4.1690000000000005</v>
      </c>
      <c r="AH176" s="46">
        <v>0</v>
      </c>
      <c r="AI176" s="46">
        <v>14.542000000000002</v>
      </c>
      <c r="AJ176" s="46">
        <v>0.57999999999999996</v>
      </c>
      <c r="AK176" s="46">
        <v>0</v>
      </c>
      <c r="AL176" s="46">
        <v>3.4910000000000001</v>
      </c>
      <c r="AM176" s="46">
        <v>0</v>
      </c>
      <c r="AN176" s="46">
        <v>0</v>
      </c>
      <c r="AO176" s="46">
        <v>0</v>
      </c>
      <c r="AP176" s="46">
        <f t="shared" si="4"/>
        <v>10.914806451612899</v>
      </c>
      <c r="AQ176" s="7">
        <f t="shared" si="5"/>
        <v>5.4574032258064493</v>
      </c>
    </row>
    <row r="177" spans="1:43" x14ac:dyDescent="0.3">
      <c r="A177" s="5">
        <v>174</v>
      </c>
      <c r="B177" s="107" t="s">
        <v>65</v>
      </c>
      <c r="C177" s="5"/>
      <c r="D177" s="39" t="s">
        <v>115</v>
      </c>
      <c r="E177" s="110" t="s">
        <v>113</v>
      </c>
      <c r="F177" s="6" t="s">
        <v>19</v>
      </c>
      <c r="G177" s="6" t="s">
        <v>973</v>
      </c>
      <c r="H177" s="6" t="s">
        <v>80</v>
      </c>
      <c r="I177" s="5">
        <v>1</v>
      </c>
      <c r="J177" s="67" t="s">
        <v>160</v>
      </c>
      <c r="K177" s="46">
        <v>0</v>
      </c>
      <c r="L177" s="46">
        <v>0</v>
      </c>
      <c r="M177" s="46">
        <v>0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0</v>
      </c>
      <c r="AL177" s="46">
        <v>0</v>
      </c>
      <c r="AM177" s="46">
        <v>0</v>
      </c>
      <c r="AN177" s="46">
        <v>0</v>
      </c>
      <c r="AO177" s="46">
        <v>0</v>
      </c>
      <c r="AP177" s="46">
        <f t="shared" si="4"/>
        <v>0</v>
      </c>
      <c r="AQ177" s="7">
        <f t="shared" si="5"/>
        <v>0</v>
      </c>
    </row>
    <row r="178" spans="1:43" x14ac:dyDescent="0.3">
      <c r="A178" s="5">
        <v>175</v>
      </c>
      <c r="B178" s="107" t="s">
        <v>65</v>
      </c>
      <c r="C178" s="5"/>
      <c r="D178" s="39" t="s">
        <v>117</v>
      </c>
      <c r="E178" s="110" t="s">
        <v>113</v>
      </c>
      <c r="F178" s="6" t="s">
        <v>19</v>
      </c>
      <c r="G178" s="6" t="s">
        <v>973</v>
      </c>
      <c r="H178" s="6" t="s">
        <v>80</v>
      </c>
      <c r="I178" s="5">
        <v>1</v>
      </c>
      <c r="J178" s="67" t="s">
        <v>160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0</v>
      </c>
      <c r="AG178" s="46">
        <v>0</v>
      </c>
      <c r="AH178" s="46">
        <v>0</v>
      </c>
      <c r="AI178" s="46">
        <v>0</v>
      </c>
      <c r="AJ178" s="46">
        <v>0</v>
      </c>
      <c r="AK178" s="46">
        <v>0</v>
      </c>
      <c r="AL178" s="46">
        <v>0</v>
      </c>
      <c r="AM178" s="46">
        <v>0</v>
      </c>
      <c r="AN178" s="46">
        <v>0</v>
      </c>
      <c r="AO178" s="46">
        <v>0</v>
      </c>
      <c r="AP178" s="46">
        <f t="shared" si="4"/>
        <v>0</v>
      </c>
      <c r="AQ178" s="7">
        <f t="shared" si="5"/>
        <v>0</v>
      </c>
    </row>
    <row r="179" spans="1:43" x14ac:dyDescent="0.3">
      <c r="A179" s="5">
        <v>176</v>
      </c>
      <c r="B179" s="107" t="s">
        <v>65</v>
      </c>
      <c r="C179" s="5"/>
      <c r="D179" s="6" t="s">
        <v>66</v>
      </c>
      <c r="E179" s="110" t="s">
        <v>67</v>
      </c>
      <c r="F179" s="6" t="s">
        <v>12</v>
      </c>
      <c r="G179" s="6" t="s">
        <v>976</v>
      </c>
      <c r="H179" s="6" t="s">
        <v>14</v>
      </c>
      <c r="I179" s="5">
        <v>87</v>
      </c>
      <c r="J179" s="67" t="s">
        <v>160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0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>
        <v>0</v>
      </c>
      <c r="AL179" s="46">
        <v>0</v>
      </c>
      <c r="AM179" s="46">
        <v>0</v>
      </c>
      <c r="AN179" s="46">
        <v>0</v>
      </c>
      <c r="AO179" s="46">
        <v>0</v>
      </c>
      <c r="AP179" s="46">
        <f t="shared" si="4"/>
        <v>0</v>
      </c>
      <c r="AQ179" s="7">
        <f t="shared" si="5"/>
        <v>0</v>
      </c>
    </row>
    <row r="180" spans="1:43" x14ac:dyDescent="0.3">
      <c r="A180" s="5">
        <v>177</v>
      </c>
      <c r="B180" s="107" t="s">
        <v>65</v>
      </c>
      <c r="C180" s="5"/>
      <c r="D180" s="6" t="s">
        <v>70</v>
      </c>
      <c r="E180" s="110"/>
      <c r="F180" s="6" t="s">
        <v>12</v>
      </c>
      <c r="G180" s="6" t="s">
        <v>976</v>
      </c>
      <c r="H180" s="6" t="s">
        <v>14</v>
      </c>
      <c r="I180" s="5">
        <v>82</v>
      </c>
      <c r="J180" s="67" t="s">
        <v>160</v>
      </c>
      <c r="K180" s="46">
        <v>0</v>
      </c>
      <c r="L180" s="46">
        <v>0</v>
      </c>
      <c r="M180" s="46">
        <v>0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0</v>
      </c>
      <c r="AD180" s="46">
        <v>0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AJ180" s="46">
        <v>0</v>
      </c>
      <c r="AK180" s="46">
        <v>0</v>
      </c>
      <c r="AL180" s="46">
        <v>0</v>
      </c>
      <c r="AM180" s="46">
        <v>0</v>
      </c>
      <c r="AN180" s="46">
        <v>0</v>
      </c>
      <c r="AO180" s="46">
        <v>0</v>
      </c>
      <c r="AP180" s="46">
        <f t="shared" si="4"/>
        <v>0</v>
      </c>
      <c r="AQ180" s="7">
        <f t="shared" si="5"/>
        <v>0</v>
      </c>
    </row>
    <row r="181" spans="1:43" x14ac:dyDescent="0.3">
      <c r="A181" s="5">
        <v>178</v>
      </c>
      <c r="B181" s="107" t="s">
        <v>65</v>
      </c>
      <c r="C181" s="5"/>
      <c r="D181" s="6" t="s">
        <v>74</v>
      </c>
      <c r="E181" s="110" t="s">
        <v>30</v>
      </c>
      <c r="F181" s="6" t="s">
        <v>19</v>
      </c>
      <c r="G181" s="6" t="s">
        <v>976</v>
      </c>
      <c r="H181" s="6" t="s">
        <v>14</v>
      </c>
      <c r="I181" s="5">
        <v>2</v>
      </c>
      <c r="J181" s="67" t="s">
        <v>160</v>
      </c>
      <c r="K181" s="46">
        <v>0</v>
      </c>
      <c r="L181" s="46">
        <v>0</v>
      </c>
      <c r="M181" s="46">
        <v>0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6">
        <v>0</v>
      </c>
      <c r="AD181" s="46">
        <v>0</v>
      </c>
      <c r="AE181" s="46">
        <v>0</v>
      </c>
      <c r="AF181" s="46">
        <v>0</v>
      </c>
      <c r="AG181" s="46">
        <v>0</v>
      </c>
      <c r="AH181" s="46">
        <v>0</v>
      </c>
      <c r="AI181" s="46">
        <v>0</v>
      </c>
      <c r="AJ181" s="46">
        <v>0</v>
      </c>
      <c r="AK181" s="46">
        <v>0</v>
      </c>
      <c r="AL181" s="46">
        <v>0</v>
      </c>
      <c r="AM181" s="46">
        <v>0</v>
      </c>
      <c r="AN181" s="46">
        <v>0</v>
      </c>
      <c r="AO181" s="46">
        <v>0</v>
      </c>
      <c r="AP181" s="46">
        <f t="shared" si="4"/>
        <v>0</v>
      </c>
      <c r="AQ181" s="7">
        <f t="shared" si="5"/>
        <v>0</v>
      </c>
    </row>
    <row r="182" spans="1:43" x14ac:dyDescent="0.3">
      <c r="A182" s="5">
        <v>179</v>
      </c>
      <c r="B182" s="107" t="s">
        <v>65</v>
      </c>
      <c r="C182" s="5"/>
      <c r="D182" s="39" t="s">
        <v>122</v>
      </c>
      <c r="E182" s="110" t="s">
        <v>30</v>
      </c>
      <c r="F182" s="6" t="s">
        <v>19</v>
      </c>
      <c r="G182" s="6" t="s">
        <v>976</v>
      </c>
      <c r="H182" s="6" t="s">
        <v>14</v>
      </c>
      <c r="I182" s="5">
        <v>3</v>
      </c>
      <c r="J182" s="67" t="s">
        <v>160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0</v>
      </c>
      <c r="AD182" s="46">
        <v>0</v>
      </c>
      <c r="AE182" s="46">
        <v>0</v>
      </c>
      <c r="AF182" s="46">
        <v>0</v>
      </c>
      <c r="AG182" s="46">
        <v>0</v>
      </c>
      <c r="AH182" s="46">
        <v>0</v>
      </c>
      <c r="AI182" s="46">
        <v>0</v>
      </c>
      <c r="AJ182" s="46">
        <v>0</v>
      </c>
      <c r="AK182" s="46">
        <v>0</v>
      </c>
      <c r="AL182" s="46">
        <v>0</v>
      </c>
      <c r="AM182" s="46">
        <v>0</v>
      </c>
      <c r="AN182" s="46">
        <v>0</v>
      </c>
      <c r="AO182" s="46">
        <v>0</v>
      </c>
      <c r="AP182" s="46">
        <f t="shared" si="4"/>
        <v>0</v>
      </c>
      <c r="AQ182" s="7">
        <f t="shared" si="5"/>
        <v>0</v>
      </c>
    </row>
    <row r="183" spans="1:43" ht="15.6" x14ac:dyDescent="0.3">
      <c r="A183" s="5">
        <v>180</v>
      </c>
      <c r="B183" s="107" t="s">
        <v>572</v>
      </c>
      <c r="C183" s="112" t="s">
        <v>697</v>
      </c>
      <c r="D183" s="114" t="s">
        <v>950</v>
      </c>
      <c r="E183" s="110" t="s">
        <v>61</v>
      </c>
      <c r="F183" s="6" t="s">
        <v>12</v>
      </c>
      <c r="G183" s="6" t="s">
        <v>976</v>
      </c>
      <c r="H183" s="6" t="s">
        <v>35</v>
      </c>
      <c r="I183" s="5">
        <v>7</v>
      </c>
      <c r="J183" s="12" t="s">
        <v>160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0</v>
      </c>
      <c r="AL183" s="46">
        <v>0</v>
      </c>
      <c r="AM183" s="46">
        <v>0</v>
      </c>
      <c r="AN183" s="46">
        <v>0</v>
      </c>
      <c r="AO183" s="46">
        <v>0</v>
      </c>
      <c r="AP183" s="46">
        <f t="shared" si="4"/>
        <v>0</v>
      </c>
      <c r="AQ183" s="7">
        <f t="shared" si="5"/>
        <v>0</v>
      </c>
    </row>
    <row r="184" spans="1:43" ht="15.6" x14ac:dyDescent="0.3">
      <c r="A184" s="5">
        <v>181</v>
      </c>
      <c r="B184" s="107" t="s">
        <v>572</v>
      </c>
      <c r="C184" s="112" t="s">
        <v>949</v>
      </c>
      <c r="D184" s="114" t="s">
        <v>810</v>
      </c>
      <c r="E184" s="110" t="s">
        <v>61</v>
      </c>
      <c r="F184" s="6" t="s">
        <v>12</v>
      </c>
      <c r="G184" s="6" t="s">
        <v>976</v>
      </c>
      <c r="H184" s="6" t="s">
        <v>35</v>
      </c>
      <c r="I184" s="5">
        <v>12</v>
      </c>
      <c r="J184" s="12" t="s">
        <v>160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v>0</v>
      </c>
      <c r="AP184" s="46">
        <f t="shared" si="4"/>
        <v>0</v>
      </c>
      <c r="AQ184" s="7">
        <f t="shared" si="5"/>
        <v>0</v>
      </c>
    </row>
    <row r="185" spans="1:43" x14ac:dyDescent="0.3">
      <c r="H185" s="89" t="s">
        <v>79</v>
      </c>
      <c r="I185" s="90">
        <f>SUM(I2:I184)</f>
        <v>934</v>
      </c>
      <c r="J185" s="90"/>
      <c r="K185" s="91">
        <f t="shared" ref="K185:AH185" si="6">SUM(K2:K182)</f>
        <v>6982.4530000000004</v>
      </c>
      <c r="L185" s="91">
        <f t="shared" si="6"/>
        <v>5973.2560000000012</v>
      </c>
      <c r="M185" s="91">
        <f t="shared" si="6"/>
        <v>6286.9960000000001</v>
      </c>
      <c r="N185" s="91">
        <f t="shared" si="6"/>
        <v>7188.9359999999997</v>
      </c>
      <c r="O185" s="91">
        <f t="shared" si="6"/>
        <v>7100.1559999999999</v>
      </c>
      <c r="P185" s="91">
        <f t="shared" si="6"/>
        <v>7372.8039999999992</v>
      </c>
      <c r="Q185" s="91">
        <f t="shared" si="6"/>
        <v>7133.1680000000024</v>
      </c>
      <c r="R185" s="91">
        <f t="shared" si="6"/>
        <v>7358.5050000000001</v>
      </c>
      <c r="S185" s="91">
        <f t="shared" si="6"/>
        <v>5855.2409999999991</v>
      </c>
      <c r="T185" s="91">
        <f t="shared" si="6"/>
        <v>6542.478000000001</v>
      </c>
      <c r="U185" s="91">
        <f t="shared" si="6"/>
        <v>6889.472999999999</v>
      </c>
      <c r="V185" s="91">
        <f t="shared" si="6"/>
        <v>7493.8699999999981</v>
      </c>
      <c r="W185" s="91">
        <f t="shared" si="6"/>
        <v>7125.5159999999996</v>
      </c>
      <c r="X185" s="91">
        <f t="shared" si="6"/>
        <v>6357.4329999999964</v>
      </c>
      <c r="Y185" s="91">
        <f t="shared" si="6"/>
        <v>6953.2809999999981</v>
      </c>
      <c r="Z185" s="91">
        <f t="shared" si="6"/>
        <v>7038.0190000000021</v>
      </c>
      <c r="AA185" s="91">
        <f t="shared" si="6"/>
        <v>6896.7480000000014</v>
      </c>
      <c r="AB185" s="91">
        <f t="shared" si="6"/>
        <v>7429.9230000000007</v>
      </c>
      <c r="AC185" s="91">
        <f t="shared" si="6"/>
        <v>7428.4699999999975</v>
      </c>
      <c r="AD185" s="91">
        <f t="shared" si="6"/>
        <v>7567.5280000000002</v>
      </c>
      <c r="AE185" s="91">
        <f t="shared" si="6"/>
        <v>7537.7140000000009</v>
      </c>
      <c r="AF185" s="91">
        <f t="shared" si="6"/>
        <v>6656.6419999999998</v>
      </c>
      <c r="AG185" s="91">
        <f t="shared" si="6"/>
        <v>6160.5450000000001</v>
      </c>
      <c r="AH185" s="91">
        <f t="shared" si="6"/>
        <v>6641.9109999999973</v>
      </c>
      <c r="AI185" s="91">
        <f t="shared" ref="AI185:AO185" si="7">SUM(AI2:AI183)</f>
        <v>7291.9030000000012</v>
      </c>
      <c r="AJ185" s="91">
        <f t="shared" si="7"/>
        <v>7299.7009999999991</v>
      </c>
      <c r="AK185" s="91">
        <f t="shared" si="7"/>
        <v>8022.2630000000008</v>
      </c>
      <c r="AL185" s="91">
        <f t="shared" si="7"/>
        <v>7046.646999999999</v>
      </c>
      <c r="AM185" s="91">
        <f t="shared" si="7"/>
        <v>6866.3320000000012</v>
      </c>
      <c r="AN185" s="91">
        <f t="shared" si="7"/>
        <v>5870.3350000000019</v>
      </c>
      <c r="AO185" s="91">
        <f t="shared" si="7"/>
        <v>4930.5939999999982</v>
      </c>
      <c r="AP185" s="46">
        <f t="shared" si="4"/>
        <v>6880.6077741935478</v>
      </c>
      <c r="AQ185" s="7">
        <f t="shared" si="5"/>
        <v>7.3668177453892376</v>
      </c>
    </row>
    <row r="186" spans="1:43" x14ac:dyDescent="0.3">
      <c r="AK186" s="81"/>
      <c r="AP186" s="50"/>
    </row>
    <row r="189" spans="1:43" x14ac:dyDescent="0.3">
      <c r="AC189" s="88"/>
    </row>
    <row r="190" spans="1:43" x14ac:dyDescent="0.3">
      <c r="W190" s="88"/>
    </row>
    <row r="191" spans="1:43" x14ac:dyDescent="0.3">
      <c r="AB191" s="88"/>
      <c r="AE191" s="88"/>
      <c r="AF191" s="88"/>
    </row>
  </sheetData>
  <autoFilter ref="A1:AQ185" xr:uid="{00000000-0009-0000-0000-00003C000000}">
    <sortState xmlns:xlrd2="http://schemas.microsoft.com/office/spreadsheetml/2017/richdata2" ref="A2:AU185">
      <sortCondition ref="A1:A185"/>
    </sortState>
  </autoFilter>
  <pageMargins left="0.7" right="0.7" top="0.75" bottom="0.75" header="0.3" footer="0.3"/>
  <pageSetup scale="1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3:AT35"/>
  <sheetViews>
    <sheetView topLeftCell="A15" workbookViewId="0">
      <selection activeCell="L19" sqref="L19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8.33203125" bestFit="1" customWidth="1"/>
    <col min="4" max="4" width="6.33203125" bestFit="1" customWidth="1"/>
    <col min="5" max="5" width="8.21875" bestFit="1" customWidth="1"/>
    <col min="6" max="6" width="6" bestFit="1" customWidth="1"/>
    <col min="7" max="7" width="7" customWidth="1"/>
    <col min="8" max="8" width="8.5546875" bestFit="1" customWidth="1"/>
    <col min="9" max="9" width="9.44140625" bestFit="1" customWidth="1"/>
    <col min="10" max="10" width="6.109375" bestFit="1" customWidth="1"/>
    <col min="11" max="11" width="12.109375" bestFit="1" customWidth="1"/>
    <col min="12" max="12" width="7.88671875" bestFit="1" customWidth="1"/>
    <col min="13" max="13" width="10.88671875" bestFit="1" customWidth="1"/>
    <col min="14" max="14" width="9" customWidth="1"/>
    <col min="15" max="15" width="8.6640625" bestFit="1" customWidth="1"/>
    <col min="16" max="16" width="10" bestFit="1" customWidth="1"/>
    <col min="17" max="18" width="9.77734375" bestFit="1" customWidth="1"/>
    <col min="19" max="19" width="7" bestFit="1" customWidth="1"/>
    <col min="20" max="20" width="10.21875" bestFit="1" customWidth="1"/>
    <col min="21" max="21" width="8.77734375" bestFit="1" customWidth="1"/>
    <col min="22" max="22" width="12.44140625" bestFit="1" customWidth="1"/>
    <col min="23" max="23" width="6.21875" bestFit="1" customWidth="1"/>
    <col min="24" max="25" width="8.6640625" bestFit="1" customWidth="1"/>
    <col min="26" max="26" width="7.33203125" bestFit="1" customWidth="1"/>
    <col min="27" max="27" width="8" customWidth="1"/>
    <col min="28" max="28" width="7.6640625" bestFit="1" customWidth="1"/>
    <col min="29" max="29" width="6" bestFit="1" customWidth="1"/>
    <col min="30" max="30" width="7.6640625" bestFit="1" customWidth="1"/>
    <col min="31" max="31" width="5.88671875" bestFit="1" customWidth="1"/>
    <col min="32" max="32" width="12" bestFit="1" customWidth="1"/>
    <col min="33" max="33" width="9" bestFit="1" customWidth="1"/>
    <col min="34" max="34" width="6.44140625" bestFit="1" customWidth="1"/>
    <col min="35" max="35" width="12.44140625" bestFit="1" customWidth="1"/>
    <col min="36" max="36" width="9.77734375" bestFit="1" customWidth="1"/>
    <col min="37" max="37" width="4.77734375" bestFit="1" customWidth="1"/>
    <col min="38" max="38" width="5.44140625" bestFit="1" customWidth="1"/>
    <col min="39" max="39" width="10.77734375" bestFit="1" customWidth="1"/>
    <col min="40" max="40" width="14.21875" bestFit="1" customWidth="1"/>
    <col min="41" max="41" width="9" bestFit="1" customWidth="1"/>
    <col min="42" max="42" width="8.5546875" bestFit="1" customWidth="1"/>
    <col min="43" max="43" width="8.77734375" bestFit="1" customWidth="1"/>
    <col min="44" max="44" width="8.88671875" bestFit="1" customWidth="1"/>
    <col min="45" max="45" width="11" bestFit="1" customWidth="1"/>
    <col min="46" max="46" width="10.77734375" bestFit="1" customWidth="1"/>
    <col min="47" max="80" width="17.33203125" bestFit="1" customWidth="1"/>
    <col min="81" max="82" width="22.33203125" bestFit="1" customWidth="1"/>
  </cols>
  <sheetData>
    <row r="3" spans="1:46" x14ac:dyDescent="0.3">
      <c r="B3" s="29" t="s">
        <v>144</v>
      </c>
    </row>
    <row r="4" spans="1:46" x14ac:dyDescent="0.3">
      <c r="A4" s="29" t="s">
        <v>131</v>
      </c>
      <c r="B4" t="s">
        <v>708</v>
      </c>
      <c r="C4" t="s">
        <v>576</v>
      </c>
      <c r="D4" t="s">
        <v>578</v>
      </c>
      <c r="E4" t="s">
        <v>832</v>
      </c>
      <c r="F4" t="s">
        <v>905</v>
      </c>
      <c r="G4" t="s">
        <v>1014</v>
      </c>
      <c r="H4" t="s">
        <v>175</v>
      </c>
      <c r="I4" t="s">
        <v>58</v>
      </c>
      <c r="J4" t="s">
        <v>885</v>
      </c>
      <c r="K4" t="s">
        <v>844</v>
      </c>
      <c r="L4" t="s">
        <v>569</v>
      </c>
      <c r="M4" t="s">
        <v>476</v>
      </c>
      <c r="N4" t="s">
        <v>65</v>
      </c>
      <c r="O4" t="s">
        <v>919</v>
      </c>
      <c r="P4" t="s">
        <v>892</v>
      </c>
      <c r="Q4" t="s">
        <v>222</v>
      </c>
      <c r="R4" t="s">
        <v>862</v>
      </c>
      <c r="S4" t="s">
        <v>134</v>
      </c>
      <c r="T4" t="s">
        <v>9</v>
      </c>
      <c r="U4" t="s">
        <v>822</v>
      </c>
      <c r="V4" t="s">
        <v>866</v>
      </c>
      <c r="W4" t="s">
        <v>536</v>
      </c>
      <c r="X4" t="s">
        <v>55</v>
      </c>
      <c r="Y4" t="s">
        <v>499</v>
      </c>
      <c r="Z4" t="s">
        <v>563</v>
      </c>
      <c r="AA4" t="s">
        <v>119</v>
      </c>
      <c r="AB4" t="s">
        <v>560</v>
      </c>
      <c r="AC4" t="s">
        <v>221</v>
      </c>
      <c r="AD4" t="s">
        <v>1008</v>
      </c>
      <c r="AE4" t="s">
        <v>572</v>
      </c>
      <c r="AF4" t="s">
        <v>895</v>
      </c>
      <c r="AG4" t="s">
        <v>565</v>
      </c>
      <c r="AH4" t="s">
        <v>882</v>
      </c>
      <c r="AI4" t="s">
        <v>246</v>
      </c>
      <c r="AJ4" t="s">
        <v>829</v>
      </c>
      <c r="AK4" t="s">
        <v>598</v>
      </c>
      <c r="AL4" t="s">
        <v>597</v>
      </c>
      <c r="AM4" t="s">
        <v>49</v>
      </c>
      <c r="AN4" t="s">
        <v>52</v>
      </c>
      <c r="AO4" t="s">
        <v>498</v>
      </c>
      <c r="AP4" t="s">
        <v>1024</v>
      </c>
      <c r="AQ4" t="s">
        <v>1050</v>
      </c>
      <c r="AR4" t="s">
        <v>1047</v>
      </c>
      <c r="AS4" t="s">
        <v>1048</v>
      </c>
      <c r="AT4" t="s">
        <v>83</v>
      </c>
    </row>
    <row r="5" spans="1:46" x14ac:dyDescent="0.3">
      <c r="A5" s="26" t="s">
        <v>1015</v>
      </c>
      <c r="B5" s="136">
        <v>0</v>
      </c>
      <c r="C5" s="136">
        <v>0</v>
      </c>
      <c r="D5" s="136">
        <v>0</v>
      </c>
      <c r="E5" s="136">
        <v>0</v>
      </c>
      <c r="F5" s="136">
        <v>14.790000000000001</v>
      </c>
      <c r="G5" s="136">
        <v>16.548999999999999</v>
      </c>
      <c r="H5" s="136">
        <v>19.718</v>
      </c>
      <c r="I5" s="136">
        <v>536.02699999999993</v>
      </c>
      <c r="J5" s="136">
        <v>0</v>
      </c>
      <c r="K5" s="136">
        <v>0</v>
      </c>
      <c r="L5" s="136">
        <v>0</v>
      </c>
      <c r="M5" s="136">
        <v>0</v>
      </c>
      <c r="N5" s="136">
        <v>1566.0559999999998</v>
      </c>
      <c r="O5" s="136">
        <v>0</v>
      </c>
      <c r="P5" s="136">
        <v>21.121000000000002</v>
      </c>
      <c r="Q5" s="136">
        <v>0</v>
      </c>
      <c r="R5" s="136">
        <v>0</v>
      </c>
      <c r="S5" s="136">
        <v>25.302</v>
      </c>
      <c r="T5" s="136">
        <v>3811.7429999999995</v>
      </c>
      <c r="U5" s="136">
        <v>0</v>
      </c>
      <c r="V5" s="136">
        <v>0</v>
      </c>
      <c r="W5" s="136">
        <v>0</v>
      </c>
      <c r="X5" s="136">
        <v>355.43200000000002</v>
      </c>
      <c r="Y5" s="136">
        <v>0</v>
      </c>
      <c r="Z5" s="136">
        <v>0</v>
      </c>
      <c r="AA5" s="136">
        <v>137.42400000000001</v>
      </c>
      <c r="AB5" s="136">
        <v>0</v>
      </c>
      <c r="AC5" s="136">
        <v>0</v>
      </c>
      <c r="AD5" s="136">
        <v>0</v>
      </c>
      <c r="AE5" s="136">
        <v>0</v>
      </c>
      <c r="AF5" s="136">
        <v>0</v>
      </c>
      <c r="AG5" s="136">
        <v>212.11299999999994</v>
      </c>
      <c r="AH5" s="136">
        <v>0</v>
      </c>
      <c r="AI5" s="136">
        <v>28.317</v>
      </c>
      <c r="AJ5" s="136">
        <v>0</v>
      </c>
      <c r="AK5" s="136">
        <v>0</v>
      </c>
      <c r="AL5" s="136">
        <v>0</v>
      </c>
      <c r="AM5" s="136">
        <v>91.265999999999991</v>
      </c>
      <c r="AN5" s="136">
        <v>146.595</v>
      </c>
      <c r="AO5" s="136">
        <v>0</v>
      </c>
      <c r="AP5" s="136"/>
      <c r="AQ5" s="136"/>
      <c r="AR5" s="136"/>
      <c r="AS5" s="136"/>
      <c r="AT5" s="136">
        <v>6982.4529999999995</v>
      </c>
    </row>
    <row r="6" spans="1:46" x14ac:dyDescent="0.3">
      <c r="A6" s="26" t="s">
        <v>1016</v>
      </c>
      <c r="B6" s="136">
        <v>0</v>
      </c>
      <c r="C6" s="136">
        <v>0</v>
      </c>
      <c r="D6" s="136">
        <v>0</v>
      </c>
      <c r="E6" s="136">
        <v>0</v>
      </c>
      <c r="F6" s="136">
        <v>43.93</v>
      </c>
      <c r="G6" s="136">
        <v>0</v>
      </c>
      <c r="H6" s="136">
        <v>7.87</v>
      </c>
      <c r="I6" s="136">
        <v>515.02900000000011</v>
      </c>
      <c r="J6" s="136">
        <v>0</v>
      </c>
      <c r="K6" s="136">
        <v>0</v>
      </c>
      <c r="L6" s="136">
        <v>0</v>
      </c>
      <c r="M6" s="136">
        <v>0</v>
      </c>
      <c r="N6" s="136">
        <v>1432.5680000000002</v>
      </c>
      <c r="O6" s="136">
        <v>0</v>
      </c>
      <c r="P6" s="136">
        <v>0</v>
      </c>
      <c r="Q6" s="136">
        <v>39.497999999999998</v>
      </c>
      <c r="R6" s="136">
        <v>0</v>
      </c>
      <c r="S6" s="136">
        <v>27.204000000000001</v>
      </c>
      <c r="T6" s="136">
        <v>3130.3599999999997</v>
      </c>
      <c r="U6" s="136">
        <v>0</v>
      </c>
      <c r="V6" s="136">
        <v>0</v>
      </c>
      <c r="W6" s="136">
        <v>0</v>
      </c>
      <c r="X6" s="136">
        <v>370.90699999999993</v>
      </c>
      <c r="Y6" s="136">
        <v>0</v>
      </c>
      <c r="Z6" s="136">
        <v>0</v>
      </c>
      <c r="AA6" s="136">
        <v>31.822000000000003</v>
      </c>
      <c r="AB6" s="136">
        <v>0</v>
      </c>
      <c r="AC6" s="136">
        <v>0</v>
      </c>
      <c r="AD6" s="136">
        <v>0</v>
      </c>
      <c r="AE6" s="136">
        <v>0</v>
      </c>
      <c r="AF6" s="136">
        <v>0</v>
      </c>
      <c r="AG6" s="136">
        <v>200.04599999999999</v>
      </c>
      <c r="AH6" s="136">
        <v>0</v>
      </c>
      <c r="AI6" s="136">
        <v>28.186</v>
      </c>
      <c r="AJ6" s="136">
        <v>0</v>
      </c>
      <c r="AK6" s="136">
        <v>0</v>
      </c>
      <c r="AL6" s="136">
        <v>0</v>
      </c>
      <c r="AM6" s="136">
        <v>64.608000000000004</v>
      </c>
      <c r="AN6" s="136">
        <v>81.227999999999994</v>
      </c>
      <c r="AO6" s="136">
        <v>0</v>
      </c>
      <c r="AP6" s="136"/>
      <c r="AQ6" s="136"/>
      <c r="AR6" s="136"/>
      <c r="AS6" s="136"/>
      <c r="AT6" s="136">
        <v>5973.2560000000012</v>
      </c>
    </row>
    <row r="7" spans="1:46" x14ac:dyDescent="0.3">
      <c r="A7" s="26" t="s">
        <v>1017</v>
      </c>
      <c r="B7" s="136">
        <v>0</v>
      </c>
      <c r="C7" s="136">
        <v>0</v>
      </c>
      <c r="D7" s="136">
        <v>0</v>
      </c>
      <c r="E7" s="136">
        <v>0</v>
      </c>
      <c r="F7" s="136">
        <v>0</v>
      </c>
      <c r="G7" s="136">
        <v>0</v>
      </c>
      <c r="H7" s="136">
        <v>7.1310000000000002</v>
      </c>
      <c r="I7" s="136">
        <v>506.16700000000003</v>
      </c>
      <c r="J7" s="136">
        <v>0</v>
      </c>
      <c r="K7" s="136">
        <v>0</v>
      </c>
      <c r="L7" s="136">
        <v>0</v>
      </c>
      <c r="M7" s="136">
        <v>0</v>
      </c>
      <c r="N7" s="136">
        <v>1648.4230000000002</v>
      </c>
      <c r="O7" s="136">
        <v>24.98</v>
      </c>
      <c r="P7" s="136">
        <v>0</v>
      </c>
      <c r="Q7" s="136">
        <v>0</v>
      </c>
      <c r="R7" s="136">
        <v>0</v>
      </c>
      <c r="S7" s="136">
        <v>56.147999999999996</v>
      </c>
      <c r="T7" s="136">
        <v>3503.0979999999995</v>
      </c>
      <c r="U7" s="136">
        <v>0</v>
      </c>
      <c r="V7" s="136">
        <v>0</v>
      </c>
      <c r="W7" s="136">
        <v>0</v>
      </c>
      <c r="X7" s="136">
        <v>141.86799999999997</v>
      </c>
      <c r="Y7" s="136">
        <v>0</v>
      </c>
      <c r="Z7" s="136">
        <v>0</v>
      </c>
      <c r="AA7" s="136">
        <v>34.758000000000003</v>
      </c>
      <c r="AB7" s="136">
        <v>0</v>
      </c>
      <c r="AC7" s="136">
        <v>0</v>
      </c>
      <c r="AD7" s="136">
        <v>0</v>
      </c>
      <c r="AE7" s="136">
        <v>0</v>
      </c>
      <c r="AF7" s="136">
        <v>0.02</v>
      </c>
      <c r="AG7" s="136">
        <v>170.38800000000001</v>
      </c>
      <c r="AH7" s="136">
        <v>0</v>
      </c>
      <c r="AI7" s="136">
        <v>24.173000000000002</v>
      </c>
      <c r="AJ7" s="136">
        <v>0</v>
      </c>
      <c r="AK7" s="136">
        <v>0</v>
      </c>
      <c r="AL7" s="136">
        <v>0</v>
      </c>
      <c r="AM7" s="136">
        <v>85.760999999999996</v>
      </c>
      <c r="AN7" s="136">
        <v>84.080999999999989</v>
      </c>
      <c r="AO7" s="136">
        <v>0</v>
      </c>
      <c r="AP7" s="136"/>
      <c r="AQ7" s="136"/>
      <c r="AR7" s="136"/>
      <c r="AS7" s="136"/>
      <c r="AT7" s="136">
        <v>6286.996000000001</v>
      </c>
    </row>
    <row r="8" spans="1:46" x14ac:dyDescent="0.3">
      <c r="A8" s="26" t="s">
        <v>1019</v>
      </c>
      <c r="B8" s="136">
        <v>0</v>
      </c>
      <c r="C8" s="136">
        <v>0</v>
      </c>
      <c r="D8" s="136">
        <v>0</v>
      </c>
      <c r="E8" s="136">
        <v>0</v>
      </c>
      <c r="F8" s="136">
        <v>35.909999999999997</v>
      </c>
      <c r="G8" s="136">
        <v>0</v>
      </c>
      <c r="H8" s="136">
        <v>11.059000000000001</v>
      </c>
      <c r="I8" s="136">
        <v>606.82000000000005</v>
      </c>
      <c r="J8" s="136">
        <v>0</v>
      </c>
      <c r="K8" s="136">
        <v>0</v>
      </c>
      <c r="L8" s="136">
        <v>0</v>
      </c>
      <c r="M8" s="136">
        <v>0</v>
      </c>
      <c r="N8" s="136">
        <v>1716.8830000000003</v>
      </c>
      <c r="O8" s="136">
        <v>44.11</v>
      </c>
      <c r="P8" s="136">
        <v>8.9600000000000009</v>
      </c>
      <c r="Q8" s="136">
        <v>0</v>
      </c>
      <c r="R8" s="136">
        <v>0</v>
      </c>
      <c r="S8" s="136">
        <v>53.87700000000001</v>
      </c>
      <c r="T8" s="136">
        <v>4045.1729999999993</v>
      </c>
      <c r="U8" s="136">
        <v>0</v>
      </c>
      <c r="V8" s="136">
        <v>0</v>
      </c>
      <c r="W8" s="136">
        <v>0</v>
      </c>
      <c r="X8" s="136">
        <v>155.51300000000001</v>
      </c>
      <c r="Y8" s="136">
        <v>0</v>
      </c>
      <c r="Z8" s="136">
        <v>0</v>
      </c>
      <c r="AA8" s="136">
        <v>48.127000000000002</v>
      </c>
      <c r="AB8" s="136">
        <v>0</v>
      </c>
      <c r="AC8" s="136">
        <v>0</v>
      </c>
      <c r="AD8" s="136">
        <v>0</v>
      </c>
      <c r="AE8" s="136">
        <v>0</v>
      </c>
      <c r="AF8" s="136">
        <v>5.3390000000000004</v>
      </c>
      <c r="AG8" s="136">
        <v>194.64300000000003</v>
      </c>
      <c r="AH8" s="136">
        <v>0</v>
      </c>
      <c r="AI8" s="136">
        <v>37.165999999999997</v>
      </c>
      <c r="AJ8" s="136">
        <v>0</v>
      </c>
      <c r="AK8" s="136">
        <v>0</v>
      </c>
      <c r="AL8" s="136">
        <v>0</v>
      </c>
      <c r="AM8" s="136">
        <v>85.239000000000004</v>
      </c>
      <c r="AN8" s="136">
        <v>140.11699999999996</v>
      </c>
      <c r="AO8" s="136">
        <v>0</v>
      </c>
      <c r="AP8" s="136"/>
      <c r="AQ8" s="136"/>
      <c r="AR8" s="136"/>
      <c r="AS8" s="136"/>
      <c r="AT8" s="136">
        <v>7188.9359999999997</v>
      </c>
    </row>
    <row r="9" spans="1:46" x14ac:dyDescent="0.3">
      <c r="A9" s="26" t="s">
        <v>1020</v>
      </c>
      <c r="B9" s="136">
        <v>0</v>
      </c>
      <c r="C9" s="136">
        <v>10.62</v>
      </c>
      <c r="D9" s="136">
        <v>0</v>
      </c>
      <c r="E9" s="136">
        <v>0</v>
      </c>
      <c r="F9" s="136">
        <v>12.09</v>
      </c>
      <c r="G9" s="136">
        <v>0</v>
      </c>
      <c r="H9" s="136">
        <v>13.044</v>
      </c>
      <c r="I9" s="136">
        <v>496.49299999999999</v>
      </c>
      <c r="J9" s="136">
        <v>0</v>
      </c>
      <c r="K9" s="136">
        <v>0</v>
      </c>
      <c r="L9" s="136">
        <v>0</v>
      </c>
      <c r="M9" s="136">
        <v>0</v>
      </c>
      <c r="N9" s="136">
        <v>1653.5</v>
      </c>
      <c r="O9" s="136">
        <v>15.65</v>
      </c>
      <c r="P9" s="136">
        <v>0</v>
      </c>
      <c r="Q9" s="136">
        <v>29.495999999999999</v>
      </c>
      <c r="R9" s="136">
        <v>0</v>
      </c>
      <c r="S9" s="136">
        <v>50.326999999999998</v>
      </c>
      <c r="T9" s="136">
        <v>4047.8239999999983</v>
      </c>
      <c r="U9" s="136">
        <v>0</v>
      </c>
      <c r="V9" s="136">
        <v>0</v>
      </c>
      <c r="W9" s="136">
        <v>0</v>
      </c>
      <c r="X9" s="136">
        <v>308.14199999999994</v>
      </c>
      <c r="Y9" s="136">
        <v>0</v>
      </c>
      <c r="Z9" s="136">
        <v>0</v>
      </c>
      <c r="AA9" s="136">
        <v>48.462000000000003</v>
      </c>
      <c r="AB9" s="136">
        <v>0</v>
      </c>
      <c r="AC9" s="136">
        <v>0</v>
      </c>
      <c r="AD9" s="136">
        <v>0</v>
      </c>
      <c r="AE9" s="136">
        <v>0</v>
      </c>
      <c r="AF9" s="136">
        <v>0</v>
      </c>
      <c r="AG9" s="136">
        <v>212.36599999999999</v>
      </c>
      <c r="AH9" s="136">
        <v>0</v>
      </c>
      <c r="AI9" s="136">
        <v>22.551000000000002</v>
      </c>
      <c r="AJ9" s="136">
        <v>0</v>
      </c>
      <c r="AK9" s="136">
        <v>0</v>
      </c>
      <c r="AL9" s="136">
        <v>0</v>
      </c>
      <c r="AM9" s="136">
        <v>81.982000000000014</v>
      </c>
      <c r="AN9" s="136">
        <v>97.609000000000023</v>
      </c>
      <c r="AO9" s="136">
        <v>0</v>
      </c>
      <c r="AP9" s="136"/>
      <c r="AQ9" s="136"/>
      <c r="AR9" s="136"/>
      <c r="AS9" s="136"/>
      <c r="AT9" s="136">
        <v>7100.155999999999</v>
      </c>
    </row>
    <row r="10" spans="1:46" x14ac:dyDescent="0.3">
      <c r="A10" s="26" t="s">
        <v>1021</v>
      </c>
      <c r="B10" s="136">
        <v>0</v>
      </c>
      <c r="C10" s="136">
        <v>0</v>
      </c>
      <c r="D10" s="136">
        <v>0</v>
      </c>
      <c r="E10" s="136">
        <v>0</v>
      </c>
      <c r="F10" s="136">
        <v>14.660000000000002</v>
      </c>
      <c r="G10" s="136">
        <v>0</v>
      </c>
      <c r="H10" s="136">
        <v>8.1760000000000002</v>
      </c>
      <c r="I10" s="136">
        <v>540.19800000000009</v>
      </c>
      <c r="J10" s="136">
        <v>0</v>
      </c>
      <c r="K10" s="136">
        <v>0</v>
      </c>
      <c r="L10" s="136">
        <v>0</v>
      </c>
      <c r="M10" s="136">
        <v>0</v>
      </c>
      <c r="N10" s="136">
        <v>1821.3219999999994</v>
      </c>
      <c r="O10" s="136">
        <v>29.119999999999997</v>
      </c>
      <c r="P10" s="136">
        <v>0</v>
      </c>
      <c r="Q10" s="136">
        <v>30.722000000000001</v>
      </c>
      <c r="R10" s="136">
        <v>0</v>
      </c>
      <c r="S10" s="136">
        <v>47.094999999999999</v>
      </c>
      <c r="T10" s="136">
        <v>4204.9659999999985</v>
      </c>
      <c r="U10" s="136">
        <v>0</v>
      </c>
      <c r="V10" s="136">
        <v>0</v>
      </c>
      <c r="W10" s="136">
        <v>0</v>
      </c>
      <c r="X10" s="136">
        <v>230.566</v>
      </c>
      <c r="Y10" s="136">
        <v>0</v>
      </c>
      <c r="Z10" s="136">
        <v>0</v>
      </c>
      <c r="AA10" s="136">
        <v>24.457000000000001</v>
      </c>
      <c r="AB10" s="136">
        <v>0</v>
      </c>
      <c r="AC10" s="136">
        <v>0</v>
      </c>
      <c r="AD10" s="136">
        <v>0</v>
      </c>
      <c r="AE10" s="136">
        <v>0</v>
      </c>
      <c r="AF10" s="136">
        <v>0</v>
      </c>
      <c r="AG10" s="136">
        <v>205.04999999999998</v>
      </c>
      <c r="AH10" s="136">
        <v>0</v>
      </c>
      <c r="AI10" s="136">
        <v>26.432000000000002</v>
      </c>
      <c r="AJ10" s="136">
        <v>0</v>
      </c>
      <c r="AK10" s="136">
        <v>0</v>
      </c>
      <c r="AL10" s="136">
        <v>0</v>
      </c>
      <c r="AM10" s="136">
        <v>64.785000000000011</v>
      </c>
      <c r="AN10" s="136">
        <v>125.255</v>
      </c>
      <c r="AO10" s="136">
        <v>0</v>
      </c>
      <c r="AP10" s="136"/>
      <c r="AQ10" s="136"/>
      <c r="AR10" s="136"/>
      <c r="AS10" s="136"/>
      <c r="AT10" s="136">
        <v>7372.8039999999983</v>
      </c>
    </row>
    <row r="11" spans="1:46" x14ac:dyDescent="0.3">
      <c r="A11" s="26" t="s">
        <v>1025</v>
      </c>
      <c r="B11" s="136">
        <v>0</v>
      </c>
      <c r="C11" s="136">
        <v>0</v>
      </c>
      <c r="D11" s="136">
        <v>0</v>
      </c>
      <c r="E11" s="136">
        <v>0</v>
      </c>
      <c r="F11" s="136">
        <v>8.6300000000000008</v>
      </c>
      <c r="G11" s="136">
        <v>0</v>
      </c>
      <c r="H11" s="136">
        <v>0</v>
      </c>
      <c r="I11" s="136">
        <v>552.71300000000008</v>
      </c>
      <c r="J11" s="136">
        <v>0</v>
      </c>
      <c r="K11" s="136">
        <v>10.539</v>
      </c>
      <c r="L11" s="136">
        <v>0</v>
      </c>
      <c r="M11" s="136">
        <v>0</v>
      </c>
      <c r="N11" s="136">
        <v>1809.3179999999998</v>
      </c>
      <c r="O11" s="136">
        <v>9.9600000000000009</v>
      </c>
      <c r="P11" s="136">
        <v>0</v>
      </c>
      <c r="Q11" s="136">
        <v>0</v>
      </c>
      <c r="R11" s="136">
        <v>0</v>
      </c>
      <c r="S11" s="136">
        <v>36.478999999999999</v>
      </c>
      <c r="T11" s="136">
        <v>3889.8300000000004</v>
      </c>
      <c r="U11" s="136">
        <v>0</v>
      </c>
      <c r="V11" s="136">
        <v>0</v>
      </c>
      <c r="W11" s="136">
        <v>0</v>
      </c>
      <c r="X11" s="136">
        <v>367.90900000000005</v>
      </c>
      <c r="Y11" s="136">
        <v>0</v>
      </c>
      <c r="Z11" s="136">
        <v>0</v>
      </c>
      <c r="AA11" s="136">
        <v>27.36</v>
      </c>
      <c r="AB11" s="136">
        <v>0</v>
      </c>
      <c r="AC11" s="136">
        <v>0</v>
      </c>
      <c r="AD11" s="136">
        <v>0</v>
      </c>
      <c r="AE11" s="136">
        <v>0</v>
      </c>
      <c r="AF11" s="136">
        <v>0</v>
      </c>
      <c r="AG11" s="136">
        <v>225.41999999999993</v>
      </c>
      <c r="AH11" s="136">
        <v>0</v>
      </c>
      <c r="AI11" s="136">
        <v>18.957000000000001</v>
      </c>
      <c r="AJ11" s="136">
        <v>0</v>
      </c>
      <c r="AK11" s="136">
        <v>0</v>
      </c>
      <c r="AL11" s="136">
        <v>0</v>
      </c>
      <c r="AM11" s="136">
        <v>83.502999999999986</v>
      </c>
      <c r="AN11" s="136">
        <v>87.45</v>
      </c>
      <c r="AO11" s="136">
        <v>0</v>
      </c>
      <c r="AP11" s="136">
        <v>5.0999999999999996</v>
      </c>
      <c r="AQ11" s="136"/>
      <c r="AR11" s="136"/>
      <c r="AS11" s="136"/>
      <c r="AT11" s="136">
        <v>7133.1679999999997</v>
      </c>
    </row>
    <row r="12" spans="1:46" x14ac:dyDescent="0.3">
      <c r="A12" s="26" t="s">
        <v>1026</v>
      </c>
      <c r="B12" s="136">
        <v>0</v>
      </c>
      <c r="C12" s="136">
        <v>8.41</v>
      </c>
      <c r="D12" s="136">
        <v>0</v>
      </c>
      <c r="E12" s="136">
        <v>0</v>
      </c>
      <c r="F12" s="136">
        <v>6.15</v>
      </c>
      <c r="G12" s="136">
        <v>0</v>
      </c>
      <c r="H12" s="136">
        <v>0</v>
      </c>
      <c r="I12" s="136">
        <v>527.30600000000004</v>
      </c>
      <c r="J12" s="136">
        <v>0</v>
      </c>
      <c r="K12" s="136">
        <v>5.25</v>
      </c>
      <c r="L12" s="136">
        <v>0</v>
      </c>
      <c r="M12" s="136">
        <v>0</v>
      </c>
      <c r="N12" s="136">
        <v>1913.3619999999999</v>
      </c>
      <c r="O12" s="136">
        <v>33</v>
      </c>
      <c r="P12" s="136">
        <v>3.47</v>
      </c>
      <c r="Q12" s="136">
        <v>0</v>
      </c>
      <c r="R12" s="136">
        <v>0</v>
      </c>
      <c r="S12" s="136">
        <v>46.58</v>
      </c>
      <c r="T12" s="136">
        <v>3596.2570000000005</v>
      </c>
      <c r="U12" s="136">
        <v>0</v>
      </c>
      <c r="V12" s="136">
        <v>0</v>
      </c>
      <c r="W12" s="136">
        <v>0</v>
      </c>
      <c r="X12" s="136">
        <v>347.125</v>
      </c>
      <c r="Y12" s="136">
        <v>0</v>
      </c>
      <c r="Z12" s="136">
        <v>0</v>
      </c>
      <c r="AA12" s="136">
        <v>45.872999999999998</v>
      </c>
      <c r="AB12" s="136">
        <v>0</v>
      </c>
      <c r="AC12" s="136">
        <v>0</v>
      </c>
      <c r="AD12" s="136">
        <v>0</v>
      </c>
      <c r="AE12" s="136">
        <v>0</v>
      </c>
      <c r="AF12" s="136">
        <v>0</v>
      </c>
      <c r="AG12" s="136">
        <v>222.38000000000002</v>
      </c>
      <c r="AH12" s="136">
        <v>0</v>
      </c>
      <c r="AI12" s="136">
        <v>37.682999999999993</v>
      </c>
      <c r="AJ12" s="136">
        <v>0</v>
      </c>
      <c r="AK12" s="136">
        <v>0</v>
      </c>
      <c r="AL12" s="136">
        <v>0</v>
      </c>
      <c r="AM12" s="136">
        <v>71.183999999999997</v>
      </c>
      <c r="AN12" s="136">
        <v>85.075000000000003</v>
      </c>
      <c r="AO12" s="136">
        <v>0</v>
      </c>
      <c r="AP12" s="136">
        <v>409.4</v>
      </c>
      <c r="AQ12" s="136"/>
      <c r="AR12" s="136"/>
      <c r="AS12" s="136"/>
      <c r="AT12" s="136">
        <v>7358.5049999999992</v>
      </c>
    </row>
    <row r="13" spans="1:46" x14ac:dyDescent="0.3">
      <c r="A13" s="26" t="s">
        <v>1027</v>
      </c>
      <c r="B13" s="136">
        <v>0</v>
      </c>
      <c r="C13" s="136">
        <v>0</v>
      </c>
      <c r="D13" s="136">
        <v>0</v>
      </c>
      <c r="E13" s="136">
        <v>0</v>
      </c>
      <c r="F13" s="136">
        <v>0</v>
      </c>
      <c r="G13" s="136">
        <v>0</v>
      </c>
      <c r="H13" s="136">
        <v>0</v>
      </c>
      <c r="I13" s="136">
        <v>574.9559999999999</v>
      </c>
      <c r="J13" s="136">
        <v>0</v>
      </c>
      <c r="K13" s="136">
        <v>12.55</v>
      </c>
      <c r="L13" s="136">
        <v>0</v>
      </c>
      <c r="M13" s="136">
        <v>0</v>
      </c>
      <c r="N13" s="136">
        <v>1531.5599999999995</v>
      </c>
      <c r="O13" s="136">
        <v>27.03</v>
      </c>
      <c r="P13" s="136">
        <v>0</v>
      </c>
      <c r="Q13" s="136">
        <v>0</v>
      </c>
      <c r="R13" s="136">
        <v>0</v>
      </c>
      <c r="S13" s="136">
        <v>28.867000000000004</v>
      </c>
      <c r="T13" s="136">
        <v>2839.7679999999991</v>
      </c>
      <c r="U13" s="136">
        <v>0</v>
      </c>
      <c r="V13" s="136">
        <v>0</v>
      </c>
      <c r="W13" s="136">
        <v>0</v>
      </c>
      <c r="X13" s="136">
        <v>380.59699999999998</v>
      </c>
      <c r="Y13" s="136">
        <v>0</v>
      </c>
      <c r="Z13" s="136">
        <v>0</v>
      </c>
      <c r="AA13" s="136">
        <v>33.021000000000001</v>
      </c>
      <c r="AB13" s="136">
        <v>0</v>
      </c>
      <c r="AC13" s="136">
        <v>0</v>
      </c>
      <c r="AD13" s="136">
        <v>0</v>
      </c>
      <c r="AE13" s="136">
        <v>0</v>
      </c>
      <c r="AF13" s="136">
        <v>0</v>
      </c>
      <c r="AG13" s="136">
        <v>235.68399999999997</v>
      </c>
      <c r="AH13" s="136">
        <v>0</v>
      </c>
      <c r="AI13" s="136">
        <v>15.356</v>
      </c>
      <c r="AJ13" s="136">
        <v>0</v>
      </c>
      <c r="AK13" s="136">
        <v>0</v>
      </c>
      <c r="AL13" s="136">
        <v>0</v>
      </c>
      <c r="AM13" s="136">
        <v>73.528999999999996</v>
      </c>
      <c r="AN13" s="136">
        <v>102.32300000000001</v>
      </c>
      <c r="AO13" s="136">
        <v>0</v>
      </c>
      <c r="AP13" s="136">
        <v>0</v>
      </c>
      <c r="AQ13" s="136"/>
      <c r="AR13" s="136"/>
      <c r="AS13" s="136"/>
      <c r="AT13" s="136">
        <v>5855.2409999999982</v>
      </c>
    </row>
    <row r="14" spans="1:46" x14ac:dyDescent="0.3">
      <c r="A14" s="26" t="s">
        <v>1028</v>
      </c>
      <c r="B14" s="136">
        <v>0</v>
      </c>
      <c r="C14" s="136">
        <v>0</v>
      </c>
      <c r="D14" s="136">
        <v>0</v>
      </c>
      <c r="E14" s="136">
        <v>0</v>
      </c>
      <c r="F14" s="136">
        <v>7.92</v>
      </c>
      <c r="G14" s="136">
        <v>0</v>
      </c>
      <c r="H14" s="136">
        <v>2.6920000000000002</v>
      </c>
      <c r="I14" s="136">
        <v>431.25400000000002</v>
      </c>
      <c r="J14" s="136">
        <v>0</v>
      </c>
      <c r="K14" s="136">
        <v>0</v>
      </c>
      <c r="L14" s="136">
        <v>0</v>
      </c>
      <c r="M14" s="136">
        <v>0</v>
      </c>
      <c r="N14" s="136">
        <v>1686.1709999999998</v>
      </c>
      <c r="O14" s="136">
        <v>11.389999999999999</v>
      </c>
      <c r="P14" s="136">
        <v>0</v>
      </c>
      <c r="Q14" s="136">
        <v>36.649000000000001</v>
      </c>
      <c r="R14" s="136">
        <v>0</v>
      </c>
      <c r="S14" s="136">
        <v>27.731000000000005</v>
      </c>
      <c r="T14" s="136">
        <v>3561.9129999999996</v>
      </c>
      <c r="U14" s="136">
        <v>0</v>
      </c>
      <c r="V14" s="136">
        <v>0</v>
      </c>
      <c r="W14" s="136">
        <v>0</v>
      </c>
      <c r="X14" s="136">
        <v>303.41099999999994</v>
      </c>
      <c r="Y14" s="136">
        <v>0</v>
      </c>
      <c r="Z14" s="136">
        <v>0</v>
      </c>
      <c r="AA14" s="136">
        <v>27.506</v>
      </c>
      <c r="AB14" s="136">
        <v>0</v>
      </c>
      <c r="AC14" s="136">
        <v>0</v>
      </c>
      <c r="AD14" s="136">
        <v>0</v>
      </c>
      <c r="AE14" s="136">
        <v>0</v>
      </c>
      <c r="AF14" s="136">
        <v>0</v>
      </c>
      <c r="AG14" s="136">
        <v>232.15999999999997</v>
      </c>
      <c r="AH14" s="136">
        <v>0</v>
      </c>
      <c r="AI14" s="136">
        <v>41.746000000000002</v>
      </c>
      <c r="AJ14" s="136">
        <v>0</v>
      </c>
      <c r="AK14" s="136">
        <v>0</v>
      </c>
      <c r="AL14" s="136">
        <v>0</v>
      </c>
      <c r="AM14" s="136">
        <v>76.772999999999996</v>
      </c>
      <c r="AN14" s="136">
        <v>95.161999999999992</v>
      </c>
      <c r="AO14" s="136">
        <v>0</v>
      </c>
      <c r="AP14" s="136">
        <v>0</v>
      </c>
      <c r="AQ14" s="136"/>
      <c r="AR14" s="136"/>
      <c r="AS14" s="136"/>
      <c r="AT14" s="136">
        <v>6542.4780000000001</v>
      </c>
    </row>
    <row r="15" spans="1:46" x14ac:dyDescent="0.3">
      <c r="A15" s="26" t="s">
        <v>1029</v>
      </c>
      <c r="B15" s="136">
        <v>0</v>
      </c>
      <c r="C15" s="136">
        <v>0</v>
      </c>
      <c r="D15" s="136">
        <v>0</v>
      </c>
      <c r="E15" s="136">
        <v>0</v>
      </c>
      <c r="F15" s="136">
        <v>0</v>
      </c>
      <c r="G15" s="136">
        <v>0</v>
      </c>
      <c r="H15" s="136">
        <v>10.872</v>
      </c>
      <c r="I15" s="136">
        <v>457.80000000000007</v>
      </c>
      <c r="J15" s="136">
        <v>0</v>
      </c>
      <c r="K15" s="136">
        <v>0</v>
      </c>
      <c r="L15" s="136">
        <v>0</v>
      </c>
      <c r="M15" s="136">
        <v>0</v>
      </c>
      <c r="N15" s="136">
        <v>1557.7820000000002</v>
      </c>
      <c r="O15" s="136">
        <v>9.0499999999999989</v>
      </c>
      <c r="P15" s="136">
        <v>0</v>
      </c>
      <c r="Q15" s="136">
        <v>0</v>
      </c>
      <c r="R15" s="136">
        <v>0</v>
      </c>
      <c r="S15" s="136">
        <v>42.673000000000002</v>
      </c>
      <c r="T15" s="136">
        <v>4235.8770000000013</v>
      </c>
      <c r="U15" s="136">
        <v>0</v>
      </c>
      <c r="V15" s="136">
        <v>0</v>
      </c>
      <c r="W15" s="136">
        <v>0</v>
      </c>
      <c r="X15" s="136">
        <v>108.74999999999999</v>
      </c>
      <c r="Y15" s="136">
        <v>0</v>
      </c>
      <c r="Z15" s="136">
        <v>0</v>
      </c>
      <c r="AA15" s="136">
        <v>38.088999999999999</v>
      </c>
      <c r="AB15" s="136">
        <v>0</v>
      </c>
      <c r="AC15" s="136">
        <v>0</v>
      </c>
      <c r="AD15" s="136">
        <v>0</v>
      </c>
      <c r="AE15" s="136">
        <v>0</v>
      </c>
      <c r="AF15" s="136">
        <v>0</v>
      </c>
      <c r="AG15" s="136">
        <v>239.43799999999993</v>
      </c>
      <c r="AH15" s="136">
        <v>0</v>
      </c>
      <c r="AI15" s="136">
        <v>24.600999999999999</v>
      </c>
      <c r="AJ15" s="136">
        <v>0</v>
      </c>
      <c r="AK15" s="136">
        <v>0</v>
      </c>
      <c r="AL15" s="136">
        <v>0</v>
      </c>
      <c r="AM15" s="136">
        <v>69.894999999999982</v>
      </c>
      <c r="AN15" s="136">
        <v>90.945999999999998</v>
      </c>
      <c r="AO15" s="136">
        <v>0</v>
      </c>
      <c r="AP15" s="136">
        <v>3.7</v>
      </c>
      <c r="AQ15" s="136"/>
      <c r="AR15" s="136"/>
      <c r="AS15" s="136"/>
      <c r="AT15" s="136">
        <v>6889.4730000000009</v>
      </c>
    </row>
    <row r="16" spans="1:46" x14ac:dyDescent="0.3">
      <c r="A16" s="26" t="s">
        <v>1030</v>
      </c>
      <c r="B16" s="136">
        <v>0</v>
      </c>
      <c r="C16" s="136">
        <v>0</v>
      </c>
      <c r="D16" s="136">
        <v>0</v>
      </c>
      <c r="E16" s="136">
        <v>0</v>
      </c>
      <c r="F16" s="136">
        <v>0</v>
      </c>
      <c r="G16" s="136">
        <v>0</v>
      </c>
      <c r="H16" s="136">
        <v>13.084999999999997</v>
      </c>
      <c r="I16" s="136">
        <v>421.13800000000003</v>
      </c>
      <c r="J16" s="136">
        <v>0</v>
      </c>
      <c r="K16" s="136">
        <v>0</v>
      </c>
      <c r="L16" s="136">
        <v>0</v>
      </c>
      <c r="M16" s="136">
        <v>0</v>
      </c>
      <c r="N16" s="136">
        <v>1597.5119999999999</v>
      </c>
      <c r="O16" s="136">
        <v>28.34</v>
      </c>
      <c r="P16" s="136">
        <v>0</v>
      </c>
      <c r="Q16" s="136">
        <v>30.099</v>
      </c>
      <c r="R16" s="136">
        <v>0</v>
      </c>
      <c r="S16" s="136">
        <v>34.308999999999997</v>
      </c>
      <c r="T16" s="136">
        <v>4655.0879999999979</v>
      </c>
      <c r="U16" s="136">
        <v>0</v>
      </c>
      <c r="V16" s="136">
        <v>0</v>
      </c>
      <c r="W16" s="136">
        <v>0</v>
      </c>
      <c r="X16" s="136">
        <v>311.06499999999988</v>
      </c>
      <c r="Y16" s="136">
        <v>0</v>
      </c>
      <c r="Z16" s="136">
        <v>0</v>
      </c>
      <c r="AA16" s="136">
        <v>38.076000000000001</v>
      </c>
      <c r="AB16" s="136">
        <v>0</v>
      </c>
      <c r="AC16" s="136">
        <v>1.321</v>
      </c>
      <c r="AD16" s="136">
        <v>0</v>
      </c>
      <c r="AE16" s="136">
        <v>0</v>
      </c>
      <c r="AF16" s="136">
        <v>0</v>
      </c>
      <c r="AG16" s="136">
        <v>238.73399999999998</v>
      </c>
      <c r="AH16" s="136">
        <v>0</v>
      </c>
      <c r="AI16" s="136">
        <v>27.436</v>
      </c>
      <c r="AJ16" s="136">
        <v>0</v>
      </c>
      <c r="AK16" s="136">
        <v>0</v>
      </c>
      <c r="AL16" s="136">
        <v>0</v>
      </c>
      <c r="AM16" s="136">
        <v>54.917000000000002</v>
      </c>
      <c r="AN16" s="136">
        <v>42.75</v>
      </c>
      <c r="AO16" s="136">
        <v>0</v>
      </c>
      <c r="AP16" s="136">
        <v>0</v>
      </c>
      <c r="AQ16" s="136"/>
      <c r="AR16" s="136"/>
      <c r="AS16" s="136"/>
      <c r="AT16" s="136">
        <v>7493.8699999999981</v>
      </c>
    </row>
    <row r="17" spans="1:46" x14ac:dyDescent="0.3">
      <c r="A17" s="26" t="s">
        <v>1032</v>
      </c>
      <c r="B17" s="136">
        <v>0</v>
      </c>
      <c r="C17" s="136">
        <v>0</v>
      </c>
      <c r="D17" s="136">
        <v>0</v>
      </c>
      <c r="E17" s="136">
        <v>0</v>
      </c>
      <c r="F17" s="136">
        <v>0</v>
      </c>
      <c r="G17" s="136">
        <v>0</v>
      </c>
      <c r="H17" s="136">
        <v>18.081000000000003</v>
      </c>
      <c r="I17" s="136">
        <v>419.29199999999997</v>
      </c>
      <c r="J17" s="136">
        <v>0</v>
      </c>
      <c r="K17" s="136">
        <v>9.129999999999999</v>
      </c>
      <c r="L17" s="136">
        <v>0</v>
      </c>
      <c r="M17" s="136">
        <v>0</v>
      </c>
      <c r="N17" s="136">
        <v>1685.3240000000001</v>
      </c>
      <c r="O17" s="136">
        <v>18.100000000000001</v>
      </c>
      <c r="P17" s="136">
        <v>0</v>
      </c>
      <c r="Q17" s="136">
        <v>0</v>
      </c>
      <c r="R17" s="136">
        <v>0</v>
      </c>
      <c r="S17" s="136">
        <v>44.981999999999999</v>
      </c>
      <c r="T17" s="136">
        <v>4331.5480000000007</v>
      </c>
      <c r="U17" s="136">
        <v>0</v>
      </c>
      <c r="V17" s="136">
        <v>0</v>
      </c>
      <c r="W17" s="136">
        <v>0</v>
      </c>
      <c r="X17" s="136">
        <v>220.62899999999988</v>
      </c>
      <c r="Y17" s="136">
        <v>0</v>
      </c>
      <c r="Z17" s="136">
        <v>0</v>
      </c>
      <c r="AA17" s="136">
        <v>59.588999999999999</v>
      </c>
      <c r="AB17" s="136">
        <v>0</v>
      </c>
      <c r="AC17" s="136">
        <v>1.6139999999999999</v>
      </c>
      <c r="AD17" s="136">
        <v>0</v>
      </c>
      <c r="AE17" s="136">
        <v>0</v>
      </c>
      <c r="AF17" s="136">
        <v>0</v>
      </c>
      <c r="AG17" s="136">
        <v>193.02899999999997</v>
      </c>
      <c r="AH17" s="136">
        <v>0</v>
      </c>
      <c r="AI17" s="136">
        <v>12.861999999999998</v>
      </c>
      <c r="AJ17" s="136">
        <v>0</v>
      </c>
      <c r="AK17" s="136">
        <v>0</v>
      </c>
      <c r="AL17" s="136">
        <v>0</v>
      </c>
      <c r="AM17" s="136">
        <v>67.515999999999991</v>
      </c>
      <c r="AN17" s="136">
        <v>43.82</v>
      </c>
      <c r="AO17" s="136">
        <v>0</v>
      </c>
      <c r="AP17" s="136">
        <v>0</v>
      </c>
      <c r="AQ17" s="136"/>
      <c r="AR17" s="136"/>
      <c r="AS17" s="136"/>
      <c r="AT17" s="136">
        <v>7125.5159999999987</v>
      </c>
    </row>
    <row r="18" spans="1:46" x14ac:dyDescent="0.3">
      <c r="A18" s="26" t="s">
        <v>1033</v>
      </c>
      <c r="B18" s="136">
        <v>0</v>
      </c>
      <c r="C18" s="136">
        <v>0</v>
      </c>
      <c r="D18" s="136">
        <v>0</v>
      </c>
      <c r="E18" s="136">
        <v>0</v>
      </c>
      <c r="F18" s="136">
        <v>0</v>
      </c>
      <c r="G18" s="136">
        <v>0</v>
      </c>
      <c r="H18" s="136">
        <v>7.0500000000000007</v>
      </c>
      <c r="I18" s="136">
        <v>476.8599999999999</v>
      </c>
      <c r="J18" s="136">
        <v>0</v>
      </c>
      <c r="K18" s="136">
        <v>0</v>
      </c>
      <c r="L18" s="136">
        <v>0</v>
      </c>
      <c r="M18" s="136">
        <v>0</v>
      </c>
      <c r="N18" s="136">
        <v>1026.0609999999999</v>
      </c>
      <c r="O18" s="136">
        <v>22.11</v>
      </c>
      <c r="P18" s="136">
        <v>0</v>
      </c>
      <c r="Q18" s="136">
        <v>0</v>
      </c>
      <c r="R18" s="136">
        <v>0</v>
      </c>
      <c r="S18" s="136">
        <v>40.290999999999997</v>
      </c>
      <c r="T18" s="136">
        <v>4034.7319999999995</v>
      </c>
      <c r="U18" s="136">
        <v>0</v>
      </c>
      <c r="V18" s="136">
        <v>0</v>
      </c>
      <c r="W18" s="136">
        <v>0</v>
      </c>
      <c r="X18" s="136">
        <v>405.0949999999998</v>
      </c>
      <c r="Y18" s="136">
        <v>0</v>
      </c>
      <c r="Z18" s="136">
        <v>0</v>
      </c>
      <c r="AA18" s="136">
        <v>32.382000000000005</v>
      </c>
      <c r="AB18" s="136">
        <v>0</v>
      </c>
      <c r="AC18" s="136">
        <v>1.3109999999999999</v>
      </c>
      <c r="AD18" s="136">
        <v>0</v>
      </c>
      <c r="AE18" s="136">
        <v>0</v>
      </c>
      <c r="AF18" s="136">
        <v>0</v>
      </c>
      <c r="AG18" s="136">
        <v>125.41899999999998</v>
      </c>
      <c r="AH18" s="136">
        <v>0</v>
      </c>
      <c r="AI18" s="136">
        <v>36.615000000000002</v>
      </c>
      <c r="AJ18" s="136">
        <v>0</v>
      </c>
      <c r="AK18" s="136">
        <v>0</v>
      </c>
      <c r="AL18" s="136">
        <v>0</v>
      </c>
      <c r="AM18" s="136">
        <v>89.90300000000002</v>
      </c>
      <c r="AN18" s="136">
        <v>59.603999999999999</v>
      </c>
      <c r="AO18" s="136">
        <v>0</v>
      </c>
      <c r="AP18" s="136">
        <v>0</v>
      </c>
      <c r="AQ18" s="136"/>
      <c r="AR18" s="136"/>
      <c r="AS18" s="136"/>
      <c r="AT18" s="136">
        <v>6357.4329999999982</v>
      </c>
    </row>
    <row r="19" spans="1:46" x14ac:dyDescent="0.3">
      <c r="A19" s="26" t="s">
        <v>1034</v>
      </c>
      <c r="B19" s="136">
        <v>0</v>
      </c>
      <c r="C19" s="136">
        <v>0</v>
      </c>
      <c r="D19" s="136">
        <v>0</v>
      </c>
      <c r="E19" s="136">
        <v>0</v>
      </c>
      <c r="F19" s="136">
        <v>11.27</v>
      </c>
      <c r="G19" s="136">
        <v>0</v>
      </c>
      <c r="H19" s="136">
        <v>5.431</v>
      </c>
      <c r="I19" s="136">
        <v>484.89400000000006</v>
      </c>
      <c r="J19" s="136">
        <v>0</v>
      </c>
      <c r="K19" s="136">
        <v>4.08</v>
      </c>
      <c r="L19" s="136">
        <v>0</v>
      </c>
      <c r="M19" s="136">
        <v>0</v>
      </c>
      <c r="N19" s="136">
        <v>1023.4690000000002</v>
      </c>
      <c r="O19" s="136">
        <v>23.5</v>
      </c>
      <c r="P19" s="136">
        <v>0</v>
      </c>
      <c r="Q19" s="136">
        <v>0</v>
      </c>
      <c r="R19" s="136">
        <v>0</v>
      </c>
      <c r="S19" s="136">
        <v>34.392000000000003</v>
      </c>
      <c r="T19" s="136">
        <v>4579.938000000001</v>
      </c>
      <c r="U19" s="136">
        <v>0</v>
      </c>
      <c r="V19" s="136">
        <v>0</v>
      </c>
      <c r="W19" s="136">
        <v>0</v>
      </c>
      <c r="X19" s="136">
        <v>622.40499999999963</v>
      </c>
      <c r="Y19" s="136">
        <v>0</v>
      </c>
      <c r="Z19" s="136">
        <v>0</v>
      </c>
      <c r="AA19" s="136">
        <v>10.322000000000001</v>
      </c>
      <c r="AB19" s="136">
        <v>0</v>
      </c>
      <c r="AC19" s="136">
        <v>0</v>
      </c>
      <c r="AD19" s="136">
        <v>0</v>
      </c>
      <c r="AE19" s="136">
        <v>0</v>
      </c>
      <c r="AF19" s="136">
        <v>0</v>
      </c>
      <c r="AG19" s="136">
        <v>54.402999999999992</v>
      </c>
      <c r="AH19" s="136">
        <v>0</v>
      </c>
      <c r="AI19" s="136">
        <v>20.93</v>
      </c>
      <c r="AJ19" s="136">
        <v>0</v>
      </c>
      <c r="AK19" s="136">
        <v>0</v>
      </c>
      <c r="AL19" s="136">
        <v>0</v>
      </c>
      <c r="AM19" s="136">
        <v>52.226000000000006</v>
      </c>
      <c r="AN19" s="136">
        <v>26.021000000000001</v>
      </c>
      <c r="AO19" s="136">
        <v>0</v>
      </c>
      <c r="AP19" s="136">
        <v>0</v>
      </c>
      <c r="AQ19" s="136"/>
      <c r="AR19" s="136"/>
      <c r="AS19" s="136"/>
      <c r="AT19" s="136">
        <v>6953.2810000000009</v>
      </c>
    </row>
    <row r="20" spans="1:46" x14ac:dyDescent="0.3">
      <c r="A20" s="26" t="s">
        <v>1035</v>
      </c>
      <c r="B20" s="136">
        <v>0</v>
      </c>
      <c r="C20" s="136">
        <v>0</v>
      </c>
      <c r="D20" s="136">
        <v>0</v>
      </c>
      <c r="E20" s="136">
        <v>0</v>
      </c>
      <c r="F20" s="136">
        <v>0</v>
      </c>
      <c r="G20" s="136">
        <v>0</v>
      </c>
      <c r="H20" s="136">
        <v>18.558</v>
      </c>
      <c r="I20" s="136">
        <v>476.37099999999998</v>
      </c>
      <c r="J20" s="136">
        <v>0</v>
      </c>
      <c r="K20" s="136">
        <v>0</v>
      </c>
      <c r="L20" s="136">
        <v>0</v>
      </c>
      <c r="M20" s="136">
        <v>0</v>
      </c>
      <c r="N20" s="136">
        <v>1324.2709999999997</v>
      </c>
      <c r="O20" s="136">
        <v>3.13</v>
      </c>
      <c r="P20" s="136">
        <v>0</v>
      </c>
      <c r="Q20" s="136">
        <v>45.727000000000004</v>
      </c>
      <c r="R20" s="136">
        <v>0</v>
      </c>
      <c r="S20" s="136">
        <v>49.404000000000003</v>
      </c>
      <c r="T20" s="136">
        <v>4221.0239999999994</v>
      </c>
      <c r="U20" s="136">
        <v>0</v>
      </c>
      <c r="V20" s="136">
        <v>0</v>
      </c>
      <c r="W20" s="136">
        <v>0</v>
      </c>
      <c r="X20" s="136">
        <v>619.7109999999999</v>
      </c>
      <c r="Y20" s="136">
        <v>0</v>
      </c>
      <c r="Z20" s="136">
        <v>0</v>
      </c>
      <c r="AA20" s="136">
        <v>19.636000000000003</v>
      </c>
      <c r="AB20" s="136">
        <v>0</v>
      </c>
      <c r="AC20" s="136">
        <v>0.72299999999999998</v>
      </c>
      <c r="AD20" s="136">
        <v>0</v>
      </c>
      <c r="AE20" s="136">
        <v>0</v>
      </c>
      <c r="AF20" s="136">
        <v>0</v>
      </c>
      <c r="AG20" s="136">
        <v>120.01300000000001</v>
      </c>
      <c r="AH20" s="136">
        <v>0</v>
      </c>
      <c r="AI20" s="136">
        <v>24.349</v>
      </c>
      <c r="AJ20" s="136">
        <v>0</v>
      </c>
      <c r="AK20" s="136">
        <v>0</v>
      </c>
      <c r="AL20" s="136">
        <v>0</v>
      </c>
      <c r="AM20" s="136">
        <v>79.698000000000008</v>
      </c>
      <c r="AN20" s="136">
        <v>35.403999999999996</v>
      </c>
      <c r="AO20" s="136">
        <v>0</v>
      </c>
      <c r="AP20" s="136">
        <v>0</v>
      </c>
      <c r="AQ20" s="136"/>
      <c r="AR20" s="136"/>
      <c r="AS20" s="136"/>
      <c r="AT20" s="136">
        <v>7038.0190000000002</v>
      </c>
    </row>
    <row r="21" spans="1:46" x14ac:dyDescent="0.3">
      <c r="A21" s="26" t="s">
        <v>1036</v>
      </c>
      <c r="B21" s="136">
        <v>0</v>
      </c>
      <c r="C21" s="136">
        <v>5.629999999999999</v>
      </c>
      <c r="D21" s="136">
        <v>0</v>
      </c>
      <c r="E21" s="136">
        <v>0</v>
      </c>
      <c r="F21" s="136">
        <v>36.590000000000003</v>
      </c>
      <c r="G21" s="136">
        <v>0</v>
      </c>
      <c r="H21" s="136">
        <v>9.93</v>
      </c>
      <c r="I21" s="136">
        <v>415.82</v>
      </c>
      <c r="J21" s="136">
        <v>0</v>
      </c>
      <c r="K21" s="136">
        <v>0</v>
      </c>
      <c r="L21" s="136">
        <v>0</v>
      </c>
      <c r="M21" s="136">
        <v>0</v>
      </c>
      <c r="N21" s="136">
        <v>1463.1180000000002</v>
      </c>
      <c r="O21" s="136">
        <v>27.990000000000002</v>
      </c>
      <c r="P21" s="136">
        <v>0</v>
      </c>
      <c r="Q21" s="136">
        <v>0</v>
      </c>
      <c r="R21" s="136">
        <v>0</v>
      </c>
      <c r="S21" s="136">
        <v>43.187999999999995</v>
      </c>
      <c r="T21" s="136">
        <v>4167.4490000000005</v>
      </c>
      <c r="U21" s="136">
        <v>0</v>
      </c>
      <c r="V21" s="136">
        <v>0</v>
      </c>
      <c r="W21" s="136">
        <v>0</v>
      </c>
      <c r="X21" s="136">
        <v>363.90300000000002</v>
      </c>
      <c r="Y21" s="136">
        <v>0</v>
      </c>
      <c r="Z21" s="136">
        <v>0</v>
      </c>
      <c r="AA21" s="136">
        <v>21.917000000000002</v>
      </c>
      <c r="AB21" s="136">
        <v>0</v>
      </c>
      <c r="AC21" s="136">
        <v>0.53600000000000003</v>
      </c>
      <c r="AD21" s="136">
        <v>0</v>
      </c>
      <c r="AE21" s="136">
        <v>0</v>
      </c>
      <c r="AF21" s="136">
        <v>0</v>
      </c>
      <c r="AG21" s="136">
        <v>219.61399999999998</v>
      </c>
      <c r="AH21" s="136">
        <v>0</v>
      </c>
      <c r="AI21" s="136">
        <v>33.185000000000002</v>
      </c>
      <c r="AJ21" s="136">
        <v>0</v>
      </c>
      <c r="AK21" s="136">
        <v>0</v>
      </c>
      <c r="AL21" s="136">
        <v>0</v>
      </c>
      <c r="AM21" s="136">
        <v>53.115999999999993</v>
      </c>
      <c r="AN21" s="136">
        <v>34.762</v>
      </c>
      <c r="AO21" s="136">
        <v>0</v>
      </c>
      <c r="AP21" s="136">
        <v>0</v>
      </c>
      <c r="AQ21" s="136"/>
      <c r="AR21" s="136"/>
      <c r="AS21" s="136"/>
      <c r="AT21" s="136">
        <v>6896.7480000000014</v>
      </c>
    </row>
    <row r="22" spans="1:46" x14ac:dyDescent="0.3">
      <c r="A22" s="26" t="s">
        <v>1039</v>
      </c>
      <c r="B22" s="136">
        <v>0</v>
      </c>
      <c r="C22" s="136">
        <v>0</v>
      </c>
      <c r="D22" s="136">
        <v>0</v>
      </c>
      <c r="E22" s="136">
        <v>0</v>
      </c>
      <c r="F22" s="136">
        <v>9.89</v>
      </c>
      <c r="G22" s="136">
        <v>0</v>
      </c>
      <c r="H22" s="136">
        <v>19.684999999999999</v>
      </c>
      <c r="I22" s="136">
        <v>464.31200000000001</v>
      </c>
      <c r="J22" s="136">
        <v>0</v>
      </c>
      <c r="K22" s="136">
        <v>0</v>
      </c>
      <c r="L22" s="136">
        <v>0</v>
      </c>
      <c r="M22" s="136">
        <v>0</v>
      </c>
      <c r="N22" s="136">
        <v>1794.9270000000001</v>
      </c>
      <c r="O22" s="136">
        <v>15.600000000000001</v>
      </c>
      <c r="P22" s="136">
        <v>4.8310000000000004</v>
      </c>
      <c r="Q22" s="136">
        <v>0</v>
      </c>
      <c r="R22" s="136">
        <v>0</v>
      </c>
      <c r="S22" s="136">
        <v>27.258999999999997</v>
      </c>
      <c r="T22" s="136">
        <v>4599.3260000000009</v>
      </c>
      <c r="U22" s="136">
        <v>0</v>
      </c>
      <c r="V22" s="136">
        <v>0</v>
      </c>
      <c r="W22" s="136">
        <v>0</v>
      </c>
      <c r="X22" s="136">
        <v>118.38299999999998</v>
      </c>
      <c r="Y22" s="136">
        <v>0</v>
      </c>
      <c r="Z22" s="136">
        <v>0</v>
      </c>
      <c r="AA22" s="136">
        <v>34.980000000000004</v>
      </c>
      <c r="AB22" s="136">
        <v>0</v>
      </c>
      <c r="AC22" s="136">
        <v>0.14199999999999999</v>
      </c>
      <c r="AD22" s="136">
        <v>0</v>
      </c>
      <c r="AE22" s="136">
        <v>0</v>
      </c>
      <c r="AF22" s="136">
        <v>0</v>
      </c>
      <c r="AG22" s="136">
        <v>223.64500000000001</v>
      </c>
      <c r="AH22" s="136">
        <v>0</v>
      </c>
      <c r="AI22" s="136">
        <v>19.974000000000004</v>
      </c>
      <c r="AJ22" s="136">
        <v>0</v>
      </c>
      <c r="AK22" s="136">
        <v>0</v>
      </c>
      <c r="AL22" s="136">
        <v>0</v>
      </c>
      <c r="AM22" s="136">
        <v>64.939000000000007</v>
      </c>
      <c r="AN22" s="136">
        <v>32.03</v>
      </c>
      <c r="AO22" s="136">
        <v>0</v>
      </c>
      <c r="AP22" s="136">
        <v>0</v>
      </c>
      <c r="AQ22" s="136"/>
      <c r="AR22" s="136"/>
      <c r="AS22" s="136"/>
      <c r="AT22" s="136">
        <v>7429.9230000000016</v>
      </c>
    </row>
    <row r="23" spans="1:46" x14ac:dyDescent="0.3">
      <c r="A23" s="26" t="s">
        <v>1040</v>
      </c>
      <c r="B23" s="136">
        <v>0</v>
      </c>
      <c r="C23" s="136">
        <v>0</v>
      </c>
      <c r="D23" s="136">
        <v>0</v>
      </c>
      <c r="E23" s="136">
        <v>0</v>
      </c>
      <c r="F23" s="136">
        <v>0</v>
      </c>
      <c r="G23" s="136">
        <v>0</v>
      </c>
      <c r="H23" s="136">
        <v>13.027999999999999</v>
      </c>
      <c r="I23" s="136">
        <v>523.46900000000005</v>
      </c>
      <c r="J23" s="136">
        <v>0</v>
      </c>
      <c r="K23" s="136">
        <v>0</v>
      </c>
      <c r="L23" s="136">
        <v>0</v>
      </c>
      <c r="M23" s="136">
        <v>0</v>
      </c>
      <c r="N23" s="136">
        <v>1717.5950000000005</v>
      </c>
      <c r="O23" s="136">
        <v>11.04</v>
      </c>
      <c r="P23" s="136">
        <v>2.899</v>
      </c>
      <c r="Q23" s="136">
        <v>0</v>
      </c>
      <c r="R23" s="136">
        <v>0</v>
      </c>
      <c r="S23" s="136">
        <v>33.459000000000003</v>
      </c>
      <c r="T23" s="136">
        <v>4311.0909999999994</v>
      </c>
      <c r="U23" s="136">
        <v>0</v>
      </c>
      <c r="V23" s="136">
        <v>0</v>
      </c>
      <c r="W23" s="136">
        <v>0</v>
      </c>
      <c r="X23" s="136">
        <v>364.98600000000016</v>
      </c>
      <c r="Y23" s="136">
        <v>0</v>
      </c>
      <c r="Z23" s="136">
        <v>0</v>
      </c>
      <c r="AA23" s="136">
        <v>35.847000000000001</v>
      </c>
      <c r="AB23" s="136">
        <v>0</v>
      </c>
      <c r="AC23" s="136">
        <v>0.63700000000000001</v>
      </c>
      <c r="AD23" s="136">
        <v>0</v>
      </c>
      <c r="AE23" s="136">
        <v>0</v>
      </c>
      <c r="AF23" s="136">
        <v>0</v>
      </c>
      <c r="AG23" s="136">
        <v>230.41600000000003</v>
      </c>
      <c r="AH23" s="136">
        <v>0</v>
      </c>
      <c r="AI23" s="136">
        <v>35.277999999999999</v>
      </c>
      <c r="AJ23" s="136">
        <v>0</v>
      </c>
      <c r="AK23" s="136">
        <v>0</v>
      </c>
      <c r="AL23" s="136">
        <v>0</v>
      </c>
      <c r="AM23" s="136">
        <v>43.752999999999986</v>
      </c>
      <c r="AN23" s="136">
        <v>56.321999999999996</v>
      </c>
      <c r="AO23" s="136">
        <v>0</v>
      </c>
      <c r="AP23" s="136">
        <v>48.650000000000006</v>
      </c>
      <c r="AQ23" s="136"/>
      <c r="AR23" s="136"/>
      <c r="AS23" s="136"/>
      <c r="AT23" s="136">
        <v>7428.4699999999993</v>
      </c>
    </row>
    <row r="24" spans="1:46" x14ac:dyDescent="0.3">
      <c r="A24" s="26" t="s">
        <v>1041</v>
      </c>
      <c r="B24" s="136">
        <v>0</v>
      </c>
      <c r="C24" s="136">
        <v>0</v>
      </c>
      <c r="D24" s="136">
        <v>0</v>
      </c>
      <c r="E24" s="136">
        <v>0</v>
      </c>
      <c r="F24" s="136">
        <v>7.18</v>
      </c>
      <c r="G24" s="136">
        <v>0</v>
      </c>
      <c r="H24" s="136">
        <v>31.339000000000002</v>
      </c>
      <c r="I24" s="136">
        <v>419.69899999999996</v>
      </c>
      <c r="J24" s="136">
        <v>0</v>
      </c>
      <c r="K24" s="136">
        <v>0</v>
      </c>
      <c r="L24" s="136">
        <v>0</v>
      </c>
      <c r="M24" s="136">
        <v>0</v>
      </c>
      <c r="N24" s="136">
        <v>1683.0289999999998</v>
      </c>
      <c r="O24" s="136">
        <v>17.309999999999999</v>
      </c>
      <c r="P24" s="136">
        <v>0</v>
      </c>
      <c r="Q24" s="136">
        <v>38.853999999999999</v>
      </c>
      <c r="R24" s="136">
        <v>0</v>
      </c>
      <c r="S24" s="136">
        <v>54.858999999999995</v>
      </c>
      <c r="T24" s="136">
        <v>4622.683</v>
      </c>
      <c r="U24" s="136">
        <v>0</v>
      </c>
      <c r="V24" s="136">
        <v>0</v>
      </c>
      <c r="W24" s="136">
        <v>0</v>
      </c>
      <c r="X24" s="136">
        <v>324.49899999999997</v>
      </c>
      <c r="Y24" s="136">
        <v>0</v>
      </c>
      <c r="Z24" s="136">
        <v>0</v>
      </c>
      <c r="AA24" s="136">
        <v>20.483000000000001</v>
      </c>
      <c r="AB24" s="136">
        <v>0</v>
      </c>
      <c r="AC24" s="136">
        <v>0.84299999999999997</v>
      </c>
      <c r="AD24" s="136">
        <v>0</v>
      </c>
      <c r="AE24" s="136">
        <v>0</v>
      </c>
      <c r="AF24" s="136">
        <v>0</v>
      </c>
      <c r="AG24" s="136">
        <v>219.12100000000004</v>
      </c>
      <c r="AH24" s="136">
        <v>0</v>
      </c>
      <c r="AI24" s="136">
        <v>28.199000000000002</v>
      </c>
      <c r="AJ24" s="136">
        <v>0</v>
      </c>
      <c r="AK24" s="136">
        <v>0</v>
      </c>
      <c r="AL24" s="136">
        <v>0</v>
      </c>
      <c r="AM24" s="136">
        <v>67</v>
      </c>
      <c r="AN24" s="136">
        <v>32.43</v>
      </c>
      <c r="AO24" s="136">
        <v>0</v>
      </c>
      <c r="AP24" s="136">
        <v>0</v>
      </c>
      <c r="AQ24" s="136"/>
      <c r="AR24" s="136"/>
      <c r="AS24" s="136"/>
      <c r="AT24" s="136">
        <v>7567.5279999999993</v>
      </c>
    </row>
    <row r="25" spans="1:46" x14ac:dyDescent="0.3">
      <c r="A25" s="26" t="s">
        <v>1042</v>
      </c>
      <c r="B25" s="136">
        <v>0</v>
      </c>
      <c r="C25" s="136">
        <v>0</v>
      </c>
      <c r="D25" s="136">
        <v>0</v>
      </c>
      <c r="E25" s="136">
        <v>0</v>
      </c>
      <c r="F25" s="136">
        <v>11.29</v>
      </c>
      <c r="G25" s="136">
        <v>0</v>
      </c>
      <c r="H25" s="136">
        <v>5.508</v>
      </c>
      <c r="I25" s="136">
        <v>434.96800000000002</v>
      </c>
      <c r="J25" s="136">
        <v>0</v>
      </c>
      <c r="K25" s="136">
        <v>0</v>
      </c>
      <c r="L25" s="136">
        <v>0</v>
      </c>
      <c r="M25" s="136">
        <v>0</v>
      </c>
      <c r="N25" s="136">
        <v>1642.944</v>
      </c>
      <c r="O25" s="136">
        <v>0.14000000000000001</v>
      </c>
      <c r="P25" s="136">
        <v>0</v>
      </c>
      <c r="Q25" s="136">
        <v>0</v>
      </c>
      <c r="R25" s="136">
        <v>0</v>
      </c>
      <c r="S25" s="136">
        <v>46.756999999999991</v>
      </c>
      <c r="T25" s="136">
        <v>4665.5480000000007</v>
      </c>
      <c r="U25" s="136">
        <v>0</v>
      </c>
      <c r="V25" s="136">
        <v>0</v>
      </c>
      <c r="W25" s="136">
        <v>0</v>
      </c>
      <c r="X25" s="136">
        <v>310.79200000000009</v>
      </c>
      <c r="Y25" s="136">
        <v>0</v>
      </c>
      <c r="Z25" s="136">
        <v>0</v>
      </c>
      <c r="AA25" s="136">
        <v>20.420000000000002</v>
      </c>
      <c r="AB25" s="136">
        <v>0</v>
      </c>
      <c r="AC25" s="136">
        <v>0.82</v>
      </c>
      <c r="AD25" s="136">
        <v>0</v>
      </c>
      <c r="AE25" s="136">
        <v>0</v>
      </c>
      <c r="AF25" s="136">
        <v>0</v>
      </c>
      <c r="AG25" s="136">
        <v>244.80900000000005</v>
      </c>
      <c r="AH25" s="136">
        <v>0</v>
      </c>
      <c r="AI25" s="136">
        <v>45.354999999999997</v>
      </c>
      <c r="AJ25" s="136">
        <v>0</v>
      </c>
      <c r="AK25" s="136">
        <v>0</v>
      </c>
      <c r="AL25" s="136">
        <v>0</v>
      </c>
      <c r="AM25" s="136">
        <v>84.456000000000003</v>
      </c>
      <c r="AN25" s="136">
        <v>23.907</v>
      </c>
      <c r="AO25" s="136">
        <v>0</v>
      </c>
      <c r="AP25" s="136">
        <v>0</v>
      </c>
      <c r="AQ25" s="136"/>
      <c r="AR25" s="136"/>
      <c r="AS25" s="136"/>
      <c r="AT25" s="136">
        <v>7537.7140000000009</v>
      </c>
    </row>
    <row r="26" spans="1:46" x14ac:dyDescent="0.3">
      <c r="A26" s="26" t="s">
        <v>1043</v>
      </c>
      <c r="B26" s="136">
        <v>0</v>
      </c>
      <c r="C26" s="136">
        <v>0</v>
      </c>
      <c r="D26" s="136">
        <v>0</v>
      </c>
      <c r="E26" s="136">
        <v>0</v>
      </c>
      <c r="F26" s="136">
        <v>44.339999999999996</v>
      </c>
      <c r="G26" s="136">
        <v>0</v>
      </c>
      <c r="H26" s="136">
        <v>11.257</v>
      </c>
      <c r="I26" s="136">
        <v>459.79699999999997</v>
      </c>
      <c r="J26" s="136">
        <v>0</v>
      </c>
      <c r="K26" s="136">
        <v>0</v>
      </c>
      <c r="L26" s="136">
        <v>1.9089999999999998</v>
      </c>
      <c r="M26" s="136">
        <v>0</v>
      </c>
      <c r="N26" s="136">
        <v>1700.7310000000004</v>
      </c>
      <c r="O26" s="136">
        <v>0</v>
      </c>
      <c r="P26" s="136">
        <v>0</v>
      </c>
      <c r="Q26" s="136">
        <v>0</v>
      </c>
      <c r="R26" s="136">
        <v>0</v>
      </c>
      <c r="S26" s="136">
        <v>26.978000000000002</v>
      </c>
      <c r="T26" s="136">
        <v>3551.9989999999989</v>
      </c>
      <c r="U26" s="136">
        <v>0</v>
      </c>
      <c r="V26" s="136">
        <v>0</v>
      </c>
      <c r="W26" s="136">
        <v>0</v>
      </c>
      <c r="X26" s="136">
        <v>391.32399999999984</v>
      </c>
      <c r="Y26" s="136">
        <v>0</v>
      </c>
      <c r="Z26" s="136">
        <v>0</v>
      </c>
      <c r="AA26" s="136">
        <v>29.399000000000001</v>
      </c>
      <c r="AB26" s="136">
        <v>0</v>
      </c>
      <c r="AC26" s="136">
        <v>0.77400000000000002</v>
      </c>
      <c r="AD26" s="136">
        <v>0</v>
      </c>
      <c r="AE26" s="136">
        <v>0</v>
      </c>
      <c r="AF26" s="136">
        <v>0</v>
      </c>
      <c r="AG26" s="136">
        <v>329.04199999999992</v>
      </c>
      <c r="AH26" s="136">
        <v>0</v>
      </c>
      <c r="AI26" s="136">
        <v>16.970999999999997</v>
      </c>
      <c r="AJ26" s="136">
        <v>0</v>
      </c>
      <c r="AK26" s="136">
        <v>0</v>
      </c>
      <c r="AL26" s="136">
        <v>0</v>
      </c>
      <c r="AM26" s="136">
        <v>58.83</v>
      </c>
      <c r="AN26" s="136">
        <v>33.290999999999997</v>
      </c>
      <c r="AO26" s="136">
        <v>0</v>
      </c>
      <c r="AP26" s="136">
        <v>0</v>
      </c>
      <c r="AQ26" s="136"/>
      <c r="AR26" s="136"/>
      <c r="AS26" s="136"/>
      <c r="AT26" s="136">
        <v>6656.6419999999989</v>
      </c>
    </row>
    <row r="27" spans="1:46" x14ac:dyDescent="0.3">
      <c r="A27" s="26" t="s">
        <v>1044</v>
      </c>
      <c r="B27" s="136">
        <v>0</v>
      </c>
      <c r="C27" s="136">
        <v>0</v>
      </c>
      <c r="D27" s="136">
        <v>0</v>
      </c>
      <c r="E27" s="136">
        <v>0</v>
      </c>
      <c r="F27" s="136">
        <v>0</v>
      </c>
      <c r="G27" s="136">
        <v>0</v>
      </c>
      <c r="H27" s="136">
        <v>36.453000000000003</v>
      </c>
      <c r="I27" s="136">
        <v>459.81100000000004</v>
      </c>
      <c r="J27" s="136">
        <v>0</v>
      </c>
      <c r="K27" s="136">
        <v>5.97</v>
      </c>
      <c r="L27" s="136">
        <v>0</v>
      </c>
      <c r="M27" s="136">
        <v>0</v>
      </c>
      <c r="N27" s="136">
        <v>1546.7110000000002</v>
      </c>
      <c r="O27" s="136">
        <v>23.09</v>
      </c>
      <c r="P27" s="136">
        <v>0</v>
      </c>
      <c r="Q27" s="136">
        <v>39.100999999999999</v>
      </c>
      <c r="R27" s="136">
        <v>0</v>
      </c>
      <c r="S27" s="136">
        <v>26.180999999999997</v>
      </c>
      <c r="T27" s="136">
        <v>2907.5339999999997</v>
      </c>
      <c r="U27" s="136">
        <v>0</v>
      </c>
      <c r="V27" s="136">
        <v>0</v>
      </c>
      <c r="W27" s="136">
        <v>0</v>
      </c>
      <c r="X27" s="136">
        <v>588.86599999999999</v>
      </c>
      <c r="Y27" s="136">
        <v>0</v>
      </c>
      <c r="Z27" s="136">
        <v>0</v>
      </c>
      <c r="AA27" s="136">
        <v>36.618000000000002</v>
      </c>
      <c r="AB27" s="136">
        <v>0</v>
      </c>
      <c r="AC27" s="136">
        <v>0.60099999999999998</v>
      </c>
      <c r="AD27" s="136">
        <v>0</v>
      </c>
      <c r="AE27" s="136">
        <v>0</v>
      </c>
      <c r="AF27" s="136">
        <v>0</v>
      </c>
      <c r="AG27" s="136">
        <v>301.54300000000006</v>
      </c>
      <c r="AH27" s="136">
        <v>0</v>
      </c>
      <c r="AI27" s="136">
        <v>44.894000000000005</v>
      </c>
      <c r="AJ27" s="136">
        <v>0</v>
      </c>
      <c r="AK27" s="136">
        <v>0</v>
      </c>
      <c r="AL27" s="136">
        <v>0</v>
      </c>
      <c r="AM27" s="136">
        <v>56.935999999999993</v>
      </c>
      <c r="AN27" s="136">
        <v>59.135999999999996</v>
      </c>
      <c r="AO27" s="136">
        <v>0</v>
      </c>
      <c r="AP27" s="136">
        <v>27.1</v>
      </c>
      <c r="AQ27" s="136"/>
      <c r="AR27" s="136"/>
      <c r="AS27" s="136"/>
      <c r="AT27" s="136">
        <v>6160.545000000001</v>
      </c>
    </row>
    <row r="28" spans="1:46" x14ac:dyDescent="0.3">
      <c r="A28" s="26" t="s">
        <v>1051</v>
      </c>
      <c r="B28" s="136">
        <v>0</v>
      </c>
      <c r="C28" s="136">
        <v>0</v>
      </c>
      <c r="D28" s="136">
        <v>0</v>
      </c>
      <c r="E28" s="136">
        <v>0</v>
      </c>
      <c r="F28" s="136">
        <v>10.180000000000001</v>
      </c>
      <c r="G28" s="136">
        <v>8.3409999999999993</v>
      </c>
      <c r="H28" s="136">
        <v>32.212999999999994</v>
      </c>
      <c r="I28" s="136">
        <v>522.29399999999998</v>
      </c>
      <c r="J28" s="136">
        <v>0</v>
      </c>
      <c r="K28" s="136">
        <v>0</v>
      </c>
      <c r="L28" s="136">
        <v>0</v>
      </c>
      <c r="M28" s="136">
        <v>0</v>
      </c>
      <c r="N28" s="136">
        <v>1542.2119999999998</v>
      </c>
      <c r="O28" s="136">
        <v>22.03</v>
      </c>
      <c r="P28" s="136">
        <v>0</v>
      </c>
      <c r="Q28" s="136">
        <v>39.692</v>
      </c>
      <c r="R28" s="136">
        <v>0</v>
      </c>
      <c r="S28" s="136">
        <v>47.218000000000004</v>
      </c>
      <c r="T28" s="136">
        <v>3551.3809999999989</v>
      </c>
      <c r="U28" s="136">
        <v>0</v>
      </c>
      <c r="V28" s="136">
        <v>0</v>
      </c>
      <c r="W28" s="136">
        <v>0</v>
      </c>
      <c r="X28" s="136">
        <v>406.79099999999994</v>
      </c>
      <c r="Y28" s="136">
        <v>0</v>
      </c>
      <c r="Z28" s="136">
        <v>0</v>
      </c>
      <c r="AA28" s="136">
        <v>22.253999999999998</v>
      </c>
      <c r="AB28" s="136">
        <v>0</v>
      </c>
      <c r="AC28" s="136">
        <v>0.51300000000000001</v>
      </c>
      <c r="AD28" s="136">
        <v>0</v>
      </c>
      <c r="AE28" s="136">
        <v>0</v>
      </c>
      <c r="AF28" s="136">
        <v>0</v>
      </c>
      <c r="AG28" s="136">
        <v>295.57599999999996</v>
      </c>
      <c r="AH28" s="136">
        <v>0</v>
      </c>
      <c r="AI28" s="136">
        <v>33.015000000000001</v>
      </c>
      <c r="AJ28" s="136">
        <v>0</v>
      </c>
      <c r="AK28" s="136">
        <v>0</v>
      </c>
      <c r="AL28" s="136">
        <v>0</v>
      </c>
      <c r="AM28" s="136">
        <v>71.316999999999993</v>
      </c>
      <c r="AN28" s="136">
        <v>36.587000000000003</v>
      </c>
      <c r="AO28" s="136">
        <v>0</v>
      </c>
      <c r="AP28" s="136">
        <v>0</v>
      </c>
      <c r="AQ28" s="136">
        <v>0.29699999999999999</v>
      </c>
      <c r="AR28" s="136">
        <v>0</v>
      </c>
      <c r="AS28" s="136">
        <v>0</v>
      </c>
      <c r="AT28" s="136">
        <v>6641.9109999999991</v>
      </c>
    </row>
    <row r="29" spans="1:46" x14ac:dyDescent="0.3">
      <c r="A29" s="26" t="s">
        <v>1053</v>
      </c>
      <c r="B29" s="136">
        <v>0</v>
      </c>
      <c r="C29" s="136">
        <v>0</v>
      </c>
      <c r="D29" s="136">
        <v>0</v>
      </c>
      <c r="E29" s="136">
        <v>0</v>
      </c>
      <c r="F29" s="136">
        <v>21.659999999999997</v>
      </c>
      <c r="G29" s="136">
        <v>0</v>
      </c>
      <c r="H29" s="136">
        <v>43.193000000000005</v>
      </c>
      <c r="I29" s="136">
        <v>444.22800000000007</v>
      </c>
      <c r="J29" s="136">
        <v>0</v>
      </c>
      <c r="K29" s="136">
        <v>0</v>
      </c>
      <c r="L29" s="136">
        <v>0</v>
      </c>
      <c r="M29" s="136">
        <v>0</v>
      </c>
      <c r="N29" s="136">
        <v>1667.1</v>
      </c>
      <c r="O29" s="136">
        <v>26.21</v>
      </c>
      <c r="P29" s="136">
        <v>8.7609999999999992</v>
      </c>
      <c r="Q29" s="136">
        <v>0</v>
      </c>
      <c r="R29" s="136">
        <v>0</v>
      </c>
      <c r="S29" s="136">
        <v>32.819000000000003</v>
      </c>
      <c r="T29" s="136">
        <v>4557.0389999999989</v>
      </c>
      <c r="U29" s="136">
        <v>0</v>
      </c>
      <c r="V29" s="136">
        <v>0</v>
      </c>
      <c r="W29" s="136">
        <v>0</v>
      </c>
      <c r="X29" s="136">
        <v>105.53999999999999</v>
      </c>
      <c r="Y29" s="136">
        <v>0</v>
      </c>
      <c r="Z29" s="136">
        <v>0</v>
      </c>
      <c r="AA29" s="136">
        <v>30.983000000000004</v>
      </c>
      <c r="AB29" s="136">
        <v>0</v>
      </c>
      <c r="AC29" s="136">
        <v>0.874</v>
      </c>
      <c r="AD29" s="136">
        <v>0</v>
      </c>
      <c r="AE29" s="136">
        <v>0</v>
      </c>
      <c r="AF29" s="136">
        <v>0</v>
      </c>
      <c r="AG29" s="136">
        <v>209.24700000000004</v>
      </c>
      <c r="AH29" s="136">
        <v>0</v>
      </c>
      <c r="AI29" s="136">
        <v>41.278999999999996</v>
      </c>
      <c r="AJ29" s="136">
        <v>0</v>
      </c>
      <c r="AK29" s="136">
        <v>0</v>
      </c>
      <c r="AL29" s="136">
        <v>0</v>
      </c>
      <c r="AM29" s="136">
        <v>63.097999999999992</v>
      </c>
      <c r="AN29" s="136">
        <v>32.182000000000002</v>
      </c>
      <c r="AO29" s="136">
        <v>0</v>
      </c>
      <c r="AP29" s="136">
        <v>0</v>
      </c>
      <c r="AQ29" s="136">
        <v>0</v>
      </c>
      <c r="AR29" s="136">
        <v>0</v>
      </c>
      <c r="AS29" s="136">
        <v>7.69</v>
      </c>
      <c r="AT29" s="136">
        <v>7291.9029999999984</v>
      </c>
    </row>
    <row r="30" spans="1:46" x14ac:dyDescent="0.3">
      <c r="A30" s="26" t="s">
        <v>1054</v>
      </c>
      <c r="B30" s="136">
        <v>0</v>
      </c>
      <c r="C30" s="136">
        <v>0</v>
      </c>
      <c r="D30" s="136">
        <v>0</v>
      </c>
      <c r="E30" s="136">
        <v>0</v>
      </c>
      <c r="F30" s="136">
        <v>0.25</v>
      </c>
      <c r="G30" s="136">
        <v>0</v>
      </c>
      <c r="H30" s="136">
        <v>50.598999999999997</v>
      </c>
      <c r="I30" s="136">
        <v>573.97799999999995</v>
      </c>
      <c r="J30" s="136">
        <v>0</v>
      </c>
      <c r="K30" s="136">
        <v>0</v>
      </c>
      <c r="L30" s="136">
        <v>0</v>
      </c>
      <c r="M30" s="136">
        <v>0</v>
      </c>
      <c r="N30" s="136">
        <v>1565.3779999999999</v>
      </c>
      <c r="O30" s="136">
        <v>9.98</v>
      </c>
      <c r="P30" s="136">
        <v>10.989000000000001</v>
      </c>
      <c r="Q30" s="136">
        <v>0</v>
      </c>
      <c r="R30" s="136">
        <v>0</v>
      </c>
      <c r="S30" s="136">
        <v>42.106999999999999</v>
      </c>
      <c r="T30" s="136">
        <v>4215.2060000000001</v>
      </c>
      <c r="U30" s="136">
        <v>0</v>
      </c>
      <c r="V30" s="136">
        <v>0</v>
      </c>
      <c r="W30" s="136">
        <v>0</v>
      </c>
      <c r="X30" s="136">
        <v>336.31399999999996</v>
      </c>
      <c r="Y30" s="136">
        <v>0</v>
      </c>
      <c r="Z30" s="136">
        <v>0</v>
      </c>
      <c r="AA30" s="136">
        <v>44.323</v>
      </c>
      <c r="AB30" s="136">
        <v>0</v>
      </c>
      <c r="AC30" s="136">
        <v>1.05</v>
      </c>
      <c r="AD30" s="136">
        <v>0</v>
      </c>
      <c r="AE30" s="136">
        <v>0</v>
      </c>
      <c r="AF30" s="136">
        <v>0</v>
      </c>
      <c r="AG30" s="136">
        <v>300.14100000000002</v>
      </c>
      <c r="AH30" s="136">
        <v>0</v>
      </c>
      <c r="AI30" s="136">
        <v>26.843999999999998</v>
      </c>
      <c r="AJ30" s="136">
        <v>0</v>
      </c>
      <c r="AK30" s="136">
        <v>0</v>
      </c>
      <c r="AL30" s="136">
        <v>0</v>
      </c>
      <c r="AM30" s="136">
        <v>52.524000000000001</v>
      </c>
      <c r="AN30" s="136">
        <v>44.014000000000003</v>
      </c>
      <c r="AO30" s="136">
        <v>26.003999999999998</v>
      </c>
      <c r="AP30" s="136">
        <v>0</v>
      </c>
      <c r="AQ30" s="136">
        <v>0</v>
      </c>
      <c r="AR30" s="136">
        <v>0</v>
      </c>
      <c r="AS30" s="136">
        <v>0</v>
      </c>
      <c r="AT30" s="136">
        <v>7299.7010000000009</v>
      </c>
    </row>
    <row r="31" spans="1:46" x14ac:dyDescent="0.3">
      <c r="A31" s="26" t="s">
        <v>1055</v>
      </c>
      <c r="B31" s="136">
        <v>0</v>
      </c>
      <c r="C31" s="136">
        <v>0</v>
      </c>
      <c r="D31" s="136">
        <v>0</v>
      </c>
      <c r="E31" s="136">
        <v>0</v>
      </c>
      <c r="F31" s="136">
        <v>5.8400000000000007</v>
      </c>
      <c r="G31" s="136">
        <v>0</v>
      </c>
      <c r="H31" s="136">
        <v>40.202999999999996</v>
      </c>
      <c r="I31" s="136">
        <v>426.34</v>
      </c>
      <c r="J31" s="136">
        <v>0</v>
      </c>
      <c r="K31" s="136">
        <v>0</v>
      </c>
      <c r="L31" s="136">
        <v>0</v>
      </c>
      <c r="M31" s="136">
        <v>0</v>
      </c>
      <c r="N31" s="136">
        <v>1767.5330000000004</v>
      </c>
      <c r="O31" s="136">
        <v>6.44</v>
      </c>
      <c r="P31" s="136">
        <v>8.39</v>
      </c>
      <c r="Q31" s="136">
        <v>38.968000000000004</v>
      </c>
      <c r="R31" s="136">
        <v>0</v>
      </c>
      <c r="S31" s="136">
        <v>27.923000000000002</v>
      </c>
      <c r="T31" s="136">
        <v>4904.674</v>
      </c>
      <c r="U31" s="136">
        <v>0</v>
      </c>
      <c r="V31" s="136">
        <v>0</v>
      </c>
      <c r="W31" s="136">
        <v>0</v>
      </c>
      <c r="X31" s="136">
        <v>346.66999999999979</v>
      </c>
      <c r="Y31" s="136">
        <v>0</v>
      </c>
      <c r="Z31" s="136">
        <v>0</v>
      </c>
      <c r="AA31" s="136">
        <v>20.52</v>
      </c>
      <c r="AB31" s="136">
        <v>0</v>
      </c>
      <c r="AC31" s="136">
        <v>1.7389999999999999</v>
      </c>
      <c r="AD31" s="136">
        <v>0</v>
      </c>
      <c r="AE31" s="136">
        <v>0</v>
      </c>
      <c r="AF31" s="136">
        <v>0</v>
      </c>
      <c r="AG31" s="136">
        <v>267.06300000000005</v>
      </c>
      <c r="AH31" s="136">
        <v>0</v>
      </c>
      <c r="AI31" s="136">
        <v>29.868000000000002</v>
      </c>
      <c r="AJ31" s="136">
        <v>0</v>
      </c>
      <c r="AK31" s="136">
        <v>0</v>
      </c>
      <c r="AL31" s="136">
        <v>0</v>
      </c>
      <c r="AM31" s="136">
        <v>72.430000000000007</v>
      </c>
      <c r="AN31" s="136">
        <v>37.211999999999996</v>
      </c>
      <c r="AO31" s="136">
        <v>0</v>
      </c>
      <c r="AP31" s="136">
        <v>0</v>
      </c>
      <c r="AQ31" s="136">
        <v>0</v>
      </c>
      <c r="AR31" s="136">
        <v>0</v>
      </c>
      <c r="AS31" s="136">
        <v>20.45</v>
      </c>
      <c r="AT31" s="136">
        <v>8022.2630000000008</v>
      </c>
    </row>
    <row r="32" spans="1:46" x14ac:dyDescent="0.3">
      <c r="A32" s="26" t="s">
        <v>1057</v>
      </c>
      <c r="B32" s="136">
        <v>0</v>
      </c>
      <c r="C32" s="136">
        <v>0</v>
      </c>
      <c r="D32" s="136">
        <v>0</v>
      </c>
      <c r="E32" s="136">
        <v>0</v>
      </c>
      <c r="F32" s="136">
        <v>33.160000000000004</v>
      </c>
      <c r="G32" s="136">
        <v>0</v>
      </c>
      <c r="H32" s="136">
        <v>35.909999999999997</v>
      </c>
      <c r="I32" s="136">
        <v>425.19600000000008</v>
      </c>
      <c r="J32" s="136">
        <v>0</v>
      </c>
      <c r="K32" s="136">
        <v>0</v>
      </c>
      <c r="L32" s="136">
        <v>0</v>
      </c>
      <c r="M32" s="136">
        <v>0</v>
      </c>
      <c r="N32" s="136">
        <v>1632.3659999999995</v>
      </c>
      <c r="O32" s="136">
        <v>10.48</v>
      </c>
      <c r="P32" s="136">
        <v>7.2009999999999996</v>
      </c>
      <c r="Q32" s="136">
        <v>3.7370000000000001</v>
      </c>
      <c r="R32" s="136">
        <v>0</v>
      </c>
      <c r="S32" s="136">
        <v>20.718</v>
      </c>
      <c r="T32" s="136">
        <v>4083.2650000000003</v>
      </c>
      <c r="U32" s="136">
        <v>0</v>
      </c>
      <c r="V32" s="136">
        <v>0</v>
      </c>
      <c r="W32" s="136">
        <v>0</v>
      </c>
      <c r="X32" s="136">
        <v>315.94100000000003</v>
      </c>
      <c r="Y32" s="136">
        <v>0</v>
      </c>
      <c r="Z32" s="136">
        <v>0</v>
      </c>
      <c r="AA32" s="136">
        <v>29.518999999999998</v>
      </c>
      <c r="AB32" s="136">
        <v>0</v>
      </c>
      <c r="AC32" s="136">
        <v>1.627</v>
      </c>
      <c r="AD32" s="136">
        <v>0</v>
      </c>
      <c r="AE32" s="136">
        <v>0</v>
      </c>
      <c r="AF32" s="136">
        <v>0</v>
      </c>
      <c r="AG32" s="136">
        <v>237.73399999999998</v>
      </c>
      <c r="AH32" s="136">
        <v>0</v>
      </c>
      <c r="AI32" s="136">
        <v>21.319000000000003</v>
      </c>
      <c r="AJ32" s="136">
        <v>0</v>
      </c>
      <c r="AK32" s="136">
        <v>0</v>
      </c>
      <c r="AL32" s="136">
        <v>0</v>
      </c>
      <c r="AM32" s="136">
        <v>117.62299999999999</v>
      </c>
      <c r="AN32" s="136">
        <v>34.677</v>
      </c>
      <c r="AO32" s="136">
        <v>0</v>
      </c>
      <c r="AP32" s="136">
        <v>36.173999999999999</v>
      </c>
      <c r="AQ32" s="136">
        <v>0</v>
      </c>
      <c r="AR32" s="136">
        <v>0</v>
      </c>
      <c r="AS32" s="136">
        <v>0</v>
      </c>
      <c r="AT32" s="136">
        <v>7046.6469999999999</v>
      </c>
    </row>
    <row r="33" spans="1:46" x14ac:dyDescent="0.3">
      <c r="A33" s="26" t="s">
        <v>1058</v>
      </c>
      <c r="B33" s="136">
        <v>0</v>
      </c>
      <c r="C33" s="136">
        <v>0</v>
      </c>
      <c r="D33" s="136">
        <v>0</v>
      </c>
      <c r="E33" s="136">
        <v>0</v>
      </c>
      <c r="F33" s="136">
        <v>0</v>
      </c>
      <c r="G33" s="136">
        <v>18.91</v>
      </c>
      <c r="H33" s="136">
        <v>19.989000000000001</v>
      </c>
      <c r="I33" s="136">
        <v>438.96499999999997</v>
      </c>
      <c r="J33" s="136">
        <v>0</v>
      </c>
      <c r="K33" s="136">
        <v>0</v>
      </c>
      <c r="L33" s="136">
        <v>0</v>
      </c>
      <c r="M33" s="136">
        <v>0</v>
      </c>
      <c r="N33" s="136">
        <v>1753.0160000000001</v>
      </c>
      <c r="O33" s="136">
        <v>10.23</v>
      </c>
      <c r="P33" s="136">
        <v>9.0500000000000007</v>
      </c>
      <c r="Q33" s="136">
        <v>0</v>
      </c>
      <c r="R33" s="136">
        <v>0</v>
      </c>
      <c r="S33" s="136">
        <v>51.37700000000001</v>
      </c>
      <c r="T33" s="136">
        <v>3701.25</v>
      </c>
      <c r="U33" s="136">
        <v>0</v>
      </c>
      <c r="V33" s="136">
        <v>0</v>
      </c>
      <c r="W33" s="136">
        <v>0</v>
      </c>
      <c r="X33" s="136">
        <v>342.6110000000001</v>
      </c>
      <c r="Y33" s="136">
        <v>0</v>
      </c>
      <c r="Z33" s="136">
        <v>0</v>
      </c>
      <c r="AA33" s="136">
        <v>41.986000000000004</v>
      </c>
      <c r="AB33" s="136">
        <v>0</v>
      </c>
      <c r="AC33" s="136">
        <v>0</v>
      </c>
      <c r="AD33" s="136">
        <v>0</v>
      </c>
      <c r="AE33" s="136">
        <v>0</v>
      </c>
      <c r="AF33" s="136">
        <v>0</v>
      </c>
      <c r="AG33" s="136">
        <v>294.60500000000008</v>
      </c>
      <c r="AH33" s="136">
        <v>0</v>
      </c>
      <c r="AI33" s="136">
        <v>34.954999999999998</v>
      </c>
      <c r="AJ33" s="136">
        <v>0</v>
      </c>
      <c r="AK33" s="136">
        <v>0</v>
      </c>
      <c r="AL33" s="136">
        <v>0</v>
      </c>
      <c r="AM33" s="136">
        <v>101.95299999999999</v>
      </c>
      <c r="AN33" s="136">
        <v>47.435000000000002</v>
      </c>
      <c r="AO33" s="136">
        <v>0</v>
      </c>
      <c r="AP33" s="136">
        <v>0</v>
      </c>
      <c r="AQ33" s="136">
        <v>0</v>
      </c>
      <c r="AR33" s="136">
        <v>0</v>
      </c>
      <c r="AS33" s="136">
        <v>0</v>
      </c>
      <c r="AT33" s="136">
        <v>6866.3320000000012</v>
      </c>
    </row>
    <row r="34" spans="1:46" x14ac:dyDescent="0.3">
      <c r="A34" s="26" t="s">
        <v>1059</v>
      </c>
      <c r="B34" s="136">
        <v>0</v>
      </c>
      <c r="C34" s="136">
        <v>0</v>
      </c>
      <c r="D34" s="136">
        <v>0</v>
      </c>
      <c r="E34" s="136">
        <v>0</v>
      </c>
      <c r="F34" s="136">
        <v>0</v>
      </c>
      <c r="G34" s="136">
        <v>0</v>
      </c>
      <c r="H34" s="136">
        <v>7.6379999999999999</v>
      </c>
      <c r="I34" s="136">
        <v>307.27800000000002</v>
      </c>
      <c r="J34" s="136">
        <v>0</v>
      </c>
      <c r="K34" s="136">
        <v>0</v>
      </c>
      <c r="L34" s="136">
        <v>0</v>
      </c>
      <c r="M34" s="136">
        <v>0</v>
      </c>
      <c r="N34" s="136">
        <v>1652.9129999999998</v>
      </c>
      <c r="O34" s="136">
        <v>33.14</v>
      </c>
      <c r="P34" s="136">
        <v>0</v>
      </c>
      <c r="Q34" s="136">
        <v>38.750999999999998</v>
      </c>
      <c r="R34" s="136">
        <v>0</v>
      </c>
      <c r="S34" s="136">
        <v>31.278999999999996</v>
      </c>
      <c r="T34" s="136">
        <v>2896.293000000001</v>
      </c>
      <c r="U34" s="136">
        <v>0</v>
      </c>
      <c r="V34" s="136">
        <v>0</v>
      </c>
      <c r="W34" s="136">
        <v>0</v>
      </c>
      <c r="X34" s="136">
        <v>450.25199999999995</v>
      </c>
      <c r="Y34" s="136">
        <v>0</v>
      </c>
      <c r="Z34" s="136">
        <v>0</v>
      </c>
      <c r="AA34" s="136">
        <v>25.975999999999999</v>
      </c>
      <c r="AB34" s="136">
        <v>0</v>
      </c>
      <c r="AC34" s="136">
        <v>0.68600000000000005</v>
      </c>
      <c r="AD34" s="136">
        <v>0</v>
      </c>
      <c r="AE34" s="136">
        <v>0</v>
      </c>
      <c r="AF34" s="136">
        <v>0</v>
      </c>
      <c r="AG34" s="136">
        <v>298.90399999999988</v>
      </c>
      <c r="AH34" s="136">
        <v>0</v>
      </c>
      <c r="AI34" s="136">
        <v>39.975999999999999</v>
      </c>
      <c r="AJ34" s="136">
        <v>0</v>
      </c>
      <c r="AK34" s="136">
        <v>0</v>
      </c>
      <c r="AL34" s="136">
        <v>0</v>
      </c>
      <c r="AM34" s="136">
        <v>47.034000000000006</v>
      </c>
      <c r="AN34" s="136">
        <v>40.215000000000003</v>
      </c>
      <c r="AO34" s="136">
        <v>0</v>
      </c>
      <c r="AP34" s="136">
        <v>0</v>
      </c>
      <c r="AQ34" s="136">
        <v>0</v>
      </c>
      <c r="AR34" s="136">
        <v>0</v>
      </c>
      <c r="AS34" s="136">
        <v>0</v>
      </c>
      <c r="AT34" s="136">
        <v>5870.335</v>
      </c>
    </row>
    <row r="35" spans="1:46" x14ac:dyDescent="0.3">
      <c r="A35" s="26" t="s">
        <v>1060</v>
      </c>
      <c r="B35" s="136">
        <v>0</v>
      </c>
      <c r="C35" s="136">
        <v>0</v>
      </c>
      <c r="D35" s="136">
        <v>0</v>
      </c>
      <c r="E35" s="136">
        <v>0</v>
      </c>
      <c r="F35" s="136">
        <v>0</v>
      </c>
      <c r="G35" s="136">
        <v>0.09</v>
      </c>
      <c r="H35" s="136">
        <v>13.321000000000002</v>
      </c>
      <c r="I35" s="136">
        <v>334.334</v>
      </c>
      <c r="J35" s="136">
        <v>0</v>
      </c>
      <c r="K35" s="136">
        <v>0</v>
      </c>
      <c r="L35" s="136">
        <v>0</v>
      </c>
      <c r="M35" s="136">
        <v>0</v>
      </c>
      <c r="N35" s="136">
        <v>1384.5040000000001</v>
      </c>
      <c r="O35" s="136">
        <v>0</v>
      </c>
      <c r="P35" s="136">
        <v>12.7</v>
      </c>
      <c r="Q35" s="136">
        <v>0</v>
      </c>
      <c r="R35" s="136">
        <v>0</v>
      </c>
      <c r="S35" s="136">
        <v>39.094999999999999</v>
      </c>
      <c r="T35" s="136">
        <v>2349.9169999999995</v>
      </c>
      <c r="U35" s="136">
        <v>0</v>
      </c>
      <c r="V35" s="136">
        <v>0</v>
      </c>
      <c r="W35" s="136">
        <v>0</v>
      </c>
      <c r="X35" s="136">
        <v>410.82099999999997</v>
      </c>
      <c r="Y35" s="136">
        <v>0</v>
      </c>
      <c r="Z35" s="136">
        <v>0</v>
      </c>
      <c r="AA35" s="136">
        <v>0</v>
      </c>
      <c r="AB35" s="136">
        <v>0</v>
      </c>
      <c r="AC35" s="136">
        <v>0.626</v>
      </c>
      <c r="AD35" s="136">
        <v>0</v>
      </c>
      <c r="AE35" s="136">
        <v>0</v>
      </c>
      <c r="AF35" s="136">
        <v>0</v>
      </c>
      <c r="AG35" s="136">
        <v>227.13500000000005</v>
      </c>
      <c r="AH35" s="136">
        <v>0</v>
      </c>
      <c r="AI35" s="136">
        <v>18.819000000000003</v>
      </c>
      <c r="AJ35" s="136">
        <v>0</v>
      </c>
      <c r="AK35" s="136">
        <v>0</v>
      </c>
      <c r="AL35" s="136">
        <v>0</v>
      </c>
      <c r="AM35" s="136">
        <v>116.38600000000001</v>
      </c>
      <c r="AN35" s="136">
        <v>22.846</v>
      </c>
      <c r="AO35" s="136">
        <v>0</v>
      </c>
      <c r="AP35" s="136">
        <v>0</v>
      </c>
      <c r="AQ35" s="136">
        <v>0</v>
      </c>
      <c r="AR35" s="136">
        <v>0</v>
      </c>
      <c r="AS35" s="136">
        <v>0</v>
      </c>
      <c r="AT35" s="136">
        <v>4930.5940000000001</v>
      </c>
    </row>
  </sheetData>
  <pageMargins left="0.7" right="0.7" top="0.75" bottom="0.75" header="0.3" footer="0.3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X282"/>
  <sheetViews>
    <sheetView topLeftCell="G190" workbookViewId="0">
      <selection activeCell="AB196" sqref="AB196"/>
    </sheetView>
  </sheetViews>
  <sheetFormatPr defaultRowHeight="14.4" x14ac:dyDescent="0.3"/>
  <cols>
    <col min="1" max="1" width="18" bestFit="1" customWidth="1"/>
    <col min="2" max="2" width="14.44140625" bestFit="1" customWidth="1"/>
    <col min="3" max="10" width="15.44140625" customWidth="1"/>
    <col min="11" max="19" width="16.44140625" customWidth="1"/>
    <col min="20" max="24" width="16.44140625" style="118" customWidth="1"/>
    <col min="25" max="31" width="16.44140625" customWidth="1"/>
    <col min="32" max="32" width="16.44140625" bestFit="1" customWidth="1"/>
  </cols>
  <sheetData>
    <row r="1" spans="1:24" x14ac:dyDescent="0.3">
      <c r="A1" s="29" t="s">
        <v>1</v>
      </c>
      <c r="B1" t="s">
        <v>82</v>
      </c>
    </row>
    <row r="2" spans="1:24" x14ac:dyDescent="0.3">
      <c r="A2" s="29" t="s">
        <v>158</v>
      </c>
      <c r="B2" t="s">
        <v>82</v>
      </c>
    </row>
    <row r="4" spans="1:24" x14ac:dyDescent="0.3">
      <c r="A4" s="29" t="s">
        <v>542</v>
      </c>
      <c r="B4" t="s">
        <v>85</v>
      </c>
      <c r="T4"/>
      <c r="U4"/>
      <c r="V4"/>
      <c r="W4"/>
      <c r="X4"/>
    </row>
    <row r="5" spans="1:24" x14ac:dyDescent="0.3">
      <c r="A5" s="39" t="s">
        <v>987</v>
      </c>
      <c r="B5" s="137">
        <v>0</v>
      </c>
      <c r="T5"/>
      <c r="U5"/>
      <c r="V5"/>
      <c r="W5"/>
      <c r="X5"/>
    </row>
    <row r="6" spans="1:24" x14ac:dyDescent="0.3">
      <c r="A6" s="39" t="s">
        <v>989</v>
      </c>
      <c r="B6" s="137">
        <v>20.778333333333332</v>
      </c>
      <c r="T6"/>
      <c r="U6"/>
      <c r="V6"/>
      <c r="W6"/>
      <c r="X6"/>
    </row>
    <row r="7" spans="1:24" x14ac:dyDescent="0.3">
      <c r="A7" s="39" t="s">
        <v>982</v>
      </c>
      <c r="B7" s="137">
        <v>59.737666666666676</v>
      </c>
      <c r="T7"/>
      <c r="U7"/>
      <c r="V7"/>
      <c r="W7"/>
      <c r="X7"/>
    </row>
    <row r="8" spans="1:24" x14ac:dyDescent="0.3">
      <c r="A8" s="39" t="s">
        <v>981</v>
      </c>
      <c r="B8" s="137">
        <v>339.52283333333332</v>
      </c>
      <c r="T8"/>
      <c r="U8"/>
      <c r="V8"/>
      <c r="W8"/>
      <c r="X8"/>
    </row>
    <row r="9" spans="1:24" x14ac:dyDescent="0.3">
      <c r="A9" s="39" t="s">
        <v>988</v>
      </c>
      <c r="B9" s="137">
        <v>242.5635</v>
      </c>
      <c r="T9"/>
      <c r="U9"/>
      <c r="V9"/>
      <c r="W9"/>
      <c r="X9"/>
    </row>
    <row r="10" spans="1:24" x14ac:dyDescent="0.3">
      <c r="A10" s="39" t="s">
        <v>980</v>
      </c>
      <c r="B10" s="137">
        <v>74.64370000000001</v>
      </c>
      <c r="T10"/>
      <c r="U10"/>
      <c r="V10"/>
      <c r="W10"/>
      <c r="X10"/>
    </row>
    <row r="11" spans="1:24" x14ac:dyDescent="0.3">
      <c r="A11" s="39" t="s">
        <v>983</v>
      </c>
      <c r="B11" s="137">
        <v>186.1146</v>
      </c>
      <c r="T11"/>
      <c r="U11"/>
      <c r="V11"/>
      <c r="W11"/>
      <c r="X11"/>
    </row>
    <row r="12" spans="1:24" x14ac:dyDescent="0.3">
      <c r="A12" s="39" t="s">
        <v>985</v>
      </c>
      <c r="B12" s="137">
        <v>0</v>
      </c>
      <c r="T12"/>
      <c r="U12"/>
      <c r="V12"/>
      <c r="W12"/>
      <c r="X12"/>
    </row>
    <row r="13" spans="1:24" x14ac:dyDescent="0.3">
      <c r="A13" s="39" t="s">
        <v>990</v>
      </c>
      <c r="B13" s="137">
        <v>10.341433333333333</v>
      </c>
      <c r="T13"/>
      <c r="U13"/>
      <c r="V13"/>
      <c r="W13"/>
      <c r="X13"/>
    </row>
    <row r="14" spans="1:24" x14ac:dyDescent="0.3">
      <c r="A14" s="39" t="s">
        <v>984</v>
      </c>
      <c r="B14" s="137">
        <v>0</v>
      </c>
      <c r="T14"/>
      <c r="U14"/>
      <c r="V14"/>
      <c r="W14"/>
      <c r="X14"/>
    </row>
    <row r="15" spans="1:24" x14ac:dyDescent="0.3">
      <c r="A15" s="39" t="s">
        <v>1046</v>
      </c>
      <c r="B15" s="137">
        <v>6.2706666666666671</v>
      </c>
      <c r="T15"/>
      <c r="U15"/>
      <c r="V15"/>
      <c r="W15"/>
      <c r="X15"/>
    </row>
    <row r="16" spans="1:24" x14ac:dyDescent="0.3">
      <c r="A16" s="39" t="s">
        <v>70</v>
      </c>
      <c r="B16" s="137">
        <v>0</v>
      </c>
      <c r="T16"/>
      <c r="U16"/>
      <c r="V16"/>
      <c r="W16"/>
      <c r="X16"/>
    </row>
    <row r="17" spans="1:24" x14ac:dyDescent="0.3">
      <c r="A17" s="39" t="s">
        <v>93</v>
      </c>
      <c r="B17" s="137">
        <v>0</v>
      </c>
      <c r="T17"/>
      <c r="U17"/>
      <c r="V17"/>
      <c r="W17"/>
      <c r="X17"/>
    </row>
    <row r="18" spans="1:24" x14ac:dyDescent="0.3">
      <c r="A18" s="39" t="s">
        <v>66</v>
      </c>
      <c r="B18" s="137">
        <v>0</v>
      </c>
      <c r="T18"/>
      <c r="U18"/>
      <c r="V18"/>
      <c r="W18"/>
      <c r="X18"/>
    </row>
    <row r="19" spans="1:24" x14ac:dyDescent="0.3">
      <c r="A19" s="39" t="s">
        <v>74</v>
      </c>
      <c r="B19" s="137">
        <v>0</v>
      </c>
      <c r="T19"/>
      <c r="U19"/>
      <c r="V19"/>
      <c r="W19"/>
      <c r="X19"/>
    </row>
    <row r="20" spans="1:24" x14ac:dyDescent="0.3">
      <c r="A20" s="39" t="s">
        <v>27</v>
      </c>
      <c r="B20" s="137">
        <v>0</v>
      </c>
      <c r="T20"/>
      <c r="U20"/>
      <c r="V20"/>
      <c r="W20"/>
      <c r="X20"/>
    </row>
    <row r="21" spans="1:24" x14ac:dyDescent="0.3">
      <c r="A21" s="39" t="s">
        <v>716</v>
      </c>
      <c r="B21" s="137">
        <v>21.502066666666671</v>
      </c>
      <c r="T21"/>
      <c r="U21"/>
      <c r="V21"/>
      <c r="W21"/>
      <c r="X21"/>
    </row>
    <row r="22" spans="1:24" x14ac:dyDescent="0.3">
      <c r="A22" s="39" t="s">
        <v>717</v>
      </c>
      <c r="B22" s="137">
        <v>0</v>
      </c>
      <c r="T22"/>
      <c r="U22"/>
      <c r="V22"/>
      <c r="W22"/>
      <c r="X22"/>
    </row>
    <row r="23" spans="1:24" x14ac:dyDescent="0.3">
      <c r="A23" s="39" t="s">
        <v>718</v>
      </c>
      <c r="B23" s="137">
        <v>2.3651333333333335</v>
      </c>
      <c r="T23"/>
      <c r="U23"/>
      <c r="V23"/>
      <c r="W23"/>
      <c r="X23"/>
    </row>
    <row r="24" spans="1:24" x14ac:dyDescent="0.3">
      <c r="A24" s="39" t="s">
        <v>719</v>
      </c>
      <c r="B24" s="137">
        <v>67.11869999999999</v>
      </c>
      <c r="T24"/>
      <c r="U24"/>
      <c r="V24"/>
      <c r="W24"/>
      <c r="X24"/>
    </row>
    <row r="25" spans="1:24" x14ac:dyDescent="0.3">
      <c r="A25" s="39" t="s">
        <v>776</v>
      </c>
      <c r="B25" s="137">
        <v>0</v>
      </c>
      <c r="T25"/>
      <c r="U25"/>
      <c r="V25"/>
      <c r="W25"/>
      <c r="X25"/>
    </row>
    <row r="26" spans="1:24" x14ac:dyDescent="0.3">
      <c r="A26" s="39" t="s">
        <v>720</v>
      </c>
      <c r="B26" s="137">
        <v>2.9639666666666669</v>
      </c>
      <c r="T26"/>
      <c r="U26"/>
      <c r="V26"/>
      <c r="W26"/>
      <c r="X26"/>
    </row>
    <row r="27" spans="1:24" x14ac:dyDescent="0.3">
      <c r="A27" s="39" t="s">
        <v>722</v>
      </c>
      <c r="B27" s="137">
        <v>20.025733333333331</v>
      </c>
      <c r="T27"/>
      <c r="U27"/>
      <c r="V27"/>
      <c r="W27"/>
      <c r="X27"/>
    </row>
    <row r="28" spans="1:24" x14ac:dyDescent="0.3">
      <c r="A28" s="39" t="s">
        <v>721</v>
      </c>
      <c r="B28" s="137">
        <v>14.751133333333335</v>
      </c>
      <c r="T28"/>
      <c r="U28"/>
      <c r="V28"/>
      <c r="W28"/>
      <c r="X28"/>
    </row>
    <row r="29" spans="1:24" x14ac:dyDescent="0.3">
      <c r="A29" s="39" t="s">
        <v>723</v>
      </c>
      <c r="B29" s="137">
        <v>62.5047</v>
      </c>
      <c r="T29"/>
      <c r="U29"/>
      <c r="V29"/>
      <c r="W29"/>
      <c r="X29"/>
    </row>
    <row r="30" spans="1:24" x14ac:dyDescent="0.3">
      <c r="A30" s="39" t="s">
        <v>795</v>
      </c>
      <c r="B30" s="137">
        <v>2.8907666666666665</v>
      </c>
      <c r="T30"/>
      <c r="U30"/>
      <c r="V30"/>
      <c r="W30"/>
      <c r="X30"/>
    </row>
    <row r="31" spans="1:24" x14ac:dyDescent="0.3">
      <c r="A31" s="39" t="s">
        <v>724</v>
      </c>
      <c r="B31" s="137">
        <v>11.328533333333331</v>
      </c>
      <c r="T31"/>
      <c r="U31"/>
      <c r="V31"/>
      <c r="W31"/>
      <c r="X31"/>
    </row>
    <row r="32" spans="1:24" x14ac:dyDescent="0.3">
      <c r="A32" s="39" t="s">
        <v>725</v>
      </c>
      <c r="B32" s="137">
        <v>33.663199999999996</v>
      </c>
      <c r="T32"/>
      <c r="U32"/>
      <c r="V32"/>
      <c r="W32"/>
      <c r="X32"/>
    </row>
    <row r="33" spans="1:24" x14ac:dyDescent="0.3">
      <c r="A33" s="39" t="s">
        <v>726</v>
      </c>
      <c r="B33" s="137">
        <v>0</v>
      </c>
      <c r="T33"/>
      <c r="U33"/>
      <c r="V33"/>
      <c r="W33"/>
      <c r="X33"/>
    </row>
    <row r="34" spans="1:24" x14ac:dyDescent="0.3">
      <c r="A34" s="39" t="s">
        <v>727</v>
      </c>
      <c r="B34" s="137">
        <v>33.600799999999985</v>
      </c>
      <c r="T34"/>
      <c r="U34"/>
      <c r="V34"/>
      <c r="W34"/>
      <c r="X34"/>
    </row>
    <row r="35" spans="1:24" x14ac:dyDescent="0.3">
      <c r="A35" s="39" t="s">
        <v>970</v>
      </c>
      <c r="B35" s="137">
        <v>0</v>
      </c>
      <c r="T35"/>
      <c r="U35"/>
      <c r="V35"/>
      <c r="W35"/>
      <c r="X35"/>
    </row>
    <row r="36" spans="1:24" x14ac:dyDescent="0.3">
      <c r="A36" s="39" t="s">
        <v>728</v>
      </c>
      <c r="B36" s="137">
        <v>90.346900000000005</v>
      </c>
      <c r="T36"/>
      <c r="U36"/>
      <c r="V36"/>
      <c r="W36"/>
      <c r="X36"/>
    </row>
    <row r="37" spans="1:24" x14ac:dyDescent="0.3">
      <c r="A37" s="39" t="s">
        <v>779</v>
      </c>
      <c r="B37" s="137">
        <v>0</v>
      </c>
      <c r="T37"/>
      <c r="U37"/>
      <c r="V37"/>
      <c r="W37"/>
      <c r="X37"/>
    </row>
    <row r="38" spans="1:24" x14ac:dyDescent="0.3">
      <c r="A38" s="39" t="s">
        <v>730</v>
      </c>
      <c r="B38" s="137">
        <v>288.61823333333331</v>
      </c>
      <c r="T38"/>
      <c r="U38"/>
      <c r="V38"/>
      <c r="W38"/>
      <c r="X38"/>
    </row>
    <row r="39" spans="1:24" x14ac:dyDescent="0.3">
      <c r="A39" s="39" t="s">
        <v>731</v>
      </c>
      <c r="B39" s="137">
        <v>287.57279999999997</v>
      </c>
      <c r="T39"/>
      <c r="U39"/>
      <c r="V39"/>
      <c r="W39"/>
      <c r="X39"/>
    </row>
    <row r="40" spans="1:24" x14ac:dyDescent="0.3">
      <c r="A40" s="39" t="s">
        <v>778</v>
      </c>
      <c r="B40" s="137">
        <v>0.40623333333333339</v>
      </c>
      <c r="T40"/>
      <c r="U40"/>
      <c r="V40"/>
      <c r="W40"/>
      <c r="X40"/>
    </row>
    <row r="41" spans="1:24" x14ac:dyDescent="0.3">
      <c r="A41" s="39" t="s">
        <v>938</v>
      </c>
      <c r="B41" s="137">
        <v>0</v>
      </c>
      <c r="T41"/>
      <c r="U41"/>
      <c r="V41"/>
      <c r="W41"/>
      <c r="X41"/>
    </row>
    <row r="42" spans="1:24" x14ac:dyDescent="0.3">
      <c r="A42" s="39" t="s">
        <v>1012</v>
      </c>
      <c r="B42" s="137">
        <v>6.1349999999999989</v>
      </c>
      <c r="T42"/>
      <c r="U42"/>
      <c r="V42"/>
      <c r="W42"/>
      <c r="X42"/>
    </row>
    <row r="43" spans="1:24" x14ac:dyDescent="0.3">
      <c r="A43" s="39" t="s">
        <v>732</v>
      </c>
      <c r="B43" s="137">
        <v>0.30649999999999999</v>
      </c>
      <c r="T43"/>
      <c r="U43"/>
      <c r="V43"/>
      <c r="W43"/>
      <c r="X43"/>
    </row>
    <row r="44" spans="1:24" x14ac:dyDescent="0.3">
      <c r="A44" s="39" t="s">
        <v>818</v>
      </c>
      <c r="B44" s="137">
        <v>0</v>
      </c>
      <c r="T44"/>
      <c r="U44"/>
      <c r="V44"/>
      <c r="W44"/>
      <c r="X44"/>
    </row>
    <row r="45" spans="1:24" x14ac:dyDescent="0.3">
      <c r="A45" s="39" t="s">
        <v>969</v>
      </c>
      <c r="B45" s="137">
        <v>0.35216666666666663</v>
      </c>
      <c r="T45"/>
      <c r="U45"/>
      <c r="V45"/>
      <c r="W45"/>
      <c r="X45"/>
    </row>
    <row r="46" spans="1:24" x14ac:dyDescent="0.3">
      <c r="A46" s="39" t="s">
        <v>906</v>
      </c>
      <c r="B46" s="137">
        <v>11.535333333333332</v>
      </c>
      <c r="T46"/>
      <c r="U46"/>
      <c r="V46"/>
      <c r="W46"/>
      <c r="X46"/>
    </row>
    <row r="47" spans="1:24" x14ac:dyDescent="0.3">
      <c r="A47" s="39" t="s">
        <v>934</v>
      </c>
      <c r="B47" s="137">
        <v>0</v>
      </c>
      <c r="T47"/>
      <c r="U47"/>
      <c r="V47"/>
      <c r="W47"/>
      <c r="X47"/>
    </row>
    <row r="48" spans="1:24" x14ac:dyDescent="0.3">
      <c r="A48" s="39" t="s">
        <v>932</v>
      </c>
      <c r="B48" s="137">
        <v>5.7344999999999988</v>
      </c>
      <c r="T48"/>
      <c r="U48"/>
      <c r="V48"/>
      <c r="W48"/>
      <c r="X48"/>
    </row>
    <row r="49" spans="1:24" x14ac:dyDescent="0.3">
      <c r="A49" s="39" t="s">
        <v>841</v>
      </c>
      <c r="B49" s="137">
        <v>4.5307666666666666</v>
      </c>
      <c r="T49"/>
      <c r="U49"/>
      <c r="V49"/>
      <c r="W49"/>
      <c r="X49"/>
    </row>
    <row r="50" spans="1:24" x14ac:dyDescent="0.3">
      <c r="A50" s="39" t="s">
        <v>936</v>
      </c>
      <c r="B50" s="137">
        <v>0</v>
      </c>
      <c r="T50"/>
      <c r="U50"/>
      <c r="V50"/>
      <c r="W50"/>
      <c r="X50"/>
    </row>
    <row r="51" spans="1:24" x14ac:dyDescent="0.3">
      <c r="A51" s="39" t="s">
        <v>930</v>
      </c>
      <c r="B51" s="137">
        <v>0</v>
      </c>
      <c r="T51"/>
      <c r="U51"/>
      <c r="V51"/>
      <c r="W51"/>
      <c r="X51"/>
    </row>
    <row r="52" spans="1:24" x14ac:dyDescent="0.3">
      <c r="A52" s="39" t="s">
        <v>929</v>
      </c>
      <c r="B52" s="137">
        <v>12.320733333333335</v>
      </c>
      <c r="T52"/>
      <c r="U52"/>
      <c r="V52"/>
      <c r="W52"/>
      <c r="X52"/>
    </row>
    <row r="53" spans="1:24" x14ac:dyDescent="0.3">
      <c r="A53" s="39" t="s">
        <v>931</v>
      </c>
      <c r="B53" s="137">
        <v>0</v>
      </c>
      <c r="T53"/>
      <c r="U53"/>
      <c r="V53"/>
      <c r="W53"/>
      <c r="X53"/>
    </row>
    <row r="54" spans="1:24" x14ac:dyDescent="0.3">
      <c r="A54" s="39" t="s">
        <v>928</v>
      </c>
      <c r="B54" s="137">
        <v>0</v>
      </c>
      <c r="T54"/>
      <c r="U54"/>
      <c r="V54"/>
      <c r="W54"/>
      <c r="X54"/>
    </row>
    <row r="55" spans="1:24" x14ac:dyDescent="0.3">
      <c r="A55" s="39" t="s">
        <v>927</v>
      </c>
      <c r="B55" s="137">
        <v>0</v>
      </c>
      <c r="T55"/>
      <c r="U55"/>
      <c r="V55"/>
      <c r="W55"/>
      <c r="X55"/>
    </row>
    <row r="56" spans="1:24" x14ac:dyDescent="0.3">
      <c r="A56" s="39" t="s">
        <v>926</v>
      </c>
      <c r="B56" s="137">
        <v>0</v>
      </c>
      <c r="T56"/>
      <c r="U56"/>
      <c r="V56"/>
      <c r="W56"/>
      <c r="X56"/>
    </row>
    <row r="57" spans="1:24" x14ac:dyDescent="0.3">
      <c r="A57" s="39" t="s">
        <v>734</v>
      </c>
      <c r="B57" s="137">
        <v>6.9627333333333334</v>
      </c>
      <c r="T57"/>
      <c r="U57"/>
      <c r="V57"/>
      <c r="W57"/>
      <c r="X57"/>
    </row>
    <row r="58" spans="1:24" x14ac:dyDescent="0.3">
      <c r="A58" s="39" t="s">
        <v>917</v>
      </c>
      <c r="B58" s="137">
        <v>2.6143333333333336</v>
      </c>
      <c r="T58"/>
      <c r="U58"/>
      <c r="V58"/>
      <c r="W58"/>
      <c r="X58"/>
    </row>
    <row r="59" spans="1:24" x14ac:dyDescent="0.3">
      <c r="A59" s="39" t="s">
        <v>958</v>
      </c>
      <c r="B59" s="137">
        <v>0.39183333333333337</v>
      </c>
      <c r="T59"/>
      <c r="U59"/>
      <c r="V59"/>
      <c r="W59"/>
      <c r="X59"/>
    </row>
    <row r="60" spans="1:24" x14ac:dyDescent="0.3">
      <c r="A60" s="39" t="s">
        <v>811</v>
      </c>
      <c r="B60" s="137">
        <v>1.0272333333333334</v>
      </c>
      <c r="T60"/>
      <c r="U60"/>
      <c r="V60"/>
      <c r="W60"/>
      <c r="X60"/>
    </row>
    <row r="61" spans="1:24" x14ac:dyDescent="0.3">
      <c r="A61" s="39" t="s">
        <v>735</v>
      </c>
      <c r="B61" s="137">
        <v>9.9754333333333349</v>
      </c>
      <c r="T61"/>
      <c r="U61"/>
      <c r="V61"/>
      <c r="W61"/>
      <c r="X61"/>
    </row>
    <row r="62" spans="1:24" x14ac:dyDescent="0.3">
      <c r="A62" s="39" t="s">
        <v>918</v>
      </c>
      <c r="B62" s="137">
        <v>10.357800000000001</v>
      </c>
      <c r="T62"/>
      <c r="U62"/>
      <c r="V62"/>
      <c r="W62"/>
      <c r="X62"/>
    </row>
    <row r="63" spans="1:24" x14ac:dyDescent="0.3">
      <c r="A63" s="39" t="s">
        <v>736</v>
      </c>
      <c r="B63" s="137">
        <v>0.34853333333333336</v>
      </c>
      <c r="T63"/>
      <c r="U63"/>
      <c r="V63"/>
      <c r="W63"/>
      <c r="X63"/>
    </row>
    <row r="64" spans="1:24" x14ac:dyDescent="0.3">
      <c r="A64" s="39" t="s">
        <v>780</v>
      </c>
      <c r="B64" s="137">
        <v>0</v>
      </c>
      <c r="T64"/>
      <c r="U64"/>
      <c r="V64"/>
      <c r="W64"/>
      <c r="X64"/>
    </row>
    <row r="65" spans="1:24" x14ac:dyDescent="0.3">
      <c r="A65" s="39" t="s">
        <v>856</v>
      </c>
      <c r="B65" s="137">
        <v>0</v>
      </c>
      <c r="T65"/>
      <c r="U65"/>
      <c r="V65"/>
      <c r="W65"/>
      <c r="X65"/>
    </row>
    <row r="66" spans="1:24" x14ac:dyDescent="0.3">
      <c r="A66" s="39" t="s">
        <v>933</v>
      </c>
      <c r="B66" s="137">
        <v>1.8725666666666669</v>
      </c>
      <c r="T66"/>
      <c r="U66"/>
      <c r="V66"/>
      <c r="W66"/>
      <c r="X66"/>
    </row>
    <row r="67" spans="1:24" x14ac:dyDescent="0.3">
      <c r="A67" s="39" t="s">
        <v>991</v>
      </c>
      <c r="B67" s="137">
        <v>2.0366333333333331</v>
      </c>
      <c r="T67"/>
      <c r="U67"/>
      <c r="V67"/>
      <c r="W67"/>
      <c r="X67"/>
    </row>
    <row r="68" spans="1:24" x14ac:dyDescent="0.3">
      <c r="A68" s="39" t="s">
        <v>935</v>
      </c>
      <c r="B68" s="137">
        <v>0</v>
      </c>
      <c r="T68"/>
      <c r="U68"/>
      <c r="V68"/>
      <c r="W68"/>
      <c r="X68"/>
    </row>
    <row r="69" spans="1:24" x14ac:dyDescent="0.3">
      <c r="A69" s="39" t="s">
        <v>1037</v>
      </c>
      <c r="B69" s="137">
        <v>0</v>
      </c>
      <c r="T69"/>
      <c r="U69"/>
      <c r="V69"/>
      <c r="W69"/>
      <c r="X69"/>
    </row>
    <row r="70" spans="1:24" x14ac:dyDescent="0.3">
      <c r="A70" s="39" t="s">
        <v>1049</v>
      </c>
      <c r="B70" s="137">
        <v>3.8406666666666665</v>
      </c>
      <c r="T70"/>
      <c r="U70"/>
      <c r="V70"/>
      <c r="W70"/>
      <c r="X70"/>
    </row>
    <row r="71" spans="1:24" x14ac:dyDescent="0.3">
      <c r="A71" s="39" t="s">
        <v>1045</v>
      </c>
      <c r="B71" s="137">
        <v>0.56900000000000006</v>
      </c>
      <c r="T71"/>
      <c r="U71"/>
      <c r="V71"/>
      <c r="W71"/>
      <c r="X71"/>
    </row>
    <row r="72" spans="1:24" x14ac:dyDescent="0.3">
      <c r="A72" s="39" t="s">
        <v>777</v>
      </c>
      <c r="B72" s="137">
        <v>0</v>
      </c>
      <c r="T72"/>
      <c r="U72"/>
      <c r="V72"/>
      <c r="W72"/>
      <c r="X72"/>
    </row>
    <row r="73" spans="1:24" x14ac:dyDescent="0.3">
      <c r="A73" s="39" t="s">
        <v>956</v>
      </c>
      <c r="B73" s="137">
        <v>0</v>
      </c>
      <c r="T73"/>
      <c r="U73"/>
      <c r="V73"/>
      <c r="W73"/>
      <c r="X73"/>
    </row>
    <row r="74" spans="1:24" x14ac:dyDescent="0.3">
      <c r="A74" s="39" t="s">
        <v>782</v>
      </c>
      <c r="B74" s="137">
        <v>0</v>
      </c>
      <c r="T74"/>
      <c r="U74"/>
      <c r="V74"/>
      <c r="W74"/>
      <c r="X74"/>
    </row>
    <row r="75" spans="1:24" x14ac:dyDescent="0.3">
      <c r="A75" s="39" t="s">
        <v>803</v>
      </c>
      <c r="B75" s="137">
        <v>0</v>
      </c>
      <c r="T75"/>
      <c r="U75"/>
      <c r="V75"/>
      <c r="W75"/>
      <c r="X75"/>
    </row>
    <row r="76" spans="1:24" x14ac:dyDescent="0.3">
      <c r="A76" s="39" t="s">
        <v>737</v>
      </c>
      <c r="B76" s="137">
        <v>10.899633333333334</v>
      </c>
      <c r="T76"/>
      <c r="U76"/>
      <c r="V76"/>
      <c r="W76"/>
      <c r="X76"/>
    </row>
    <row r="77" spans="1:24" x14ac:dyDescent="0.3">
      <c r="A77" s="39" t="s">
        <v>1007</v>
      </c>
      <c r="B77" s="137">
        <v>0</v>
      </c>
      <c r="T77"/>
      <c r="U77"/>
      <c r="V77"/>
      <c r="W77"/>
      <c r="X77"/>
    </row>
    <row r="78" spans="1:24" x14ac:dyDescent="0.3">
      <c r="A78" s="39" t="s">
        <v>781</v>
      </c>
      <c r="B78" s="137">
        <v>0</v>
      </c>
      <c r="T78"/>
      <c r="U78"/>
      <c r="V78"/>
      <c r="W78"/>
      <c r="X78"/>
    </row>
    <row r="79" spans="1:24" x14ac:dyDescent="0.3">
      <c r="A79" s="39" t="s">
        <v>94</v>
      </c>
      <c r="B79" s="137">
        <v>0</v>
      </c>
      <c r="T79"/>
      <c r="U79"/>
      <c r="V79"/>
      <c r="W79"/>
      <c r="X79"/>
    </row>
    <row r="80" spans="1:24" x14ac:dyDescent="0.3">
      <c r="A80" s="39" t="s">
        <v>117</v>
      </c>
      <c r="B80" s="137">
        <v>0</v>
      </c>
      <c r="T80"/>
      <c r="U80"/>
      <c r="V80"/>
      <c r="W80"/>
      <c r="X80"/>
    </row>
    <row r="81" spans="1:24" x14ac:dyDescent="0.3">
      <c r="A81" s="39" t="s">
        <v>115</v>
      </c>
      <c r="B81" s="137">
        <v>0</v>
      </c>
      <c r="T81"/>
      <c r="U81"/>
      <c r="V81"/>
      <c r="W81"/>
      <c r="X81"/>
    </row>
    <row r="82" spans="1:24" x14ac:dyDescent="0.3">
      <c r="A82" s="39" t="s">
        <v>122</v>
      </c>
      <c r="B82" s="137">
        <v>0</v>
      </c>
      <c r="T82"/>
      <c r="U82"/>
      <c r="V82"/>
      <c r="W82"/>
      <c r="X82"/>
    </row>
    <row r="83" spans="1:24" x14ac:dyDescent="0.3">
      <c r="A83" s="39" t="s">
        <v>739</v>
      </c>
      <c r="B83" s="137">
        <v>0</v>
      </c>
      <c r="T83"/>
      <c r="U83"/>
      <c r="V83"/>
      <c r="W83"/>
      <c r="X83"/>
    </row>
    <row r="84" spans="1:24" x14ac:dyDescent="0.3">
      <c r="A84" s="39" t="s">
        <v>740</v>
      </c>
      <c r="B84" s="137">
        <v>162.75849999999997</v>
      </c>
      <c r="T84"/>
      <c r="U84"/>
      <c r="V84"/>
      <c r="W84"/>
      <c r="X84"/>
    </row>
    <row r="85" spans="1:24" x14ac:dyDescent="0.3">
      <c r="A85" s="39" t="s">
        <v>741</v>
      </c>
      <c r="B85" s="137">
        <v>0</v>
      </c>
      <c r="T85"/>
      <c r="U85"/>
      <c r="V85"/>
      <c r="W85"/>
      <c r="X85"/>
    </row>
    <row r="86" spans="1:24" x14ac:dyDescent="0.3">
      <c r="A86" s="39" t="s">
        <v>797</v>
      </c>
      <c r="B86" s="137">
        <v>0</v>
      </c>
      <c r="T86"/>
      <c r="U86"/>
      <c r="V86"/>
      <c r="W86"/>
      <c r="X86"/>
    </row>
    <row r="87" spans="1:24" x14ac:dyDescent="0.3">
      <c r="A87" s="39" t="s">
        <v>799</v>
      </c>
      <c r="B87" s="137">
        <v>0</v>
      </c>
      <c r="T87"/>
      <c r="U87"/>
      <c r="V87"/>
      <c r="W87"/>
      <c r="X87"/>
    </row>
    <row r="88" spans="1:24" x14ac:dyDescent="0.3">
      <c r="A88" s="39" t="s">
        <v>798</v>
      </c>
      <c r="B88" s="137">
        <v>0</v>
      </c>
      <c r="T88"/>
      <c r="U88"/>
      <c r="V88"/>
      <c r="W88"/>
      <c r="X88"/>
    </row>
    <row r="89" spans="1:24" x14ac:dyDescent="0.3">
      <c r="A89" s="39" t="s">
        <v>946</v>
      </c>
      <c r="B89" s="137">
        <v>19.911233333333335</v>
      </c>
      <c r="T89"/>
      <c r="U89"/>
      <c r="V89"/>
      <c r="W89"/>
      <c r="X89"/>
    </row>
    <row r="90" spans="1:24" x14ac:dyDescent="0.3">
      <c r="A90" s="39" t="s">
        <v>950</v>
      </c>
      <c r="B90" s="137">
        <v>0</v>
      </c>
      <c r="T90"/>
      <c r="U90"/>
      <c r="V90"/>
      <c r="W90"/>
      <c r="X90"/>
    </row>
    <row r="91" spans="1:24" x14ac:dyDescent="0.3">
      <c r="A91" s="39" t="s">
        <v>810</v>
      </c>
      <c r="B91" s="137">
        <v>0</v>
      </c>
      <c r="T91"/>
      <c r="U91"/>
      <c r="V91"/>
      <c r="W91"/>
      <c r="X91"/>
    </row>
    <row r="92" spans="1:24" x14ac:dyDescent="0.3">
      <c r="A92" s="39" t="s">
        <v>955</v>
      </c>
      <c r="B92" s="137">
        <v>1.1285333333333334</v>
      </c>
      <c r="T92"/>
      <c r="U92"/>
      <c r="V92"/>
      <c r="W92"/>
      <c r="X92"/>
    </row>
    <row r="93" spans="1:24" x14ac:dyDescent="0.3">
      <c r="A93" s="39" t="s">
        <v>800</v>
      </c>
      <c r="B93" s="137">
        <v>0</v>
      </c>
      <c r="T93"/>
      <c r="U93"/>
      <c r="V93"/>
      <c r="W93"/>
      <c r="X93"/>
    </row>
    <row r="94" spans="1:24" x14ac:dyDescent="0.3">
      <c r="A94" s="39" t="s">
        <v>771</v>
      </c>
      <c r="B94" s="137">
        <v>605.7759666666667</v>
      </c>
      <c r="T94"/>
      <c r="U94"/>
      <c r="V94"/>
      <c r="W94"/>
      <c r="X94"/>
    </row>
    <row r="95" spans="1:24" x14ac:dyDescent="0.3">
      <c r="A95" s="39" t="s">
        <v>944</v>
      </c>
      <c r="B95" s="137">
        <v>1.8849999999999996</v>
      </c>
      <c r="T95"/>
      <c r="U95"/>
      <c r="V95"/>
      <c r="W95"/>
      <c r="X95"/>
    </row>
    <row r="96" spans="1:24" x14ac:dyDescent="0.3">
      <c r="A96" s="39" t="s">
        <v>922</v>
      </c>
      <c r="B96" s="137">
        <v>16.967666666666663</v>
      </c>
      <c r="T96"/>
      <c r="U96"/>
      <c r="V96"/>
      <c r="W96"/>
      <c r="X96"/>
    </row>
    <row r="97" spans="1:24" x14ac:dyDescent="0.3">
      <c r="A97" s="39" t="s">
        <v>796</v>
      </c>
      <c r="B97" s="137">
        <v>12.429166666666665</v>
      </c>
      <c r="T97"/>
      <c r="U97"/>
      <c r="V97"/>
      <c r="W97"/>
      <c r="X97"/>
    </row>
    <row r="98" spans="1:24" x14ac:dyDescent="0.3">
      <c r="A98" s="39" t="s">
        <v>742</v>
      </c>
      <c r="B98" s="137">
        <v>16.775200000000005</v>
      </c>
      <c r="T98"/>
      <c r="U98"/>
      <c r="V98"/>
      <c r="W98"/>
      <c r="X98"/>
    </row>
    <row r="99" spans="1:24" x14ac:dyDescent="0.3">
      <c r="A99" s="39" t="s">
        <v>963</v>
      </c>
      <c r="B99" s="137">
        <v>0</v>
      </c>
      <c r="T99"/>
      <c r="U99"/>
      <c r="V99"/>
      <c r="W99"/>
      <c r="X99"/>
    </row>
    <row r="100" spans="1:24" x14ac:dyDescent="0.3">
      <c r="A100" s="39" t="s">
        <v>940</v>
      </c>
      <c r="B100" s="137">
        <v>0.97503333333333342</v>
      </c>
      <c r="T100"/>
      <c r="U100"/>
      <c r="V100"/>
      <c r="W100"/>
      <c r="X100"/>
    </row>
    <row r="101" spans="1:24" x14ac:dyDescent="0.3">
      <c r="A101" s="39" t="s">
        <v>743</v>
      </c>
      <c r="B101" s="137">
        <v>5.4922666666666657</v>
      </c>
      <c r="T101"/>
      <c r="U101"/>
      <c r="V101"/>
      <c r="W101"/>
      <c r="X101"/>
    </row>
    <row r="102" spans="1:24" x14ac:dyDescent="0.3">
      <c r="A102" s="39" t="s">
        <v>912</v>
      </c>
      <c r="B102" s="137">
        <v>0.33233333333333337</v>
      </c>
      <c r="T102"/>
      <c r="U102"/>
      <c r="V102"/>
      <c r="W102"/>
      <c r="X102"/>
    </row>
    <row r="103" spans="1:24" x14ac:dyDescent="0.3">
      <c r="A103" s="39" t="s">
        <v>744</v>
      </c>
      <c r="B103" s="137">
        <v>7.3333333333333334E-2</v>
      </c>
      <c r="T103"/>
      <c r="U103"/>
      <c r="V103"/>
      <c r="W103"/>
      <c r="X103"/>
    </row>
    <row r="104" spans="1:24" x14ac:dyDescent="0.3">
      <c r="A104" s="39" t="s">
        <v>1022</v>
      </c>
      <c r="B104" s="137">
        <v>284.00659999999999</v>
      </c>
      <c r="T104"/>
      <c r="U104"/>
      <c r="V104"/>
      <c r="W104"/>
      <c r="X104"/>
    </row>
    <row r="105" spans="1:24" x14ac:dyDescent="0.3">
      <c r="A105" s="39" t="s">
        <v>913</v>
      </c>
      <c r="B105" s="137">
        <v>1.2805666666666666</v>
      </c>
      <c r="T105"/>
      <c r="U105"/>
      <c r="V105"/>
      <c r="W105"/>
      <c r="X105"/>
    </row>
    <row r="106" spans="1:24" x14ac:dyDescent="0.3">
      <c r="A106" s="39" t="s">
        <v>789</v>
      </c>
      <c r="B106" s="137">
        <v>0</v>
      </c>
      <c r="T106"/>
      <c r="U106"/>
      <c r="V106"/>
      <c r="W106"/>
      <c r="X106"/>
    </row>
    <row r="107" spans="1:24" x14ac:dyDescent="0.3">
      <c r="A107" s="39" t="s">
        <v>843</v>
      </c>
      <c r="B107" s="137">
        <v>0</v>
      </c>
      <c r="T107"/>
      <c r="U107"/>
      <c r="V107"/>
      <c r="W107"/>
      <c r="X107"/>
    </row>
    <row r="108" spans="1:24" x14ac:dyDescent="0.3">
      <c r="A108" s="39" t="s">
        <v>783</v>
      </c>
      <c r="B108" s="137">
        <v>0</v>
      </c>
      <c r="T108"/>
      <c r="U108"/>
      <c r="V108"/>
      <c r="W108"/>
      <c r="X108"/>
    </row>
    <row r="109" spans="1:24" x14ac:dyDescent="0.3">
      <c r="A109" s="39" t="s">
        <v>883</v>
      </c>
      <c r="B109" s="137">
        <v>0</v>
      </c>
      <c r="T109"/>
      <c r="U109"/>
      <c r="V109"/>
      <c r="W109"/>
      <c r="X109"/>
    </row>
    <row r="110" spans="1:24" x14ac:dyDescent="0.3">
      <c r="A110" s="39" t="s">
        <v>788</v>
      </c>
      <c r="B110" s="137">
        <v>1.7806333333333335</v>
      </c>
      <c r="T110"/>
      <c r="U110"/>
      <c r="V110"/>
      <c r="W110"/>
      <c r="X110"/>
    </row>
    <row r="111" spans="1:24" x14ac:dyDescent="0.3">
      <c r="A111" s="39" t="s">
        <v>792</v>
      </c>
      <c r="B111" s="137">
        <v>0.65566666666666673</v>
      </c>
      <c r="T111"/>
      <c r="U111"/>
      <c r="V111"/>
      <c r="W111"/>
      <c r="X111"/>
    </row>
    <row r="112" spans="1:24" x14ac:dyDescent="0.3">
      <c r="A112" s="39" t="s">
        <v>824</v>
      </c>
      <c r="B112" s="137">
        <v>0</v>
      </c>
      <c r="T112"/>
      <c r="U112"/>
      <c r="V112"/>
      <c r="W112"/>
      <c r="X112"/>
    </row>
    <row r="113" spans="1:24" x14ac:dyDescent="0.3">
      <c r="A113" s="39" t="s">
        <v>784</v>
      </c>
      <c r="B113" s="137">
        <v>0.55396666666666661</v>
      </c>
      <c r="T113"/>
      <c r="U113"/>
      <c r="V113"/>
      <c r="W113"/>
      <c r="X113"/>
    </row>
    <row r="114" spans="1:24" x14ac:dyDescent="0.3">
      <c r="A114" s="39" t="s">
        <v>951</v>
      </c>
      <c r="B114" s="137">
        <v>0</v>
      </c>
      <c r="T114"/>
      <c r="U114"/>
      <c r="V114"/>
      <c r="W114"/>
      <c r="X114"/>
    </row>
    <row r="115" spans="1:24" x14ac:dyDescent="0.3">
      <c r="A115" s="39" t="s">
        <v>886</v>
      </c>
      <c r="B115" s="137">
        <v>0</v>
      </c>
      <c r="T115"/>
      <c r="U115"/>
      <c r="V115"/>
      <c r="W115"/>
      <c r="X115"/>
    </row>
    <row r="116" spans="1:24" x14ac:dyDescent="0.3">
      <c r="A116" s="39" t="s">
        <v>893</v>
      </c>
      <c r="B116" s="137">
        <v>4.6819666666666668</v>
      </c>
      <c r="T116"/>
      <c r="U116"/>
      <c r="V116"/>
      <c r="W116"/>
      <c r="X116"/>
    </row>
    <row r="117" spans="1:24" x14ac:dyDescent="0.3">
      <c r="A117" s="39" t="s">
        <v>867</v>
      </c>
      <c r="B117" s="137">
        <v>0</v>
      </c>
      <c r="T117"/>
      <c r="U117"/>
      <c r="V117"/>
      <c r="W117"/>
      <c r="X117"/>
    </row>
    <row r="118" spans="1:24" x14ac:dyDescent="0.3">
      <c r="A118" s="39" t="s">
        <v>1013</v>
      </c>
      <c r="B118" s="137">
        <v>0</v>
      </c>
      <c r="T118"/>
      <c r="U118"/>
      <c r="V118"/>
      <c r="W118"/>
      <c r="X118"/>
    </row>
    <row r="119" spans="1:24" x14ac:dyDescent="0.3">
      <c r="A119" s="39" t="s">
        <v>1009</v>
      </c>
      <c r="B119" s="137">
        <v>0</v>
      </c>
      <c r="T119"/>
      <c r="U119"/>
      <c r="V119"/>
      <c r="W119"/>
      <c r="X119"/>
    </row>
    <row r="120" spans="1:24" x14ac:dyDescent="0.3">
      <c r="A120" s="39" t="s">
        <v>830</v>
      </c>
      <c r="B120" s="137">
        <v>0</v>
      </c>
      <c r="T120"/>
      <c r="U120"/>
      <c r="V120"/>
      <c r="W120"/>
      <c r="X120"/>
    </row>
    <row r="121" spans="1:24" x14ac:dyDescent="0.3">
      <c r="A121" s="39" t="s">
        <v>952</v>
      </c>
      <c r="B121" s="137">
        <v>0</v>
      </c>
      <c r="T121"/>
      <c r="U121"/>
      <c r="V121"/>
      <c r="W121"/>
      <c r="X121"/>
    </row>
    <row r="122" spans="1:24" x14ac:dyDescent="0.3">
      <c r="A122" s="39" t="s">
        <v>896</v>
      </c>
      <c r="B122" s="137">
        <v>0.19133333333333333</v>
      </c>
      <c r="T122"/>
      <c r="U122"/>
      <c r="V122"/>
      <c r="W122"/>
      <c r="X122"/>
    </row>
    <row r="123" spans="1:24" x14ac:dyDescent="0.3">
      <c r="A123" s="39" t="s">
        <v>772</v>
      </c>
      <c r="B123" s="137">
        <v>4.1263333333333332</v>
      </c>
      <c r="T123"/>
      <c r="U123"/>
      <c r="V123"/>
      <c r="W123"/>
      <c r="X123"/>
    </row>
    <row r="124" spans="1:24" x14ac:dyDescent="0.3">
      <c r="A124" s="39" t="s">
        <v>801</v>
      </c>
      <c r="B124" s="137">
        <v>0</v>
      </c>
      <c r="T124"/>
      <c r="U124"/>
      <c r="V124"/>
      <c r="W124"/>
      <c r="X124"/>
    </row>
    <row r="125" spans="1:24" x14ac:dyDescent="0.3">
      <c r="A125" s="39" t="s">
        <v>948</v>
      </c>
      <c r="B125" s="137">
        <v>6.0956999999999999</v>
      </c>
      <c r="T125"/>
      <c r="U125"/>
      <c r="V125"/>
      <c r="W125"/>
      <c r="X125"/>
    </row>
    <row r="126" spans="1:24" x14ac:dyDescent="0.3">
      <c r="A126" s="39" t="s">
        <v>1056</v>
      </c>
      <c r="B126" s="137">
        <v>179.61246666666668</v>
      </c>
      <c r="T126"/>
      <c r="U126"/>
      <c r="V126"/>
      <c r="W126"/>
      <c r="X126"/>
    </row>
    <row r="127" spans="1:24" x14ac:dyDescent="0.3">
      <c r="A127" s="39" t="s">
        <v>967</v>
      </c>
      <c r="B127" s="137">
        <v>0.19933333333333333</v>
      </c>
      <c r="T127"/>
      <c r="U127"/>
      <c r="V127"/>
      <c r="W127"/>
      <c r="X127"/>
    </row>
    <row r="128" spans="1:24" x14ac:dyDescent="0.3">
      <c r="A128" s="39" t="s">
        <v>834</v>
      </c>
      <c r="B128" s="137">
        <v>0</v>
      </c>
      <c r="T128"/>
      <c r="U128"/>
      <c r="V128"/>
      <c r="W128"/>
      <c r="X128"/>
    </row>
    <row r="129" spans="1:24" x14ac:dyDescent="0.3">
      <c r="A129" s="39" t="s">
        <v>794</v>
      </c>
      <c r="B129" s="137">
        <v>0</v>
      </c>
      <c r="T129"/>
      <c r="U129"/>
      <c r="V129"/>
      <c r="W129"/>
      <c r="X129"/>
    </row>
    <row r="130" spans="1:24" x14ac:dyDescent="0.3">
      <c r="A130" s="39" t="s">
        <v>791</v>
      </c>
      <c r="B130" s="137">
        <v>0</v>
      </c>
      <c r="T130"/>
      <c r="U130"/>
      <c r="V130"/>
      <c r="W130"/>
      <c r="X130"/>
    </row>
    <row r="131" spans="1:24" x14ac:dyDescent="0.3">
      <c r="A131" s="39" t="s">
        <v>793</v>
      </c>
      <c r="B131" s="137">
        <v>0.10666666666666667</v>
      </c>
      <c r="T131"/>
      <c r="U131"/>
      <c r="V131"/>
      <c r="W131"/>
      <c r="X131"/>
    </row>
    <row r="132" spans="1:24" x14ac:dyDescent="0.3">
      <c r="A132" s="39" t="s">
        <v>914</v>
      </c>
      <c r="B132" s="137">
        <v>33.753133333333338</v>
      </c>
      <c r="T132"/>
      <c r="U132"/>
      <c r="V132"/>
      <c r="W132"/>
      <c r="X132"/>
    </row>
    <row r="133" spans="1:24" x14ac:dyDescent="0.3">
      <c r="A133" s="39" t="s">
        <v>745</v>
      </c>
      <c r="B133" s="137">
        <v>73.59996666666666</v>
      </c>
      <c r="T133"/>
      <c r="U133"/>
      <c r="V133"/>
      <c r="W133"/>
      <c r="X133"/>
    </row>
    <row r="134" spans="1:24" x14ac:dyDescent="0.3">
      <c r="A134" s="39" t="s">
        <v>786</v>
      </c>
      <c r="B134" s="137">
        <v>15.419866666666667</v>
      </c>
      <c r="T134"/>
      <c r="U134"/>
      <c r="V134"/>
      <c r="W134"/>
      <c r="X134"/>
    </row>
    <row r="135" spans="1:24" x14ac:dyDescent="0.3">
      <c r="A135" s="39" t="s">
        <v>747</v>
      </c>
      <c r="B135" s="137">
        <v>202.62913333333336</v>
      </c>
      <c r="T135"/>
      <c r="U135"/>
      <c r="V135"/>
      <c r="W135"/>
      <c r="X135"/>
    </row>
    <row r="136" spans="1:24" x14ac:dyDescent="0.3">
      <c r="A136" s="39" t="s">
        <v>748</v>
      </c>
      <c r="B136" s="137">
        <v>73.119433333333333</v>
      </c>
      <c r="T136"/>
      <c r="U136"/>
      <c r="V136"/>
      <c r="W136"/>
      <c r="X136"/>
    </row>
    <row r="137" spans="1:24" x14ac:dyDescent="0.3">
      <c r="A137" s="39" t="s">
        <v>749</v>
      </c>
      <c r="B137" s="137">
        <v>38.911266666666663</v>
      </c>
      <c r="T137"/>
      <c r="U137"/>
      <c r="V137"/>
      <c r="W137"/>
      <c r="X137"/>
    </row>
    <row r="138" spans="1:24" x14ac:dyDescent="0.3">
      <c r="A138" s="39" t="s">
        <v>953</v>
      </c>
      <c r="B138" s="137">
        <v>22.886399999999998</v>
      </c>
      <c r="T138"/>
      <c r="U138"/>
      <c r="V138"/>
      <c r="W138"/>
      <c r="X138"/>
    </row>
    <row r="139" spans="1:24" x14ac:dyDescent="0.3">
      <c r="A139" s="39" t="s">
        <v>750</v>
      </c>
      <c r="B139" s="137">
        <v>33.558766666666664</v>
      </c>
      <c r="T139"/>
      <c r="U139"/>
      <c r="V139"/>
      <c r="W139"/>
      <c r="X139"/>
    </row>
    <row r="140" spans="1:24" x14ac:dyDescent="0.3">
      <c r="A140" s="39" t="s">
        <v>751</v>
      </c>
      <c r="B140" s="137">
        <v>172.71986666666666</v>
      </c>
      <c r="T140"/>
      <c r="U140"/>
      <c r="V140"/>
      <c r="W140"/>
      <c r="X140"/>
    </row>
    <row r="141" spans="1:24" x14ac:dyDescent="0.3">
      <c r="A141" s="39" t="s">
        <v>752</v>
      </c>
      <c r="B141" s="137">
        <v>8.7910000000000004</v>
      </c>
      <c r="T141"/>
      <c r="U141"/>
      <c r="V141"/>
      <c r="W141"/>
      <c r="X141"/>
    </row>
    <row r="142" spans="1:24" x14ac:dyDescent="0.3">
      <c r="A142" s="39" t="s">
        <v>753</v>
      </c>
      <c r="B142" s="137">
        <v>24.94723333333333</v>
      </c>
      <c r="T142"/>
      <c r="U142"/>
      <c r="V142"/>
      <c r="W142"/>
      <c r="X142"/>
    </row>
    <row r="143" spans="1:24" x14ac:dyDescent="0.3">
      <c r="A143" s="39" t="s">
        <v>754</v>
      </c>
      <c r="B143" s="137">
        <v>42.47763333333333</v>
      </c>
      <c r="T143"/>
      <c r="U143"/>
      <c r="V143"/>
      <c r="W143"/>
      <c r="X143"/>
    </row>
    <row r="144" spans="1:24" x14ac:dyDescent="0.3">
      <c r="A144" s="39" t="s">
        <v>755</v>
      </c>
      <c r="B144" s="137">
        <v>76.023299999999978</v>
      </c>
      <c r="T144"/>
      <c r="U144"/>
      <c r="V144"/>
      <c r="W144"/>
      <c r="X144"/>
    </row>
    <row r="145" spans="1:24" x14ac:dyDescent="0.3">
      <c r="A145" s="39" t="s">
        <v>756</v>
      </c>
      <c r="B145" s="137">
        <v>29.509500000000003</v>
      </c>
      <c r="T145"/>
      <c r="U145"/>
      <c r="V145"/>
      <c r="W145"/>
      <c r="X145"/>
    </row>
    <row r="146" spans="1:24" x14ac:dyDescent="0.3">
      <c r="A146" s="39" t="s">
        <v>757</v>
      </c>
      <c r="B146" s="137">
        <v>233.72066666666666</v>
      </c>
      <c r="T146"/>
      <c r="U146"/>
      <c r="V146"/>
      <c r="W146"/>
      <c r="X146"/>
    </row>
    <row r="147" spans="1:24" x14ac:dyDescent="0.3">
      <c r="A147" s="39" t="s">
        <v>904</v>
      </c>
      <c r="B147" s="137">
        <v>358.79586666666677</v>
      </c>
      <c r="T147"/>
      <c r="U147"/>
      <c r="V147"/>
      <c r="W147"/>
      <c r="X147"/>
    </row>
    <row r="148" spans="1:24" x14ac:dyDescent="0.3">
      <c r="A148" s="39" t="s">
        <v>758</v>
      </c>
      <c r="B148" s="137">
        <v>101.68436666666668</v>
      </c>
      <c r="T148"/>
      <c r="U148"/>
      <c r="V148"/>
      <c r="W148"/>
      <c r="X148"/>
    </row>
    <row r="149" spans="1:24" x14ac:dyDescent="0.3">
      <c r="A149" s="39" t="s">
        <v>759</v>
      </c>
      <c r="B149" s="137">
        <v>63.541200000000011</v>
      </c>
      <c r="T149"/>
      <c r="U149"/>
      <c r="V149"/>
      <c r="W149"/>
      <c r="X149"/>
    </row>
    <row r="150" spans="1:24" x14ac:dyDescent="0.3">
      <c r="A150" s="39" t="s">
        <v>760</v>
      </c>
      <c r="B150" s="137">
        <v>205.3305</v>
      </c>
      <c r="T150"/>
      <c r="U150"/>
      <c r="V150"/>
      <c r="W150"/>
      <c r="X150"/>
    </row>
    <row r="151" spans="1:24" x14ac:dyDescent="0.3">
      <c r="A151" s="39" t="s">
        <v>761</v>
      </c>
      <c r="B151" s="137">
        <v>540.54403333333335</v>
      </c>
      <c r="T151"/>
      <c r="U151"/>
      <c r="V151"/>
      <c r="W151"/>
      <c r="X151"/>
    </row>
    <row r="152" spans="1:24" x14ac:dyDescent="0.3">
      <c r="A152" s="39" t="s">
        <v>762</v>
      </c>
      <c r="B152" s="137">
        <v>125.48266666666665</v>
      </c>
      <c r="T152"/>
      <c r="U152"/>
      <c r="V152"/>
      <c r="W152"/>
      <c r="X152"/>
    </row>
    <row r="153" spans="1:24" x14ac:dyDescent="0.3">
      <c r="A153" s="39" t="s">
        <v>937</v>
      </c>
      <c r="B153" s="137">
        <v>134.6585</v>
      </c>
      <c r="T153"/>
      <c r="U153"/>
      <c r="V153"/>
      <c r="W153"/>
      <c r="X153"/>
    </row>
    <row r="154" spans="1:24" x14ac:dyDescent="0.3">
      <c r="A154" s="39" t="s">
        <v>763</v>
      </c>
      <c r="B154" s="137">
        <v>92.694933333333367</v>
      </c>
      <c r="T154"/>
      <c r="U154"/>
      <c r="V154"/>
      <c r="W154"/>
      <c r="X154"/>
    </row>
    <row r="155" spans="1:24" x14ac:dyDescent="0.3">
      <c r="A155" s="39" t="s">
        <v>764</v>
      </c>
      <c r="B155" s="137">
        <v>290.19976666666662</v>
      </c>
      <c r="T155"/>
      <c r="U155"/>
      <c r="V155"/>
      <c r="W155"/>
      <c r="X155"/>
    </row>
    <row r="156" spans="1:24" x14ac:dyDescent="0.3">
      <c r="A156" s="39" t="s">
        <v>765</v>
      </c>
      <c r="B156" s="137">
        <v>25.076766666666671</v>
      </c>
      <c r="T156"/>
      <c r="U156"/>
      <c r="V156"/>
      <c r="W156"/>
      <c r="X156"/>
    </row>
    <row r="157" spans="1:24" x14ac:dyDescent="0.3">
      <c r="A157" s="39" t="s">
        <v>766</v>
      </c>
      <c r="B157" s="137">
        <v>63.833900000000007</v>
      </c>
      <c r="T157"/>
      <c r="U157"/>
      <c r="V157"/>
      <c r="W157"/>
      <c r="X157"/>
    </row>
    <row r="158" spans="1:24" x14ac:dyDescent="0.3">
      <c r="A158" s="39" t="s">
        <v>767</v>
      </c>
      <c r="B158" s="137">
        <v>105.77970000000001</v>
      </c>
      <c r="T158"/>
      <c r="U158"/>
      <c r="V158"/>
      <c r="W158"/>
      <c r="X158"/>
    </row>
    <row r="159" spans="1:24" x14ac:dyDescent="0.3">
      <c r="A159" s="39" t="s">
        <v>714</v>
      </c>
      <c r="B159" s="137">
        <v>68.152766666666665</v>
      </c>
      <c r="T159"/>
      <c r="U159"/>
      <c r="V159"/>
      <c r="W159"/>
      <c r="X159"/>
    </row>
    <row r="160" spans="1:24" x14ac:dyDescent="0.3">
      <c r="A160" s="39" t="s">
        <v>768</v>
      </c>
      <c r="B160" s="137">
        <v>62.378000000000007</v>
      </c>
      <c r="T160"/>
      <c r="U160"/>
      <c r="V160"/>
      <c r="W160"/>
      <c r="X160"/>
    </row>
    <row r="161" spans="1:24" x14ac:dyDescent="0.3">
      <c r="A161" s="39" t="s">
        <v>769</v>
      </c>
      <c r="B161" s="137">
        <v>96.083866666666694</v>
      </c>
      <c r="T161"/>
      <c r="U161"/>
      <c r="V161"/>
      <c r="W161"/>
      <c r="X161"/>
    </row>
    <row r="162" spans="1:24" x14ac:dyDescent="0.3">
      <c r="A162" s="39" t="s">
        <v>770</v>
      </c>
      <c r="B162" s="137">
        <v>126.83580000000003</v>
      </c>
      <c r="T162"/>
      <c r="U162"/>
      <c r="V162"/>
      <c r="W162"/>
      <c r="X162"/>
    </row>
    <row r="163" spans="1:24" x14ac:dyDescent="0.3">
      <c r="A163" s="26" t="s">
        <v>1061</v>
      </c>
      <c r="B163" s="137">
        <v>442.92734848484849</v>
      </c>
      <c r="T163"/>
      <c r="U163"/>
      <c r="V163"/>
      <c r="W163"/>
      <c r="X163"/>
    </row>
    <row r="164" spans="1:24" x14ac:dyDescent="0.3">
      <c r="A164" s="26" t="s">
        <v>1062</v>
      </c>
      <c r="B164" s="137">
        <v>0.47566666666666668</v>
      </c>
      <c r="T164"/>
      <c r="U164"/>
      <c r="V164"/>
      <c r="W164"/>
      <c r="X164"/>
    </row>
    <row r="165" spans="1:24" x14ac:dyDescent="0.3">
      <c r="A165" s="26" t="s">
        <v>1063</v>
      </c>
      <c r="B165" s="137">
        <v>2.9874999999999999E-2</v>
      </c>
      <c r="T165"/>
      <c r="U165"/>
      <c r="V165"/>
      <c r="W165"/>
      <c r="X165"/>
    </row>
    <row r="166" spans="1:24" x14ac:dyDescent="0.3">
      <c r="A166" s="26" t="s">
        <v>1064</v>
      </c>
      <c r="B166" s="137">
        <v>4.6625E-2</v>
      </c>
      <c r="T166"/>
      <c r="U166"/>
      <c r="V166"/>
      <c r="W166"/>
      <c r="X166"/>
    </row>
    <row r="167" spans="1:24" x14ac:dyDescent="0.3">
      <c r="A167" s="26" t="s">
        <v>1065</v>
      </c>
      <c r="B167" s="137">
        <v>0.40887499999999993</v>
      </c>
      <c r="T167"/>
      <c r="U167"/>
      <c r="V167"/>
      <c r="W167"/>
      <c r="X167"/>
    </row>
    <row r="168" spans="1:24" x14ac:dyDescent="0.3">
      <c r="A168" s="26" t="s">
        <v>1066</v>
      </c>
      <c r="B168" s="137">
        <v>1.3652727272727274</v>
      </c>
      <c r="T168"/>
      <c r="U168"/>
      <c r="V168"/>
      <c r="W168"/>
      <c r="X168"/>
    </row>
    <row r="169" spans="1:24" x14ac:dyDescent="0.3">
      <c r="A169" s="26" t="s">
        <v>1068</v>
      </c>
      <c r="B169" s="137">
        <v>32.578949999999999</v>
      </c>
      <c r="T169"/>
      <c r="U169"/>
      <c r="V169"/>
      <c r="W169"/>
      <c r="X169"/>
    </row>
    <row r="170" spans="1:24" x14ac:dyDescent="0.3">
      <c r="A170" s="26" t="s">
        <v>1067</v>
      </c>
      <c r="B170" s="137">
        <v>0.14572727272727273</v>
      </c>
      <c r="T170"/>
      <c r="U170"/>
      <c r="V170"/>
      <c r="W170"/>
      <c r="X170"/>
    </row>
    <row r="171" spans="1:24" x14ac:dyDescent="0.3">
      <c r="A171" s="26" t="s">
        <v>1069</v>
      </c>
      <c r="B171" s="137">
        <v>2.9954545454545456E-2</v>
      </c>
      <c r="T171"/>
      <c r="U171"/>
      <c r="V171"/>
      <c r="W171"/>
      <c r="X171"/>
    </row>
    <row r="172" spans="1:24" x14ac:dyDescent="0.3">
      <c r="A172" s="26" t="s">
        <v>1070</v>
      </c>
      <c r="B172" s="137">
        <v>0.86739999999999995</v>
      </c>
      <c r="T172"/>
      <c r="U172"/>
      <c r="V172"/>
      <c r="W172"/>
      <c r="X172"/>
    </row>
    <row r="173" spans="1:24" x14ac:dyDescent="0.3">
      <c r="A173" s="26" t="s">
        <v>1071</v>
      </c>
      <c r="B173" s="137">
        <v>1.5525499999999999</v>
      </c>
      <c r="T173"/>
      <c r="U173"/>
      <c r="V173"/>
      <c r="W173"/>
      <c r="X173"/>
    </row>
    <row r="174" spans="1:24" x14ac:dyDescent="0.3">
      <c r="A174" s="26" t="s">
        <v>1072</v>
      </c>
      <c r="B174" s="137">
        <v>3.402625</v>
      </c>
      <c r="T174"/>
      <c r="U174"/>
      <c r="V174"/>
      <c r="W174"/>
      <c r="X174"/>
    </row>
    <row r="175" spans="1:24" x14ac:dyDescent="0.3">
      <c r="A175" s="26" t="s">
        <v>1073</v>
      </c>
      <c r="B175" s="137">
        <v>0.4405714285714285</v>
      </c>
      <c r="T175"/>
      <c r="U175"/>
      <c r="V175"/>
      <c r="W175"/>
      <c r="X175"/>
    </row>
    <row r="176" spans="1:24" x14ac:dyDescent="0.3">
      <c r="A176" s="26" t="s">
        <v>1074</v>
      </c>
      <c r="B176" s="137">
        <v>6.1869230769230761</v>
      </c>
      <c r="T176"/>
      <c r="U176"/>
      <c r="V176"/>
      <c r="W176"/>
      <c r="X176"/>
    </row>
    <row r="177" spans="1:24" x14ac:dyDescent="0.3">
      <c r="A177" s="26" t="s">
        <v>1075</v>
      </c>
      <c r="B177" s="137">
        <v>0.40124999999999994</v>
      </c>
      <c r="T177"/>
      <c r="U177"/>
      <c r="V177"/>
      <c r="W177"/>
      <c r="X177"/>
    </row>
    <row r="178" spans="1:24" x14ac:dyDescent="0.3">
      <c r="A178" s="26" t="s">
        <v>1076</v>
      </c>
      <c r="B178" s="137">
        <v>5.3708333333333336</v>
      </c>
      <c r="T178"/>
      <c r="U178"/>
      <c r="V178"/>
      <c r="W178"/>
      <c r="X178"/>
    </row>
    <row r="179" spans="1:24" x14ac:dyDescent="0.3">
      <c r="A179" s="26" t="s">
        <v>1078</v>
      </c>
      <c r="B179" s="137">
        <v>0</v>
      </c>
      <c r="T179"/>
      <c r="U179"/>
      <c r="V179"/>
      <c r="W179"/>
      <c r="X179"/>
    </row>
    <row r="180" spans="1:24" x14ac:dyDescent="0.3">
      <c r="A180" s="26" t="s">
        <v>1079</v>
      </c>
      <c r="B180" s="137">
        <v>14.79</v>
      </c>
      <c r="T180"/>
      <c r="U180"/>
      <c r="V180"/>
      <c r="W180"/>
      <c r="X180"/>
    </row>
    <row r="181" spans="1:24" x14ac:dyDescent="0.3">
      <c r="A181" s="26" t="s">
        <v>1081</v>
      </c>
      <c r="B181" s="137">
        <v>28.468</v>
      </c>
      <c r="T181"/>
      <c r="U181"/>
      <c r="V181"/>
      <c r="W181"/>
      <c r="X181"/>
    </row>
    <row r="182" spans="1:24" x14ac:dyDescent="0.3">
      <c r="A182" s="39" t="s">
        <v>83</v>
      </c>
      <c r="B182" s="137">
        <v>7381.8667475357961</v>
      </c>
      <c r="T182"/>
      <c r="U182"/>
      <c r="V182"/>
      <c r="W182"/>
      <c r="X182"/>
    </row>
    <row r="194" spans="1:24" x14ac:dyDescent="0.3">
      <c r="A194" s="30" t="s">
        <v>542</v>
      </c>
      <c r="T194"/>
      <c r="U194"/>
      <c r="V194"/>
      <c r="W194"/>
      <c r="X194"/>
    </row>
    <row r="195" spans="1:24" x14ac:dyDescent="0.3">
      <c r="A195" s="39" t="s">
        <v>589</v>
      </c>
      <c r="T195"/>
      <c r="U195"/>
      <c r="V195"/>
      <c r="W195"/>
      <c r="X195"/>
    </row>
    <row r="196" spans="1:24" x14ac:dyDescent="0.3">
      <c r="A196" s="39" t="s">
        <v>273</v>
      </c>
      <c r="T196"/>
      <c r="U196"/>
      <c r="V196"/>
      <c r="W196"/>
      <c r="X196"/>
    </row>
    <row r="197" spans="1:24" x14ac:dyDescent="0.3">
      <c r="A197" s="39" t="s">
        <v>160</v>
      </c>
      <c r="T197"/>
      <c r="U197"/>
      <c r="V197"/>
      <c r="W197"/>
      <c r="X197"/>
    </row>
    <row r="198" spans="1:24" x14ac:dyDescent="0.3">
      <c r="A198" s="39" t="s">
        <v>590</v>
      </c>
      <c r="T198"/>
      <c r="U198"/>
      <c r="V198"/>
      <c r="W198"/>
      <c r="X198"/>
    </row>
    <row r="199" spans="1:24" x14ac:dyDescent="0.3">
      <c r="A199" s="39" t="s">
        <v>83</v>
      </c>
      <c r="T199"/>
      <c r="U199"/>
      <c r="V199"/>
      <c r="W199"/>
      <c r="X199"/>
    </row>
    <row r="200" spans="1:24" x14ac:dyDescent="0.3">
      <c r="T200"/>
      <c r="U200"/>
      <c r="V200"/>
      <c r="W200"/>
      <c r="X200"/>
    </row>
    <row r="201" spans="1:24" x14ac:dyDescent="0.3">
      <c r="T201"/>
      <c r="U201"/>
      <c r="V201"/>
      <c r="W201"/>
      <c r="X201"/>
    </row>
    <row r="202" spans="1:24" x14ac:dyDescent="0.3">
      <c r="T202"/>
      <c r="U202"/>
      <c r="V202"/>
      <c r="W202"/>
      <c r="X202"/>
    </row>
    <row r="203" spans="1:24" x14ac:dyDescent="0.3">
      <c r="T203"/>
      <c r="U203"/>
      <c r="V203"/>
      <c r="W203"/>
      <c r="X203"/>
    </row>
    <row r="204" spans="1:24" x14ac:dyDescent="0.3">
      <c r="T204"/>
      <c r="U204"/>
      <c r="V204"/>
      <c r="W204"/>
      <c r="X204"/>
    </row>
    <row r="205" spans="1:24" x14ac:dyDescent="0.3">
      <c r="T205"/>
      <c r="U205"/>
      <c r="V205"/>
      <c r="W205"/>
      <c r="X205"/>
    </row>
    <row r="206" spans="1:24" x14ac:dyDescent="0.3">
      <c r="T206"/>
      <c r="U206"/>
      <c r="V206"/>
      <c r="W206"/>
      <c r="X206"/>
    </row>
    <row r="207" spans="1:24" x14ac:dyDescent="0.3">
      <c r="T207"/>
      <c r="U207"/>
      <c r="V207"/>
      <c r="W207"/>
      <c r="X207"/>
    </row>
    <row r="208" spans="1:24" x14ac:dyDescent="0.3">
      <c r="T208"/>
      <c r="U208"/>
      <c r="V208"/>
      <c r="W208"/>
      <c r="X208"/>
    </row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</sheetData>
  <pageMargins left="0.7" right="0.7" top="0.75" bottom="0.75" header="0.3" footer="0.3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P212"/>
  <sheetViews>
    <sheetView topLeftCell="A192" zoomScale="86" zoomScaleNormal="86" workbookViewId="0">
      <pane xSplit="9" topLeftCell="K1" activePane="topRight" state="frozen"/>
      <selection activeCell="G150" sqref="G150"/>
      <selection pane="topRight" activeCell="K211" sqref="K211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customWidth="1"/>
    <col min="4" max="4" width="58.109375" customWidth="1"/>
    <col min="5" max="5" width="15.5546875" customWidth="1"/>
    <col min="6" max="6" width="12.6640625" bestFit="1" customWidth="1"/>
    <col min="7" max="7" width="9.33203125" customWidth="1"/>
    <col min="8" max="8" width="10.6640625" bestFit="1" customWidth="1"/>
    <col min="9" max="9" width="8.88671875" bestFit="1" customWidth="1"/>
    <col min="10" max="10" width="21" bestFit="1" customWidth="1"/>
    <col min="11" max="11" width="12.33203125" style="28" customWidth="1"/>
    <col min="12" max="12" width="12" style="27" customWidth="1"/>
    <col min="13" max="13" width="12.44140625" style="28" customWidth="1"/>
    <col min="14" max="14" width="12.33203125" customWidth="1"/>
    <col min="15" max="15" width="12.5546875" customWidth="1"/>
    <col min="16" max="16" width="13.109375" customWidth="1"/>
    <col min="17" max="17" width="15" bestFit="1" customWidth="1"/>
    <col min="18" max="18" width="12.88671875" customWidth="1"/>
    <col min="19" max="19" width="13.33203125" customWidth="1"/>
    <col min="20" max="20" width="15.44140625" customWidth="1"/>
    <col min="21" max="21" width="15" bestFit="1" customWidth="1"/>
    <col min="22" max="22" width="17.109375" bestFit="1" customWidth="1"/>
    <col min="23" max="23" width="13.44140625" customWidth="1"/>
    <col min="24" max="24" width="12.33203125" customWidth="1"/>
    <col min="25" max="25" width="11.5546875" customWidth="1"/>
    <col min="26" max="26" width="14.44140625" customWidth="1"/>
    <col min="27" max="27" width="13.6640625" customWidth="1"/>
    <col min="28" max="28" width="12.88671875" customWidth="1"/>
    <col min="29" max="29" width="13" customWidth="1"/>
    <col min="30" max="30" width="11.88671875" customWidth="1"/>
    <col min="31" max="31" width="12.44140625" customWidth="1"/>
    <col min="32" max="32" width="12.109375" customWidth="1"/>
    <col min="33" max="33" width="11.6640625" customWidth="1"/>
    <col min="34" max="34" width="12.5546875" customWidth="1"/>
    <col min="35" max="35" width="15" bestFit="1" customWidth="1"/>
    <col min="36" max="36" width="13.33203125" customWidth="1"/>
    <col min="37" max="37" width="11.88671875" customWidth="1"/>
    <col min="38" max="40" width="13.33203125" customWidth="1"/>
    <col min="41" max="41" width="14" bestFit="1" customWidth="1"/>
    <col min="42" max="42" width="21.33203125" customWidth="1"/>
    <col min="43" max="43" width="13.44140625" customWidth="1"/>
  </cols>
  <sheetData>
    <row r="1" spans="1:42" ht="30.75" customHeight="1" x14ac:dyDescent="0.3">
      <c r="A1" s="13" t="s">
        <v>0</v>
      </c>
      <c r="B1" s="14" t="s">
        <v>1</v>
      </c>
      <c r="C1" s="111" t="s">
        <v>599</v>
      </c>
      <c r="D1" s="111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3" t="s">
        <v>7</v>
      </c>
      <c r="J1" s="13" t="s">
        <v>158</v>
      </c>
      <c r="K1" s="99">
        <v>45748</v>
      </c>
      <c r="L1" s="99">
        <v>45749</v>
      </c>
      <c r="M1" s="99">
        <v>45750</v>
      </c>
      <c r="N1" s="99">
        <v>45751</v>
      </c>
      <c r="O1" s="99">
        <v>45752</v>
      </c>
      <c r="P1" s="99">
        <v>45753</v>
      </c>
      <c r="Q1" s="99">
        <v>45754</v>
      </c>
      <c r="R1" s="99">
        <v>45755</v>
      </c>
      <c r="S1" s="99">
        <v>45756</v>
      </c>
      <c r="T1" s="99">
        <v>45757</v>
      </c>
      <c r="U1" s="99">
        <v>45758</v>
      </c>
      <c r="V1" s="99">
        <v>45759</v>
      </c>
      <c r="W1" s="99">
        <v>45760</v>
      </c>
      <c r="X1" s="99">
        <v>45761</v>
      </c>
      <c r="Y1" s="99">
        <v>45762</v>
      </c>
      <c r="Z1" s="99">
        <v>45763</v>
      </c>
      <c r="AA1" s="99">
        <v>45764</v>
      </c>
      <c r="AB1" s="99">
        <v>45765</v>
      </c>
      <c r="AC1" s="99">
        <v>45766</v>
      </c>
      <c r="AD1" s="99">
        <v>45767</v>
      </c>
      <c r="AE1" s="99">
        <v>45768</v>
      </c>
      <c r="AF1" s="99">
        <v>45769</v>
      </c>
      <c r="AG1" s="99">
        <v>45770</v>
      </c>
      <c r="AH1" s="99">
        <v>45771</v>
      </c>
      <c r="AI1" s="99">
        <v>45772</v>
      </c>
      <c r="AJ1" s="99">
        <v>45773</v>
      </c>
      <c r="AK1" s="99">
        <v>45774</v>
      </c>
      <c r="AL1" s="99">
        <v>45775</v>
      </c>
      <c r="AM1" s="99">
        <v>45776</v>
      </c>
      <c r="AN1" s="99">
        <v>45777</v>
      </c>
      <c r="AO1" s="13" t="s">
        <v>8</v>
      </c>
      <c r="AP1" s="12" t="s">
        <v>154</v>
      </c>
    </row>
    <row r="2" spans="1:42" x14ac:dyDescent="0.3">
      <c r="A2" s="5">
        <v>1</v>
      </c>
      <c r="B2" s="107" t="s">
        <v>9</v>
      </c>
      <c r="C2" s="112" t="s">
        <v>600</v>
      </c>
      <c r="D2" s="112" t="s">
        <v>739</v>
      </c>
      <c r="E2" s="110" t="s">
        <v>11</v>
      </c>
      <c r="F2" s="6" t="s">
        <v>12</v>
      </c>
      <c r="G2" s="6" t="s">
        <v>976</v>
      </c>
      <c r="H2" s="6" t="s">
        <v>35</v>
      </c>
      <c r="I2" s="5">
        <v>6</v>
      </c>
      <c r="J2" s="67" t="s">
        <v>160</v>
      </c>
      <c r="K2" s="46">
        <v>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f>AVERAGE(K2:AN2)</f>
        <v>0</v>
      </c>
      <c r="AP2" s="7">
        <f>AO2/I2</f>
        <v>0</v>
      </c>
    </row>
    <row r="3" spans="1:42" x14ac:dyDescent="0.3">
      <c r="A3" s="5">
        <v>2</v>
      </c>
      <c r="B3" s="107" t="s">
        <v>9</v>
      </c>
      <c r="C3" s="112" t="s">
        <v>601</v>
      </c>
      <c r="D3" s="112" t="s">
        <v>740</v>
      </c>
      <c r="E3" s="110" t="s">
        <v>11</v>
      </c>
      <c r="F3" s="6" t="s">
        <v>12</v>
      </c>
      <c r="G3" s="6" t="s">
        <v>976</v>
      </c>
      <c r="H3" s="6" t="s">
        <v>35</v>
      </c>
      <c r="I3" s="5">
        <v>9</v>
      </c>
      <c r="J3" s="67" t="s">
        <v>160</v>
      </c>
      <c r="K3" s="46">
        <v>134.57100000000003</v>
      </c>
      <c r="L3" s="46">
        <v>137.62099999999998</v>
      </c>
      <c r="M3" s="46">
        <v>150.48400000000004</v>
      </c>
      <c r="N3" s="46">
        <v>174.55600000000004</v>
      </c>
      <c r="O3" s="46">
        <v>153.61800000000002</v>
      </c>
      <c r="P3" s="46">
        <v>146.42600000000002</v>
      </c>
      <c r="Q3" s="46">
        <v>124.15900000000002</v>
      </c>
      <c r="R3" s="46">
        <v>101.50800000000001</v>
      </c>
      <c r="S3" s="46">
        <v>189.24100000000013</v>
      </c>
      <c r="T3" s="46">
        <v>168.11299999999997</v>
      </c>
      <c r="U3" s="46">
        <v>198.87200000000007</v>
      </c>
      <c r="V3" s="46">
        <v>189.64699999999996</v>
      </c>
      <c r="W3" s="46">
        <v>151.68100000000001</v>
      </c>
      <c r="X3" s="46">
        <v>178.13200000000001</v>
      </c>
      <c r="Y3" s="46">
        <v>147.46599999999998</v>
      </c>
      <c r="Z3" s="46">
        <v>147.45500000000004</v>
      </c>
      <c r="AA3" s="46">
        <v>150.03299999999996</v>
      </c>
      <c r="AB3" s="46">
        <v>145.03300000000002</v>
      </c>
      <c r="AC3" s="46">
        <v>177.75699999999995</v>
      </c>
      <c r="AD3" s="46">
        <v>187.42699999999999</v>
      </c>
      <c r="AE3" s="46">
        <v>196.45099999999999</v>
      </c>
      <c r="AF3" s="46">
        <v>163.65600000000003</v>
      </c>
      <c r="AG3" s="46">
        <v>167.43499999999997</v>
      </c>
      <c r="AH3" s="46">
        <v>169.66599999999997</v>
      </c>
      <c r="AI3" s="46">
        <v>174.57899999999998</v>
      </c>
      <c r="AJ3" s="46">
        <v>185.28099999999998</v>
      </c>
      <c r="AK3" s="46">
        <v>168.00800000000001</v>
      </c>
      <c r="AL3" s="46">
        <v>152.96199999999999</v>
      </c>
      <c r="AM3" s="46">
        <v>180.65</v>
      </c>
      <c r="AN3" s="46">
        <v>170.26700000000002</v>
      </c>
      <c r="AO3" s="46">
        <f t="shared" ref="AO3:AO66" si="0">AVERAGE(K3:AN3)</f>
        <v>162.75849999999997</v>
      </c>
      <c r="AP3" s="7">
        <f t="shared" ref="AP3:AP66" si="1">AO3/I3</f>
        <v>18.084277777777775</v>
      </c>
    </row>
    <row r="4" spans="1:42" x14ac:dyDescent="0.3">
      <c r="A4" s="5">
        <v>3</v>
      </c>
      <c r="B4" s="107" t="s">
        <v>9</v>
      </c>
      <c r="C4" s="112" t="s">
        <v>602</v>
      </c>
      <c r="D4" s="112" t="s">
        <v>741</v>
      </c>
      <c r="E4" s="110" t="s">
        <v>11</v>
      </c>
      <c r="F4" s="6" t="s">
        <v>12</v>
      </c>
      <c r="G4" s="6" t="s">
        <v>976</v>
      </c>
      <c r="H4" s="6" t="s">
        <v>35</v>
      </c>
      <c r="I4" s="5">
        <v>3</v>
      </c>
      <c r="J4" s="67" t="s">
        <v>160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f t="shared" si="0"/>
        <v>0</v>
      </c>
      <c r="AP4" s="7">
        <f t="shared" si="1"/>
        <v>0</v>
      </c>
    </row>
    <row r="5" spans="1:42" ht="15" customHeight="1" x14ac:dyDescent="0.3">
      <c r="A5" s="5">
        <v>4</v>
      </c>
      <c r="B5" s="107" t="s">
        <v>9</v>
      </c>
      <c r="C5" s="112" t="s">
        <v>604</v>
      </c>
      <c r="D5" s="112" t="s">
        <v>761</v>
      </c>
      <c r="E5" s="110" t="s">
        <v>128</v>
      </c>
      <c r="F5" s="6" t="s">
        <v>12</v>
      </c>
      <c r="G5" s="6" t="s">
        <v>976</v>
      </c>
      <c r="H5" s="6" t="s">
        <v>35</v>
      </c>
      <c r="I5" s="5">
        <v>29</v>
      </c>
      <c r="J5" s="94" t="s">
        <v>273</v>
      </c>
      <c r="K5" s="46">
        <v>588.21100000000013</v>
      </c>
      <c r="L5" s="46">
        <v>536.23199999999986</v>
      </c>
      <c r="M5" s="46">
        <v>462.42000000000007</v>
      </c>
      <c r="N5" s="46">
        <v>546.18799999999999</v>
      </c>
      <c r="O5" s="46">
        <v>527.5680000000001</v>
      </c>
      <c r="P5" s="46">
        <v>514.01200000000006</v>
      </c>
      <c r="Q5" s="46">
        <v>626.87499999999989</v>
      </c>
      <c r="R5" s="46">
        <v>596.87800000000016</v>
      </c>
      <c r="S5" s="46">
        <v>578.58199999999977</v>
      </c>
      <c r="T5" s="46">
        <v>664.21699999999987</v>
      </c>
      <c r="U5" s="46">
        <v>606.70299999999997</v>
      </c>
      <c r="V5" s="46">
        <v>556.18500000000006</v>
      </c>
      <c r="W5" s="46">
        <v>583.971</v>
      </c>
      <c r="X5" s="46">
        <v>532.08600000000001</v>
      </c>
      <c r="Y5" s="46">
        <v>517.12800000000004</v>
      </c>
      <c r="Z5" s="46">
        <v>535.56000000000006</v>
      </c>
      <c r="AA5" s="46">
        <v>566.59</v>
      </c>
      <c r="AB5" s="46">
        <v>441.54399999999987</v>
      </c>
      <c r="AC5" s="46">
        <v>524.74299999999994</v>
      </c>
      <c r="AD5" s="46">
        <v>499.42800000000005</v>
      </c>
      <c r="AE5" s="46">
        <v>463.67699999999985</v>
      </c>
      <c r="AF5" s="46">
        <v>617.95699999999988</v>
      </c>
      <c r="AG5" s="46">
        <v>454.73299999999995</v>
      </c>
      <c r="AH5" s="46">
        <v>605.97299999999996</v>
      </c>
      <c r="AI5" s="46">
        <v>499.63299999999981</v>
      </c>
      <c r="AJ5" s="46">
        <v>597.10099999999989</v>
      </c>
      <c r="AK5" s="46">
        <v>532.8610000000001</v>
      </c>
      <c r="AL5" s="46">
        <v>439.86199999999985</v>
      </c>
      <c r="AM5" s="46">
        <v>553.37199999999996</v>
      </c>
      <c r="AN5" s="46">
        <v>446.03100000000012</v>
      </c>
      <c r="AO5" s="46">
        <f t="shared" si="0"/>
        <v>540.54403333333335</v>
      </c>
      <c r="AP5" s="7">
        <f t="shared" si="1"/>
        <v>18.639449425287356</v>
      </c>
    </row>
    <row r="6" spans="1:42" x14ac:dyDescent="0.3">
      <c r="A6" s="5">
        <v>5</v>
      </c>
      <c r="B6" s="107" t="s">
        <v>9</v>
      </c>
      <c r="C6" s="112" t="s">
        <v>961</v>
      </c>
      <c r="D6" s="112" t="s">
        <v>983</v>
      </c>
      <c r="E6" s="110" t="s">
        <v>128</v>
      </c>
      <c r="F6" s="6" t="s">
        <v>12</v>
      </c>
      <c r="G6" s="6" t="s">
        <v>971</v>
      </c>
      <c r="H6" s="6" t="s">
        <v>80</v>
      </c>
      <c r="I6" s="5">
        <v>8</v>
      </c>
      <c r="J6" s="94" t="s">
        <v>273</v>
      </c>
      <c r="K6" s="46">
        <v>209.07999999999998</v>
      </c>
      <c r="L6" s="46">
        <v>205.16</v>
      </c>
      <c r="M6" s="46">
        <v>132.27000000000001</v>
      </c>
      <c r="N6" s="46">
        <v>168.22</v>
      </c>
      <c r="O6" s="46">
        <v>123.97999999999999</v>
      </c>
      <c r="P6" s="46">
        <v>147.21999999999997</v>
      </c>
      <c r="Q6" s="46">
        <v>148.73000000000005</v>
      </c>
      <c r="R6" s="46">
        <v>172.80700000000002</v>
      </c>
      <c r="S6" s="46">
        <v>0</v>
      </c>
      <c r="T6" s="46">
        <v>190.83</v>
      </c>
      <c r="U6" s="46">
        <v>175.66000000000005</v>
      </c>
      <c r="V6" s="46">
        <v>240.38099999999997</v>
      </c>
      <c r="W6" s="46">
        <v>280.99</v>
      </c>
      <c r="X6" s="46">
        <v>209.82999999999998</v>
      </c>
      <c r="Y6" s="46">
        <v>215.89000000000004</v>
      </c>
      <c r="Z6" s="46">
        <v>172.1</v>
      </c>
      <c r="AA6" s="46">
        <v>179.88000000000002</v>
      </c>
      <c r="AB6" s="46">
        <v>214.91000000000005</v>
      </c>
      <c r="AC6" s="46">
        <v>253.34</v>
      </c>
      <c r="AD6" s="46">
        <v>218.05999999999992</v>
      </c>
      <c r="AE6" s="46">
        <v>239.27</v>
      </c>
      <c r="AF6" s="46">
        <v>201.91000000000003</v>
      </c>
      <c r="AG6" s="46">
        <v>202.76</v>
      </c>
      <c r="AH6" s="46">
        <v>160.72999999999999</v>
      </c>
      <c r="AI6" s="46">
        <v>128.50000000000003</v>
      </c>
      <c r="AJ6" s="46">
        <v>160.05999999999997</v>
      </c>
      <c r="AK6" s="46">
        <v>135.58999999999997</v>
      </c>
      <c r="AL6" s="46">
        <v>217.29</v>
      </c>
      <c r="AM6" s="46">
        <v>221.95000000000002</v>
      </c>
      <c r="AN6" s="46">
        <v>256.03999999999996</v>
      </c>
      <c r="AO6" s="46">
        <f t="shared" si="0"/>
        <v>186.1146</v>
      </c>
      <c r="AP6" s="7">
        <f t="shared" si="1"/>
        <v>23.264324999999999</v>
      </c>
    </row>
    <row r="7" spans="1:42" x14ac:dyDescent="0.3">
      <c r="A7" s="5">
        <v>6</v>
      </c>
      <c r="B7" s="107" t="s">
        <v>9</v>
      </c>
      <c r="C7" s="112" t="s">
        <v>605</v>
      </c>
      <c r="D7" s="112" t="s">
        <v>750</v>
      </c>
      <c r="E7" s="110" t="s">
        <v>128</v>
      </c>
      <c r="F7" s="6" t="s">
        <v>12</v>
      </c>
      <c r="G7" s="6" t="s">
        <v>976</v>
      </c>
      <c r="H7" s="6" t="s">
        <v>35</v>
      </c>
      <c r="I7" s="5">
        <v>6</v>
      </c>
      <c r="J7" s="94" t="s">
        <v>273</v>
      </c>
      <c r="K7" s="46">
        <v>36.277000000000001</v>
      </c>
      <c r="L7" s="46">
        <v>29.665000000000003</v>
      </c>
      <c r="M7" s="46">
        <v>41.283000000000001</v>
      </c>
      <c r="N7" s="46">
        <v>26.960999999999995</v>
      </c>
      <c r="O7" s="46">
        <v>35.912999999999997</v>
      </c>
      <c r="P7" s="46">
        <v>44.231999999999999</v>
      </c>
      <c r="Q7" s="46">
        <v>23.312999999999999</v>
      </c>
      <c r="R7" s="46">
        <v>39.429000000000002</v>
      </c>
      <c r="S7" s="46">
        <v>33.844999999999999</v>
      </c>
      <c r="T7" s="46">
        <v>39.152999999999999</v>
      </c>
      <c r="U7" s="46">
        <v>45.875</v>
      </c>
      <c r="V7" s="46">
        <v>30.721</v>
      </c>
      <c r="W7" s="46">
        <v>38.363</v>
      </c>
      <c r="X7" s="46">
        <v>39.785000000000004</v>
      </c>
      <c r="Y7" s="46">
        <v>35.070000000000007</v>
      </c>
      <c r="Z7" s="46">
        <v>38.073999999999998</v>
      </c>
      <c r="AA7" s="46">
        <v>31.655000000000001</v>
      </c>
      <c r="AB7" s="46">
        <v>29.602</v>
      </c>
      <c r="AC7" s="46">
        <v>35.900999999999996</v>
      </c>
      <c r="AD7" s="46">
        <v>30.862000000000002</v>
      </c>
      <c r="AE7" s="46">
        <v>32.36</v>
      </c>
      <c r="AF7" s="46">
        <v>28.347999999999999</v>
      </c>
      <c r="AG7" s="46">
        <v>25.579000000000001</v>
      </c>
      <c r="AH7" s="46">
        <v>34.886000000000003</v>
      </c>
      <c r="AI7" s="46">
        <v>30.308999999999997</v>
      </c>
      <c r="AJ7" s="46">
        <v>28.259999999999998</v>
      </c>
      <c r="AK7" s="46">
        <v>29.393999999999998</v>
      </c>
      <c r="AL7" s="46">
        <v>30.594000000000001</v>
      </c>
      <c r="AM7" s="46">
        <v>28.971999999999998</v>
      </c>
      <c r="AN7" s="46">
        <v>32.082000000000001</v>
      </c>
      <c r="AO7" s="46">
        <f t="shared" si="0"/>
        <v>33.558766666666664</v>
      </c>
      <c r="AP7" s="7">
        <f t="shared" si="1"/>
        <v>5.5931277777777773</v>
      </c>
    </row>
    <row r="8" spans="1:42" x14ac:dyDescent="0.3">
      <c r="A8" s="5">
        <v>7</v>
      </c>
      <c r="B8" s="107" t="s">
        <v>9</v>
      </c>
      <c r="C8" s="112" t="s">
        <v>606</v>
      </c>
      <c r="D8" s="112" t="s">
        <v>728</v>
      </c>
      <c r="E8" s="110" t="s">
        <v>30</v>
      </c>
      <c r="F8" s="6" t="s">
        <v>12</v>
      </c>
      <c r="G8" s="6" t="s">
        <v>976</v>
      </c>
      <c r="H8" s="6" t="s">
        <v>35</v>
      </c>
      <c r="I8" s="5">
        <v>3</v>
      </c>
      <c r="J8" s="94" t="s">
        <v>589</v>
      </c>
      <c r="K8" s="46">
        <v>67.426000000000002</v>
      </c>
      <c r="L8" s="46">
        <v>85.736000000000004</v>
      </c>
      <c r="M8" s="46">
        <v>85.144000000000005</v>
      </c>
      <c r="N8" s="46">
        <v>75.652000000000015</v>
      </c>
      <c r="O8" s="46">
        <v>80.740000000000009</v>
      </c>
      <c r="P8" s="46">
        <v>117.854</v>
      </c>
      <c r="Q8" s="46">
        <v>55.146000000000001</v>
      </c>
      <c r="R8" s="46">
        <v>101.601</v>
      </c>
      <c r="S8" s="46">
        <v>110.18</v>
      </c>
      <c r="T8" s="46">
        <v>114.825</v>
      </c>
      <c r="U8" s="46">
        <v>108.54700000000001</v>
      </c>
      <c r="V8" s="46">
        <v>105.38500000000001</v>
      </c>
      <c r="W8" s="46">
        <v>42.794000000000004</v>
      </c>
      <c r="X8" s="46">
        <v>82.355999999999995</v>
      </c>
      <c r="Y8" s="46">
        <v>102.221</v>
      </c>
      <c r="Z8" s="46">
        <v>97.345000000000013</v>
      </c>
      <c r="AA8" s="46">
        <v>72.734999999999999</v>
      </c>
      <c r="AB8" s="46">
        <v>82.474000000000018</v>
      </c>
      <c r="AC8" s="46">
        <v>87.460000000000008</v>
      </c>
      <c r="AD8" s="46">
        <v>115.33499999999999</v>
      </c>
      <c r="AE8" s="46">
        <v>97.818000000000012</v>
      </c>
      <c r="AF8" s="46">
        <v>97.899000000000001</v>
      </c>
      <c r="AG8" s="46">
        <v>60.726000000000006</v>
      </c>
      <c r="AH8" s="46">
        <v>61.154000000000003</v>
      </c>
      <c r="AI8" s="46">
        <v>91.472999999999999</v>
      </c>
      <c r="AJ8" s="46">
        <v>95.99799999999999</v>
      </c>
      <c r="AK8" s="46">
        <v>83.965000000000003</v>
      </c>
      <c r="AL8" s="46">
        <v>81</v>
      </c>
      <c r="AM8" s="46">
        <v>118.04400000000001</v>
      </c>
      <c r="AN8" s="46">
        <v>131.37400000000002</v>
      </c>
      <c r="AO8" s="46">
        <f t="shared" si="0"/>
        <v>90.346900000000005</v>
      </c>
      <c r="AP8" s="7">
        <f t="shared" si="1"/>
        <v>30.115633333333335</v>
      </c>
    </row>
    <row r="9" spans="1:42" x14ac:dyDescent="0.3">
      <c r="A9" s="5">
        <v>8</v>
      </c>
      <c r="B9" s="107" t="s">
        <v>9</v>
      </c>
      <c r="C9" s="112" t="s">
        <v>607</v>
      </c>
      <c r="D9" s="112" t="s">
        <v>958</v>
      </c>
      <c r="E9" s="110" t="s">
        <v>128</v>
      </c>
      <c r="F9" s="6" t="s">
        <v>19</v>
      </c>
      <c r="G9" s="6" t="s">
        <v>976</v>
      </c>
      <c r="H9" s="6" t="s">
        <v>35</v>
      </c>
      <c r="I9" s="5">
        <v>1</v>
      </c>
      <c r="J9" s="12" t="s">
        <v>590</v>
      </c>
      <c r="K9" s="46">
        <v>3.3570000000000002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1.677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3.3490000000000002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3.3719999999999999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  <c r="AL9" s="46">
        <v>0</v>
      </c>
      <c r="AM9" s="46">
        <v>0</v>
      </c>
      <c r="AN9" s="46">
        <v>0</v>
      </c>
      <c r="AO9" s="46">
        <f t="shared" si="0"/>
        <v>0.39183333333333337</v>
      </c>
      <c r="AP9" s="7">
        <f t="shared" si="1"/>
        <v>0.39183333333333337</v>
      </c>
    </row>
    <row r="10" spans="1:42" x14ac:dyDescent="0.3">
      <c r="A10" s="5">
        <v>9</v>
      </c>
      <c r="B10" s="107" t="s">
        <v>9</v>
      </c>
      <c r="C10" s="112" t="s">
        <v>608</v>
      </c>
      <c r="D10" s="113" t="s">
        <v>984</v>
      </c>
      <c r="E10" s="110" t="s">
        <v>128</v>
      </c>
      <c r="F10" s="6" t="s">
        <v>12</v>
      </c>
      <c r="G10" s="6" t="s">
        <v>979</v>
      </c>
      <c r="H10" s="6" t="s">
        <v>35</v>
      </c>
      <c r="I10" s="5">
        <v>2</v>
      </c>
      <c r="J10" s="67" t="s">
        <v>160</v>
      </c>
      <c r="K10" s="46">
        <v>0</v>
      </c>
      <c r="L10" s="46">
        <v>0</v>
      </c>
      <c r="M10" s="46">
        <v>0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0</v>
      </c>
      <c r="AL10" s="46">
        <v>0</v>
      </c>
      <c r="AM10" s="46">
        <v>0</v>
      </c>
      <c r="AN10" s="46">
        <v>0</v>
      </c>
      <c r="AO10" s="46">
        <f t="shared" si="0"/>
        <v>0</v>
      </c>
      <c r="AP10" s="7">
        <f t="shared" si="1"/>
        <v>0</v>
      </c>
    </row>
    <row r="11" spans="1:42" x14ac:dyDescent="0.3">
      <c r="A11" s="5">
        <v>10</v>
      </c>
      <c r="B11" s="107" t="s">
        <v>9</v>
      </c>
      <c r="C11" s="112" t="s">
        <v>608</v>
      </c>
      <c r="D11" s="113" t="s">
        <v>772</v>
      </c>
      <c r="E11" s="110" t="s">
        <v>128</v>
      </c>
      <c r="F11" s="6" t="s">
        <v>12</v>
      </c>
      <c r="G11" s="6" t="s">
        <v>973</v>
      </c>
      <c r="H11" s="6" t="s">
        <v>80</v>
      </c>
      <c r="I11" s="5">
        <v>2</v>
      </c>
      <c r="J11" s="67" t="s">
        <v>160</v>
      </c>
      <c r="K11" s="46">
        <v>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0</v>
      </c>
      <c r="AN11" s="46">
        <v>0</v>
      </c>
      <c r="AO11" s="46">
        <f t="shared" si="0"/>
        <v>0</v>
      </c>
      <c r="AP11" s="7">
        <f t="shared" si="1"/>
        <v>0</v>
      </c>
    </row>
    <row r="12" spans="1:42" x14ac:dyDescent="0.3">
      <c r="A12" s="5">
        <v>11</v>
      </c>
      <c r="B12" s="107" t="s">
        <v>9</v>
      </c>
      <c r="C12" s="112" t="s">
        <v>608</v>
      </c>
      <c r="D12" s="113" t="s">
        <v>772</v>
      </c>
      <c r="E12" s="110" t="s">
        <v>128</v>
      </c>
      <c r="F12" s="6" t="s">
        <v>12</v>
      </c>
      <c r="G12" s="6" t="s">
        <v>1052</v>
      </c>
      <c r="H12" s="6" t="s">
        <v>80</v>
      </c>
      <c r="I12" s="5">
        <v>1</v>
      </c>
      <c r="J12" s="67" t="s">
        <v>160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H12" s="46">
        <v>13.96</v>
      </c>
      <c r="AI12" s="46">
        <v>0</v>
      </c>
      <c r="AJ12" s="46">
        <v>54.819999999999993</v>
      </c>
      <c r="AK12" s="46">
        <v>0</v>
      </c>
      <c r="AL12" s="46">
        <v>49.89</v>
      </c>
      <c r="AM12" s="46">
        <v>0</v>
      </c>
      <c r="AN12" s="46">
        <v>5.12</v>
      </c>
      <c r="AO12" s="46">
        <f t="shared" si="0"/>
        <v>4.1263333333333332</v>
      </c>
      <c r="AP12" s="7">
        <f t="shared" si="1"/>
        <v>4.1263333333333332</v>
      </c>
    </row>
    <row r="13" spans="1:42" x14ac:dyDescent="0.3">
      <c r="A13" s="5">
        <v>12</v>
      </c>
      <c r="B13" s="107" t="s">
        <v>9</v>
      </c>
      <c r="C13" s="112" t="s">
        <v>609</v>
      </c>
      <c r="D13" s="112" t="s">
        <v>745</v>
      </c>
      <c r="E13" s="110" t="s">
        <v>128</v>
      </c>
      <c r="F13" s="6" t="s">
        <v>12</v>
      </c>
      <c r="G13" s="6" t="s">
        <v>976</v>
      </c>
      <c r="H13" s="6" t="s">
        <v>35</v>
      </c>
      <c r="I13" s="5">
        <v>7</v>
      </c>
      <c r="J13" s="94" t="s">
        <v>273</v>
      </c>
      <c r="K13" s="46">
        <v>61.942999999999991</v>
      </c>
      <c r="L13" s="46">
        <v>73.826000000000008</v>
      </c>
      <c r="M13" s="46">
        <v>73.966999999999999</v>
      </c>
      <c r="N13" s="46">
        <v>85.478000000000009</v>
      </c>
      <c r="O13" s="46">
        <v>57.399000000000001</v>
      </c>
      <c r="P13" s="46">
        <v>75.454999999999998</v>
      </c>
      <c r="Q13" s="46">
        <v>71.916000000000011</v>
      </c>
      <c r="R13" s="46">
        <v>52.654999999999994</v>
      </c>
      <c r="S13" s="46">
        <v>85.274000000000001</v>
      </c>
      <c r="T13" s="46">
        <v>73.721999999999994</v>
      </c>
      <c r="U13" s="46">
        <v>69.576999999999998</v>
      </c>
      <c r="V13" s="46">
        <v>47.757999999999996</v>
      </c>
      <c r="W13" s="46">
        <v>82.739000000000004</v>
      </c>
      <c r="X13" s="46">
        <v>61.548999999999992</v>
      </c>
      <c r="Y13" s="46">
        <v>77.947000000000003</v>
      </c>
      <c r="Z13" s="46">
        <v>70.915999999999997</v>
      </c>
      <c r="AA13" s="46">
        <v>63.878999999999998</v>
      </c>
      <c r="AB13" s="46">
        <v>58.533000000000001</v>
      </c>
      <c r="AC13" s="46">
        <v>87.503</v>
      </c>
      <c r="AD13" s="46">
        <v>72.554000000000002</v>
      </c>
      <c r="AE13" s="46">
        <v>65.363</v>
      </c>
      <c r="AF13" s="46">
        <v>89.185000000000016</v>
      </c>
      <c r="AG13" s="46">
        <v>67.406000000000006</v>
      </c>
      <c r="AH13" s="46">
        <v>70.167999999999992</v>
      </c>
      <c r="AI13" s="46">
        <v>74.596999999999994</v>
      </c>
      <c r="AJ13" s="46">
        <v>94.801000000000016</v>
      </c>
      <c r="AK13" s="46">
        <v>106.97499999999999</v>
      </c>
      <c r="AL13" s="46">
        <v>59.825000000000003</v>
      </c>
      <c r="AM13" s="46">
        <v>99.74199999999999</v>
      </c>
      <c r="AN13" s="46">
        <v>75.346999999999994</v>
      </c>
      <c r="AO13" s="46">
        <f t="shared" si="0"/>
        <v>73.59996666666666</v>
      </c>
      <c r="AP13" s="7">
        <f t="shared" si="1"/>
        <v>10.514280952380952</v>
      </c>
    </row>
    <row r="14" spans="1:42" x14ac:dyDescent="0.3">
      <c r="A14" s="5">
        <v>13</v>
      </c>
      <c r="B14" s="107" t="s">
        <v>9</v>
      </c>
      <c r="C14" s="112" t="s">
        <v>960</v>
      </c>
      <c r="D14" s="112" t="s">
        <v>985</v>
      </c>
      <c r="E14" s="110" t="s">
        <v>128</v>
      </c>
      <c r="F14" s="6" t="s">
        <v>12</v>
      </c>
      <c r="G14" s="6" t="s">
        <v>971</v>
      </c>
      <c r="H14" s="6" t="s">
        <v>80</v>
      </c>
      <c r="I14" s="5">
        <v>1</v>
      </c>
      <c r="J14" s="94" t="s">
        <v>273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>
        <v>0</v>
      </c>
      <c r="AO14" s="46">
        <f t="shared" si="0"/>
        <v>0</v>
      </c>
      <c r="AP14" s="7">
        <f t="shared" si="1"/>
        <v>0</v>
      </c>
    </row>
    <row r="15" spans="1:42" x14ac:dyDescent="0.3">
      <c r="A15" s="5">
        <v>14</v>
      </c>
      <c r="B15" s="107" t="s">
        <v>9</v>
      </c>
      <c r="C15" s="112" t="s">
        <v>965</v>
      </c>
      <c r="D15" s="112" t="s">
        <v>914</v>
      </c>
      <c r="E15" s="110" t="s">
        <v>128</v>
      </c>
      <c r="F15" s="6" t="s">
        <v>12</v>
      </c>
      <c r="G15" s="6" t="s">
        <v>976</v>
      </c>
      <c r="H15" s="6" t="s">
        <v>35</v>
      </c>
      <c r="I15" s="5">
        <v>4</v>
      </c>
      <c r="J15" s="67" t="s">
        <v>160</v>
      </c>
      <c r="K15" s="46">
        <v>38.954999999999998</v>
      </c>
      <c r="L15" s="46">
        <v>31.943999999999996</v>
      </c>
      <c r="M15" s="46">
        <v>33.378</v>
      </c>
      <c r="N15" s="46">
        <v>36.385000000000005</v>
      </c>
      <c r="O15" s="46">
        <v>39.768000000000008</v>
      </c>
      <c r="P15" s="46">
        <v>33.594000000000001</v>
      </c>
      <c r="Q15" s="46">
        <v>35.006999999999998</v>
      </c>
      <c r="R15" s="46">
        <v>27.725000000000001</v>
      </c>
      <c r="S15" s="46">
        <v>43.137999999999998</v>
      </c>
      <c r="T15" s="46">
        <v>31.587</v>
      </c>
      <c r="U15" s="46">
        <v>48.410000000000004</v>
      </c>
      <c r="V15" s="46">
        <v>35.531999999999996</v>
      </c>
      <c r="W15" s="46">
        <v>3.8</v>
      </c>
      <c r="X15" s="46">
        <v>45.478999999999999</v>
      </c>
      <c r="Y15" s="46">
        <v>28.432000000000002</v>
      </c>
      <c r="Z15" s="46">
        <v>39.958999999999996</v>
      </c>
      <c r="AA15" s="46">
        <v>28.398000000000003</v>
      </c>
      <c r="AB15" s="46">
        <v>37.222000000000001</v>
      </c>
      <c r="AC15" s="46">
        <v>59.254999999999995</v>
      </c>
      <c r="AD15" s="46">
        <v>14.157</v>
      </c>
      <c r="AE15" s="46">
        <v>40.101999999999997</v>
      </c>
      <c r="AF15" s="46">
        <v>35.461999999999996</v>
      </c>
      <c r="AG15" s="46">
        <v>33.726000000000006</v>
      </c>
      <c r="AH15" s="46">
        <v>19.789000000000001</v>
      </c>
      <c r="AI15" s="46">
        <v>31.869</v>
      </c>
      <c r="AJ15" s="46">
        <v>23.853999999999999</v>
      </c>
      <c r="AK15" s="46">
        <v>37.167999999999999</v>
      </c>
      <c r="AL15" s="46">
        <v>32.723000000000006</v>
      </c>
      <c r="AM15" s="46">
        <v>31.056999999999999</v>
      </c>
      <c r="AN15" s="46">
        <v>34.718999999999994</v>
      </c>
      <c r="AO15" s="46">
        <f t="shared" si="0"/>
        <v>33.753133333333338</v>
      </c>
      <c r="AP15" s="7">
        <f t="shared" si="1"/>
        <v>8.4382833333333345</v>
      </c>
    </row>
    <row r="16" spans="1:42" x14ac:dyDescent="0.3">
      <c r="A16" s="5">
        <v>15</v>
      </c>
      <c r="B16" s="107" t="s">
        <v>9</v>
      </c>
      <c r="C16" s="112" t="s">
        <v>611</v>
      </c>
      <c r="D16" s="112" t="s">
        <v>747</v>
      </c>
      <c r="E16" s="110" t="s">
        <v>128</v>
      </c>
      <c r="F16" s="6" t="s">
        <v>12</v>
      </c>
      <c r="G16" s="6" t="s">
        <v>976</v>
      </c>
      <c r="H16" s="6" t="s">
        <v>35</v>
      </c>
      <c r="I16" s="5">
        <v>19</v>
      </c>
      <c r="J16" s="94" t="s">
        <v>273</v>
      </c>
      <c r="K16" s="46">
        <v>138.54600000000002</v>
      </c>
      <c r="L16" s="46">
        <v>126.61600000000001</v>
      </c>
      <c r="M16" s="46">
        <v>203.46300000000008</v>
      </c>
      <c r="N16" s="46">
        <v>283.89800000000002</v>
      </c>
      <c r="O16" s="46">
        <v>267.20100000000002</v>
      </c>
      <c r="P16" s="46">
        <v>283.18099999999993</v>
      </c>
      <c r="Q16" s="46">
        <v>232.41000000000005</v>
      </c>
      <c r="R16" s="46">
        <v>225.249</v>
      </c>
      <c r="S16" s="46">
        <v>237.77700000000002</v>
      </c>
      <c r="T16" s="46">
        <v>314.44400000000002</v>
      </c>
      <c r="U16" s="46">
        <v>273.37299999999999</v>
      </c>
      <c r="V16" s="46">
        <v>201.06699999999998</v>
      </c>
      <c r="W16" s="46">
        <v>198.45599999999996</v>
      </c>
      <c r="X16" s="46">
        <v>193.74200000000002</v>
      </c>
      <c r="Y16" s="46">
        <v>160.35099999999997</v>
      </c>
      <c r="Z16" s="46">
        <v>158.39400000000001</v>
      </c>
      <c r="AA16" s="46">
        <v>165.27799999999999</v>
      </c>
      <c r="AB16" s="46">
        <v>173.65899999999991</v>
      </c>
      <c r="AC16" s="46">
        <v>199.56099999999998</v>
      </c>
      <c r="AD16" s="46">
        <v>199.75200000000007</v>
      </c>
      <c r="AE16" s="46">
        <v>204.79</v>
      </c>
      <c r="AF16" s="46">
        <v>171.51199999999997</v>
      </c>
      <c r="AG16" s="46">
        <v>175.39800000000002</v>
      </c>
      <c r="AH16" s="46">
        <v>225.14300000000003</v>
      </c>
      <c r="AI16" s="46">
        <v>163.12700000000001</v>
      </c>
      <c r="AJ16" s="46">
        <v>148.25900000000004</v>
      </c>
      <c r="AK16" s="46">
        <v>183.417</v>
      </c>
      <c r="AL16" s="46">
        <v>215.26400000000004</v>
      </c>
      <c r="AM16" s="46">
        <v>205.02100000000002</v>
      </c>
      <c r="AN16" s="46">
        <v>150.52500000000001</v>
      </c>
      <c r="AO16" s="46">
        <f t="shared" si="0"/>
        <v>202.62913333333336</v>
      </c>
      <c r="AP16" s="7">
        <f t="shared" si="1"/>
        <v>10.664691228070177</v>
      </c>
    </row>
    <row r="17" spans="1:42" x14ac:dyDescent="0.3">
      <c r="A17" s="5">
        <v>16</v>
      </c>
      <c r="B17" s="107" t="s">
        <v>9</v>
      </c>
      <c r="C17" s="112" t="s">
        <v>964</v>
      </c>
      <c r="D17" s="112" t="s">
        <v>982</v>
      </c>
      <c r="E17" s="110" t="s">
        <v>128</v>
      </c>
      <c r="F17" s="6" t="s">
        <v>12</v>
      </c>
      <c r="G17" s="6" t="s">
        <v>973</v>
      </c>
      <c r="H17" s="6" t="s">
        <v>80</v>
      </c>
      <c r="I17" s="5">
        <v>1</v>
      </c>
      <c r="J17" s="94" t="s">
        <v>273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13.719999999999999</v>
      </c>
      <c r="W17" s="46">
        <v>74.510000000000005</v>
      </c>
      <c r="X17" s="46">
        <v>42.96</v>
      </c>
      <c r="Y17" s="46">
        <v>82.32</v>
      </c>
      <c r="Z17" s="46">
        <v>62.778999999999996</v>
      </c>
      <c r="AA17" s="46">
        <v>74.579000000000008</v>
      </c>
      <c r="AB17" s="46">
        <v>53.459999999999994</v>
      </c>
      <c r="AC17" s="46">
        <v>59.331000000000003</v>
      </c>
      <c r="AD17" s="46">
        <v>43.210000000000008</v>
      </c>
      <c r="AE17" s="46">
        <v>36.460000000000008</v>
      </c>
      <c r="AF17" s="46">
        <v>60.609999999999992</v>
      </c>
      <c r="AG17" s="46">
        <v>18.119999999999997</v>
      </c>
      <c r="AH17" s="46">
        <v>26.980000000000004</v>
      </c>
      <c r="AI17" s="46">
        <v>63.279999999999994</v>
      </c>
      <c r="AJ17" s="46">
        <v>53.362000000000002</v>
      </c>
      <c r="AK17" s="46">
        <v>48.92</v>
      </c>
      <c r="AL17" s="46">
        <v>46.069000000000003</v>
      </c>
      <c r="AM17" s="46">
        <v>49.54</v>
      </c>
      <c r="AN17" s="46">
        <v>30.080000000000002</v>
      </c>
      <c r="AO17" s="46">
        <f t="shared" si="0"/>
        <v>31.343</v>
      </c>
      <c r="AP17" s="7">
        <f t="shared" si="1"/>
        <v>31.343</v>
      </c>
    </row>
    <row r="18" spans="1:42" x14ac:dyDescent="0.3">
      <c r="A18" s="5">
        <v>17</v>
      </c>
      <c r="B18" s="107" t="s">
        <v>9</v>
      </c>
      <c r="C18" s="112" t="s">
        <v>964</v>
      </c>
      <c r="D18" s="112" t="s">
        <v>982</v>
      </c>
      <c r="E18" s="110" t="s">
        <v>128</v>
      </c>
      <c r="F18" s="6" t="s">
        <v>12</v>
      </c>
      <c r="G18" s="6" t="s">
        <v>971</v>
      </c>
      <c r="H18" s="6" t="s">
        <v>80</v>
      </c>
      <c r="I18" s="5">
        <v>2</v>
      </c>
      <c r="J18" s="94" t="s">
        <v>273</v>
      </c>
      <c r="K18" s="46">
        <v>35.28</v>
      </c>
      <c r="L18" s="46">
        <v>48.59</v>
      </c>
      <c r="M18" s="46">
        <v>34.119999999999997</v>
      </c>
      <c r="N18" s="46">
        <v>18.71</v>
      </c>
      <c r="O18" s="46">
        <v>7.49</v>
      </c>
      <c r="P18" s="46">
        <v>14.879999999999999</v>
      </c>
      <c r="Q18" s="46">
        <v>10.050000000000001</v>
      </c>
      <c r="R18" s="46">
        <v>6.7899999999999991</v>
      </c>
      <c r="S18" s="46">
        <v>161.59999999999997</v>
      </c>
      <c r="T18" s="46">
        <v>0</v>
      </c>
      <c r="U18" s="46">
        <v>11.719999999999999</v>
      </c>
      <c r="V18" s="46">
        <v>45.13</v>
      </c>
      <c r="W18" s="46">
        <v>18.049999999999997</v>
      </c>
      <c r="X18" s="46">
        <v>47.06</v>
      </c>
      <c r="Y18" s="46">
        <v>29.81</v>
      </c>
      <c r="Z18" s="46">
        <v>32.79</v>
      </c>
      <c r="AA18" s="46">
        <v>53.97</v>
      </c>
      <c r="AB18" s="46">
        <v>20.189999999999998</v>
      </c>
      <c r="AC18" s="46">
        <v>27.15</v>
      </c>
      <c r="AD18" s="46">
        <v>42.31</v>
      </c>
      <c r="AE18" s="46">
        <v>23.4</v>
      </c>
      <c r="AF18" s="46">
        <v>12.96</v>
      </c>
      <c r="AG18" s="46">
        <v>25.85</v>
      </c>
      <c r="AH18" s="46">
        <v>29.38</v>
      </c>
      <c r="AI18" s="46">
        <v>3.7199999999999998</v>
      </c>
      <c r="AJ18" s="46">
        <v>14.61</v>
      </c>
      <c r="AK18" s="46">
        <v>27.959999999999997</v>
      </c>
      <c r="AL18" s="46">
        <v>0</v>
      </c>
      <c r="AM18" s="46">
        <v>30.699999999999996</v>
      </c>
      <c r="AN18" s="46">
        <v>17.57</v>
      </c>
      <c r="AO18" s="46">
        <f t="shared" si="0"/>
        <v>28.394666666666676</v>
      </c>
      <c r="AP18" s="7">
        <f t="shared" si="1"/>
        <v>14.197333333333338</v>
      </c>
    </row>
    <row r="19" spans="1:42" x14ac:dyDescent="0.3">
      <c r="A19" s="5">
        <v>18</v>
      </c>
      <c r="B19" s="107" t="s">
        <v>9</v>
      </c>
      <c r="C19" s="112" t="s">
        <v>959</v>
      </c>
      <c r="D19" s="112" t="s">
        <v>755</v>
      </c>
      <c r="E19" s="110" t="s">
        <v>128</v>
      </c>
      <c r="F19" s="6" t="s">
        <v>12</v>
      </c>
      <c r="G19" s="6" t="s">
        <v>976</v>
      </c>
      <c r="H19" s="6" t="s">
        <v>35</v>
      </c>
      <c r="I19" s="5">
        <v>8</v>
      </c>
      <c r="J19" s="94" t="s">
        <v>273</v>
      </c>
      <c r="K19" s="46">
        <v>73.313999999999993</v>
      </c>
      <c r="L19" s="46">
        <v>88.98599999999999</v>
      </c>
      <c r="M19" s="46">
        <v>93.214999999999989</v>
      </c>
      <c r="N19" s="46">
        <v>108.41999999999999</v>
      </c>
      <c r="O19" s="46">
        <v>92.193000000000012</v>
      </c>
      <c r="P19" s="46">
        <v>72.640999999999991</v>
      </c>
      <c r="Q19" s="46">
        <v>110.149</v>
      </c>
      <c r="R19" s="46">
        <v>70.932000000000002</v>
      </c>
      <c r="S19" s="46">
        <v>78.595000000000013</v>
      </c>
      <c r="T19" s="46">
        <v>71.322999999999993</v>
      </c>
      <c r="U19" s="46">
        <v>76.402999999999992</v>
      </c>
      <c r="V19" s="46">
        <v>55.070999999999998</v>
      </c>
      <c r="W19" s="46">
        <v>47.388999999999996</v>
      </c>
      <c r="X19" s="46">
        <v>72.325999999999993</v>
      </c>
      <c r="Y19" s="46">
        <v>70.916000000000011</v>
      </c>
      <c r="Z19" s="46">
        <v>82.070000000000007</v>
      </c>
      <c r="AA19" s="46">
        <v>71.031999999999996</v>
      </c>
      <c r="AB19" s="46">
        <v>87.557000000000002</v>
      </c>
      <c r="AC19" s="46">
        <v>70.64500000000001</v>
      </c>
      <c r="AD19" s="46">
        <v>50.567999999999998</v>
      </c>
      <c r="AE19" s="46">
        <v>49.570999999999991</v>
      </c>
      <c r="AF19" s="46">
        <v>69.206000000000003</v>
      </c>
      <c r="AG19" s="46">
        <v>59.607999999999997</v>
      </c>
      <c r="AH19" s="46">
        <v>77.539999999999992</v>
      </c>
      <c r="AI19" s="46">
        <v>104.17399999999999</v>
      </c>
      <c r="AJ19" s="46">
        <v>71.11999999999999</v>
      </c>
      <c r="AK19" s="46">
        <v>108.52999999999999</v>
      </c>
      <c r="AL19" s="46">
        <v>57.247</v>
      </c>
      <c r="AM19" s="46">
        <v>63.505000000000003</v>
      </c>
      <c r="AN19" s="46">
        <v>76.452999999999989</v>
      </c>
      <c r="AO19" s="46">
        <f t="shared" si="0"/>
        <v>76.023299999999978</v>
      </c>
      <c r="AP19" s="7">
        <f t="shared" si="1"/>
        <v>9.5029124999999972</v>
      </c>
    </row>
    <row r="20" spans="1:42" x14ac:dyDescent="0.3">
      <c r="A20" s="5">
        <v>19</v>
      </c>
      <c r="B20" s="107" t="s">
        <v>9</v>
      </c>
      <c r="C20" s="112" t="s">
        <v>612</v>
      </c>
      <c r="D20" s="112" t="s">
        <v>771</v>
      </c>
      <c r="E20" s="110" t="s">
        <v>128</v>
      </c>
      <c r="F20" s="6" t="s">
        <v>12</v>
      </c>
      <c r="G20" s="6" t="s">
        <v>979</v>
      </c>
      <c r="H20" s="6" t="s">
        <v>35</v>
      </c>
      <c r="I20" s="5">
        <v>1</v>
      </c>
      <c r="J20" s="67" t="s">
        <v>160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f t="shared" si="0"/>
        <v>0</v>
      </c>
      <c r="AP20" s="7">
        <f t="shared" si="1"/>
        <v>0</v>
      </c>
    </row>
    <row r="21" spans="1:42" x14ac:dyDescent="0.3">
      <c r="A21" s="5">
        <v>20</v>
      </c>
      <c r="B21" s="107" t="s">
        <v>9</v>
      </c>
      <c r="C21" s="112" t="s">
        <v>612</v>
      </c>
      <c r="D21" s="112" t="s">
        <v>981</v>
      </c>
      <c r="E21" s="110" t="s">
        <v>128</v>
      </c>
      <c r="F21" s="6" t="s">
        <v>12</v>
      </c>
      <c r="G21" s="6" t="s">
        <v>971</v>
      </c>
      <c r="H21" s="6" t="s">
        <v>80</v>
      </c>
      <c r="I21" s="5">
        <v>1</v>
      </c>
      <c r="J21" s="67" t="s">
        <v>160</v>
      </c>
      <c r="K21" s="46">
        <v>0</v>
      </c>
      <c r="L21" s="46">
        <v>0.01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f t="shared" si="0"/>
        <v>3.3333333333333332E-4</v>
      </c>
      <c r="AP21" s="7">
        <f t="shared" si="1"/>
        <v>3.3333333333333332E-4</v>
      </c>
    </row>
    <row r="22" spans="1:42" x14ac:dyDescent="0.3">
      <c r="A22" s="5">
        <v>21</v>
      </c>
      <c r="B22" s="107" t="s">
        <v>9</v>
      </c>
      <c r="C22" s="112" t="s">
        <v>612</v>
      </c>
      <c r="D22" s="112" t="s">
        <v>981</v>
      </c>
      <c r="E22" s="110" t="s">
        <v>128</v>
      </c>
      <c r="F22" s="6" t="s">
        <v>12</v>
      </c>
      <c r="G22" s="6" t="s">
        <v>973</v>
      </c>
      <c r="H22" s="6" t="s">
        <v>80</v>
      </c>
      <c r="I22" s="5">
        <v>1</v>
      </c>
      <c r="J22" s="67" t="s">
        <v>160</v>
      </c>
      <c r="K22" s="46">
        <v>15.089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13.79</v>
      </c>
      <c r="Z22" s="46">
        <v>0</v>
      </c>
      <c r="AA22" s="46">
        <v>0</v>
      </c>
      <c r="AB22" s="46">
        <v>16.27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12.67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v>5.0599999999999996</v>
      </c>
      <c r="AO22" s="46">
        <f t="shared" si="0"/>
        <v>2.095966666666667</v>
      </c>
      <c r="AP22" s="7">
        <f t="shared" si="1"/>
        <v>2.095966666666667</v>
      </c>
    </row>
    <row r="23" spans="1:42" x14ac:dyDescent="0.3">
      <c r="A23" s="5">
        <v>22</v>
      </c>
      <c r="B23" s="107" t="s">
        <v>9</v>
      </c>
      <c r="C23" s="112" t="s">
        <v>612</v>
      </c>
      <c r="D23" s="112" t="s">
        <v>981</v>
      </c>
      <c r="E23" s="110" t="s">
        <v>128</v>
      </c>
      <c r="F23" s="6" t="s">
        <v>12</v>
      </c>
      <c r="G23" s="6" t="s">
        <v>290</v>
      </c>
      <c r="H23" s="6" t="s">
        <v>80</v>
      </c>
      <c r="I23" s="5">
        <v>1</v>
      </c>
      <c r="J23" s="67" t="s">
        <v>160</v>
      </c>
      <c r="K23" s="46">
        <v>354.85</v>
      </c>
      <c r="L23" s="46">
        <v>499.36999999999989</v>
      </c>
      <c r="M23" s="46">
        <v>399.17800000000005</v>
      </c>
      <c r="N23" s="46">
        <v>436.90000000000009</v>
      </c>
      <c r="O23" s="46">
        <v>189.22599999999997</v>
      </c>
      <c r="P23" s="46">
        <v>122.572</v>
      </c>
      <c r="Q23" s="46">
        <v>433.05</v>
      </c>
      <c r="R23" s="46">
        <v>245.55199999999999</v>
      </c>
      <c r="S23" s="46">
        <v>475.22599999999994</v>
      </c>
      <c r="T23" s="46">
        <v>319.14799999999991</v>
      </c>
      <c r="U23" s="46">
        <v>406.25</v>
      </c>
      <c r="V23" s="46">
        <v>83.85</v>
      </c>
      <c r="W23" s="46">
        <v>145.22000000000003</v>
      </c>
      <c r="X23" s="46">
        <v>334.12399999999997</v>
      </c>
      <c r="Y23" s="46">
        <v>415.04399999999993</v>
      </c>
      <c r="Z23" s="46">
        <v>435.85</v>
      </c>
      <c r="AA23" s="46">
        <v>467.77800000000002</v>
      </c>
      <c r="AB23" s="46">
        <v>321.84999999999997</v>
      </c>
      <c r="AC23" s="46">
        <v>117.32399999999998</v>
      </c>
      <c r="AD23" s="46">
        <v>107.19999999999997</v>
      </c>
      <c r="AE23" s="46">
        <v>357.47200000000009</v>
      </c>
      <c r="AF23" s="46">
        <v>469.36799999999999</v>
      </c>
      <c r="AG23" s="46">
        <v>456.17799999999994</v>
      </c>
      <c r="AH23" s="46">
        <v>396.59599999999995</v>
      </c>
      <c r="AI23" s="46">
        <v>310.60000000000002</v>
      </c>
      <c r="AJ23" s="46">
        <v>128.696</v>
      </c>
      <c r="AK23" s="46">
        <v>197.04800000000006</v>
      </c>
      <c r="AL23" s="46">
        <v>388.02799999999996</v>
      </c>
      <c r="AM23" s="46">
        <v>563.05200000000025</v>
      </c>
      <c r="AN23" s="46">
        <v>546.19599999999969</v>
      </c>
      <c r="AO23" s="46">
        <f t="shared" si="0"/>
        <v>337.42653333333334</v>
      </c>
      <c r="AP23" s="7">
        <f t="shared" si="1"/>
        <v>337.42653333333334</v>
      </c>
    </row>
    <row r="24" spans="1:42" x14ac:dyDescent="0.3">
      <c r="A24" s="5">
        <v>23</v>
      </c>
      <c r="B24" s="107" t="s">
        <v>9</v>
      </c>
      <c r="C24" s="112" t="s">
        <v>612</v>
      </c>
      <c r="D24" s="112" t="s">
        <v>771</v>
      </c>
      <c r="E24" s="110" t="s">
        <v>128</v>
      </c>
      <c r="F24" s="6" t="s">
        <v>12</v>
      </c>
      <c r="G24" s="6" t="s">
        <v>972</v>
      </c>
      <c r="H24" s="6" t="s">
        <v>80</v>
      </c>
      <c r="I24" s="5">
        <v>1</v>
      </c>
      <c r="J24" s="67" t="s">
        <v>160</v>
      </c>
      <c r="K24" s="46">
        <v>371.85</v>
      </c>
      <c r="L24" s="46">
        <v>478.80999999999995</v>
      </c>
      <c r="M24" s="46">
        <v>506.87000000000012</v>
      </c>
      <c r="N24" s="46">
        <v>400.04000000000008</v>
      </c>
      <c r="O24" s="46">
        <v>244.98999999999995</v>
      </c>
      <c r="P24" s="46">
        <v>214.43</v>
      </c>
      <c r="Q24" s="46">
        <v>450.69999999999993</v>
      </c>
      <c r="R24" s="46">
        <v>270.63</v>
      </c>
      <c r="S24" s="46">
        <v>378.18999999999988</v>
      </c>
      <c r="T24" s="46">
        <v>445.31</v>
      </c>
      <c r="U24" s="46">
        <v>434.72999999999985</v>
      </c>
      <c r="V24" s="46">
        <v>133.11000000000001</v>
      </c>
      <c r="W24" s="46">
        <v>212.5</v>
      </c>
      <c r="X24" s="46">
        <v>367.02999999999986</v>
      </c>
      <c r="Y24" s="46">
        <v>505.41999999999996</v>
      </c>
      <c r="Z24" s="46">
        <v>532.48</v>
      </c>
      <c r="AA24" s="46">
        <v>521.30999999999983</v>
      </c>
      <c r="AB24" s="46">
        <v>347.11</v>
      </c>
      <c r="AC24" s="46">
        <v>200.38</v>
      </c>
      <c r="AD24" s="46">
        <v>193.14</v>
      </c>
      <c r="AE24" s="46">
        <v>430.95999999999992</v>
      </c>
      <c r="AF24" s="46">
        <v>460.24</v>
      </c>
      <c r="AG24" s="46">
        <v>504.29000000000019</v>
      </c>
      <c r="AH24" s="46">
        <v>392.79</v>
      </c>
      <c r="AI24" s="46">
        <v>488.66999999999996</v>
      </c>
      <c r="AJ24" s="46">
        <v>251.39000000000004</v>
      </c>
      <c r="AK24" s="46">
        <v>180.01999999999995</v>
      </c>
      <c r="AL24" s="46">
        <v>445.83999999999992</v>
      </c>
      <c r="AM24" s="46">
        <v>535.69000000000017</v>
      </c>
      <c r="AN24" s="46">
        <v>638.66</v>
      </c>
      <c r="AO24" s="46">
        <f t="shared" si="0"/>
        <v>384.58600000000007</v>
      </c>
      <c r="AP24" s="7">
        <f t="shared" si="1"/>
        <v>384.58600000000007</v>
      </c>
    </row>
    <row r="25" spans="1:42" x14ac:dyDescent="0.3">
      <c r="A25" s="5">
        <v>24</v>
      </c>
      <c r="B25" s="107" t="s">
        <v>9</v>
      </c>
      <c r="C25" s="112" t="s">
        <v>612</v>
      </c>
      <c r="D25" s="112" t="s">
        <v>771</v>
      </c>
      <c r="E25" s="110" t="s">
        <v>128</v>
      </c>
      <c r="F25" s="6" t="s">
        <v>12</v>
      </c>
      <c r="G25" s="6" t="s">
        <v>1004</v>
      </c>
      <c r="H25" s="6" t="s">
        <v>80</v>
      </c>
      <c r="I25" s="5">
        <v>1</v>
      </c>
      <c r="J25" s="67" t="s">
        <v>160</v>
      </c>
      <c r="K25" s="46">
        <v>0</v>
      </c>
      <c r="L25" s="46">
        <v>0</v>
      </c>
      <c r="M25" s="46">
        <v>0</v>
      </c>
      <c r="N25" s="46">
        <v>0</v>
      </c>
      <c r="O25" s="46">
        <v>62.15</v>
      </c>
      <c r="P25" s="46">
        <v>11.2</v>
      </c>
      <c r="Q25" s="46">
        <v>155.375</v>
      </c>
      <c r="R25" s="46">
        <v>62.024999999999999</v>
      </c>
      <c r="S25" s="46">
        <v>42.1</v>
      </c>
      <c r="T25" s="46">
        <v>0</v>
      </c>
      <c r="U25" s="46">
        <v>280.92500000000001</v>
      </c>
      <c r="V25" s="46">
        <v>0</v>
      </c>
      <c r="W25" s="46">
        <v>0</v>
      </c>
      <c r="X25" s="46">
        <v>0</v>
      </c>
      <c r="Y25" s="46">
        <v>95.724999999999994</v>
      </c>
      <c r="Z25" s="46">
        <v>84.35</v>
      </c>
      <c r="AA25" s="46">
        <v>289.89999999999998</v>
      </c>
      <c r="AB25" s="46">
        <v>397.125</v>
      </c>
      <c r="AC25" s="46">
        <v>75.95</v>
      </c>
      <c r="AD25" s="46">
        <v>484.17499999999995</v>
      </c>
      <c r="AE25" s="46">
        <v>779.9</v>
      </c>
      <c r="AF25" s="46">
        <v>274.25</v>
      </c>
      <c r="AG25" s="46">
        <v>490.92499999999995</v>
      </c>
      <c r="AH25" s="46">
        <v>307.87399999999997</v>
      </c>
      <c r="AI25" s="46">
        <v>419.79999999999995</v>
      </c>
      <c r="AJ25" s="46">
        <v>478.65000000000003</v>
      </c>
      <c r="AK25" s="46">
        <v>419.92500000000001</v>
      </c>
      <c r="AL25" s="46">
        <v>353.32499999999999</v>
      </c>
      <c r="AM25" s="46">
        <v>733.99999999999977</v>
      </c>
      <c r="AN25" s="46">
        <v>336.05</v>
      </c>
      <c r="AO25" s="46">
        <f t="shared" si="0"/>
        <v>221.18996666666666</v>
      </c>
      <c r="AP25" s="7">
        <f t="shared" si="1"/>
        <v>221.18996666666666</v>
      </c>
    </row>
    <row r="26" spans="1:42" x14ac:dyDescent="0.3">
      <c r="A26" s="5">
        <v>25</v>
      </c>
      <c r="B26" s="107" t="s">
        <v>9</v>
      </c>
      <c r="C26" s="112" t="s">
        <v>614</v>
      </c>
      <c r="D26" s="112" t="s">
        <v>760</v>
      </c>
      <c r="E26" s="110" t="s">
        <v>128</v>
      </c>
      <c r="F26" s="6" t="s">
        <v>12</v>
      </c>
      <c r="G26" s="6" t="s">
        <v>976</v>
      </c>
      <c r="H26" s="6" t="s">
        <v>35</v>
      </c>
      <c r="I26" s="5">
        <v>7</v>
      </c>
      <c r="J26" s="94" t="s">
        <v>273</v>
      </c>
      <c r="K26" s="46">
        <v>189.61599999999999</v>
      </c>
      <c r="L26" s="46">
        <v>226.19200000000004</v>
      </c>
      <c r="M26" s="46">
        <v>227.24299999999999</v>
      </c>
      <c r="N26" s="46">
        <v>237.43800000000005</v>
      </c>
      <c r="O26" s="46">
        <v>208.37800000000004</v>
      </c>
      <c r="P26" s="46">
        <v>163.45599999999999</v>
      </c>
      <c r="Q26" s="46">
        <v>225.31</v>
      </c>
      <c r="R26" s="46">
        <v>242.22800000000007</v>
      </c>
      <c r="S26" s="46">
        <v>234.25799999999998</v>
      </c>
      <c r="T26" s="46">
        <v>197.19900000000001</v>
      </c>
      <c r="U26" s="46">
        <v>303.37499999999994</v>
      </c>
      <c r="V26" s="46">
        <v>186.75899999999999</v>
      </c>
      <c r="W26" s="46">
        <v>174.99800000000002</v>
      </c>
      <c r="X26" s="46">
        <v>185.42999999999998</v>
      </c>
      <c r="Y26" s="46">
        <v>249.09900000000016</v>
      </c>
      <c r="Z26" s="46">
        <v>223.75500000000008</v>
      </c>
      <c r="AA26" s="46">
        <v>203.25399999999996</v>
      </c>
      <c r="AB26" s="46">
        <v>198.91499999999999</v>
      </c>
      <c r="AC26" s="46">
        <v>186.53699999999998</v>
      </c>
      <c r="AD26" s="46">
        <v>187.44200000000001</v>
      </c>
      <c r="AE26" s="46">
        <v>214.25700000000006</v>
      </c>
      <c r="AF26" s="46">
        <v>179.90699999999998</v>
      </c>
      <c r="AG26" s="46">
        <v>182.91000000000003</v>
      </c>
      <c r="AH26" s="46">
        <v>209.928</v>
      </c>
      <c r="AI26" s="46">
        <v>272.06900000000002</v>
      </c>
      <c r="AJ26" s="46">
        <v>150.50899999999999</v>
      </c>
      <c r="AK26" s="46">
        <v>198.91700000000003</v>
      </c>
      <c r="AL26" s="46">
        <v>219.82300000000001</v>
      </c>
      <c r="AM26" s="46">
        <v>192.93300000000005</v>
      </c>
      <c r="AN26" s="46">
        <v>87.779999999999973</v>
      </c>
      <c r="AO26" s="46">
        <f t="shared" si="0"/>
        <v>205.3305</v>
      </c>
      <c r="AP26" s="7">
        <f t="shared" si="1"/>
        <v>29.332928571428571</v>
      </c>
    </row>
    <row r="27" spans="1:42" x14ac:dyDescent="0.3">
      <c r="A27" s="5">
        <v>26</v>
      </c>
      <c r="B27" s="107" t="s">
        <v>9</v>
      </c>
      <c r="C27" s="112" t="s">
        <v>613</v>
      </c>
      <c r="D27" s="112" t="s">
        <v>742</v>
      </c>
      <c r="E27" s="110" t="s">
        <v>128</v>
      </c>
      <c r="F27" s="6" t="s">
        <v>12</v>
      </c>
      <c r="G27" s="6" t="s">
        <v>976</v>
      </c>
      <c r="H27" s="6" t="s">
        <v>35</v>
      </c>
      <c r="I27" s="5">
        <v>1</v>
      </c>
      <c r="J27" s="67" t="s">
        <v>160</v>
      </c>
      <c r="K27" s="46">
        <v>6.4210000000000003</v>
      </c>
      <c r="L27" s="46">
        <v>10.446</v>
      </c>
      <c r="M27" s="46">
        <v>10.865</v>
      </c>
      <c r="N27" s="46">
        <v>0.46800000000000003</v>
      </c>
      <c r="O27" s="46">
        <v>1.9629999999999999</v>
      </c>
      <c r="P27" s="46">
        <v>11.382</v>
      </c>
      <c r="Q27" s="46">
        <v>0</v>
      </c>
      <c r="R27" s="46">
        <v>1.984</v>
      </c>
      <c r="S27" s="46">
        <v>6.4080000000000004</v>
      </c>
      <c r="T27" s="46">
        <v>0.84899999999999998</v>
      </c>
      <c r="U27" s="46">
        <v>0</v>
      </c>
      <c r="V27" s="46">
        <v>2.665</v>
      </c>
      <c r="W27" s="46">
        <v>1.252</v>
      </c>
      <c r="X27" s="46">
        <v>7.7210000000000001</v>
      </c>
      <c r="Y27" s="46">
        <v>6.4050000000000002</v>
      </c>
      <c r="Z27" s="46">
        <v>9.2479999999999993</v>
      </c>
      <c r="AA27" s="46">
        <v>9.3219999999999992</v>
      </c>
      <c r="AB27" s="46">
        <v>0</v>
      </c>
      <c r="AC27" s="46">
        <v>5.2859999999999996</v>
      </c>
      <c r="AD27" s="46">
        <v>3.4670000000000001</v>
      </c>
      <c r="AE27" s="46">
        <v>3.1320000000000001</v>
      </c>
      <c r="AF27" s="46">
        <v>0</v>
      </c>
      <c r="AG27" s="46">
        <v>0</v>
      </c>
      <c r="AH27" s="46">
        <v>0</v>
      </c>
      <c r="AI27" s="46">
        <v>0.32200000000000001</v>
      </c>
      <c r="AJ27" s="46">
        <v>33.85</v>
      </c>
      <c r="AK27" s="46">
        <v>56.880000000000017</v>
      </c>
      <c r="AL27" s="46">
        <v>5.2010000000000005</v>
      </c>
      <c r="AM27" s="46">
        <v>12.221</v>
      </c>
      <c r="AN27" s="46">
        <v>5.6070000000000011</v>
      </c>
      <c r="AO27" s="46">
        <f t="shared" si="0"/>
        <v>7.1121666666666679</v>
      </c>
      <c r="AP27" s="7">
        <f t="shared" si="1"/>
        <v>7.1121666666666679</v>
      </c>
    </row>
    <row r="28" spans="1:42" x14ac:dyDescent="0.3">
      <c r="A28" s="5">
        <v>27</v>
      </c>
      <c r="B28" s="107" t="s">
        <v>9</v>
      </c>
      <c r="C28" s="112" t="s">
        <v>613</v>
      </c>
      <c r="D28" s="112" t="s">
        <v>742</v>
      </c>
      <c r="E28" s="110" t="s">
        <v>128</v>
      </c>
      <c r="F28" s="6" t="s">
        <v>12</v>
      </c>
      <c r="G28" s="6" t="s">
        <v>979</v>
      </c>
      <c r="H28" s="6" t="s">
        <v>35</v>
      </c>
      <c r="I28" s="5">
        <v>1</v>
      </c>
      <c r="J28" s="67" t="s">
        <v>160</v>
      </c>
      <c r="K28" s="46">
        <v>15.042000000000002</v>
      </c>
      <c r="L28" s="46">
        <v>9.923</v>
      </c>
      <c r="M28" s="46">
        <v>0</v>
      </c>
      <c r="N28" s="46">
        <v>0</v>
      </c>
      <c r="O28" s="46">
        <v>18.600000000000001</v>
      </c>
      <c r="P28" s="46">
        <v>0</v>
      </c>
      <c r="Q28" s="46">
        <v>0</v>
      </c>
      <c r="R28" s="46">
        <v>31.513000000000002</v>
      </c>
      <c r="S28" s="46">
        <v>0</v>
      </c>
      <c r="T28" s="46">
        <v>19.856999999999999</v>
      </c>
      <c r="U28" s="46">
        <v>0</v>
      </c>
      <c r="V28" s="46">
        <v>16.158000000000001</v>
      </c>
      <c r="W28" s="46">
        <v>0</v>
      </c>
      <c r="X28" s="46">
        <v>0</v>
      </c>
      <c r="Y28" s="46">
        <v>11.65</v>
      </c>
      <c r="Z28" s="46">
        <v>2.105</v>
      </c>
      <c r="AA28" s="46">
        <v>15.806000000000001</v>
      </c>
      <c r="AB28" s="46">
        <v>0</v>
      </c>
      <c r="AC28" s="46">
        <v>0</v>
      </c>
      <c r="AD28" s="46">
        <v>0</v>
      </c>
      <c r="AE28" s="46">
        <v>0</v>
      </c>
      <c r="AF28" s="46">
        <v>34.192999999999998</v>
      </c>
      <c r="AG28" s="46">
        <v>0</v>
      </c>
      <c r="AH28" s="46">
        <v>0</v>
      </c>
      <c r="AI28" s="46">
        <v>66.459000000000003</v>
      </c>
      <c r="AJ28" s="46">
        <v>9.5330000000000013</v>
      </c>
      <c r="AK28" s="46">
        <v>8.2759999999999998</v>
      </c>
      <c r="AL28" s="46">
        <v>25.600999999999999</v>
      </c>
      <c r="AM28" s="46">
        <v>0</v>
      </c>
      <c r="AN28" s="46">
        <v>5.1749999999999998</v>
      </c>
      <c r="AO28" s="46">
        <f t="shared" si="0"/>
        <v>9.6630333333333365</v>
      </c>
      <c r="AP28" s="7">
        <f t="shared" si="1"/>
        <v>9.6630333333333365</v>
      </c>
    </row>
    <row r="29" spans="1:42" x14ac:dyDescent="0.3">
      <c r="A29" s="5">
        <v>28</v>
      </c>
      <c r="B29" s="107" t="s">
        <v>9</v>
      </c>
      <c r="C29" s="112" t="s">
        <v>613</v>
      </c>
      <c r="D29" s="112" t="s">
        <v>980</v>
      </c>
      <c r="E29" s="110" t="s">
        <v>128</v>
      </c>
      <c r="F29" s="6" t="s">
        <v>12</v>
      </c>
      <c r="G29" s="6" t="s">
        <v>971</v>
      </c>
      <c r="H29" s="6" t="s">
        <v>80</v>
      </c>
      <c r="I29" s="5">
        <v>3</v>
      </c>
      <c r="J29" s="67" t="s">
        <v>160</v>
      </c>
      <c r="K29" s="46">
        <v>46.669999999999995</v>
      </c>
      <c r="L29" s="46">
        <v>0</v>
      </c>
      <c r="M29" s="46">
        <v>0</v>
      </c>
      <c r="N29" s="46">
        <v>0.41000000000000003</v>
      </c>
      <c r="O29" s="46">
        <v>0</v>
      </c>
      <c r="P29" s="46">
        <v>0</v>
      </c>
      <c r="Q29" s="46">
        <v>0</v>
      </c>
      <c r="R29" s="46">
        <v>0</v>
      </c>
      <c r="S29" s="46">
        <v>0</v>
      </c>
      <c r="T29" s="46">
        <v>0</v>
      </c>
      <c r="U29" s="46">
        <v>8.32</v>
      </c>
      <c r="V29" s="46">
        <v>46.74</v>
      </c>
      <c r="W29" s="46">
        <v>33.869999999999997</v>
      </c>
      <c r="X29" s="46">
        <v>57.751000000000005</v>
      </c>
      <c r="Y29" s="46">
        <v>69.86</v>
      </c>
      <c r="Z29" s="46">
        <v>55.379999999999995</v>
      </c>
      <c r="AA29" s="46">
        <v>33.729999999999997</v>
      </c>
      <c r="AB29" s="46">
        <v>0</v>
      </c>
      <c r="AC29" s="46">
        <v>26.229999999999997</v>
      </c>
      <c r="AD29" s="46">
        <v>43.26</v>
      </c>
      <c r="AE29" s="46">
        <v>53.970000000000006</v>
      </c>
      <c r="AF29" s="46">
        <v>25.92</v>
      </c>
      <c r="AG29" s="46">
        <v>65.699000000000012</v>
      </c>
      <c r="AH29" s="46">
        <v>45.581000000000003</v>
      </c>
      <c r="AI29" s="46">
        <v>0.18000000000000005</v>
      </c>
      <c r="AJ29" s="46">
        <v>0</v>
      </c>
      <c r="AK29" s="46">
        <v>0</v>
      </c>
      <c r="AL29" s="46">
        <v>73.63000000000001</v>
      </c>
      <c r="AM29" s="46">
        <v>65.39</v>
      </c>
      <c r="AN29" s="46">
        <v>103.64</v>
      </c>
      <c r="AO29" s="46">
        <f t="shared" si="0"/>
        <v>28.541033333333335</v>
      </c>
      <c r="AP29" s="7">
        <f t="shared" si="1"/>
        <v>9.5136777777777777</v>
      </c>
    </row>
    <row r="30" spans="1:42" x14ac:dyDescent="0.3">
      <c r="A30" s="5">
        <v>29</v>
      </c>
      <c r="B30" s="107" t="s">
        <v>9</v>
      </c>
      <c r="C30" s="112" t="s">
        <v>613</v>
      </c>
      <c r="D30" s="112" t="s">
        <v>980</v>
      </c>
      <c r="E30" s="110" t="s">
        <v>128</v>
      </c>
      <c r="F30" s="6" t="s">
        <v>12</v>
      </c>
      <c r="G30" s="6" t="s">
        <v>975</v>
      </c>
      <c r="H30" s="6" t="s">
        <v>80</v>
      </c>
      <c r="I30" s="5">
        <v>1</v>
      </c>
      <c r="J30" s="67" t="s">
        <v>160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f t="shared" si="0"/>
        <v>0</v>
      </c>
      <c r="AP30" s="7">
        <f t="shared" si="1"/>
        <v>0</v>
      </c>
    </row>
    <row r="31" spans="1:42" x14ac:dyDescent="0.3">
      <c r="A31" s="5">
        <v>30</v>
      </c>
      <c r="B31" s="107" t="s">
        <v>9</v>
      </c>
      <c r="C31" s="112" t="s">
        <v>613</v>
      </c>
      <c r="D31" s="112" t="s">
        <v>980</v>
      </c>
      <c r="E31" s="110" t="s">
        <v>128</v>
      </c>
      <c r="F31" s="6" t="s">
        <v>12</v>
      </c>
      <c r="G31" s="6" t="s">
        <v>1018</v>
      </c>
      <c r="H31" s="6" t="s">
        <v>80</v>
      </c>
      <c r="I31" s="5">
        <v>1</v>
      </c>
      <c r="J31" s="67" t="s">
        <v>160</v>
      </c>
      <c r="K31" s="46">
        <v>30.560000000000002</v>
      </c>
      <c r="L31" s="46">
        <v>15.68</v>
      </c>
      <c r="M31" s="46">
        <v>40.86</v>
      </c>
      <c r="N31" s="46">
        <v>83.52</v>
      </c>
      <c r="O31" s="46">
        <v>17.34</v>
      </c>
      <c r="P31" s="46">
        <v>49.75</v>
      </c>
      <c r="Q31" s="46">
        <v>41.89</v>
      </c>
      <c r="R31" s="46">
        <v>124.28</v>
      </c>
      <c r="S31" s="46">
        <v>87.83</v>
      </c>
      <c r="T31" s="46">
        <v>40.78</v>
      </c>
      <c r="U31" s="46">
        <v>18.98</v>
      </c>
      <c r="V31" s="46">
        <v>44.370000000000005</v>
      </c>
      <c r="W31" s="46">
        <v>38.449999999999996</v>
      </c>
      <c r="X31" s="46">
        <v>27.009999999999998</v>
      </c>
      <c r="Y31" s="46">
        <v>58.79</v>
      </c>
      <c r="Z31" s="46">
        <v>50.33</v>
      </c>
      <c r="AA31" s="46">
        <v>51.32</v>
      </c>
      <c r="AB31" s="46">
        <v>56.849999999999994</v>
      </c>
      <c r="AC31" s="46">
        <v>13.969999999999999</v>
      </c>
      <c r="AD31" s="46">
        <v>31.279999999999998</v>
      </c>
      <c r="AE31" s="46">
        <v>10.780000000000001</v>
      </c>
      <c r="AF31" s="46">
        <v>35</v>
      </c>
      <c r="AG31" s="46">
        <v>32</v>
      </c>
      <c r="AH31" s="46">
        <v>0</v>
      </c>
      <c r="AI31" s="46">
        <v>114.77999999999999</v>
      </c>
      <c r="AJ31" s="46">
        <v>41</v>
      </c>
      <c r="AK31" s="46">
        <v>29.9</v>
      </c>
      <c r="AL31" s="46">
        <v>65.44</v>
      </c>
      <c r="AM31" s="46">
        <v>48.21</v>
      </c>
      <c r="AN31" s="46">
        <v>82.13000000000001</v>
      </c>
      <c r="AO31" s="46">
        <f t="shared" si="0"/>
        <v>46.102666666666678</v>
      </c>
      <c r="AP31" s="7">
        <f t="shared" si="1"/>
        <v>46.102666666666678</v>
      </c>
    </row>
    <row r="32" spans="1:42" x14ac:dyDescent="0.3">
      <c r="A32" s="5">
        <v>31</v>
      </c>
      <c r="B32" s="107" t="s">
        <v>9</v>
      </c>
      <c r="C32" s="112" t="s">
        <v>615</v>
      </c>
      <c r="D32" s="112" t="s">
        <v>770</v>
      </c>
      <c r="E32" s="110" t="s">
        <v>128</v>
      </c>
      <c r="F32" s="6" t="s">
        <v>12</v>
      </c>
      <c r="G32" s="6" t="s">
        <v>976</v>
      </c>
      <c r="H32" s="6" t="s">
        <v>35</v>
      </c>
      <c r="I32" s="5">
        <v>9</v>
      </c>
      <c r="J32" s="94" t="s">
        <v>273</v>
      </c>
      <c r="K32" s="46">
        <v>30.41</v>
      </c>
      <c r="L32" s="46">
        <v>63.247000000000007</v>
      </c>
      <c r="M32" s="46">
        <v>131.23399999999998</v>
      </c>
      <c r="N32" s="46">
        <v>146.17099999999999</v>
      </c>
      <c r="O32" s="46">
        <v>155.40799999999999</v>
      </c>
      <c r="P32" s="46">
        <v>143.47000000000003</v>
      </c>
      <c r="Q32" s="46">
        <v>183.61</v>
      </c>
      <c r="R32" s="46">
        <v>142.58400000000006</v>
      </c>
      <c r="S32" s="46">
        <v>125.19800000000001</v>
      </c>
      <c r="T32" s="46">
        <v>128.833</v>
      </c>
      <c r="U32" s="46">
        <v>136.53799999999998</v>
      </c>
      <c r="V32" s="46">
        <v>177.571</v>
      </c>
      <c r="W32" s="46">
        <v>144.464</v>
      </c>
      <c r="X32" s="46">
        <v>177.61199999999999</v>
      </c>
      <c r="Y32" s="46">
        <v>131.65600000000003</v>
      </c>
      <c r="Z32" s="46">
        <v>97.990000000000009</v>
      </c>
      <c r="AA32" s="46">
        <v>155.81700000000001</v>
      </c>
      <c r="AB32" s="46">
        <v>129.86000000000001</v>
      </c>
      <c r="AC32" s="46">
        <v>121.16000000000003</v>
      </c>
      <c r="AD32" s="46">
        <v>87.782000000000025</v>
      </c>
      <c r="AE32" s="46">
        <v>126.21</v>
      </c>
      <c r="AF32" s="46">
        <v>110.80199999999998</v>
      </c>
      <c r="AG32" s="46">
        <v>84.46899999999998</v>
      </c>
      <c r="AH32" s="46">
        <v>126.99400000000001</v>
      </c>
      <c r="AI32" s="46">
        <v>81.655000000000001</v>
      </c>
      <c r="AJ32" s="46">
        <v>95.313000000000002</v>
      </c>
      <c r="AK32" s="46">
        <v>210.96400000000006</v>
      </c>
      <c r="AL32" s="46">
        <v>106.83900000000001</v>
      </c>
      <c r="AM32" s="46">
        <v>155.94499999999999</v>
      </c>
      <c r="AN32" s="46">
        <v>95.268000000000015</v>
      </c>
      <c r="AO32" s="46">
        <f t="shared" si="0"/>
        <v>126.83580000000003</v>
      </c>
      <c r="AP32" s="7">
        <f t="shared" si="1"/>
        <v>14.092866666666671</v>
      </c>
    </row>
    <row r="33" spans="1:42" ht="14.25" customHeight="1" x14ac:dyDescent="0.3">
      <c r="A33" s="5">
        <v>32</v>
      </c>
      <c r="B33" s="107" t="s">
        <v>9</v>
      </c>
      <c r="C33" s="112" t="s">
        <v>966</v>
      </c>
      <c r="D33" s="112" t="s">
        <v>967</v>
      </c>
      <c r="E33" s="110" t="s">
        <v>128</v>
      </c>
      <c r="F33" s="6" t="s">
        <v>12</v>
      </c>
      <c r="G33" s="6" t="s">
        <v>973</v>
      </c>
      <c r="H33" s="6" t="s">
        <v>80</v>
      </c>
      <c r="I33" s="5">
        <v>1</v>
      </c>
      <c r="J33" s="94" t="s">
        <v>273</v>
      </c>
      <c r="K33" s="46">
        <v>0</v>
      </c>
      <c r="L33" s="46">
        <v>5.98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f t="shared" si="0"/>
        <v>0.19933333333333333</v>
      </c>
      <c r="AP33" s="7">
        <f t="shared" si="1"/>
        <v>0.19933333333333333</v>
      </c>
    </row>
    <row r="34" spans="1:42" x14ac:dyDescent="0.3">
      <c r="A34" s="5">
        <v>33</v>
      </c>
      <c r="B34" s="107" t="s">
        <v>9</v>
      </c>
      <c r="C34" s="112" t="s">
        <v>616</v>
      </c>
      <c r="D34" s="112" t="s">
        <v>748</v>
      </c>
      <c r="E34" s="110" t="s">
        <v>128</v>
      </c>
      <c r="F34" s="6" t="s">
        <v>12</v>
      </c>
      <c r="G34" s="6" t="s">
        <v>976</v>
      </c>
      <c r="H34" s="6" t="s">
        <v>35</v>
      </c>
      <c r="I34" s="5">
        <v>8</v>
      </c>
      <c r="J34" s="94" t="s">
        <v>273</v>
      </c>
      <c r="K34" s="46">
        <v>63.131</v>
      </c>
      <c r="L34" s="46">
        <v>40.367000000000004</v>
      </c>
      <c r="M34" s="46">
        <v>67.59</v>
      </c>
      <c r="N34" s="46">
        <v>103.37599999999999</v>
      </c>
      <c r="O34" s="46">
        <v>63.619000000000007</v>
      </c>
      <c r="P34" s="46">
        <v>49.634000000000007</v>
      </c>
      <c r="Q34" s="46">
        <v>57.867000000000004</v>
      </c>
      <c r="R34" s="46">
        <v>81.816999999999979</v>
      </c>
      <c r="S34" s="46">
        <v>70.894999999999982</v>
      </c>
      <c r="T34" s="46">
        <v>84.478000000000009</v>
      </c>
      <c r="U34" s="46">
        <v>79.338000000000008</v>
      </c>
      <c r="V34" s="46">
        <v>62.38900000000001</v>
      </c>
      <c r="W34" s="46">
        <v>65.22699999999999</v>
      </c>
      <c r="X34" s="46">
        <v>76.823000000000008</v>
      </c>
      <c r="Y34" s="46">
        <v>84.911000000000001</v>
      </c>
      <c r="Z34" s="46">
        <v>51.121000000000002</v>
      </c>
      <c r="AA34" s="46">
        <v>78.295999999999978</v>
      </c>
      <c r="AB34" s="46">
        <v>63.146999999999998</v>
      </c>
      <c r="AC34" s="46">
        <v>81.085000000000008</v>
      </c>
      <c r="AD34" s="46">
        <v>88.328000000000003</v>
      </c>
      <c r="AE34" s="46">
        <v>87.812999999999974</v>
      </c>
      <c r="AF34" s="46">
        <v>53.357000000000006</v>
      </c>
      <c r="AG34" s="46">
        <v>33.916000000000004</v>
      </c>
      <c r="AH34" s="46">
        <v>122.807</v>
      </c>
      <c r="AI34" s="46">
        <v>73.152999999999992</v>
      </c>
      <c r="AJ34" s="46">
        <v>77.87</v>
      </c>
      <c r="AK34" s="46">
        <v>86.926999999999992</v>
      </c>
      <c r="AL34" s="46">
        <v>58.507000000000005</v>
      </c>
      <c r="AM34" s="46">
        <v>127.52400000000002</v>
      </c>
      <c r="AN34" s="46">
        <v>58.269999999999996</v>
      </c>
      <c r="AO34" s="46">
        <f t="shared" si="0"/>
        <v>73.119433333333333</v>
      </c>
      <c r="AP34" s="7">
        <f t="shared" si="1"/>
        <v>9.1399291666666667</v>
      </c>
    </row>
    <row r="35" spans="1:42" ht="13.5" customHeight="1" x14ac:dyDescent="0.3">
      <c r="A35" s="5">
        <v>34</v>
      </c>
      <c r="B35" s="107" t="s">
        <v>9</v>
      </c>
      <c r="C35" s="10" t="s">
        <v>616</v>
      </c>
      <c r="D35" s="39" t="s">
        <v>748</v>
      </c>
      <c r="E35" s="110" t="s">
        <v>128</v>
      </c>
      <c r="F35" s="6" t="s">
        <v>12</v>
      </c>
      <c r="G35" s="6" t="s">
        <v>979</v>
      </c>
      <c r="H35" s="6" t="s">
        <v>35</v>
      </c>
      <c r="I35" s="5">
        <v>2</v>
      </c>
      <c r="J35" s="94" t="s">
        <v>273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f t="shared" si="0"/>
        <v>0</v>
      </c>
      <c r="AP35" s="7">
        <f t="shared" si="1"/>
        <v>0</v>
      </c>
    </row>
    <row r="36" spans="1:42" ht="15.75" customHeight="1" x14ac:dyDescent="0.3">
      <c r="A36" s="5">
        <v>35</v>
      </c>
      <c r="B36" s="107" t="s">
        <v>9</v>
      </c>
      <c r="C36" s="112" t="s">
        <v>617</v>
      </c>
      <c r="D36" s="112" t="s">
        <v>722</v>
      </c>
      <c r="E36" s="110" t="s">
        <v>128</v>
      </c>
      <c r="F36" s="6" t="s">
        <v>12</v>
      </c>
      <c r="G36" s="6" t="s">
        <v>976</v>
      </c>
      <c r="H36" s="6" t="s">
        <v>35</v>
      </c>
      <c r="I36" s="5">
        <v>2</v>
      </c>
      <c r="J36" s="12" t="s">
        <v>589</v>
      </c>
      <c r="K36" s="46">
        <v>8.7720000000000002</v>
      </c>
      <c r="L36" s="46">
        <v>17.737000000000002</v>
      </c>
      <c r="M36" s="46">
        <v>9.4710000000000001</v>
      </c>
      <c r="N36" s="46">
        <v>18.718000000000004</v>
      </c>
      <c r="O36" s="46">
        <v>6.120000000000001</v>
      </c>
      <c r="P36" s="46">
        <v>13.089999999999998</v>
      </c>
      <c r="Q36" s="46">
        <v>22.355999999999998</v>
      </c>
      <c r="R36" s="46">
        <v>19.871000000000002</v>
      </c>
      <c r="S36" s="46">
        <v>22.469999999999995</v>
      </c>
      <c r="T36" s="46">
        <v>23.919</v>
      </c>
      <c r="U36" s="46">
        <v>27.974999999999994</v>
      </c>
      <c r="V36" s="46">
        <v>26.875</v>
      </c>
      <c r="W36" s="46">
        <v>14.974000000000002</v>
      </c>
      <c r="X36" s="46">
        <v>24.042000000000002</v>
      </c>
      <c r="Y36" s="46">
        <v>24.619000000000003</v>
      </c>
      <c r="Z36" s="46">
        <v>27.609000000000002</v>
      </c>
      <c r="AA36" s="46">
        <v>11.009</v>
      </c>
      <c r="AB36" s="46">
        <v>22.736999999999998</v>
      </c>
      <c r="AC36" s="46">
        <v>25.072000000000003</v>
      </c>
      <c r="AD36" s="46">
        <v>20.512999999999998</v>
      </c>
      <c r="AE36" s="46">
        <v>19.186</v>
      </c>
      <c r="AF36" s="46">
        <v>20.651</v>
      </c>
      <c r="AG36" s="46">
        <v>15.911000000000001</v>
      </c>
      <c r="AH36" s="46">
        <v>29.372999999999998</v>
      </c>
      <c r="AI36" s="46">
        <v>18.113</v>
      </c>
      <c r="AJ36" s="46">
        <v>20.164999999999999</v>
      </c>
      <c r="AK36" s="46">
        <v>28.436999999999998</v>
      </c>
      <c r="AL36" s="46">
        <v>9.3309999999999995</v>
      </c>
      <c r="AM36" s="46">
        <v>26.326999999999998</v>
      </c>
      <c r="AN36" s="46">
        <v>25.328999999999997</v>
      </c>
      <c r="AO36" s="46">
        <f t="shared" si="0"/>
        <v>20.025733333333331</v>
      </c>
      <c r="AP36" s="7">
        <f t="shared" si="1"/>
        <v>10.012866666666666</v>
      </c>
    </row>
    <row r="37" spans="1:42" x14ac:dyDescent="0.3">
      <c r="A37" s="5">
        <v>36</v>
      </c>
      <c r="B37" s="107" t="s">
        <v>9</v>
      </c>
      <c r="C37" s="112" t="s">
        <v>618</v>
      </c>
      <c r="D37" s="112" t="s">
        <v>762</v>
      </c>
      <c r="E37" s="110" t="s">
        <v>128</v>
      </c>
      <c r="F37" s="6" t="s">
        <v>12</v>
      </c>
      <c r="G37" s="6" t="s">
        <v>976</v>
      </c>
      <c r="H37" s="6" t="s">
        <v>35</v>
      </c>
      <c r="I37" s="5">
        <v>11</v>
      </c>
      <c r="J37" s="94" t="s">
        <v>273</v>
      </c>
      <c r="K37" s="46">
        <v>198.13800000000001</v>
      </c>
      <c r="L37" s="46">
        <v>111.96</v>
      </c>
      <c r="M37" s="46">
        <v>173.01900000000003</v>
      </c>
      <c r="N37" s="46">
        <v>238.67399999999998</v>
      </c>
      <c r="O37" s="46">
        <v>222.29</v>
      </c>
      <c r="P37" s="46">
        <v>182.84699999999998</v>
      </c>
      <c r="Q37" s="46">
        <v>75.265999999999991</v>
      </c>
      <c r="R37" s="46">
        <v>125.53000000000002</v>
      </c>
      <c r="S37" s="46">
        <v>201.43499999999995</v>
      </c>
      <c r="T37" s="46">
        <v>165.333</v>
      </c>
      <c r="U37" s="46">
        <v>177.41899999999998</v>
      </c>
      <c r="V37" s="46">
        <v>183.14200000000002</v>
      </c>
      <c r="W37" s="46">
        <v>120.81500000000001</v>
      </c>
      <c r="X37" s="46">
        <v>63.942</v>
      </c>
      <c r="Y37" s="46">
        <v>115.44799999999998</v>
      </c>
      <c r="Z37" s="46">
        <v>124.88600000000001</v>
      </c>
      <c r="AA37" s="46">
        <v>91.234000000000009</v>
      </c>
      <c r="AB37" s="46">
        <v>91.241</v>
      </c>
      <c r="AC37" s="46">
        <v>69.745000000000005</v>
      </c>
      <c r="AD37" s="46">
        <v>49.690000000000005</v>
      </c>
      <c r="AE37" s="46">
        <v>52.825999999999993</v>
      </c>
      <c r="AF37" s="46">
        <v>41.279000000000003</v>
      </c>
      <c r="AG37" s="46">
        <v>69.903999999999996</v>
      </c>
      <c r="AH37" s="46">
        <v>183.71300000000002</v>
      </c>
      <c r="AI37" s="46">
        <v>145.01899999999998</v>
      </c>
      <c r="AJ37" s="46">
        <v>173.98599999999999</v>
      </c>
      <c r="AK37" s="46">
        <v>71.327999999999989</v>
      </c>
      <c r="AL37" s="46">
        <v>72.088999999999999</v>
      </c>
      <c r="AM37" s="46">
        <v>77.039000000000001</v>
      </c>
      <c r="AN37" s="46">
        <v>95.243000000000009</v>
      </c>
      <c r="AO37" s="46">
        <f t="shared" si="0"/>
        <v>125.48266666666665</v>
      </c>
      <c r="AP37" s="7">
        <f t="shared" si="1"/>
        <v>11.407515151515149</v>
      </c>
    </row>
    <row r="38" spans="1:42" x14ac:dyDescent="0.3">
      <c r="A38" s="5">
        <v>37</v>
      </c>
      <c r="B38" s="107" t="s">
        <v>9</v>
      </c>
      <c r="C38" s="112" t="s">
        <v>962</v>
      </c>
      <c r="D38" s="112" t="s">
        <v>963</v>
      </c>
      <c r="E38" s="110" t="s">
        <v>128</v>
      </c>
      <c r="F38" s="6" t="s">
        <v>12</v>
      </c>
      <c r="G38" s="6" t="s">
        <v>971</v>
      </c>
      <c r="H38" s="6" t="s">
        <v>80</v>
      </c>
      <c r="I38" s="5">
        <v>1</v>
      </c>
      <c r="J38" s="94" t="s">
        <v>273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f t="shared" si="0"/>
        <v>0</v>
      </c>
      <c r="AP38" s="7">
        <f t="shared" si="1"/>
        <v>0</v>
      </c>
    </row>
    <row r="39" spans="1:42" x14ac:dyDescent="0.3">
      <c r="A39" s="5">
        <v>38</v>
      </c>
      <c r="B39" s="107" t="s">
        <v>9</v>
      </c>
      <c r="C39" s="112" t="s">
        <v>619</v>
      </c>
      <c r="D39" s="112" t="s">
        <v>736</v>
      </c>
      <c r="E39" s="110" t="s">
        <v>128</v>
      </c>
      <c r="F39" s="6" t="s">
        <v>12</v>
      </c>
      <c r="G39" s="6" t="s">
        <v>976</v>
      </c>
      <c r="H39" s="6" t="s">
        <v>35</v>
      </c>
      <c r="I39" s="5">
        <v>1</v>
      </c>
      <c r="J39" s="12" t="s">
        <v>590</v>
      </c>
      <c r="K39" s="46">
        <v>0</v>
      </c>
      <c r="L39" s="46">
        <v>0</v>
      </c>
      <c r="M39" s="46">
        <v>0</v>
      </c>
      <c r="N39" s="46">
        <v>0.79900000000000004</v>
      </c>
      <c r="O39" s="46">
        <v>1.7150000000000001</v>
      </c>
      <c r="P39" s="46">
        <v>0</v>
      </c>
      <c r="Q39" s="46">
        <v>0</v>
      </c>
      <c r="R39" s="46">
        <v>0</v>
      </c>
      <c r="S39" s="46">
        <v>0</v>
      </c>
      <c r="T39" s="46">
        <v>1.8029999999999999</v>
      </c>
      <c r="U39" s="46">
        <v>0</v>
      </c>
      <c r="V39" s="46">
        <v>1.133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2.0310000000000001</v>
      </c>
      <c r="AD39" s="46">
        <v>0</v>
      </c>
      <c r="AE39" s="46">
        <v>0</v>
      </c>
      <c r="AF39" s="46">
        <v>1.0720000000000001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1.903</v>
      </c>
      <c r="AM39" s="46">
        <v>0</v>
      </c>
      <c r="AN39" s="46">
        <v>0</v>
      </c>
      <c r="AO39" s="46">
        <f t="shared" si="0"/>
        <v>0.34853333333333336</v>
      </c>
      <c r="AP39" s="7">
        <f t="shared" si="1"/>
        <v>0.34853333333333336</v>
      </c>
    </row>
    <row r="40" spans="1:42" x14ac:dyDescent="0.3">
      <c r="A40" s="5">
        <v>39</v>
      </c>
      <c r="B40" s="107" t="s">
        <v>9</v>
      </c>
      <c r="C40" s="112" t="s">
        <v>620</v>
      </c>
      <c r="D40" s="112" t="s">
        <v>768</v>
      </c>
      <c r="E40" s="110" t="s">
        <v>128</v>
      </c>
      <c r="F40" s="6" t="s">
        <v>12</v>
      </c>
      <c r="G40" s="6" t="s">
        <v>976</v>
      </c>
      <c r="H40" s="6" t="s">
        <v>35</v>
      </c>
      <c r="I40" s="5">
        <v>6</v>
      </c>
      <c r="J40" s="94" t="s">
        <v>273</v>
      </c>
      <c r="K40" s="46">
        <v>53.573000000000008</v>
      </c>
      <c r="L40" s="46">
        <v>73.298000000000002</v>
      </c>
      <c r="M40" s="46">
        <v>55.528999999999989</v>
      </c>
      <c r="N40" s="46">
        <v>68.119000000000014</v>
      </c>
      <c r="O40" s="46">
        <v>100.69799999999998</v>
      </c>
      <c r="P40" s="46">
        <v>75.176999999999992</v>
      </c>
      <c r="Q40" s="46">
        <v>64.853000000000009</v>
      </c>
      <c r="R40" s="46">
        <v>75.734000000000023</v>
      </c>
      <c r="S40" s="46">
        <v>86.142000000000024</v>
      </c>
      <c r="T40" s="46">
        <v>50.113999999999997</v>
      </c>
      <c r="U40" s="46">
        <v>129.10399999999998</v>
      </c>
      <c r="V40" s="46">
        <v>120.509</v>
      </c>
      <c r="W40" s="46">
        <v>93.447000000000003</v>
      </c>
      <c r="X40" s="46">
        <v>79.080000000000013</v>
      </c>
      <c r="Y40" s="46">
        <v>110.965</v>
      </c>
      <c r="Z40" s="46">
        <v>118.232</v>
      </c>
      <c r="AA40" s="46">
        <v>107.74000000000002</v>
      </c>
      <c r="AB40" s="46">
        <v>101.73399999999998</v>
      </c>
      <c r="AC40" s="46">
        <v>108.392</v>
      </c>
      <c r="AD40" s="46">
        <v>65.274999999999977</v>
      </c>
      <c r="AE40" s="46">
        <v>26.403999999999993</v>
      </c>
      <c r="AF40" s="46">
        <v>20.737000000000002</v>
      </c>
      <c r="AG40" s="46">
        <v>9.6039999999999992</v>
      </c>
      <c r="AH40" s="46">
        <v>5.9189999999999996</v>
      </c>
      <c r="AI40" s="46">
        <v>10.673999999999999</v>
      </c>
      <c r="AJ40" s="46">
        <v>9.4759999999999991</v>
      </c>
      <c r="AK40" s="46">
        <v>11.928000000000001</v>
      </c>
      <c r="AL40" s="46">
        <v>9.0779999999999994</v>
      </c>
      <c r="AM40" s="46">
        <v>16.908999999999999</v>
      </c>
      <c r="AN40" s="46">
        <v>12.896000000000001</v>
      </c>
      <c r="AO40" s="46">
        <f t="shared" si="0"/>
        <v>62.378000000000007</v>
      </c>
      <c r="AP40" s="7">
        <f t="shared" si="1"/>
        <v>10.396333333333335</v>
      </c>
    </row>
    <row r="41" spans="1:42" x14ac:dyDescent="0.3">
      <c r="A41" s="5">
        <v>40</v>
      </c>
      <c r="B41" s="107" t="s">
        <v>9</v>
      </c>
      <c r="C41" s="112" t="s">
        <v>621</v>
      </c>
      <c r="D41" s="112" t="s">
        <v>766</v>
      </c>
      <c r="E41" s="110" t="s">
        <v>128</v>
      </c>
      <c r="F41" s="6" t="s">
        <v>12</v>
      </c>
      <c r="G41" s="6" t="s">
        <v>976</v>
      </c>
      <c r="H41" s="6" t="s">
        <v>35</v>
      </c>
      <c r="I41" s="5">
        <v>13</v>
      </c>
      <c r="J41" s="94" t="s">
        <v>273</v>
      </c>
      <c r="K41" s="46">
        <v>51.688000000000002</v>
      </c>
      <c r="L41" s="46">
        <v>40.028000000000006</v>
      </c>
      <c r="M41" s="46">
        <v>54.95000000000001</v>
      </c>
      <c r="N41" s="46">
        <v>63.901999999999994</v>
      </c>
      <c r="O41" s="46">
        <v>47.635000000000005</v>
      </c>
      <c r="P41" s="46">
        <v>53.333000000000006</v>
      </c>
      <c r="Q41" s="46">
        <v>61.490000000000009</v>
      </c>
      <c r="R41" s="46">
        <v>85.596999999999994</v>
      </c>
      <c r="S41" s="46">
        <v>42.091000000000001</v>
      </c>
      <c r="T41" s="46">
        <v>46.840999999999994</v>
      </c>
      <c r="U41" s="46">
        <v>63.459999999999994</v>
      </c>
      <c r="V41" s="46">
        <v>45.731999999999999</v>
      </c>
      <c r="W41" s="46">
        <v>37.974000000000004</v>
      </c>
      <c r="X41" s="46">
        <v>55.852999999999994</v>
      </c>
      <c r="Y41" s="46">
        <v>74.762</v>
      </c>
      <c r="Z41" s="46">
        <v>65.143000000000001</v>
      </c>
      <c r="AA41" s="46">
        <v>96.343000000000004</v>
      </c>
      <c r="AB41" s="46">
        <v>47.945</v>
      </c>
      <c r="AC41" s="46">
        <v>49.414000000000001</v>
      </c>
      <c r="AD41" s="46">
        <v>69.915999999999997</v>
      </c>
      <c r="AE41" s="46">
        <v>43.399000000000001</v>
      </c>
      <c r="AF41" s="46">
        <v>93.168000000000006</v>
      </c>
      <c r="AG41" s="46">
        <v>75.432999999999993</v>
      </c>
      <c r="AH41" s="46">
        <v>64.62299999999999</v>
      </c>
      <c r="AI41" s="46">
        <v>85.73399999999998</v>
      </c>
      <c r="AJ41" s="46">
        <v>78.331000000000017</v>
      </c>
      <c r="AK41" s="46">
        <v>79.100000000000009</v>
      </c>
      <c r="AL41" s="46">
        <v>57.883999999999986</v>
      </c>
      <c r="AM41" s="46">
        <v>96.279999999999987</v>
      </c>
      <c r="AN41" s="46">
        <v>86.967999999999989</v>
      </c>
      <c r="AO41" s="46">
        <f t="shared" si="0"/>
        <v>63.833900000000007</v>
      </c>
      <c r="AP41" s="7">
        <f t="shared" si="1"/>
        <v>4.9103000000000003</v>
      </c>
    </row>
    <row r="42" spans="1:42" x14ac:dyDescent="0.3">
      <c r="A42" s="5">
        <v>41</v>
      </c>
      <c r="B42" s="107" t="s">
        <v>9</v>
      </c>
      <c r="C42" s="112" t="s">
        <v>622</v>
      </c>
      <c r="D42" s="112" t="s">
        <v>987</v>
      </c>
      <c r="E42" s="110" t="s">
        <v>128</v>
      </c>
      <c r="F42" s="6" t="s">
        <v>12</v>
      </c>
      <c r="G42" s="6" t="s">
        <v>974</v>
      </c>
      <c r="H42" s="6" t="s">
        <v>35</v>
      </c>
      <c r="I42" s="5">
        <v>1</v>
      </c>
      <c r="J42" s="12" t="s">
        <v>590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f t="shared" si="0"/>
        <v>0</v>
      </c>
      <c r="AP42" s="7">
        <f t="shared" si="1"/>
        <v>0</v>
      </c>
    </row>
    <row r="43" spans="1:42" x14ac:dyDescent="0.3">
      <c r="A43" s="5">
        <v>42</v>
      </c>
      <c r="B43" s="107" t="s">
        <v>9</v>
      </c>
      <c r="C43" s="112" t="s">
        <v>623</v>
      </c>
      <c r="D43" s="112" t="s">
        <v>752</v>
      </c>
      <c r="E43" s="110" t="s">
        <v>128</v>
      </c>
      <c r="F43" s="6" t="s">
        <v>12</v>
      </c>
      <c r="G43" s="6" t="s">
        <v>976</v>
      </c>
      <c r="H43" s="6" t="s">
        <v>35</v>
      </c>
      <c r="I43" s="5">
        <v>5</v>
      </c>
      <c r="J43" s="94" t="s">
        <v>273</v>
      </c>
      <c r="K43" s="46">
        <v>12.459</v>
      </c>
      <c r="L43" s="46">
        <v>10.709</v>
      </c>
      <c r="M43" s="46">
        <v>7.7789999999999999</v>
      </c>
      <c r="N43" s="46">
        <v>10.292000000000002</v>
      </c>
      <c r="O43" s="46">
        <v>8.2789999999999999</v>
      </c>
      <c r="P43" s="46">
        <v>12.206</v>
      </c>
      <c r="Q43" s="46">
        <v>9.8000000000000007</v>
      </c>
      <c r="R43" s="46">
        <v>5.58</v>
      </c>
      <c r="S43" s="46">
        <v>11.704000000000001</v>
      </c>
      <c r="T43" s="46">
        <v>10.815000000000001</v>
      </c>
      <c r="U43" s="46">
        <v>8.7620000000000005</v>
      </c>
      <c r="V43" s="46">
        <v>9.0679999999999996</v>
      </c>
      <c r="W43" s="46">
        <v>9.4480000000000004</v>
      </c>
      <c r="X43" s="46">
        <v>14.530000000000001</v>
      </c>
      <c r="Y43" s="46">
        <v>4.3879999999999999</v>
      </c>
      <c r="Z43" s="46">
        <v>16.802</v>
      </c>
      <c r="AA43" s="46">
        <v>2.0529999999999999</v>
      </c>
      <c r="AB43" s="46">
        <v>8.738999999999999</v>
      </c>
      <c r="AC43" s="46">
        <v>9.0289999999999999</v>
      </c>
      <c r="AD43" s="46">
        <v>8.8000000000000007</v>
      </c>
      <c r="AE43" s="46">
        <v>11.396000000000001</v>
      </c>
      <c r="AF43" s="46">
        <v>8.0129999999999999</v>
      </c>
      <c r="AG43" s="46">
        <v>8.1270000000000007</v>
      </c>
      <c r="AH43" s="46">
        <v>11.515000000000001</v>
      </c>
      <c r="AI43" s="46">
        <v>7.7319999999999993</v>
      </c>
      <c r="AJ43" s="46">
        <v>3.6</v>
      </c>
      <c r="AK43" s="46">
        <v>3.7360000000000002</v>
      </c>
      <c r="AL43" s="46">
        <v>9.1280000000000001</v>
      </c>
      <c r="AM43" s="46">
        <v>4.8789999999999996</v>
      </c>
      <c r="AN43" s="46">
        <v>4.3620000000000001</v>
      </c>
      <c r="AO43" s="46">
        <f t="shared" si="0"/>
        <v>8.7910000000000004</v>
      </c>
      <c r="AP43" s="7">
        <f t="shared" si="1"/>
        <v>1.7582</v>
      </c>
    </row>
    <row r="44" spans="1:42" x14ac:dyDescent="0.3">
      <c r="A44" s="5">
        <v>43</v>
      </c>
      <c r="B44" s="107" t="s">
        <v>9</v>
      </c>
      <c r="C44" s="112" t="s">
        <v>624</v>
      </c>
      <c r="D44" s="112" t="s">
        <v>776</v>
      </c>
      <c r="E44" s="110" t="s">
        <v>30</v>
      </c>
      <c r="F44" s="6" t="s">
        <v>12</v>
      </c>
      <c r="G44" s="6" t="s">
        <v>976</v>
      </c>
      <c r="H44" s="6" t="s">
        <v>35</v>
      </c>
      <c r="I44" s="5">
        <v>1</v>
      </c>
      <c r="J44" s="12" t="s">
        <v>589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 t="shared" si="0"/>
        <v>0</v>
      </c>
      <c r="AP44" s="7">
        <f t="shared" si="1"/>
        <v>0</v>
      </c>
    </row>
    <row r="45" spans="1:42" x14ac:dyDescent="0.3">
      <c r="A45" s="5">
        <v>44</v>
      </c>
      <c r="B45" s="107" t="s">
        <v>9</v>
      </c>
      <c r="C45" s="112" t="s">
        <v>625</v>
      </c>
      <c r="D45" s="112" t="s">
        <v>777</v>
      </c>
      <c r="E45" s="110" t="s">
        <v>128</v>
      </c>
      <c r="F45" s="6" t="s">
        <v>12</v>
      </c>
      <c r="G45" s="6" t="s">
        <v>976</v>
      </c>
      <c r="H45" s="6" t="s">
        <v>35</v>
      </c>
      <c r="I45" s="5">
        <v>1</v>
      </c>
      <c r="J45" s="12" t="s">
        <v>590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f t="shared" si="0"/>
        <v>0</v>
      </c>
      <c r="AP45" s="7">
        <f t="shared" si="1"/>
        <v>0</v>
      </c>
    </row>
    <row r="46" spans="1:42" x14ac:dyDescent="0.3">
      <c r="A46" s="5">
        <v>45</v>
      </c>
      <c r="B46" s="107" t="s">
        <v>9</v>
      </c>
      <c r="C46" s="112" t="s">
        <v>626</v>
      </c>
      <c r="D46" s="112" t="s">
        <v>778</v>
      </c>
      <c r="E46" s="110" t="s">
        <v>30</v>
      </c>
      <c r="F46" s="6" t="s">
        <v>12</v>
      </c>
      <c r="G46" s="6" t="s">
        <v>976</v>
      </c>
      <c r="H46" s="6" t="s">
        <v>35</v>
      </c>
      <c r="I46" s="5">
        <v>1</v>
      </c>
      <c r="J46" s="12" t="s">
        <v>589</v>
      </c>
      <c r="K46" s="46">
        <v>0</v>
      </c>
      <c r="L46" s="46">
        <v>0</v>
      </c>
      <c r="M46" s="46">
        <v>0</v>
      </c>
      <c r="N46" s="46">
        <v>3.2549999999999999</v>
      </c>
      <c r="O46" s="46">
        <v>0</v>
      </c>
      <c r="P46" s="46">
        <v>0</v>
      </c>
      <c r="Q46" s="46">
        <v>1.738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2.7109999999999999</v>
      </c>
      <c r="AA46" s="46">
        <v>0.58899999999999997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1.9259999999999999</v>
      </c>
      <c r="AK46" s="46">
        <v>0</v>
      </c>
      <c r="AL46" s="46">
        <v>1.968</v>
      </c>
      <c r="AM46" s="46">
        <v>0</v>
      </c>
      <c r="AN46" s="46">
        <v>0</v>
      </c>
      <c r="AO46" s="46">
        <f t="shared" si="0"/>
        <v>0.40623333333333339</v>
      </c>
      <c r="AP46" s="7">
        <f t="shared" si="1"/>
        <v>0.40623333333333339</v>
      </c>
    </row>
    <row r="47" spans="1:42" x14ac:dyDescent="0.3">
      <c r="A47" s="5">
        <v>46</v>
      </c>
      <c r="B47" s="107" t="s">
        <v>9</v>
      </c>
      <c r="C47" s="112" t="s">
        <v>627</v>
      </c>
      <c r="D47" s="112" t="s">
        <v>779</v>
      </c>
      <c r="E47" s="110" t="s">
        <v>30</v>
      </c>
      <c r="F47" s="6" t="s">
        <v>12</v>
      </c>
      <c r="G47" s="6" t="s">
        <v>976</v>
      </c>
      <c r="H47" s="6" t="s">
        <v>35</v>
      </c>
      <c r="I47" s="5">
        <v>1</v>
      </c>
      <c r="J47" s="12" t="s">
        <v>589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f t="shared" si="0"/>
        <v>0</v>
      </c>
      <c r="AP47" s="7">
        <f t="shared" si="1"/>
        <v>0</v>
      </c>
    </row>
    <row r="48" spans="1:42" ht="15.75" customHeight="1" x14ac:dyDescent="0.3">
      <c r="A48" s="5">
        <v>47</v>
      </c>
      <c r="B48" s="107" t="s">
        <v>9</v>
      </c>
      <c r="C48" s="112" t="s">
        <v>628</v>
      </c>
      <c r="D48" s="112" t="s">
        <v>988</v>
      </c>
      <c r="E48" s="110" t="s">
        <v>128</v>
      </c>
      <c r="F48" s="6" t="s">
        <v>12</v>
      </c>
      <c r="G48" s="6" t="s">
        <v>975</v>
      </c>
      <c r="H48" s="6" t="s">
        <v>80</v>
      </c>
      <c r="I48" s="5">
        <v>2</v>
      </c>
      <c r="J48" s="67" t="s">
        <v>160</v>
      </c>
      <c r="K48" s="46">
        <v>179.81299999999999</v>
      </c>
      <c r="L48" s="46">
        <v>255.04399999999998</v>
      </c>
      <c r="M48" s="46">
        <v>180.06800000000001</v>
      </c>
      <c r="N48" s="46">
        <v>220.95900000000003</v>
      </c>
      <c r="O48" s="46">
        <v>166.654</v>
      </c>
      <c r="P48" s="46">
        <v>78.237999999999985</v>
      </c>
      <c r="Q48" s="46">
        <v>204.84899999999996</v>
      </c>
      <c r="R48" s="46">
        <v>352.92100000000005</v>
      </c>
      <c r="S48" s="46">
        <v>293.40499999999997</v>
      </c>
      <c r="T48" s="46">
        <v>311.303</v>
      </c>
      <c r="U48" s="46">
        <v>364.89299999999997</v>
      </c>
      <c r="V48" s="46">
        <v>197.55999999999997</v>
      </c>
      <c r="W48" s="46">
        <v>84.568999999999988</v>
      </c>
      <c r="X48" s="46">
        <v>213.87400000000002</v>
      </c>
      <c r="Y48" s="46">
        <v>308.03499999999997</v>
      </c>
      <c r="Z48" s="46">
        <v>353.65600000000001</v>
      </c>
      <c r="AA48" s="46">
        <v>309.82899999999995</v>
      </c>
      <c r="AB48" s="46">
        <v>0</v>
      </c>
      <c r="AC48" s="46">
        <v>152.44299999999998</v>
      </c>
      <c r="AD48" s="46">
        <v>50.620999999999995</v>
      </c>
      <c r="AE48" s="46">
        <v>230.32100000000003</v>
      </c>
      <c r="AF48" s="46">
        <v>385.678</v>
      </c>
      <c r="AG48" s="46">
        <v>360.70599999999996</v>
      </c>
      <c r="AH48" s="46">
        <v>335.84300000000002</v>
      </c>
      <c r="AI48" s="46">
        <v>422.10499999999996</v>
      </c>
      <c r="AJ48" s="46">
        <v>171.48699999999999</v>
      </c>
      <c r="AK48" s="46">
        <v>99.460000000000008</v>
      </c>
      <c r="AL48" s="46">
        <v>293.10399999999993</v>
      </c>
      <c r="AM48" s="46">
        <v>320.65299999999996</v>
      </c>
      <c r="AN48" s="46">
        <v>378.81400000000008</v>
      </c>
      <c r="AO48" s="46">
        <f t="shared" si="0"/>
        <v>242.5635</v>
      </c>
      <c r="AP48" s="7">
        <f t="shared" si="1"/>
        <v>121.28175</v>
      </c>
    </row>
    <row r="49" spans="1:42" ht="16.5" customHeight="1" x14ac:dyDescent="0.3">
      <c r="A49" s="5">
        <v>48</v>
      </c>
      <c r="B49" s="107" t="s">
        <v>9</v>
      </c>
      <c r="C49" s="112" t="s">
        <v>629</v>
      </c>
      <c r="D49" s="112" t="s">
        <v>735</v>
      </c>
      <c r="E49" s="110" t="s">
        <v>128</v>
      </c>
      <c r="F49" s="6" t="s">
        <v>12</v>
      </c>
      <c r="G49" s="6" t="s">
        <v>976</v>
      </c>
      <c r="H49" s="6" t="s">
        <v>35</v>
      </c>
      <c r="I49" s="5">
        <v>5</v>
      </c>
      <c r="J49" s="12" t="s">
        <v>590</v>
      </c>
      <c r="K49" s="46">
        <v>8.3000000000000007</v>
      </c>
      <c r="L49" s="46">
        <v>14.366000000000001</v>
      </c>
      <c r="M49" s="46">
        <v>3.3019999999999996</v>
      </c>
      <c r="N49" s="46">
        <v>12.771000000000001</v>
      </c>
      <c r="O49" s="46">
        <v>8.94</v>
      </c>
      <c r="P49" s="46">
        <v>1.96</v>
      </c>
      <c r="Q49" s="46">
        <v>6.5449999999999999</v>
      </c>
      <c r="R49" s="46">
        <v>11.159999999999998</v>
      </c>
      <c r="S49" s="46">
        <v>21.954999999999998</v>
      </c>
      <c r="T49" s="46">
        <v>4.8920000000000003</v>
      </c>
      <c r="U49" s="46">
        <v>24.293000000000003</v>
      </c>
      <c r="V49" s="46">
        <v>7.6280000000000001</v>
      </c>
      <c r="W49" s="46">
        <v>9.9789999999999992</v>
      </c>
      <c r="X49" s="46">
        <v>11.57</v>
      </c>
      <c r="Y49" s="46">
        <v>2.456</v>
      </c>
      <c r="Z49" s="46">
        <v>5.4590000000000005</v>
      </c>
      <c r="AA49" s="46">
        <v>18.904</v>
      </c>
      <c r="AB49" s="46">
        <v>6.68</v>
      </c>
      <c r="AC49" s="46">
        <v>6.7919999999999998</v>
      </c>
      <c r="AD49" s="46">
        <v>7.2350000000000003</v>
      </c>
      <c r="AE49" s="46">
        <v>9.8480000000000008</v>
      </c>
      <c r="AF49" s="46">
        <v>22.663</v>
      </c>
      <c r="AG49" s="46">
        <v>9.1630000000000003</v>
      </c>
      <c r="AH49" s="46">
        <v>6.5839999999999996</v>
      </c>
      <c r="AI49" s="46">
        <v>20.825999999999997</v>
      </c>
      <c r="AJ49" s="46">
        <v>8.5850000000000009</v>
      </c>
      <c r="AK49" s="46">
        <v>4.46</v>
      </c>
      <c r="AL49" s="46">
        <v>11.522</v>
      </c>
      <c r="AM49" s="46">
        <v>6.8289999999999997</v>
      </c>
      <c r="AN49" s="46">
        <v>3.5960000000000001</v>
      </c>
      <c r="AO49" s="46">
        <f t="shared" si="0"/>
        <v>9.9754333333333349</v>
      </c>
      <c r="AP49" s="7">
        <f t="shared" si="1"/>
        <v>1.9950866666666669</v>
      </c>
    </row>
    <row r="50" spans="1:42" x14ac:dyDescent="0.3">
      <c r="A50" s="5">
        <v>49</v>
      </c>
      <c r="B50" s="107" t="s">
        <v>9</v>
      </c>
      <c r="C50" s="112" t="s">
        <v>630</v>
      </c>
      <c r="D50" s="112" t="s">
        <v>780</v>
      </c>
      <c r="E50" s="110" t="s">
        <v>128</v>
      </c>
      <c r="F50" s="6" t="s">
        <v>12</v>
      </c>
      <c r="G50" s="6" t="s">
        <v>976</v>
      </c>
      <c r="H50" s="6" t="s">
        <v>35</v>
      </c>
      <c r="I50" s="5">
        <v>2</v>
      </c>
      <c r="J50" s="12" t="s">
        <v>590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f t="shared" si="0"/>
        <v>0</v>
      </c>
      <c r="AP50" s="7">
        <f t="shared" si="1"/>
        <v>0</v>
      </c>
    </row>
    <row r="51" spans="1:42" x14ac:dyDescent="0.3">
      <c r="A51" s="5">
        <v>50</v>
      </c>
      <c r="B51" s="107" t="s">
        <v>9</v>
      </c>
      <c r="C51" s="112" t="s">
        <v>630</v>
      </c>
      <c r="D51" s="112" t="s">
        <v>780</v>
      </c>
      <c r="E51" s="110" t="s">
        <v>128</v>
      </c>
      <c r="F51" s="6" t="s">
        <v>12</v>
      </c>
      <c r="G51" s="6" t="s">
        <v>974</v>
      </c>
      <c r="H51" s="6" t="s">
        <v>35</v>
      </c>
      <c r="I51" s="5">
        <v>2</v>
      </c>
      <c r="J51" s="12" t="s">
        <v>590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f t="shared" si="0"/>
        <v>0</v>
      </c>
      <c r="AP51" s="7">
        <f t="shared" si="1"/>
        <v>0</v>
      </c>
    </row>
    <row r="52" spans="1:42" x14ac:dyDescent="0.3">
      <c r="A52" s="5">
        <v>51</v>
      </c>
      <c r="B52" s="107" t="s">
        <v>9</v>
      </c>
      <c r="C52" s="112" t="s">
        <v>631</v>
      </c>
      <c r="D52" s="112" t="s">
        <v>743</v>
      </c>
      <c r="E52" s="110" t="s">
        <v>128</v>
      </c>
      <c r="F52" s="6" t="s">
        <v>12</v>
      </c>
      <c r="G52" s="6" t="s">
        <v>976</v>
      </c>
      <c r="H52" s="6" t="s">
        <v>35</v>
      </c>
      <c r="I52" s="5">
        <v>1</v>
      </c>
      <c r="J52" s="67" t="s">
        <v>160</v>
      </c>
      <c r="K52" s="46">
        <v>0</v>
      </c>
      <c r="L52" s="46">
        <v>0</v>
      </c>
      <c r="M52" s="46">
        <v>5.4889999999999999</v>
      </c>
      <c r="N52" s="46">
        <v>5.9669999999999996</v>
      </c>
      <c r="O52" s="46">
        <v>3.8359999999999999</v>
      </c>
      <c r="P52" s="46">
        <v>0</v>
      </c>
      <c r="Q52" s="46">
        <v>3.7850000000000001</v>
      </c>
      <c r="R52" s="46">
        <v>20.032</v>
      </c>
      <c r="S52" s="46">
        <v>5.9399999999999995</v>
      </c>
      <c r="T52" s="46">
        <v>3.5379999999999998</v>
      </c>
      <c r="U52" s="46">
        <v>3.948</v>
      </c>
      <c r="V52" s="46">
        <v>3.694</v>
      </c>
      <c r="W52" s="46">
        <v>0</v>
      </c>
      <c r="X52" s="46">
        <v>4.5440000000000005</v>
      </c>
      <c r="Y52" s="46">
        <v>4.0960000000000001</v>
      </c>
      <c r="Z52" s="46">
        <v>4.2309999999999999</v>
      </c>
      <c r="AA52" s="46">
        <v>3.548</v>
      </c>
      <c r="AB52" s="46">
        <v>1.984</v>
      </c>
      <c r="AC52" s="46">
        <v>0</v>
      </c>
      <c r="AD52" s="46">
        <v>0</v>
      </c>
      <c r="AE52" s="46">
        <v>3.7210000000000001</v>
      </c>
      <c r="AF52" s="46">
        <v>2.9209999999999998</v>
      </c>
      <c r="AG52" s="46">
        <v>2.964</v>
      </c>
      <c r="AH52" s="46">
        <v>2.0550000000000002</v>
      </c>
      <c r="AI52" s="46">
        <v>6.5759999999999996</v>
      </c>
      <c r="AJ52" s="46">
        <v>3.07</v>
      </c>
      <c r="AK52" s="46">
        <v>0</v>
      </c>
      <c r="AL52" s="46">
        <v>3.96</v>
      </c>
      <c r="AM52" s="46">
        <v>0</v>
      </c>
      <c r="AN52" s="46">
        <v>0</v>
      </c>
      <c r="AO52" s="46">
        <f t="shared" si="0"/>
        <v>3.3299666666666661</v>
      </c>
      <c r="AP52" s="7">
        <f t="shared" si="1"/>
        <v>3.3299666666666661</v>
      </c>
    </row>
    <row r="53" spans="1:42" x14ac:dyDescent="0.3">
      <c r="A53" s="5">
        <v>52</v>
      </c>
      <c r="B53" s="107" t="s">
        <v>9</v>
      </c>
      <c r="C53" s="112" t="s">
        <v>631</v>
      </c>
      <c r="D53" s="112" t="s">
        <v>743</v>
      </c>
      <c r="E53" s="110" t="s">
        <v>128</v>
      </c>
      <c r="F53" s="6" t="s">
        <v>12</v>
      </c>
      <c r="G53" s="6" t="s">
        <v>979</v>
      </c>
      <c r="H53" s="6" t="s">
        <v>35</v>
      </c>
      <c r="I53" s="5">
        <v>1</v>
      </c>
      <c r="J53" s="67" t="s">
        <v>160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10.51</v>
      </c>
      <c r="U53" s="46">
        <v>0</v>
      </c>
      <c r="V53" s="46">
        <v>11.615</v>
      </c>
      <c r="W53" s="46">
        <v>19.273</v>
      </c>
      <c r="X53" s="46">
        <v>0</v>
      </c>
      <c r="Y53" s="46">
        <v>0</v>
      </c>
      <c r="Z53" s="46">
        <v>6.5750000000000002</v>
      </c>
      <c r="AA53" s="46">
        <v>0</v>
      </c>
      <c r="AB53" s="46">
        <v>0</v>
      </c>
      <c r="AC53" s="46">
        <v>2.2389999999999999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f t="shared" si="0"/>
        <v>1.6737333333333333</v>
      </c>
      <c r="AP53" s="7">
        <f t="shared" si="1"/>
        <v>1.6737333333333333</v>
      </c>
    </row>
    <row r="54" spans="1:42" x14ac:dyDescent="0.3">
      <c r="A54" s="5">
        <v>53</v>
      </c>
      <c r="B54" s="107" t="s">
        <v>9</v>
      </c>
      <c r="C54" s="112" t="s">
        <v>631</v>
      </c>
      <c r="D54" s="112" t="s">
        <v>743</v>
      </c>
      <c r="E54" s="110" t="s">
        <v>128</v>
      </c>
      <c r="F54" s="6" t="s">
        <v>12</v>
      </c>
      <c r="G54" s="6" t="s">
        <v>971</v>
      </c>
      <c r="H54" s="6" t="s">
        <v>80</v>
      </c>
      <c r="I54" s="5">
        <v>1</v>
      </c>
      <c r="J54" s="67" t="s">
        <v>160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14.657</v>
      </c>
      <c r="AM54" s="46">
        <v>0</v>
      </c>
      <c r="AN54" s="46">
        <v>0</v>
      </c>
      <c r="AO54" s="46">
        <f t="shared" si="0"/>
        <v>0.48856666666666665</v>
      </c>
      <c r="AP54" s="7">
        <f t="shared" si="1"/>
        <v>0.48856666666666665</v>
      </c>
    </row>
    <row r="55" spans="1:42" x14ac:dyDescent="0.3">
      <c r="A55" s="5">
        <v>54</v>
      </c>
      <c r="B55" s="107" t="s">
        <v>9</v>
      </c>
      <c r="C55" s="112" t="s">
        <v>632</v>
      </c>
      <c r="D55" s="112" t="s">
        <v>781</v>
      </c>
      <c r="E55" s="110" t="s">
        <v>128</v>
      </c>
      <c r="F55" s="6" t="s">
        <v>12</v>
      </c>
      <c r="G55" s="6" t="s">
        <v>976</v>
      </c>
      <c r="H55" s="6" t="s">
        <v>35</v>
      </c>
      <c r="I55" s="5">
        <v>9</v>
      </c>
      <c r="J55" s="12" t="s">
        <v>590</v>
      </c>
      <c r="K55" s="46">
        <v>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f t="shared" si="0"/>
        <v>0</v>
      </c>
      <c r="AP55" s="7">
        <f t="shared" si="1"/>
        <v>0</v>
      </c>
    </row>
    <row r="56" spans="1:42" x14ac:dyDescent="0.3">
      <c r="A56" s="5">
        <v>55</v>
      </c>
      <c r="B56" s="107" t="s">
        <v>9</v>
      </c>
      <c r="C56" s="112" t="s">
        <v>633</v>
      </c>
      <c r="D56" s="112" t="s">
        <v>782</v>
      </c>
      <c r="E56" s="110" t="s">
        <v>128</v>
      </c>
      <c r="F56" s="6" t="s">
        <v>12</v>
      </c>
      <c r="G56" s="6" t="s">
        <v>976</v>
      </c>
      <c r="H56" s="6" t="s">
        <v>35</v>
      </c>
      <c r="I56" s="5">
        <v>1</v>
      </c>
      <c r="J56" s="12" t="s">
        <v>590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f t="shared" si="0"/>
        <v>0</v>
      </c>
      <c r="AP56" s="7">
        <f t="shared" si="1"/>
        <v>0</v>
      </c>
    </row>
    <row r="57" spans="1:42" x14ac:dyDescent="0.3">
      <c r="A57" s="5">
        <v>56</v>
      </c>
      <c r="B57" s="107" t="s">
        <v>498</v>
      </c>
      <c r="C57" s="112" t="s">
        <v>634</v>
      </c>
      <c r="D57" s="113" t="s">
        <v>783</v>
      </c>
      <c r="E57" s="110" t="s">
        <v>128</v>
      </c>
      <c r="F57" s="6" t="s">
        <v>12</v>
      </c>
      <c r="G57" s="6" t="s">
        <v>973</v>
      </c>
      <c r="H57" s="6" t="s">
        <v>80</v>
      </c>
      <c r="I57" s="5">
        <v>1</v>
      </c>
      <c r="J57" s="67" t="s">
        <v>160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v>0</v>
      </c>
      <c r="AO57" s="46">
        <f t="shared" si="0"/>
        <v>0</v>
      </c>
      <c r="AP57" s="7">
        <f t="shared" si="1"/>
        <v>0</v>
      </c>
    </row>
    <row r="58" spans="1:42" x14ac:dyDescent="0.3">
      <c r="A58" s="5">
        <v>57</v>
      </c>
      <c r="B58" s="107" t="s">
        <v>9</v>
      </c>
      <c r="C58" s="112" t="s">
        <v>635</v>
      </c>
      <c r="D58" s="112" t="s">
        <v>720</v>
      </c>
      <c r="E58" s="110" t="s">
        <v>128</v>
      </c>
      <c r="F58" s="6" t="s">
        <v>12</v>
      </c>
      <c r="G58" s="6" t="s">
        <v>976</v>
      </c>
      <c r="H58" s="6" t="s">
        <v>35</v>
      </c>
      <c r="I58" s="5">
        <v>1</v>
      </c>
      <c r="J58" s="12" t="s">
        <v>589</v>
      </c>
      <c r="K58" s="46">
        <v>3.6619999999999999</v>
      </c>
      <c r="L58" s="46">
        <v>7.9000000000000001E-2</v>
      </c>
      <c r="M58" s="46">
        <v>0.57199999999999995</v>
      </c>
      <c r="N58" s="46">
        <v>5.1880000000000006</v>
      </c>
      <c r="O58" s="46">
        <v>2.78</v>
      </c>
      <c r="P58" s="46">
        <v>0</v>
      </c>
      <c r="Q58" s="46">
        <v>6.7379999999999995</v>
      </c>
      <c r="R58" s="46">
        <v>5.44</v>
      </c>
      <c r="S58" s="46">
        <v>0</v>
      </c>
      <c r="T58" s="46">
        <v>0.55200000000000005</v>
      </c>
      <c r="U58" s="46">
        <v>5.8000000000000007</v>
      </c>
      <c r="V58" s="46">
        <v>0.89100000000000001</v>
      </c>
      <c r="W58" s="46">
        <v>6.0839999999999996</v>
      </c>
      <c r="X58" s="46">
        <v>3.3959999999999999</v>
      </c>
      <c r="Y58" s="46">
        <v>3.629</v>
      </c>
      <c r="Z58" s="46">
        <v>3.2040000000000002</v>
      </c>
      <c r="AA58" s="46">
        <v>0</v>
      </c>
      <c r="AB58" s="46">
        <v>1.3320000000000001</v>
      </c>
      <c r="AC58" s="46">
        <v>6.6010000000000009</v>
      </c>
      <c r="AD58" s="46">
        <v>3.839</v>
      </c>
      <c r="AE58" s="46">
        <v>2.1960000000000002</v>
      </c>
      <c r="AF58" s="46">
        <v>0.66500000000000004</v>
      </c>
      <c r="AG58" s="46">
        <v>0</v>
      </c>
      <c r="AH58" s="46">
        <v>1.3579999999999999</v>
      </c>
      <c r="AI58" s="46">
        <v>1.675</v>
      </c>
      <c r="AJ58" s="46">
        <v>4.4820000000000002</v>
      </c>
      <c r="AK58" s="46">
        <v>7.992</v>
      </c>
      <c r="AL58" s="46">
        <v>5.2750000000000004</v>
      </c>
      <c r="AM58" s="46">
        <v>2.7690000000000001</v>
      </c>
      <c r="AN58" s="46">
        <v>2.72</v>
      </c>
      <c r="AO58" s="46">
        <f t="shared" si="0"/>
        <v>2.9639666666666669</v>
      </c>
      <c r="AP58" s="7">
        <f t="shared" si="1"/>
        <v>2.9639666666666669</v>
      </c>
    </row>
    <row r="59" spans="1:42" x14ac:dyDescent="0.3">
      <c r="A59" s="5">
        <v>58</v>
      </c>
      <c r="B59" s="107" t="s">
        <v>9</v>
      </c>
      <c r="C59" s="112" t="s">
        <v>636</v>
      </c>
      <c r="D59" s="112" t="s">
        <v>753</v>
      </c>
      <c r="E59" s="110" t="s">
        <v>128</v>
      </c>
      <c r="F59" s="6" t="s">
        <v>12</v>
      </c>
      <c r="G59" s="6" t="s">
        <v>976</v>
      </c>
      <c r="H59" s="6" t="s">
        <v>35</v>
      </c>
      <c r="I59" s="5">
        <v>10</v>
      </c>
      <c r="J59" s="94" t="s">
        <v>273</v>
      </c>
      <c r="K59" s="46">
        <v>14.923</v>
      </c>
      <c r="L59" s="46">
        <v>24.762999999999998</v>
      </c>
      <c r="M59" s="46">
        <v>54.936000000000007</v>
      </c>
      <c r="N59" s="46">
        <v>4.9650000000000016</v>
      </c>
      <c r="O59" s="46">
        <v>30.710999999999999</v>
      </c>
      <c r="P59" s="46">
        <v>29.585999999999999</v>
      </c>
      <c r="Q59" s="46">
        <v>24.079000000000001</v>
      </c>
      <c r="R59" s="46">
        <v>34.192</v>
      </c>
      <c r="S59" s="46">
        <v>24.081</v>
      </c>
      <c r="T59" s="46">
        <v>43.225000000000001</v>
      </c>
      <c r="U59" s="46">
        <v>2.2960000000000003</v>
      </c>
      <c r="V59" s="46">
        <v>39.218000000000004</v>
      </c>
      <c r="W59" s="46">
        <v>10.207000000000001</v>
      </c>
      <c r="X59" s="46">
        <v>16.948</v>
      </c>
      <c r="Y59" s="46">
        <v>15.373999999999999</v>
      </c>
      <c r="Z59" s="46">
        <v>25.719000000000001</v>
      </c>
      <c r="AA59" s="46">
        <v>26.582000000000001</v>
      </c>
      <c r="AB59" s="46">
        <v>13.495999999999999</v>
      </c>
      <c r="AC59" s="46">
        <v>1E-3</v>
      </c>
      <c r="AD59" s="46">
        <v>31.89</v>
      </c>
      <c r="AE59" s="46">
        <v>19.370999999999999</v>
      </c>
      <c r="AF59" s="46">
        <v>37.862000000000009</v>
      </c>
      <c r="AG59" s="46">
        <v>23.558</v>
      </c>
      <c r="AH59" s="46">
        <v>53.019999999999996</v>
      </c>
      <c r="AI59" s="46">
        <v>27.173999999999996</v>
      </c>
      <c r="AJ59" s="46">
        <v>15.091000000000001</v>
      </c>
      <c r="AK59" s="46">
        <v>16.567</v>
      </c>
      <c r="AL59" s="46">
        <v>28.755000000000003</v>
      </c>
      <c r="AM59" s="46">
        <v>24.274000000000001</v>
      </c>
      <c r="AN59" s="46">
        <v>35.552999999999997</v>
      </c>
      <c r="AO59" s="46">
        <f t="shared" si="0"/>
        <v>24.94723333333333</v>
      </c>
      <c r="AP59" s="7">
        <f t="shared" si="1"/>
        <v>2.494723333333333</v>
      </c>
    </row>
    <row r="60" spans="1:42" x14ac:dyDescent="0.3">
      <c r="A60" s="5">
        <v>59</v>
      </c>
      <c r="B60" s="107" t="s">
        <v>9</v>
      </c>
      <c r="C60" s="112"/>
      <c r="D60" s="112" t="s">
        <v>753</v>
      </c>
      <c r="E60" s="110" t="s">
        <v>128</v>
      </c>
      <c r="F60" s="6" t="s">
        <v>12</v>
      </c>
      <c r="G60" s="6" t="s">
        <v>1052</v>
      </c>
      <c r="H60" s="6" t="s">
        <v>80</v>
      </c>
      <c r="I60" s="5">
        <v>1</v>
      </c>
      <c r="J60" s="67" t="s">
        <v>160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f t="shared" si="0"/>
        <v>0</v>
      </c>
      <c r="AP60" s="7">
        <f t="shared" si="1"/>
        <v>0</v>
      </c>
    </row>
    <row r="61" spans="1:42" x14ac:dyDescent="0.3">
      <c r="A61" s="5">
        <v>60</v>
      </c>
      <c r="B61" s="107" t="s">
        <v>9</v>
      </c>
      <c r="C61" s="112" t="s">
        <v>637</v>
      </c>
      <c r="D61" s="112" t="s">
        <v>721</v>
      </c>
      <c r="E61" s="110" t="s">
        <v>128</v>
      </c>
      <c r="F61" s="6" t="s">
        <v>12</v>
      </c>
      <c r="G61" s="6" t="s">
        <v>976</v>
      </c>
      <c r="H61" s="6" t="s">
        <v>35</v>
      </c>
      <c r="I61" s="5">
        <v>2</v>
      </c>
      <c r="J61" s="12" t="s">
        <v>589</v>
      </c>
      <c r="K61" s="46">
        <v>15.998000000000001</v>
      </c>
      <c r="L61" s="46">
        <v>10.729000000000001</v>
      </c>
      <c r="M61" s="46">
        <v>21.556000000000001</v>
      </c>
      <c r="N61" s="46">
        <v>16.738</v>
      </c>
      <c r="O61" s="46">
        <v>13.635999999999999</v>
      </c>
      <c r="P61" s="46">
        <v>16.736000000000001</v>
      </c>
      <c r="Q61" s="46">
        <v>12.133000000000001</v>
      </c>
      <c r="R61" s="46">
        <v>21.274999999999999</v>
      </c>
      <c r="S61" s="46">
        <v>20.344999999999999</v>
      </c>
      <c r="T61" s="46">
        <v>16.492999999999999</v>
      </c>
      <c r="U61" s="46">
        <v>14.95</v>
      </c>
      <c r="V61" s="46">
        <v>13.138</v>
      </c>
      <c r="W61" s="46">
        <v>11.618</v>
      </c>
      <c r="X61" s="46">
        <v>30.405000000000001</v>
      </c>
      <c r="Y61" s="46">
        <v>11.373000000000001</v>
      </c>
      <c r="Z61" s="46">
        <v>22.338999999999999</v>
      </c>
      <c r="AA61" s="46">
        <v>11.167000000000002</v>
      </c>
      <c r="AB61" s="46">
        <v>13.239000000000001</v>
      </c>
      <c r="AC61" s="46">
        <v>11.724</v>
      </c>
      <c r="AD61" s="46">
        <v>10.313000000000001</v>
      </c>
      <c r="AE61" s="46">
        <v>12.355999999999998</v>
      </c>
      <c r="AF61" s="46">
        <v>17.204000000000001</v>
      </c>
      <c r="AG61" s="46">
        <v>7.9820000000000011</v>
      </c>
      <c r="AH61" s="46">
        <v>6.1660000000000004</v>
      </c>
      <c r="AI61" s="46">
        <v>8.5630000000000006</v>
      </c>
      <c r="AJ61" s="46">
        <v>14.999000000000001</v>
      </c>
      <c r="AK61" s="46">
        <v>11.333</v>
      </c>
      <c r="AL61" s="46">
        <v>8.3620000000000001</v>
      </c>
      <c r="AM61" s="46">
        <v>16.334</v>
      </c>
      <c r="AN61" s="46">
        <v>23.33</v>
      </c>
      <c r="AO61" s="46">
        <f t="shared" si="0"/>
        <v>14.751133333333335</v>
      </c>
      <c r="AP61" s="7">
        <f t="shared" si="1"/>
        <v>7.3755666666666677</v>
      </c>
    </row>
    <row r="62" spans="1:42" x14ac:dyDescent="0.3">
      <c r="A62" s="5">
        <v>61</v>
      </c>
      <c r="B62" s="107" t="s">
        <v>9</v>
      </c>
      <c r="C62" s="5"/>
      <c r="D62" s="6" t="s">
        <v>93</v>
      </c>
      <c r="E62" s="110" t="s">
        <v>26</v>
      </c>
      <c r="F62" s="6" t="s">
        <v>19</v>
      </c>
      <c r="G62" s="6" t="s">
        <v>976</v>
      </c>
      <c r="H62" s="6" t="s">
        <v>14</v>
      </c>
      <c r="I62" s="5">
        <v>1</v>
      </c>
      <c r="J62" s="67" t="s">
        <v>160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0</v>
      </c>
      <c r="AK62" s="46">
        <v>0</v>
      </c>
      <c r="AL62" s="46">
        <v>0</v>
      </c>
      <c r="AM62" s="46">
        <v>0</v>
      </c>
      <c r="AN62" s="46">
        <v>0</v>
      </c>
      <c r="AO62" s="46">
        <f t="shared" si="0"/>
        <v>0</v>
      </c>
      <c r="AP62" s="7">
        <f t="shared" si="1"/>
        <v>0</v>
      </c>
    </row>
    <row r="63" spans="1:42" x14ac:dyDescent="0.3">
      <c r="A63" s="5">
        <v>62</v>
      </c>
      <c r="B63" s="107" t="s">
        <v>9</v>
      </c>
      <c r="C63" s="112" t="s">
        <v>638</v>
      </c>
      <c r="D63" s="112" t="s">
        <v>759</v>
      </c>
      <c r="E63" s="110" t="s">
        <v>128</v>
      </c>
      <c r="F63" s="6" t="s">
        <v>12</v>
      </c>
      <c r="G63" s="6" t="s">
        <v>976</v>
      </c>
      <c r="H63" s="6" t="s">
        <v>35</v>
      </c>
      <c r="I63" s="5">
        <v>8</v>
      </c>
      <c r="J63" s="94" t="s">
        <v>273</v>
      </c>
      <c r="K63" s="46">
        <v>75.393000000000029</v>
      </c>
      <c r="L63" s="46">
        <v>112.47800000000001</v>
      </c>
      <c r="M63" s="46">
        <v>96.778000000000006</v>
      </c>
      <c r="N63" s="46">
        <v>86.084999999999994</v>
      </c>
      <c r="O63" s="46">
        <v>93.637999999999991</v>
      </c>
      <c r="P63" s="46">
        <v>76.472999999999999</v>
      </c>
      <c r="Q63" s="46">
        <v>74.163999999999987</v>
      </c>
      <c r="R63" s="46">
        <v>120.51099999999997</v>
      </c>
      <c r="S63" s="46">
        <v>83.935999999999993</v>
      </c>
      <c r="T63" s="46">
        <v>90.451000000000008</v>
      </c>
      <c r="U63" s="46">
        <v>104.39699999999999</v>
      </c>
      <c r="V63" s="46">
        <v>61.499999999999993</v>
      </c>
      <c r="W63" s="46">
        <v>80.180000000000007</v>
      </c>
      <c r="X63" s="46">
        <v>49.447000000000003</v>
      </c>
      <c r="Y63" s="46">
        <v>95.295000000000002</v>
      </c>
      <c r="Z63" s="46">
        <v>26.894000000000002</v>
      </c>
      <c r="AA63" s="46">
        <v>66.679000000000002</v>
      </c>
      <c r="AB63" s="46">
        <v>21.545999999999999</v>
      </c>
      <c r="AC63" s="46">
        <v>30.265000000000004</v>
      </c>
      <c r="AD63" s="46">
        <v>32.143999999999998</v>
      </c>
      <c r="AE63" s="46">
        <v>61.344999999999999</v>
      </c>
      <c r="AF63" s="46">
        <v>48.142000000000017</v>
      </c>
      <c r="AG63" s="46">
        <v>18.5</v>
      </c>
      <c r="AH63" s="46">
        <v>41.176000000000002</v>
      </c>
      <c r="AI63" s="46">
        <v>9.7129999999999992</v>
      </c>
      <c r="AJ63" s="46">
        <v>52.91</v>
      </c>
      <c r="AK63" s="46">
        <v>19.301000000000002</v>
      </c>
      <c r="AL63" s="46">
        <v>37.605999999999995</v>
      </c>
      <c r="AM63" s="46">
        <v>55.028999999999996</v>
      </c>
      <c r="AN63" s="46">
        <v>84.259999999999991</v>
      </c>
      <c r="AO63" s="46">
        <f t="shared" si="0"/>
        <v>63.541200000000011</v>
      </c>
      <c r="AP63" s="7">
        <f t="shared" si="1"/>
        <v>7.9426500000000013</v>
      </c>
    </row>
    <row r="64" spans="1:42" x14ac:dyDescent="0.3">
      <c r="A64" s="5">
        <v>63</v>
      </c>
      <c r="B64" s="107" t="s">
        <v>9</v>
      </c>
      <c r="C64" s="112"/>
      <c r="D64" s="10" t="s">
        <v>1068</v>
      </c>
      <c r="E64" s="110" t="s">
        <v>128</v>
      </c>
      <c r="F64" s="6" t="s">
        <v>12</v>
      </c>
      <c r="G64" s="6" t="s">
        <v>976</v>
      </c>
      <c r="H64" s="6" t="s">
        <v>35</v>
      </c>
      <c r="I64" s="5">
        <v>10</v>
      </c>
      <c r="J64" s="94" t="s">
        <v>273</v>
      </c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>
        <v>5.444</v>
      </c>
      <c r="V64" s="46">
        <v>19.125</v>
      </c>
      <c r="W64" s="46">
        <v>0</v>
      </c>
      <c r="X64" s="46">
        <v>43.570000000000007</v>
      </c>
      <c r="Y64" s="46">
        <v>67.989000000000004</v>
      </c>
      <c r="Z64" s="46">
        <v>34.762</v>
      </c>
      <c r="AA64" s="46">
        <v>39.594999999999999</v>
      </c>
      <c r="AB64" s="46">
        <v>42.195999999999998</v>
      </c>
      <c r="AC64" s="46">
        <v>29.790000000000003</v>
      </c>
      <c r="AD64" s="46">
        <v>20.375</v>
      </c>
      <c r="AE64" s="46">
        <v>18.214000000000002</v>
      </c>
      <c r="AF64" s="46">
        <v>35.478999999999999</v>
      </c>
      <c r="AG64" s="46">
        <v>51.954000000000001</v>
      </c>
      <c r="AH64" s="46">
        <v>40.947000000000003</v>
      </c>
      <c r="AI64" s="46">
        <v>32.701999999999998</v>
      </c>
      <c r="AJ64" s="46">
        <v>46.503</v>
      </c>
      <c r="AK64" s="46">
        <v>6.4180000000000001</v>
      </c>
      <c r="AL64" s="46">
        <v>31.060999999999993</v>
      </c>
      <c r="AM64" s="46">
        <v>39.405999999999999</v>
      </c>
      <c r="AN64" s="46">
        <v>46.048999999999992</v>
      </c>
      <c r="AO64" s="46">
        <f t="shared" si="0"/>
        <v>32.578949999999999</v>
      </c>
      <c r="AP64" s="7">
        <f t="shared" si="1"/>
        <v>3.257895</v>
      </c>
    </row>
    <row r="65" spans="1:42" x14ac:dyDescent="0.3">
      <c r="A65" s="5">
        <v>64</v>
      </c>
      <c r="B65" s="107" t="s">
        <v>9</v>
      </c>
      <c r="C65" s="112" t="s">
        <v>713</v>
      </c>
      <c r="D65" s="112" t="s">
        <v>714</v>
      </c>
      <c r="E65" s="110" t="s">
        <v>128</v>
      </c>
      <c r="F65" s="6" t="s">
        <v>12</v>
      </c>
      <c r="G65" s="6" t="s">
        <v>976</v>
      </c>
      <c r="H65" s="6" t="s">
        <v>35</v>
      </c>
      <c r="I65" s="5">
        <v>6</v>
      </c>
      <c r="J65" s="94" t="s">
        <v>273</v>
      </c>
      <c r="K65" s="46">
        <v>62.338000000000001</v>
      </c>
      <c r="L65" s="46">
        <v>82.742000000000019</v>
      </c>
      <c r="M65" s="46">
        <v>77.747</v>
      </c>
      <c r="N65" s="46">
        <v>63.896999999999991</v>
      </c>
      <c r="O65" s="46">
        <v>71.108999999999995</v>
      </c>
      <c r="P65" s="46">
        <v>79.149000000000015</v>
      </c>
      <c r="Q65" s="46">
        <v>54.949999999999996</v>
      </c>
      <c r="R65" s="46">
        <v>76.222999999999985</v>
      </c>
      <c r="S65" s="46">
        <v>71.871000000000009</v>
      </c>
      <c r="T65" s="46">
        <v>68.77000000000001</v>
      </c>
      <c r="U65" s="46">
        <v>54.67</v>
      </c>
      <c r="V65" s="46">
        <v>68.649000000000001</v>
      </c>
      <c r="W65" s="46">
        <v>48.543999999999997</v>
      </c>
      <c r="X65" s="46">
        <v>73.539000000000001</v>
      </c>
      <c r="Y65" s="46">
        <v>64.410000000000011</v>
      </c>
      <c r="Z65" s="46">
        <v>71.487000000000009</v>
      </c>
      <c r="AA65" s="46">
        <v>57.391999999999996</v>
      </c>
      <c r="AB65" s="46">
        <v>48.245000000000012</v>
      </c>
      <c r="AC65" s="46">
        <v>89.346999999999994</v>
      </c>
      <c r="AD65" s="46">
        <v>73.535000000000011</v>
      </c>
      <c r="AE65" s="46">
        <v>79.551999999999992</v>
      </c>
      <c r="AF65" s="46">
        <v>69.460000000000008</v>
      </c>
      <c r="AG65" s="46">
        <v>66.461999999999989</v>
      </c>
      <c r="AH65" s="46">
        <v>85.186999999999983</v>
      </c>
      <c r="AI65" s="46">
        <v>59.161999999999985</v>
      </c>
      <c r="AJ65" s="46">
        <v>64.215000000000003</v>
      </c>
      <c r="AK65" s="46">
        <v>61.640999999999991</v>
      </c>
      <c r="AL65" s="46">
        <v>77.428000000000011</v>
      </c>
      <c r="AM65" s="46">
        <v>75.833999999999989</v>
      </c>
      <c r="AN65" s="46">
        <v>47.027999999999999</v>
      </c>
      <c r="AO65" s="46">
        <f t="shared" si="0"/>
        <v>68.152766666666665</v>
      </c>
      <c r="AP65" s="7">
        <f t="shared" si="1"/>
        <v>11.358794444444444</v>
      </c>
    </row>
    <row r="66" spans="1:42" x14ac:dyDescent="0.3">
      <c r="A66" s="5">
        <v>65</v>
      </c>
      <c r="B66" s="107" t="s">
        <v>9</v>
      </c>
      <c r="C66" s="112" t="s">
        <v>857</v>
      </c>
      <c r="D66" s="112" t="s">
        <v>856</v>
      </c>
      <c r="E66" s="110" t="s">
        <v>128</v>
      </c>
      <c r="F66" s="6" t="s">
        <v>12</v>
      </c>
      <c r="G66" s="6" t="s">
        <v>290</v>
      </c>
      <c r="H66" s="6" t="s">
        <v>80</v>
      </c>
      <c r="I66" s="5">
        <v>1</v>
      </c>
      <c r="J66" s="12" t="s">
        <v>590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f t="shared" si="0"/>
        <v>0</v>
      </c>
      <c r="AP66" s="7">
        <f t="shared" si="1"/>
        <v>0</v>
      </c>
    </row>
    <row r="67" spans="1:42" ht="15.6" x14ac:dyDescent="0.3">
      <c r="A67" s="5">
        <v>66</v>
      </c>
      <c r="B67" s="107" t="s">
        <v>9</v>
      </c>
      <c r="C67" s="112" t="s">
        <v>968</v>
      </c>
      <c r="D67" s="114" t="s">
        <v>969</v>
      </c>
      <c r="E67" s="110" t="s">
        <v>128</v>
      </c>
      <c r="F67" s="6" t="s">
        <v>12</v>
      </c>
      <c r="G67" s="6" t="s">
        <v>976</v>
      </c>
      <c r="H67" s="6" t="s">
        <v>35</v>
      </c>
      <c r="I67" s="5">
        <v>1</v>
      </c>
      <c r="J67" s="12" t="s">
        <v>590</v>
      </c>
      <c r="K67" s="46">
        <v>0</v>
      </c>
      <c r="L67" s="46">
        <v>0</v>
      </c>
      <c r="M67" s="46">
        <v>0</v>
      </c>
      <c r="N67" s="46">
        <v>0.41299999999999998</v>
      </c>
      <c r="O67" s="46">
        <v>0</v>
      </c>
      <c r="P67" s="46">
        <v>2.109</v>
      </c>
      <c r="Q67" s="46">
        <v>0</v>
      </c>
      <c r="R67" s="46">
        <v>0</v>
      </c>
      <c r="S67" s="46">
        <v>3.0019999999999998</v>
      </c>
      <c r="T67" s="46">
        <v>0</v>
      </c>
      <c r="U67" s="46">
        <v>0</v>
      </c>
      <c r="V67" s="46">
        <v>0</v>
      </c>
      <c r="W67" s="46">
        <v>0</v>
      </c>
      <c r="X67" s="46">
        <v>2.9990000000000001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2.0419999999999998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f t="shared" ref="AO67:AO130" si="2">AVERAGE(K67:AN67)</f>
        <v>0.35216666666666663</v>
      </c>
      <c r="AP67" s="7">
        <f t="shared" ref="AP67:AP130" si="3">AO67/I67</f>
        <v>0.35216666666666663</v>
      </c>
    </row>
    <row r="68" spans="1:42" x14ac:dyDescent="0.3">
      <c r="A68" s="5">
        <v>67</v>
      </c>
      <c r="B68" s="107" t="s">
        <v>9</v>
      </c>
      <c r="C68" s="10"/>
      <c r="D68" s="39" t="s">
        <v>918</v>
      </c>
      <c r="E68" s="110" t="s">
        <v>128</v>
      </c>
      <c r="F68" s="6" t="s">
        <v>12</v>
      </c>
      <c r="G68" s="6" t="s">
        <v>976</v>
      </c>
      <c r="H68" s="6" t="s">
        <v>35</v>
      </c>
      <c r="I68" s="92">
        <v>2</v>
      </c>
      <c r="J68" s="94" t="s">
        <v>590</v>
      </c>
      <c r="K68" s="46">
        <v>0</v>
      </c>
      <c r="L68" s="46">
        <v>3.0209999999999999</v>
      </c>
      <c r="M68" s="46">
        <v>0</v>
      </c>
      <c r="N68" s="46">
        <v>2.8319999999999999</v>
      </c>
      <c r="O68" s="46">
        <v>2.9050000000000002</v>
      </c>
      <c r="P68" s="46">
        <v>0</v>
      </c>
      <c r="Q68" s="46">
        <v>2.157</v>
      </c>
      <c r="R68" s="46">
        <v>0</v>
      </c>
      <c r="S68" s="46">
        <v>1.256</v>
      </c>
      <c r="T68" s="46">
        <v>2.3330000000000002</v>
      </c>
      <c r="U68" s="46">
        <v>2.1040000000000001</v>
      </c>
      <c r="V68" s="46">
        <v>5.1869999999999994</v>
      </c>
      <c r="W68" s="46">
        <v>0.45400000000000001</v>
      </c>
      <c r="X68" s="46">
        <v>0.629</v>
      </c>
      <c r="Y68" s="46">
        <v>1.234</v>
      </c>
      <c r="Z68" s="46">
        <v>3.698</v>
      </c>
      <c r="AA68" s="46">
        <v>2.4209999999999998</v>
      </c>
      <c r="AB68" s="46">
        <v>0</v>
      </c>
      <c r="AC68" s="46">
        <v>2.5609999999999999</v>
      </c>
      <c r="AD68" s="46">
        <v>0</v>
      </c>
      <c r="AE68" s="46">
        <v>5.32</v>
      </c>
      <c r="AF68" s="46">
        <v>0</v>
      </c>
      <c r="AG68" s="46">
        <v>1.9870000000000001</v>
      </c>
      <c r="AH68" s="46">
        <v>1.0780000000000001</v>
      </c>
      <c r="AI68" s="46">
        <v>2.7440000000000002</v>
      </c>
      <c r="AJ68" s="46">
        <v>1.7999999999999998</v>
      </c>
      <c r="AK68" s="46">
        <v>1.7390000000000001</v>
      </c>
      <c r="AL68" s="46">
        <v>2.347</v>
      </c>
      <c r="AM68" s="46">
        <v>0</v>
      </c>
      <c r="AN68" s="46">
        <v>10.273000000000001</v>
      </c>
      <c r="AO68" s="46">
        <f t="shared" si="2"/>
        <v>2.0026666666666668</v>
      </c>
      <c r="AP68" s="7">
        <f t="shared" si="3"/>
        <v>1.0013333333333334</v>
      </c>
    </row>
    <row r="69" spans="1:42" x14ac:dyDescent="0.3">
      <c r="A69" s="5">
        <v>68</v>
      </c>
      <c r="B69" s="107" t="s">
        <v>9</v>
      </c>
      <c r="C69" s="10"/>
      <c r="D69" s="39" t="s">
        <v>918</v>
      </c>
      <c r="E69" s="110" t="s">
        <v>128</v>
      </c>
      <c r="F69" s="6" t="s">
        <v>12</v>
      </c>
      <c r="G69" s="6" t="s">
        <v>979</v>
      </c>
      <c r="H69" s="6" t="s">
        <v>35</v>
      </c>
      <c r="I69" s="92">
        <v>2</v>
      </c>
      <c r="J69" s="94" t="s">
        <v>590</v>
      </c>
      <c r="K69" s="46">
        <v>36.097000000000001</v>
      </c>
      <c r="L69" s="46">
        <v>0</v>
      </c>
      <c r="M69" s="46">
        <v>0</v>
      </c>
      <c r="N69" s="46">
        <v>0</v>
      </c>
      <c r="O69" s="46">
        <v>0</v>
      </c>
      <c r="P69" s="46">
        <v>0</v>
      </c>
      <c r="Q69" s="46">
        <v>28.975000000000001</v>
      </c>
      <c r="R69" s="46">
        <v>3.367</v>
      </c>
      <c r="S69" s="46">
        <v>6.2560000000000002</v>
      </c>
      <c r="T69" s="46">
        <v>27.533999999999999</v>
      </c>
      <c r="U69" s="46">
        <v>0</v>
      </c>
      <c r="V69" s="46">
        <v>0</v>
      </c>
      <c r="W69" s="46">
        <v>42.813000000000002</v>
      </c>
      <c r="X69" s="46">
        <v>0</v>
      </c>
      <c r="Y69" s="46">
        <v>0</v>
      </c>
      <c r="Z69" s="46">
        <v>0</v>
      </c>
      <c r="AA69" s="46">
        <v>26.984999999999999</v>
      </c>
      <c r="AB69" s="46">
        <v>2.089</v>
      </c>
      <c r="AC69" s="46">
        <v>0.88600000000000001</v>
      </c>
      <c r="AD69" s="46">
        <v>7.2970000000000006</v>
      </c>
      <c r="AE69" s="46">
        <v>20.891000000000002</v>
      </c>
      <c r="AF69" s="46">
        <v>4.8860000000000001</v>
      </c>
      <c r="AG69" s="46">
        <v>0</v>
      </c>
      <c r="AH69" s="46">
        <v>0</v>
      </c>
      <c r="AI69" s="46">
        <v>0</v>
      </c>
      <c r="AJ69" s="46">
        <v>42.578000000000003</v>
      </c>
      <c r="AK69" s="46">
        <v>0</v>
      </c>
      <c r="AL69" s="46">
        <v>0</v>
      </c>
      <c r="AM69" s="46">
        <v>0</v>
      </c>
      <c r="AN69" s="46">
        <v>0</v>
      </c>
      <c r="AO69" s="46">
        <f t="shared" si="2"/>
        <v>8.3551333333333346</v>
      </c>
      <c r="AP69" s="7">
        <f t="shared" si="3"/>
        <v>4.1775666666666673</v>
      </c>
    </row>
    <row r="70" spans="1:42" x14ac:dyDescent="0.3">
      <c r="A70" s="5">
        <v>69</v>
      </c>
      <c r="B70" s="107" t="s">
        <v>9</v>
      </c>
      <c r="C70" s="10"/>
      <c r="D70" s="116" t="s">
        <v>991</v>
      </c>
      <c r="E70" s="6" t="s">
        <v>128</v>
      </c>
      <c r="F70" s="6" t="s">
        <v>12</v>
      </c>
      <c r="G70" s="6" t="s">
        <v>13</v>
      </c>
      <c r="H70" s="6" t="s">
        <v>35</v>
      </c>
      <c r="I70" s="92">
        <v>2</v>
      </c>
      <c r="J70" s="94" t="s">
        <v>590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2.3929999999999998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1.117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v>0</v>
      </c>
      <c r="AN70" s="46">
        <v>0.1</v>
      </c>
      <c r="AO70" s="46">
        <f t="shared" si="2"/>
        <v>0.12033333333333333</v>
      </c>
      <c r="AP70" s="7">
        <f t="shared" si="3"/>
        <v>6.0166666666666667E-2</v>
      </c>
    </row>
    <row r="71" spans="1:42" x14ac:dyDescent="0.3">
      <c r="A71" s="5">
        <v>70</v>
      </c>
      <c r="B71" s="107" t="s">
        <v>9</v>
      </c>
      <c r="C71" s="10"/>
      <c r="D71" s="116" t="s">
        <v>991</v>
      </c>
      <c r="E71" s="6" t="s">
        <v>128</v>
      </c>
      <c r="F71" s="6" t="s">
        <v>12</v>
      </c>
      <c r="G71" s="6" t="s">
        <v>40</v>
      </c>
      <c r="H71" s="6" t="s">
        <v>35</v>
      </c>
      <c r="I71" s="92">
        <v>5</v>
      </c>
      <c r="J71" s="94" t="s">
        <v>590</v>
      </c>
      <c r="K71" s="46">
        <v>5.3739999999999997</v>
      </c>
      <c r="L71" s="46">
        <v>4.867</v>
      </c>
      <c r="M71" s="46">
        <v>0</v>
      </c>
      <c r="N71" s="46">
        <v>0</v>
      </c>
      <c r="O71" s="46">
        <v>9.0050000000000008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8.0549999999999997</v>
      </c>
      <c r="X71" s="46">
        <v>0</v>
      </c>
      <c r="Y71" s="46">
        <v>0</v>
      </c>
      <c r="Z71" s="46">
        <v>7.7769999999999992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7.7850000000000001</v>
      </c>
      <c r="AI71" s="46">
        <v>0</v>
      </c>
      <c r="AJ71" s="46">
        <v>0</v>
      </c>
      <c r="AK71" s="46">
        <v>12</v>
      </c>
      <c r="AL71" s="46">
        <v>0</v>
      </c>
      <c r="AM71" s="46">
        <v>0</v>
      </c>
      <c r="AN71" s="46">
        <v>2.6259999999999999</v>
      </c>
      <c r="AO71" s="46">
        <f t="shared" si="2"/>
        <v>1.9162999999999999</v>
      </c>
      <c r="AP71" s="7">
        <f t="shared" si="3"/>
        <v>0.38325999999999999</v>
      </c>
    </row>
    <row r="72" spans="1:42" x14ac:dyDescent="0.3">
      <c r="A72" s="5">
        <v>71</v>
      </c>
      <c r="B72" s="107" t="s">
        <v>1024</v>
      </c>
      <c r="C72" s="10"/>
      <c r="D72" s="116" t="s">
        <v>1022</v>
      </c>
      <c r="E72" s="6" t="s">
        <v>128</v>
      </c>
      <c r="F72" s="6" t="s">
        <v>12</v>
      </c>
      <c r="G72" s="6" t="s">
        <v>1023</v>
      </c>
      <c r="H72" s="6" t="s">
        <v>80</v>
      </c>
      <c r="I72" s="92">
        <v>1</v>
      </c>
      <c r="J72" s="67" t="s">
        <v>160</v>
      </c>
      <c r="K72" s="46">
        <v>36.549999999999997</v>
      </c>
      <c r="L72" s="46">
        <v>0</v>
      </c>
      <c r="M72" s="46">
        <v>0</v>
      </c>
      <c r="N72" s="46">
        <v>0</v>
      </c>
      <c r="O72" s="46">
        <v>53.4</v>
      </c>
      <c r="P72" s="46">
        <v>5.5750000000000002</v>
      </c>
      <c r="Q72" s="46">
        <v>0</v>
      </c>
      <c r="R72" s="46">
        <v>34.700000000000003</v>
      </c>
      <c r="S72" s="46">
        <v>340.52500000000003</v>
      </c>
      <c r="T72" s="46">
        <v>329.2</v>
      </c>
      <c r="U72" s="46">
        <v>381.94999999999993</v>
      </c>
      <c r="V72" s="46">
        <v>361.07499999999999</v>
      </c>
      <c r="W72" s="46">
        <v>299.25</v>
      </c>
      <c r="X72" s="46">
        <v>195.02500000000001</v>
      </c>
      <c r="Y72" s="46">
        <v>95.3</v>
      </c>
      <c r="Z72" s="46">
        <v>204.9</v>
      </c>
      <c r="AA72" s="46">
        <v>311.99999999999994</v>
      </c>
      <c r="AB72" s="46">
        <v>23.375</v>
      </c>
      <c r="AC72" s="46">
        <v>225.95</v>
      </c>
      <c r="AD72" s="46">
        <v>906.07400000000007</v>
      </c>
      <c r="AE72" s="46">
        <v>120.62499999999999</v>
      </c>
      <c r="AF72" s="46">
        <v>374.45000000000005</v>
      </c>
      <c r="AG72" s="46">
        <v>488.35000000000008</v>
      </c>
      <c r="AH72" s="46">
        <v>576.57500000000005</v>
      </c>
      <c r="AI72" s="46">
        <v>650.87400000000002</v>
      </c>
      <c r="AJ72" s="46">
        <v>578.09999999999991</v>
      </c>
      <c r="AK72" s="46">
        <v>578.851</v>
      </c>
      <c r="AL72" s="46">
        <v>479.274</v>
      </c>
      <c r="AM72" s="46">
        <v>401.02499999999998</v>
      </c>
      <c r="AN72" s="46">
        <v>467.22500000000008</v>
      </c>
      <c r="AO72" s="46">
        <f t="shared" si="2"/>
        <v>284.00659999999999</v>
      </c>
      <c r="AP72" s="7">
        <f t="shared" si="3"/>
        <v>284.00659999999999</v>
      </c>
    </row>
    <row r="73" spans="1:42" x14ac:dyDescent="0.3">
      <c r="A73" s="5">
        <v>72</v>
      </c>
      <c r="B73" s="107" t="s">
        <v>9</v>
      </c>
      <c r="C73" s="10"/>
      <c r="D73" s="10" t="s">
        <v>1061</v>
      </c>
      <c r="E73" s="6" t="s">
        <v>128</v>
      </c>
      <c r="F73" s="6" t="s">
        <v>12</v>
      </c>
      <c r="G73" s="6" t="s">
        <v>1023</v>
      </c>
      <c r="H73" s="6" t="s">
        <v>80</v>
      </c>
      <c r="I73" s="92">
        <v>4</v>
      </c>
      <c r="J73" s="67" t="s">
        <v>160</v>
      </c>
      <c r="K73" s="46">
        <v>245.41</v>
      </c>
      <c r="L73" s="46">
        <v>224.16</v>
      </c>
      <c r="M73" s="46">
        <v>331.20000000000005</v>
      </c>
      <c r="N73" s="46">
        <v>354.93999999999988</v>
      </c>
      <c r="O73" s="46">
        <v>251.39000000000001</v>
      </c>
      <c r="P73" s="46">
        <v>165.34</v>
      </c>
      <c r="Q73" s="46">
        <v>371.73</v>
      </c>
      <c r="R73" s="46">
        <v>439.48000000000008</v>
      </c>
      <c r="S73" s="46">
        <v>539.61</v>
      </c>
      <c r="T73" s="46">
        <v>372.59</v>
      </c>
      <c r="U73" s="46">
        <v>388.62000000000006</v>
      </c>
      <c r="V73" s="46">
        <v>318.75</v>
      </c>
      <c r="W73" s="46">
        <v>194.57999999999998</v>
      </c>
      <c r="X73" s="46">
        <v>457.00999999999993</v>
      </c>
      <c r="Y73" s="46">
        <v>648.27</v>
      </c>
      <c r="Z73" s="46">
        <v>606.66999999999985</v>
      </c>
      <c r="AA73" s="46">
        <v>416.3900000000001</v>
      </c>
      <c r="AB73" s="46">
        <v>298.42</v>
      </c>
      <c r="AC73" s="46">
        <v>369.31999999999994</v>
      </c>
      <c r="AD73" s="46">
        <v>247.36000000000004</v>
      </c>
      <c r="AE73" s="46">
        <v>655.83</v>
      </c>
      <c r="AF73" s="46">
        <v>446.36999999999995</v>
      </c>
      <c r="AG73" s="46">
        <v>561.84999999999991</v>
      </c>
      <c r="AH73" s="46">
        <v>463.10000000000008</v>
      </c>
      <c r="AI73" s="46">
        <v>472.42000000000019</v>
      </c>
      <c r="AJ73" s="46">
        <v>684.40000000000009</v>
      </c>
      <c r="AK73" s="46">
        <v>295.00000000000006</v>
      </c>
      <c r="AL73" s="46">
        <v>385.06999999999994</v>
      </c>
      <c r="AM73" s="46">
        <v>633.76999999999975</v>
      </c>
      <c r="AN73" s="46">
        <v>618.66000000000008</v>
      </c>
      <c r="AO73" s="46">
        <f t="shared" si="2"/>
        <v>415.25700000000001</v>
      </c>
      <c r="AP73" s="7">
        <f t="shared" si="3"/>
        <v>103.81425</v>
      </c>
    </row>
    <row r="74" spans="1:42" x14ac:dyDescent="0.3">
      <c r="A74" s="5">
        <v>73</v>
      </c>
      <c r="B74" s="107" t="s">
        <v>9</v>
      </c>
      <c r="C74" s="10"/>
      <c r="D74" s="10" t="s">
        <v>1061</v>
      </c>
      <c r="E74" s="6" t="s">
        <v>128</v>
      </c>
      <c r="F74" s="6" t="s">
        <v>12</v>
      </c>
      <c r="G74" s="6" t="s">
        <v>40</v>
      </c>
      <c r="H74" s="6" t="s">
        <v>35</v>
      </c>
      <c r="I74" s="92">
        <v>2</v>
      </c>
      <c r="J74" s="67" t="s">
        <v>160</v>
      </c>
      <c r="K74" s="46"/>
      <c r="L74" s="46"/>
      <c r="M74" s="46"/>
      <c r="N74" s="46">
        <v>1.4929999999999999</v>
      </c>
      <c r="O74" s="46">
        <v>0</v>
      </c>
      <c r="P74" s="46">
        <v>0</v>
      </c>
      <c r="Q74" s="46">
        <v>3.8940000000000001</v>
      </c>
      <c r="R74" s="46">
        <v>0</v>
      </c>
      <c r="S74" s="46">
        <v>0</v>
      </c>
      <c r="T74" s="46">
        <v>57.155999999999999</v>
      </c>
      <c r="U74" s="46">
        <v>0.16500000000000001</v>
      </c>
      <c r="V74" s="46">
        <v>23.34</v>
      </c>
      <c r="W74" s="46">
        <v>0</v>
      </c>
      <c r="X74" s="46">
        <v>0</v>
      </c>
      <c r="Y74" s="46">
        <v>19.545000000000002</v>
      </c>
      <c r="Z74" s="46">
        <v>51.31</v>
      </c>
      <c r="AA74" s="46">
        <v>3.3040000000000003</v>
      </c>
      <c r="AB74" s="46">
        <v>0</v>
      </c>
      <c r="AC74" s="46">
        <v>0</v>
      </c>
      <c r="AD74" s="46">
        <v>28.481999999999999</v>
      </c>
      <c r="AE74" s="46">
        <v>0</v>
      </c>
      <c r="AF74" s="46">
        <v>21.038</v>
      </c>
      <c r="AG74" s="46">
        <v>14.566999999999998</v>
      </c>
      <c r="AH74" s="46">
        <v>48.163000000000004</v>
      </c>
      <c r="AI74" s="46">
        <v>0</v>
      </c>
      <c r="AJ74" s="46">
        <v>0</v>
      </c>
      <c r="AK74" s="46">
        <v>14.811999999999999</v>
      </c>
      <c r="AL74" s="46">
        <v>5.47</v>
      </c>
      <c r="AM74" s="46">
        <v>35.161000000000001</v>
      </c>
      <c r="AN74" s="46">
        <v>25.764000000000003</v>
      </c>
      <c r="AO74" s="46">
        <f t="shared" si="2"/>
        <v>13.09866666666667</v>
      </c>
      <c r="AP74" s="7">
        <f t="shared" si="3"/>
        <v>6.549333333333335</v>
      </c>
    </row>
    <row r="75" spans="1:42" x14ac:dyDescent="0.3">
      <c r="A75" s="5">
        <v>74</v>
      </c>
      <c r="B75" s="107" t="s">
        <v>9</v>
      </c>
      <c r="C75" s="10"/>
      <c r="D75" s="10" t="s">
        <v>1061</v>
      </c>
      <c r="E75" s="6" t="s">
        <v>128</v>
      </c>
      <c r="F75" s="6" t="s">
        <v>12</v>
      </c>
      <c r="G75" s="6" t="s">
        <v>13</v>
      </c>
      <c r="H75" s="6" t="s">
        <v>35</v>
      </c>
      <c r="I75" s="92">
        <v>1</v>
      </c>
      <c r="J75" s="67" t="s">
        <v>160</v>
      </c>
      <c r="K75" s="46"/>
      <c r="L75" s="46"/>
      <c r="M75" s="46"/>
      <c r="N75" s="46"/>
      <c r="O75" s="46"/>
      <c r="P75" s="46"/>
      <c r="Q75" s="46"/>
      <c r="R75" s="46"/>
      <c r="S75" s="46">
        <v>0</v>
      </c>
      <c r="T75" s="46">
        <v>2.593</v>
      </c>
      <c r="U75" s="46">
        <v>7.3650000000000002</v>
      </c>
      <c r="V75" s="46">
        <v>8.1739999999999995</v>
      </c>
      <c r="W75" s="46">
        <v>11.952000000000002</v>
      </c>
      <c r="X75" s="46">
        <v>5.0609999999999999</v>
      </c>
      <c r="Y75" s="46">
        <v>9.5359999999999996</v>
      </c>
      <c r="Z75" s="46">
        <v>21.633999999999997</v>
      </c>
      <c r="AA75" s="46">
        <v>15.539</v>
      </c>
      <c r="AB75" s="46">
        <v>28.477</v>
      </c>
      <c r="AC75" s="46">
        <v>26.007000000000001</v>
      </c>
      <c r="AD75" s="46">
        <v>12.722</v>
      </c>
      <c r="AE75" s="46">
        <v>21.41</v>
      </c>
      <c r="AF75" s="46">
        <v>14.266</v>
      </c>
      <c r="AG75" s="46">
        <v>7.84</v>
      </c>
      <c r="AH75" s="46">
        <v>26.253</v>
      </c>
      <c r="AI75" s="46">
        <v>18.189</v>
      </c>
      <c r="AJ75" s="46">
        <v>30.222000000000001</v>
      </c>
      <c r="AK75" s="46">
        <v>12.82</v>
      </c>
      <c r="AL75" s="46">
        <v>14.308000000000002</v>
      </c>
      <c r="AM75" s="46">
        <v>16.251999999999999</v>
      </c>
      <c r="AN75" s="46">
        <v>9.956999999999999</v>
      </c>
      <c r="AO75" s="46">
        <f t="shared" si="2"/>
        <v>14.571681818181817</v>
      </c>
      <c r="AP75" s="7">
        <f t="shared" si="3"/>
        <v>14.571681818181817</v>
      </c>
    </row>
    <row r="76" spans="1:42" x14ac:dyDescent="0.3">
      <c r="A76" s="5">
        <v>75</v>
      </c>
      <c r="B76" s="6" t="s">
        <v>1050</v>
      </c>
      <c r="C76" s="10"/>
      <c r="D76" s="116" t="s">
        <v>1049</v>
      </c>
      <c r="E76" s="6" t="s">
        <v>128</v>
      </c>
      <c r="F76" s="6" t="s">
        <v>12</v>
      </c>
      <c r="G76" s="6" t="s">
        <v>13</v>
      </c>
      <c r="H76" s="6" t="s">
        <v>35</v>
      </c>
      <c r="I76" s="92">
        <v>1</v>
      </c>
      <c r="J76" s="94" t="s">
        <v>590</v>
      </c>
      <c r="K76" s="46">
        <v>20.802</v>
      </c>
      <c r="L76" s="46">
        <v>2.2629999999999999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1.5349999999999999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0</v>
      </c>
      <c r="AL76" s="46">
        <v>6.6050000000000004</v>
      </c>
      <c r="AM76" s="46">
        <v>0</v>
      </c>
      <c r="AN76" s="46">
        <v>0</v>
      </c>
      <c r="AO76" s="46">
        <f t="shared" si="2"/>
        <v>1.0401666666666667</v>
      </c>
      <c r="AP76" s="7">
        <f t="shared" si="3"/>
        <v>1.0401666666666667</v>
      </c>
    </row>
    <row r="77" spans="1:42" x14ac:dyDescent="0.3">
      <c r="A77" s="5">
        <v>76</v>
      </c>
      <c r="B77" s="6" t="s">
        <v>1050</v>
      </c>
      <c r="C77" s="10"/>
      <c r="D77" s="116" t="s">
        <v>1049</v>
      </c>
      <c r="E77" s="6" t="s">
        <v>128</v>
      </c>
      <c r="F77" s="6" t="s">
        <v>12</v>
      </c>
      <c r="G77" s="6" t="s">
        <v>135</v>
      </c>
      <c r="H77" s="6" t="s">
        <v>35</v>
      </c>
      <c r="I77" s="92">
        <v>1</v>
      </c>
      <c r="J77" s="94" t="s">
        <v>590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33.504999999999995</v>
      </c>
      <c r="AB77" s="46">
        <v>0</v>
      </c>
      <c r="AC77" s="46">
        <v>0</v>
      </c>
      <c r="AD77" s="46">
        <v>0</v>
      </c>
      <c r="AE77" s="46">
        <v>1.728</v>
      </c>
      <c r="AF77" s="46">
        <v>0</v>
      </c>
      <c r="AG77" s="46">
        <v>0</v>
      </c>
      <c r="AH77" s="46">
        <v>0</v>
      </c>
      <c r="AI77" s="46">
        <v>13.259999999999998</v>
      </c>
      <c r="AJ77" s="46">
        <v>0</v>
      </c>
      <c r="AK77" s="46">
        <v>0</v>
      </c>
      <c r="AL77" s="46">
        <v>13.925000000000001</v>
      </c>
      <c r="AM77" s="46">
        <v>0</v>
      </c>
      <c r="AN77" s="46">
        <v>0</v>
      </c>
      <c r="AO77" s="46">
        <f t="shared" si="2"/>
        <v>2.0805999999999996</v>
      </c>
      <c r="AP77" s="7">
        <f t="shared" si="3"/>
        <v>2.0805999999999996</v>
      </c>
    </row>
    <row r="78" spans="1:42" x14ac:dyDescent="0.3">
      <c r="A78" s="5">
        <v>77</v>
      </c>
      <c r="B78" s="6" t="s">
        <v>1050</v>
      </c>
      <c r="C78" s="10"/>
      <c r="D78" s="116" t="s">
        <v>1049</v>
      </c>
      <c r="E78" s="6" t="s">
        <v>128</v>
      </c>
      <c r="F78" s="6" t="s">
        <v>12</v>
      </c>
      <c r="G78" s="6" t="s">
        <v>41</v>
      </c>
      <c r="H78" s="6" t="s">
        <v>35</v>
      </c>
      <c r="I78" s="92">
        <v>1</v>
      </c>
      <c r="J78" s="94" t="s">
        <v>590</v>
      </c>
      <c r="K78" s="46">
        <v>0</v>
      </c>
      <c r="L78" s="46">
        <v>0</v>
      </c>
      <c r="M78" s="46">
        <v>2.839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18.757999999999999</v>
      </c>
      <c r="AJ78" s="46">
        <v>0</v>
      </c>
      <c r="AK78" s="46">
        <v>0</v>
      </c>
      <c r="AL78" s="46">
        <v>0</v>
      </c>
      <c r="AM78" s="46">
        <v>0</v>
      </c>
      <c r="AN78" s="46">
        <v>0</v>
      </c>
      <c r="AO78" s="46">
        <f t="shared" si="2"/>
        <v>0.71989999999999987</v>
      </c>
      <c r="AP78" s="7">
        <f t="shared" si="3"/>
        <v>0.71989999999999987</v>
      </c>
    </row>
    <row r="79" spans="1:42" x14ac:dyDescent="0.3">
      <c r="A79" s="5">
        <v>78</v>
      </c>
      <c r="B79" s="107" t="s">
        <v>536</v>
      </c>
      <c r="C79" s="112" t="s">
        <v>639</v>
      </c>
      <c r="D79" s="112" t="s">
        <v>784</v>
      </c>
      <c r="E79" s="110" t="s">
        <v>128</v>
      </c>
      <c r="F79" s="6" t="s">
        <v>12</v>
      </c>
      <c r="G79" s="6" t="s">
        <v>973</v>
      </c>
      <c r="H79" s="6" t="s">
        <v>80</v>
      </c>
      <c r="I79" s="5">
        <v>1</v>
      </c>
      <c r="J79" s="67" t="s">
        <v>160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16.619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v>0</v>
      </c>
      <c r="AO79" s="46">
        <f t="shared" si="2"/>
        <v>0.55396666666666661</v>
      </c>
      <c r="AP79" s="7">
        <f t="shared" si="3"/>
        <v>0.55396666666666661</v>
      </c>
    </row>
    <row r="80" spans="1:42" x14ac:dyDescent="0.3">
      <c r="A80" s="5">
        <v>79</v>
      </c>
      <c r="B80" s="107" t="s">
        <v>9</v>
      </c>
      <c r="C80" s="5"/>
      <c r="D80" s="6" t="s">
        <v>27</v>
      </c>
      <c r="E80" s="110" t="s">
        <v>28</v>
      </c>
      <c r="F80" s="6" t="s">
        <v>19</v>
      </c>
      <c r="G80" s="6" t="s">
        <v>976</v>
      </c>
      <c r="H80" s="6" t="s">
        <v>14</v>
      </c>
      <c r="I80" s="5">
        <v>4</v>
      </c>
      <c r="J80" s="67" t="s">
        <v>160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>
        <v>0</v>
      </c>
      <c r="AK80" s="46">
        <v>0</v>
      </c>
      <c r="AL80" s="46">
        <v>0</v>
      </c>
      <c r="AM80" s="46">
        <v>0</v>
      </c>
      <c r="AN80" s="46">
        <v>0</v>
      </c>
      <c r="AO80" s="46">
        <f t="shared" si="2"/>
        <v>0</v>
      </c>
      <c r="AP80" s="7">
        <f t="shared" si="3"/>
        <v>0</v>
      </c>
    </row>
    <row r="81" spans="1:42" x14ac:dyDescent="0.3">
      <c r="A81" s="5">
        <v>80</v>
      </c>
      <c r="B81" s="107" t="s">
        <v>9</v>
      </c>
      <c r="C81" s="5"/>
      <c r="D81" s="6" t="s">
        <v>94</v>
      </c>
      <c r="E81" s="110" t="s">
        <v>32</v>
      </c>
      <c r="F81" s="6" t="s">
        <v>19</v>
      </c>
      <c r="G81" s="6" t="s">
        <v>976</v>
      </c>
      <c r="H81" s="6" t="s">
        <v>14</v>
      </c>
      <c r="I81" s="5">
        <v>2</v>
      </c>
      <c r="J81" s="67" t="s">
        <v>160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v>0</v>
      </c>
      <c r="AO81" s="46">
        <f t="shared" si="2"/>
        <v>0</v>
      </c>
      <c r="AP81" s="7">
        <f t="shared" si="3"/>
        <v>0</v>
      </c>
    </row>
    <row r="82" spans="1:42" x14ac:dyDescent="0.3">
      <c r="A82" s="5">
        <v>81</v>
      </c>
      <c r="B82" s="107" t="s">
        <v>49</v>
      </c>
      <c r="C82" s="5"/>
      <c r="D82" s="39" t="s">
        <v>1056</v>
      </c>
      <c r="E82" s="110" t="s">
        <v>128</v>
      </c>
      <c r="F82" s="6" t="s">
        <v>12</v>
      </c>
      <c r="G82" s="6" t="s">
        <v>1023</v>
      </c>
      <c r="H82" s="6" t="s">
        <v>80</v>
      </c>
      <c r="I82" s="92">
        <v>1</v>
      </c>
      <c r="J82" s="67" t="s">
        <v>160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46.198999999999998</v>
      </c>
      <c r="S82" s="46">
        <v>151</v>
      </c>
      <c r="T82" s="46">
        <v>0</v>
      </c>
      <c r="U82" s="46">
        <v>189.4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355.2</v>
      </c>
      <c r="AD82" s="46">
        <v>205.52500000000001</v>
      </c>
      <c r="AE82" s="46">
        <v>761.875</v>
      </c>
      <c r="AF82" s="46">
        <v>486.45</v>
      </c>
      <c r="AG82" s="46">
        <v>350.4</v>
      </c>
      <c r="AH82" s="46">
        <v>450.20000000000005</v>
      </c>
      <c r="AI82" s="46">
        <v>367.67500000000001</v>
      </c>
      <c r="AJ82" s="46">
        <v>472.92499999999995</v>
      </c>
      <c r="AK82" s="46">
        <v>419.22500000000002</v>
      </c>
      <c r="AL82" s="46">
        <v>515.04999999999995</v>
      </c>
      <c r="AM82" s="46">
        <v>362.52499999999998</v>
      </c>
      <c r="AN82" s="46">
        <v>254.72499999999999</v>
      </c>
      <c r="AO82" s="46">
        <f t="shared" si="2"/>
        <v>179.61246666666668</v>
      </c>
      <c r="AP82" s="7">
        <f t="shared" si="3"/>
        <v>179.61246666666668</v>
      </c>
    </row>
    <row r="83" spans="1:42" x14ac:dyDescent="0.3">
      <c r="A83" s="5">
        <v>82</v>
      </c>
      <c r="B83" s="107" t="s">
        <v>49</v>
      </c>
      <c r="C83" s="112" t="s">
        <v>640</v>
      </c>
      <c r="D83" s="112" t="s">
        <v>717</v>
      </c>
      <c r="E83" s="110" t="s">
        <v>128</v>
      </c>
      <c r="F83" s="6" t="s">
        <v>12</v>
      </c>
      <c r="G83" s="6" t="s">
        <v>976</v>
      </c>
      <c r="H83" s="6" t="s">
        <v>35</v>
      </c>
      <c r="I83" s="5">
        <v>5</v>
      </c>
      <c r="J83" s="12" t="s">
        <v>589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46">
        <v>0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>
        <v>0</v>
      </c>
      <c r="AK83" s="46">
        <v>0</v>
      </c>
      <c r="AL83" s="46">
        <v>0</v>
      </c>
      <c r="AM83" s="46">
        <v>0</v>
      </c>
      <c r="AN83" s="46">
        <v>0</v>
      </c>
      <c r="AO83" s="46">
        <f t="shared" si="2"/>
        <v>0</v>
      </c>
      <c r="AP83" s="7">
        <f t="shared" si="3"/>
        <v>0</v>
      </c>
    </row>
    <row r="84" spans="1:42" x14ac:dyDescent="0.3">
      <c r="A84" s="5">
        <v>83</v>
      </c>
      <c r="B84" s="107" t="s">
        <v>49</v>
      </c>
      <c r="C84" s="112" t="s">
        <v>641</v>
      </c>
      <c r="D84" s="112" t="s">
        <v>725</v>
      </c>
      <c r="E84" s="110" t="s">
        <v>128</v>
      </c>
      <c r="F84" s="6" t="s">
        <v>12</v>
      </c>
      <c r="G84" s="6" t="s">
        <v>976</v>
      </c>
      <c r="H84" s="6" t="s">
        <v>35</v>
      </c>
      <c r="I84" s="5">
        <v>10</v>
      </c>
      <c r="J84" s="12" t="s">
        <v>589</v>
      </c>
      <c r="K84" s="46">
        <v>26.632000000000005</v>
      </c>
      <c r="L84" s="46">
        <v>5.0949999999999998</v>
      </c>
      <c r="M84" s="46">
        <v>22.042999999999999</v>
      </c>
      <c r="N84" s="46">
        <v>31.266000000000002</v>
      </c>
      <c r="O84" s="46">
        <v>51.784000000000006</v>
      </c>
      <c r="P84" s="46">
        <v>17.083000000000002</v>
      </c>
      <c r="Q84" s="46">
        <v>31.957999999999998</v>
      </c>
      <c r="R84" s="46">
        <v>51.180999999999997</v>
      </c>
      <c r="S84" s="46">
        <v>41.345999999999997</v>
      </c>
      <c r="T84" s="46">
        <v>28.409000000000002</v>
      </c>
      <c r="U84" s="46">
        <v>35.663000000000004</v>
      </c>
      <c r="V84" s="46">
        <v>40.197000000000003</v>
      </c>
      <c r="W84" s="46">
        <v>23.492000000000001</v>
      </c>
      <c r="X84" s="46">
        <v>25.244</v>
      </c>
      <c r="Y84" s="46">
        <v>49.391000000000005</v>
      </c>
      <c r="Z84" s="46">
        <v>31.224999999999998</v>
      </c>
      <c r="AA84" s="46">
        <v>23.485000000000003</v>
      </c>
      <c r="AB84" s="46">
        <v>31.782000000000004</v>
      </c>
      <c r="AC84" s="46">
        <v>52.405999999999999</v>
      </c>
      <c r="AD84" s="46">
        <v>32.197000000000003</v>
      </c>
      <c r="AE84" s="46">
        <v>39.902999999999999</v>
      </c>
      <c r="AF84" s="46">
        <v>29.328999999999997</v>
      </c>
      <c r="AG84" s="46">
        <v>26.009999999999998</v>
      </c>
      <c r="AH84" s="46">
        <v>46.795999999999999</v>
      </c>
      <c r="AI84" s="46">
        <v>41.669999999999995</v>
      </c>
      <c r="AJ84" s="46">
        <v>43.277000000000001</v>
      </c>
      <c r="AK84" s="46">
        <v>28.684999999999999</v>
      </c>
      <c r="AL84" s="46">
        <v>43.192999999999998</v>
      </c>
      <c r="AM84" s="46">
        <v>36.348999999999997</v>
      </c>
      <c r="AN84" s="46">
        <v>22.805</v>
      </c>
      <c r="AO84" s="46">
        <f t="shared" si="2"/>
        <v>33.663199999999996</v>
      </c>
      <c r="AP84" s="7">
        <f t="shared" si="3"/>
        <v>3.3663199999999995</v>
      </c>
    </row>
    <row r="85" spans="1:42" x14ac:dyDescent="0.3">
      <c r="A85" s="5">
        <v>84</v>
      </c>
      <c r="B85" s="107" t="s">
        <v>52</v>
      </c>
      <c r="C85" s="112" t="s">
        <v>642</v>
      </c>
      <c r="D85" s="112" t="s">
        <v>970</v>
      </c>
      <c r="E85" s="110" t="s">
        <v>128</v>
      </c>
      <c r="F85" s="6" t="s">
        <v>12</v>
      </c>
      <c r="G85" s="6" t="s">
        <v>976</v>
      </c>
      <c r="H85" s="6" t="s">
        <v>35</v>
      </c>
      <c r="I85" s="5">
        <v>3</v>
      </c>
      <c r="J85" s="12" t="s">
        <v>589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46">
        <v>0</v>
      </c>
      <c r="AN85" s="46">
        <v>0</v>
      </c>
      <c r="AO85" s="46">
        <f t="shared" si="2"/>
        <v>0</v>
      </c>
      <c r="AP85" s="7">
        <f t="shared" si="3"/>
        <v>0</v>
      </c>
    </row>
    <row r="86" spans="1:42" x14ac:dyDescent="0.3">
      <c r="A86" s="5">
        <v>85</v>
      </c>
      <c r="B86" s="107" t="s">
        <v>52</v>
      </c>
      <c r="C86" s="112" t="s">
        <v>643</v>
      </c>
      <c r="D86" s="112" t="s">
        <v>749</v>
      </c>
      <c r="E86" s="110" t="s">
        <v>128</v>
      </c>
      <c r="F86" s="6" t="s">
        <v>12</v>
      </c>
      <c r="G86" s="6" t="s">
        <v>976</v>
      </c>
      <c r="H86" s="6" t="s">
        <v>35</v>
      </c>
      <c r="I86" s="5">
        <v>7</v>
      </c>
      <c r="J86" s="12" t="s">
        <v>273</v>
      </c>
      <c r="K86" s="46">
        <v>4.8019999999999987</v>
      </c>
      <c r="L86" s="46">
        <v>38.405000000000008</v>
      </c>
      <c r="M86" s="46">
        <v>8.4400000000000013</v>
      </c>
      <c r="N86" s="46">
        <v>27.838999999999999</v>
      </c>
      <c r="O86" s="46">
        <v>14.214</v>
      </c>
      <c r="P86" s="46">
        <v>14.909000000000001</v>
      </c>
      <c r="Q86" s="46">
        <v>23.709</v>
      </c>
      <c r="R86" s="46">
        <v>19.315999999999999</v>
      </c>
      <c r="S86" s="46">
        <v>15.827</v>
      </c>
      <c r="T86" s="46">
        <v>24.352</v>
      </c>
      <c r="U86" s="46">
        <v>22.810000000000006</v>
      </c>
      <c r="V86" s="46">
        <v>22.535</v>
      </c>
      <c r="W86" s="46">
        <v>17.603999999999999</v>
      </c>
      <c r="X86" s="46">
        <v>14.312999999999999</v>
      </c>
      <c r="Y86" s="46">
        <v>26.423999999999999</v>
      </c>
      <c r="Z86" s="46">
        <v>22.400999999999996</v>
      </c>
      <c r="AA86" s="46">
        <v>25.200000000000003</v>
      </c>
      <c r="AB86" s="46">
        <v>17.712</v>
      </c>
      <c r="AC86" s="46">
        <v>24.402999999999999</v>
      </c>
      <c r="AD86" s="46">
        <v>48.378</v>
      </c>
      <c r="AE86" s="46">
        <v>90.052999999999969</v>
      </c>
      <c r="AF86" s="46">
        <v>53.277000000000015</v>
      </c>
      <c r="AG86" s="46">
        <v>75.896000000000001</v>
      </c>
      <c r="AH86" s="46">
        <v>71.725999999999985</v>
      </c>
      <c r="AI86" s="46">
        <v>67.443999999999988</v>
      </c>
      <c r="AJ86" s="46">
        <v>80.047000000000011</v>
      </c>
      <c r="AK86" s="46">
        <v>56.856000000000009</v>
      </c>
      <c r="AL86" s="46">
        <v>66.600999999999999</v>
      </c>
      <c r="AM86" s="46">
        <v>91.586999999999989</v>
      </c>
      <c r="AN86" s="46">
        <v>80.25800000000001</v>
      </c>
      <c r="AO86" s="46">
        <f t="shared" si="2"/>
        <v>38.911266666666663</v>
      </c>
      <c r="AP86" s="7">
        <f t="shared" si="3"/>
        <v>5.55875238095238</v>
      </c>
    </row>
    <row r="87" spans="1:42" x14ac:dyDescent="0.3">
      <c r="A87" s="5">
        <v>86</v>
      </c>
      <c r="B87" s="107" t="s">
        <v>52</v>
      </c>
      <c r="C87" s="112"/>
      <c r="D87" s="10" t="s">
        <v>1078</v>
      </c>
      <c r="E87" s="110" t="s">
        <v>128</v>
      </c>
      <c r="F87" s="6" t="s">
        <v>12</v>
      </c>
      <c r="G87" s="6" t="s">
        <v>976</v>
      </c>
      <c r="H87" s="6" t="s">
        <v>35</v>
      </c>
      <c r="I87" s="5">
        <v>3</v>
      </c>
      <c r="J87" s="12" t="s">
        <v>590</v>
      </c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>
        <v>0</v>
      </c>
      <c r="AO87" s="46">
        <f t="shared" si="2"/>
        <v>0</v>
      </c>
      <c r="AP87" s="7">
        <f t="shared" si="3"/>
        <v>0</v>
      </c>
    </row>
    <row r="88" spans="1:42" x14ac:dyDescent="0.3">
      <c r="A88" s="5">
        <v>87</v>
      </c>
      <c r="B88" s="107" t="s">
        <v>52</v>
      </c>
      <c r="C88" s="112"/>
      <c r="D88" s="10" t="s">
        <v>1078</v>
      </c>
      <c r="E88" s="110" t="s">
        <v>128</v>
      </c>
      <c r="F88" s="6" t="s">
        <v>12</v>
      </c>
      <c r="G88" s="6" t="s">
        <v>135</v>
      </c>
      <c r="H88" s="6" t="s">
        <v>35</v>
      </c>
      <c r="I88" s="5">
        <v>1</v>
      </c>
      <c r="J88" s="12" t="s">
        <v>590</v>
      </c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>
        <v>0</v>
      </c>
      <c r="AO88" s="46">
        <f t="shared" si="2"/>
        <v>0</v>
      </c>
      <c r="AP88" s="7">
        <f t="shared" si="3"/>
        <v>0</v>
      </c>
    </row>
    <row r="89" spans="1:42" ht="16.5" customHeight="1" x14ac:dyDescent="0.3">
      <c r="A89" s="5">
        <v>88</v>
      </c>
      <c r="B89" s="107" t="s">
        <v>134</v>
      </c>
      <c r="C89" s="112" t="s">
        <v>644</v>
      </c>
      <c r="D89" s="112" t="s">
        <v>754</v>
      </c>
      <c r="E89" s="110" t="s">
        <v>128</v>
      </c>
      <c r="F89" s="6" t="s">
        <v>12</v>
      </c>
      <c r="G89" s="6" t="s">
        <v>976</v>
      </c>
      <c r="H89" s="6" t="s">
        <v>35</v>
      </c>
      <c r="I89" s="5">
        <v>7</v>
      </c>
      <c r="J89" s="12" t="s">
        <v>273</v>
      </c>
      <c r="K89" s="46">
        <v>29.097000000000001</v>
      </c>
      <c r="L89" s="46">
        <v>61.619000000000007</v>
      </c>
      <c r="M89" s="46">
        <v>54.099999999999994</v>
      </c>
      <c r="N89" s="46">
        <v>30.980000000000004</v>
      </c>
      <c r="O89" s="46">
        <v>31.792000000000002</v>
      </c>
      <c r="P89" s="46">
        <v>56.954999999999998</v>
      </c>
      <c r="Q89" s="46">
        <v>43.356999999999992</v>
      </c>
      <c r="R89" s="46">
        <v>43.947999999999993</v>
      </c>
      <c r="S89" s="46">
        <v>33.384999999999998</v>
      </c>
      <c r="T89" s="46">
        <v>52.268000000000001</v>
      </c>
      <c r="U89" s="46">
        <v>43.29</v>
      </c>
      <c r="V89" s="46">
        <v>31.498000000000001</v>
      </c>
      <c r="W89" s="46">
        <v>51.766999999999996</v>
      </c>
      <c r="X89" s="46">
        <v>37.809000000000005</v>
      </c>
      <c r="Y89" s="46">
        <v>19.830000000000002</v>
      </c>
      <c r="Z89" s="46">
        <v>53.128000000000007</v>
      </c>
      <c r="AA89" s="46">
        <v>56.017999999999994</v>
      </c>
      <c r="AB89" s="46">
        <v>48.86999999999999</v>
      </c>
      <c r="AC89" s="46">
        <v>37.043999999999997</v>
      </c>
      <c r="AD89" s="46">
        <v>47.812999999999995</v>
      </c>
      <c r="AE89" s="46">
        <v>39.804000000000002</v>
      </c>
      <c r="AF89" s="46">
        <v>51.006</v>
      </c>
      <c r="AG89" s="46">
        <v>31.625</v>
      </c>
      <c r="AH89" s="46">
        <v>41.832999999999998</v>
      </c>
      <c r="AI89" s="46">
        <v>32.141000000000005</v>
      </c>
      <c r="AJ89" s="46">
        <v>41.772999999999996</v>
      </c>
      <c r="AK89" s="46">
        <v>46.682999999999993</v>
      </c>
      <c r="AL89" s="46">
        <v>39.629000000000005</v>
      </c>
      <c r="AM89" s="46">
        <v>45.692999999999998</v>
      </c>
      <c r="AN89" s="46">
        <v>39.573999999999998</v>
      </c>
      <c r="AO89" s="46">
        <f t="shared" si="2"/>
        <v>42.47763333333333</v>
      </c>
      <c r="AP89" s="7">
        <f t="shared" si="3"/>
        <v>6.0682333333333327</v>
      </c>
    </row>
    <row r="90" spans="1:42" x14ac:dyDescent="0.3">
      <c r="A90" s="5">
        <v>89</v>
      </c>
      <c r="B90" s="107" t="s">
        <v>58</v>
      </c>
      <c r="C90" s="112"/>
      <c r="D90" s="39" t="s">
        <v>1037</v>
      </c>
      <c r="E90" s="110" t="s">
        <v>128</v>
      </c>
      <c r="F90" s="6" t="s">
        <v>12</v>
      </c>
      <c r="G90" s="6" t="s">
        <v>13</v>
      </c>
      <c r="H90" s="6" t="s">
        <v>35</v>
      </c>
      <c r="I90" s="5">
        <v>1</v>
      </c>
      <c r="J90" s="94" t="s">
        <v>590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v>0</v>
      </c>
      <c r="AN90" s="46">
        <v>0</v>
      </c>
      <c r="AO90" s="46">
        <f t="shared" si="2"/>
        <v>0</v>
      </c>
      <c r="AP90" s="7">
        <f t="shared" si="3"/>
        <v>0</v>
      </c>
    </row>
    <row r="91" spans="1:42" x14ac:dyDescent="0.3">
      <c r="A91" s="5">
        <v>90</v>
      </c>
      <c r="B91" s="107" t="s">
        <v>58</v>
      </c>
      <c r="C91" s="112"/>
      <c r="D91" s="39" t="s">
        <v>1037</v>
      </c>
      <c r="E91" s="6" t="s">
        <v>128</v>
      </c>
      <c r="F91" s="6" t="s">
        <v>12</v>
      </c>
      <c r="G91" s="6" t="s">
        <v>1038</v>
      </c>
      <c r="H91" s="6" t="s">
        <v>35</v>
      </c>
      <c r="I91" s="92">
        <v>1</v>
      </c>
      <c r="J91" s="94" t="s">
        <v>590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0</v>
      </c>
      <c r="AL91" s="46">
        <v>0</v>
      </c>
      <c r="AM91" s="46">
        <v>0</v>
      </c>
      <c r="AN91" s="46">
        <v>0</v>
      </c>
      <c r="AO91" s="46">
        <f t="shared" si="2"/>
        <v>0</v>
      </c>
      <c r="AP91" s="7">
        <f t="shared" si="3"/>
        <v>0</v>
      </c>
    </row>
    <row r="92" spans="1:42" x14ac:dyDescent="0.3">
      <c r="A92" s="5">
        <v>91</v>
      </c>
      <c r="B92" s="107" t="s">
        <v>58</v>
      </c>
      <c r="C92" s="112"/>
      <c r="D92" s="39" t="s">
        <v>1037</v>
      </c>
      <c r="E92" s="6" t="s">
        <v>128</v>
      </c>
      <c r="F92" s="6" t="s">
        <v>12</v>
      </c>
      <c r="G92" s="6" t="s">
        <v>41</v>
      </c>
      <c r="H92" s="6" t="s">
        <v>35</v>
      </c>
      <c r="I92" s="92">
        <v>1</v>
      </c>
      <c r="J92" s="94" t="s">
        <v>590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0</v>
      </c>
      <c r="AL92" s="46">
        <v>0</v>
      </c>
      <c r="AM92" s="46">
        <v>0</v>
      </c>
      <c r="AN92" s="46">
        <v>0</v>
      </c>
      <c r="AO92" s="46">
        <f t="shared" si="2"/>
        <v>0</v>
      </c>
      <c r="AP92" s="7">
        <f t="shared" si="3"/>
        <v>0</v>
      </c>
    </row>
    <row r="93" spans="1:42" x14ac:dyDescent="0.3">
      <c r="A93" s="5">
        <v>92</v>
      </c>
      <c r="B93" s="108" t="s">
        <v>246</v>
      </c>
      <c r="C93" s="112" t="s">
        <v>645</v>
      </c>
      <c r="D93" s="112" t="s">
        <v>765</v>
      </c>
      <c r="E93" s="6" t="s">
        <v>128</v>
      </c>
      <c r="F93" s="6" t="s">
        <v>12</v>
      </c>
      <c r="G93" s="6" t="s">
        <v>976</v>
      </c>
      <c r="H93" s="6" t="s">
        <v>35</v>
      </c>
      <c r="I93" s="92">
        <v>5</v>
      </c>
      <c r="J93" s="12" t="s">
        <v>273</v>
      </c>
      <c r="K93" s="46">
        <v>18.637999999999998</v>
      </c>
      <c r="L93" s="46">
        <v>21.225999999999999</v>
      </c>
      <c r="M93" s="46">
        <v>35.638999999999996</v>
      </c>
      <c r="N93" s="46">
        <v>5.3800000000000008</v>
      </c>
      <c r="O93" s="46">
        <v>53.031000000000006</v>
      </c>
      <c r="P93" s="46">
        <v>24.628</v>
      </c>
      <c r="Q93" s="46">
        <v>19.224</v>
      </c>
      <c r="R93" s="46">
        <v>19.738999999999997</v>
      </c>
      <c r="S93" s="46">
        <v>18.765000000000001</v>
      </c>
      <c r="T93" s="46">
        <v>41.887999999999998</v>
      </c>
      <c r="U93" s="46">
        <v>23.12</v>
      </c>
      <c r="V93" s="46">
        <v>13.725</v>
      </c>
      <c r="W93" s="46">
        <v>21.520000000000003</v>
      </c>
      <c r="X93" s="46">
        <v>47.936999999999998</v>
      </c>
      <c r="Y93" s="46">
        <v>28.282000000000004</v>
      </c>
      <c r="Z93" s="46">
        <v>20.712</v>
      </c>
      <c r="AA93" s="46">
        <v>28.696000000000002</v>
      </c>
      <c r="AB93" s="46">
        <v>22.875999999999998</v>
      </c>
      <c r="AC93" s="46">
        <v>35.242000000000004</v>
      </c>
      <c r="AD93" s="46">
        <v>8.8470000000000013</v>
      </c>
      <c r="AE93" s="46">
        <v>31.994</v>
      </c>
      <c r="AF93" s="46">
        <v>17.032</v>
      </c>
      <c r="AG93" s="46">
        <v>26.137</v>
      </c>
      <c r="AH93" s="46">
        <v>20.779</v>
      </c>
      <c r="AI93" s="46">
        <v>28.713000000000001</v>
      </c>
      <c r="AJ93" s="46">
        <v>26.898000000000003</v>
      </c>
      <c r="AK93" s="46">
        <v>17.349</v>
      </c>
      <c r="AL93" s="46">
        <v>39.757999999999996</v>
      </c>
      <c r="AM93" s="46">
        <v>10.683</v>
      </c>
      <c r="AN93" s="46">
        <v>23.844999999999999</v>
      </c>
      <c r="AO93" s="46">
        <f t="shared" si="2"/>
        <v>25.076766666666671</v>
      </c>
      <c r="AP93" s="7">
        <f t="shared" si="3"/>
        <v>5.0153533333333344</v>
      </c>
    </row>
    <row r="94" spans="1:42" ht="17.25" customHeight="1" x14ac:dyDescent="0.3">
      <c r="A94" s="5">
        <v>93</v>
      </c>
      <c r="B94" s="107" t="s">
        <v>58</v>
      </c>
      <c r="C94" s="112" t="s">
        <v>646</v>
      </c>
      <c r="D94" s="112" t="s">
        <v>724</v>
      </c>
      <c r="E94" s="110" t="s">
        <v>61</v>
      </c>
      <c r="F94" s="6" t="s">
        <v>12</v>
      </c>
      <c r="G94" s="6" t="s">
        <v>976</v>
      </c>
      <c r="H94" s="6" t="s">
        <v>35</v>
      </c>
      <c r="I94" s="5">
        <v>4</v>
      </c>
      <c r="J94" s="12" t="s">
        <v>589</v>
      </c>
      <c r="K94" s="46">
        <v>7.7040000000000006</v>
      </c>
      <c r="L94" s="46">
        <v>11.86</v>
      </c>
      <c r="M94" s="46">
        <v>12.452999999999999</v>
      </c>
      <c r="N94" s="46">
        <v>10.72</v>
      </c>
      <c r="O94" s="46">
        <v>10.074999999999999</v>
      </c>
      <c r="P94" s="46">
        <v>11.228999999999999</v>
      </c>
      <c r="Q94" s="46">
        <v>13.294</v>
      </c>
      <c r="R94" s="46">
        <v>11.898</v>
      </c>
      <c r="S94" s="46">
        <v>17.128</v>
      </c>
      <c r="T94" s="46">
        <v>22.638000000000002</v>
      </c>
      <c r="U94" s="46">
        <v>11.648</v>
      </c>
      <c r="V94" s="46">
        <v>12.283999999999999</v>
      </c>
      <c r="W94" s="46">
        <v>13.170999999999999</v>
      </c>
      <c r="X94" s="46">
        <v>19.143999999999998</v>
      </c>
      <c r="Y94" s="46">
        <v>9.722999999999999</v>
      </c>
      <c r="Z94" s="46">
        <v>10.039000000000001</v>
      </c>
      <c r="AA94" s="46">
        <v>8.3170000000000002</v>
      </c>
      <c r="AB94" s="46">
        <v>11.321000000000002</v>
      </c>
      <c r="AC94" s="46">
        <v>4.2830000000000004</v>
      </c>
      <c r="AD94" s="46">
        <v>0</v>
      </c>
      <c r="AE94" s="46">
        <v>14.536</v>
      </c>
      <c r="AF94" s="46">
        <v>4.569</v>
      </c>
      <c r="AG94" s="46">
        <v>13.666</v>
      </c>
      <c r="AH94" s="46">
        <v>10.269</v>
      </c>
      <c r="AI94" s="46">
        <v>11.436</v>
      </c>
      <c r="AJ94" s="46">
        <v>13.858999999999998</v>
      </c>
      <c r="AK94" s="46">
        <v>16.57</v>
      </c>
      <c r="AL94" s="46">
        <v>12.670000000000002</v>
      </c>
      <c r="AM94" s="46">
        <v>5.7240000000000002</v>
      </c>
      <c r="AN94" s="46">
        <v>7.6280000000000001</v>
      </c>
      <c r="AO94" s="46">
        <f t="shared" si="2"/>
        <v>11.328533333333331</v>
      </c>
      <c r="AP94" s="7">
        <f t="shared" si="3"/>
        <v>2.8321333333333327</v>
      </c>
    </row>
    <row r="95" spans="1:42" x14ac:dyDescent="0.3">
      <c r="A95" s="5">
        <v>94</v>
      </c>
      <c r="B95" s="107" t="s">
        <v>58</v>
      </c>
      <c r="C95" s="112" t="s">
        <v>647</v>
      </c>
      <c r="D95" s="112" t="s">
        <v>727</v>
      </c>
      <c r="E95" s="110" t="s">
        <v>61</v>
      </c>
      <c r="F95" s="6" t="s">
        <v>12</v>
      </c>
      <c r="G95" s="6" t="s">
        <v>976</v>
      </c>
      <c r="H95" s="6" t="s">
        <v>35</v>
      </c>
      <c r="I95" s="5">
        <v>9</v>
      </c>
      <c r="J95" s="12" t="s">
        <v>589</v>
      </c>
      <c r="K95" s="46">
        <v>13.707000000000001</v>
      </c>
      <c r="L95" s="46">
        <v>35.619</v>
      </c>
      <c r="M95" s="46">
        <v>47.527999999999992</v>
      </c>
      <c r="N95" s="46">
        <v>72.136999999999986</v>
      </c>
      <c r="O95" s="46">
        <v>38.225000000000001</v>
      </c>
      <c r="P95" s="46">
        <v>53.649000000000001</v>
      </c>
      <c r="Q95" s="46">
        <v>52.496000000000002</v>
      </c>
      <c r="R95" s="46">
        <v>46.296999999999997</v>
      </c>
      <c r="S95" s="46">
        <v>37.225000000000001</v>
      </c>
      <c r="T95" s="46">
        <v>41.542999999999992</v>
      </c>
      <c r="U95" s="46">
        <v>42.939000000000007</v>
      </c>
      <c r="V95" s="46">
        <v>33.891999999999996</v>
      </c>
      <c r="W95" s="46">
        <v>8.7620000000000005</v>
      </c>
      <c r="X95" s="46">
        <v>38.436</v>
      </c>
      <c r="Y95" s="46">
        <v>14.853</v>
      </c>
      <c r="Z95" s="46">
        <v>29.93</v>
      </c>
      <c r="AA95" s="46">
        <v>48.057999999999993</v>
      </c>
      <c r="AB95" s="46">
        <v>26.385000000000009</v>
      </c>
      <c r="AC95" s="46">
        <v>32.305</v>
      </c>
      <c r="AD95" s="46">
        <v>33.011000000000003</v>
      </c>
      <c r="AE95" s="46">
        <v>37.618999999999993</v>
      </c>
      <c r="AF95" s="46">
        <v>21.289000000000001</v>
      </c>
      <c r="AG95" s="46">
        <v>32.049999999999997</v>
      </c>
      <c r="AH95" s="46">
        <v>32.641000000000005</v>
      </c>
      <c r="AI95" s="46">
        <v>16.540999999999997</v>
      </c>
      <c r="AJ95" s="46">
        <v>25.031000000000002</v>
      </c>
      <c r="AK95" s="46">
        <v>6.9879999999999995</v>
      </c>
      <c r="AL95" s="46">
        <v>25.635000000000002</v>
      </c>
      <c r="AM95" s="46">
        <v>19.064</v>
      </c>
      <c r="AN95" s="46">
        <v>44.169000000000011</v>
      </c>
      <c r="AO95" s="46">
        <f t="shared" si="2"/>
        <v>33.600799999999985</v>
      </c>
      <c r="AP95" s="7">
        <f t="shared" si="3"/>
        <v>3.7334222222222206</v>
      </c>
    </row>
    <row r="96" spans="1:42" x14ac:dyDescent="0.3">
      <c r="A96" s="5">
        <v>95</v>
      </c>
      <c r="B96" s="107" t="s">
        <v>58</v>
      </c>
      <c r="C96" s="112" t="s">
        <v>648</v>
      </c>
      <c r="D96" s="113" t="s">
        <v>763</v>
      </c>
      <c r="E96" s="110" t="s">
        <v>63</v>
      </c>
      <c r="F96" s="6" t="s">
        <v>19</v>
      </c>
      <c r="G96" s="6" t="s">
        <v>976</v>
      </c>
      <c r="H96" s="12" t="s">
        <v>35</v>
      </c>
      <c r="I96" s="5">
        <v>8</v>
      </c>
      <c r="J96" s="94" t="s">
        <v>273</v>
      </c>
      <c r="K96" s="46">
        <v>76.483000000000018</v>
      </c>
      <c r="L96" s="46">
        <v>111.28599999999999</v>
      </c>
      <c r="M96" s="46">
        <v>128.53899999999999</v>
      </c>
      <c r="N96" s="46">
        <v>109.91000000000001</v>
      </c>
      <c r="O96" s="46">
        <v>74.986000000000004</v>
      </c>
      <c r="P96" s="46">
        <v>106.49400000000003</v>
      </c>
      <c r="Q96" s="46">
        <v>80.936999999999983</v>
      </c>
      <c r="R96" s="46">
        <v>97.051999999999978</v>
      </c>
      <c r="S96" s="46">
        <v>105.39499999999998</v>
      </c>
      <c r="T96" s="46">
        <v>108.94000000000001</v>
      </c>
      <c r="U96" s="46">
        <v>98.47</v>
      </c>
      <c r="V96" s="46">
        <v>82.027000000000001</v>
      </c>
      <c r="W96" s="46">
        <v>105.67</v>
      </c>
      <c r="X96" s="46">
        <v>78.343000000000004</v>
      </c>
      <c r="Y96" s="46">
        <v>97.325000000000003</v>
      </c>
      <c r="Z96" s="46">
        <v>91.859000000000009</v>
      </c>
      <c r="AA96" s="46">
        <v>81.911000000000016</v>
      </c>
      <c r="AB96" s="46">
        <v>74.421000000000006</v>
      </c>
      <c r="AC96" s="46">
        <v>75.611999999999995</v>
      </c>
      <c r="AD96" s="46">
        <v>43.303000000000004</v>
      </c>
      <c r="AE96" s="46">
        <v>88.92</v>
      </c>
      <c r="AF96" s="46">
        <v>84.040999999999997</v>
      </c>
      <c r="AG96" s="46">
        <v>103.98500000000001</v>
      </c>
      <c r="AH96" s="46">
        <v>111.52799999999999</v>
      </c>
      <c r="AI96" s="46">
        <v>80.858999999999995</v>
      </c>
      <c r="AJ96" s="46">
        <v>103.45400000000002</v>
      </c>
      <c r="AK96" s="46">
        <v>85.725999999999985</v>
      </c>
      <c r="AL96" s="46">
        <v>79.369000000000014</v>
      </c>
      <c r="AM96" s="46">
        <v>107.15399999999998</v>
      </c>
      <c r="AN96" s="46">
        <v>106.84899999999999</v>
      </c>
      <c r="AO96" s="46">
        <f t="shared" si="2"/>
        <v>92.694933333333367</v>
      </c>
      <c r="AP96" s="7">
        <f t="shared" si="3"/>
        <v>11.586866666666671</v>
      </c>
    </row>
    <row r="97" spans="1:42" ht="15" customHeight="1" x14ac:dyDescent="0.3">
      <c r="A97" s="5">
        <v>96</v>
      </c>
      <c r="B97" s="107" t="s">
        <v>58</v>
      </c>
      <c r="C97" s="10" t="s">
        <v>648</v>
      </c>
      <c r="D97" s="39" t="s">
        <v>763</v>
      </c>
      <c r="E97" s="110" t="s">
        <v>63</v>
      </c>
      <c r="F97" s="6" t="s">
        <v>19</v>
      </c>
      <c r="G97" s="6" t="s">
        <v>978</v>
      </c>
      <c r="H97" s="6" t="s">
        <v>80</v>
      </c>
      <c r="I97" s="5">
        <v>1</v>
      </c>
      <c r="J97" s="94" t="s">
        <v>273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0</v>
      </c>
      <c r="AL97" s="46">
        <v>0</v>
      </c>
      <c r="AM97" s="46">
        <v>0</v>
      </c>
      <c r="AN97" s="46">
        <v>0</v>
      </c>
      <c r="AO97" s="46">
        <f t="shared" si="2"/>
        <v>0</v>
      </c>
      <c r="AP97" s="7">
        <f t="shared" si="3"/>
        <v>0</v>
      </c>
    </row>
    <row r="98" spans="1:42" x14ac:dyDescent="0.3">
      <c r="A98" s="5">
        <v>97</v>
      </c>
      <c r="B98" s="107" t="s">
        <v>58</v>
      </c>
      <c r="C98" s="112" t="s">
        <v>649</v>
      </c>
      <c r="D98" s="112" t="s">
        <v>767</v>
      </c>
      <c r="E98" s="110" t="s">
        <v>128</v>
      </c>
      <c r="F98" s="6" t="s">
        <v>12</v>
      </c>
      <c r="G98" s="6" t="s">
        <v>976</v>
      </c>
      <c r="H98" s="12" t="s">
        <v>35</v>
      </c>
      <c r="I98" s="5">
        <v>7</v>
      </c>
      <c r="J98" s="94" t="s">
        <v>273</v>
      </c>
      <c r="K98" s="46">
        <v>100.012</v>
      </c>
      <c r="L98" s="46">
        <v>54.214999999999996</v>
      </c>
      <c r="M98" s="46">
        <v>120.01199999999996</v>
      </c>
      <c r="N98" s="46">
        <v>90.113</v>
      </c>
      <c r="O98" s="46">
        <v>63.14</v>
      </c>
      <c r="P98" s="46">
        <v>175.08999999999997</v>
      </c>
      <c r="Q98" s="46">
        <v>90.552999999999997</v>
      </c>
      <c r="R98" s="46">
        <v>159.62899999999999</v>
      </c>
      <c r="S98" s="46">
        <v>120.34000000000003</v>
      </c>
      <c r="T98" s="46">
        <v>133.434</v>
      </c>
      <c r="U98" s="46">
        <v>139.18500000000003</v>
      </c>
      <c r="V98" s="46">
        <v>102.24500000000003</v>
      </c>
      <c r="W98" s="46">
        <v>116.95699999999998</v>
      </c>
      <c r="X98" s="46">
        <v>125.25699999999998</v>
      </c>
      <c r="Y98" s="46">
        <v>107.03699999999999</v>
      </c>
      <c r="Z98" s="46">
        <v>66.037000000000006</v>
      </c>
      <c r="AA98" s="46">
        <v>129.27799999999999</v>
      </c>
      <c r="AB98" s="46">
        <v>92.834999999999994</v>
      </c>
      <c r="AC98" s="46">
        <v>108.94800000000001</v>
      </c>
      <c r="AD98" s="46">
        <v>109.67700000000001</v>
      </c>
      <c r="AE98" s="46">
        <v>111.529</v>
      </c>
      <c r="AF98" s="46">
        <v>90.57</v>
      </c>
      <c r="AG98" s="46">
        <v>111.51600000000001</v>
      </c>
      <c r="AH98" s="46">
        <v>85.390999999999991</v>
      </c>
      <c r="AI98" s="46">
        <v>87.716000000000008</v>
      </c>
      <c r="AJ98" s="46">
        <v>91.99</v>
      </c>
      <c r="AK98" s="46">
        <v>102.26299999999999</v>
      </c>
      <c r="AL98" s="46">
        <v>97.131</v>
      </c>
      <c r="AM98" s="46">
        <v>86.305999999999997</v>
      </c>
      <c r="AN98" s="46">
        <v>104.985</v>
      </c>
      <c r="AO98" s="46">
        <f t="shared" si="2"/>
        <v>105.77970000000001</v>
      </c>
      <c r="AP98" s="7">
        <f t="shared" si="3"/>
        <v>15.111385714285715</v>
      </c>
    </row>
    <row r="99" spans="1:42" x14ac:dyDescent="0.3">
      <c r="A99" s="5">
        <v>98</v>
      </c>
      <c r="B99" s="107" t="s">
        <v>58</v>
      </c>
      <c r="C99" s="112" t="s">
        <v>650</v>
      </c>
      <c r="D99" s="112" t="s">
        <v>758</v>
      </c>
      <c r="E99" s="110" t="s">
        <v>128</v>
      </c>
      <c r="F99" s="6" t="s">
        <v>12</v>
      </c>
      <c r="G99" s="6" t="s">
        <v>976</v>
      </c>
      <c r="H99" s="12" t="s">
        <v>35</v>
      </c>
      <c r="I99" s="5">
        <v>10</v>
      </c>
      <c r="J99" s="94" t="s">
        <v>273</v>
      </c>
      <c r="K99" s="46">
        <v>75.994999999999976</v>
      </c>
      <c r="L99" s="46">
        <v>107.61100000000003</v>
      </c>
      <c r="M99" s="46">
        <v>120.77699999999999</v>
      </c>
      <c r="N99" s="46">
        <v>154.756</v>
      </c>
      <c r="O99" s="46">
        <v>136.25700000000003</v>
      </c>
      <c r="P99" s="46">
        <v>119.84399999999999</v>
      </c>
      <c r="Q99" s="46">
        <v>136.63199999999998</v>
      </c>
      <c r="R99" s="46">
        <v>97.981999999999999</v>
      </c>
      <c r="S99" s="46">
        <v>121.068</v>
      </c>
      <c r="T99" s="46">
        <v>115.14299999999999</v>
      </c>
      <c r="U99" s="46">
        <v>91.075000000000003</v>
      </c>
      <c r="V99" s="46">
        <v>123.29900000000005</v>
      </c>
      <c r="W99" s="46">
        <v>97.129000000000005</v>
      </c>
      <c r="X99" s="46">
        <v>84.746000000000009</v>
      </c>
      <c r="Y99" s="46">
        <v>123.97600000000001</v>
      </c>
      <c r="Z99" s="46">
        <v>77.769000000000005</v>
      </c>
      <c r="AA99" s="46">
        <v>126.85600000000002</v>
      </c>
      <c r="AB99" s="46">
        <v>82.251000000000005</v>
      </c>
      <c r="AC99" s="46">
        <v>82.869</v>
      </c>
      <c r="AD99" s="46">
        <v>82.761999999999972</v>
      </c>
      <c r="AE99" s="46">
        <v>76.709000000000003</v>
      </c>
      <c r="AF99" s="46">
        <v>97.850000000000009</v>
      </c>
      <c r="AG99" s="46">
        <v>81.978999999999999</v>
      </c>
      <c r="AH99" s="46">
        <v>112.06500000000003</v>
      </c>
      <c r="AI99" s="46">
        <v>81.076000000000008</v>
      </c>
      <c r="AJ99" s="46">
        <v>94.004999999999995</v>
      </c>
      <c r="AK99" s="46">
        <v>70.85499999999999</v>
      </c>
      <c r="AL99" s="46">
        <v>101.777</v>
      </c>
      <c r="AM99" s="46">
        <v>90.905999999999992</v>
      </c>
      <c r="AN99" s="46">
        <v>84.512000000000015</v>
      </c>
      <c r="AO99" s="46">
        <f t="shared" si="2"/>
        <v>101.68436666666668</v>
      </c>
      <c r="AP99" s="7">
        <f t="shared" si="3"/>
        <v>10.168436666666668</v>
      </c>
    </row>
    <row r="100" spans="1:42" x14ac:dyDescent="0.3">
      <c r="A100" s="5">
        <v>99</v>
      </c>
      <c r="B100" s="107" t="s">
        <v>58</v>
      </c>
      <c r="C100" s="112" t="s">
        <v>651</v>
      </c>
      <c r="D100" s="112" t="s">
        <v>756</v>
      </c>
      <c r="E100" s="110" t="s">
        <v>128</v>
      </c>
      <c r="F100" s="6" t="s">
        <v>12</v>
      </c>
      <c r="G100" s="6" t="s">
        <v>976</v>
      </c>
      <c r="H100" s="12" t="s">
        <v>35</v>
      </c>
      <c r="I100" s="5">
        <v>8</v>
      </c>
      <c r="J100" s="94" t="s">
        <v>273</v>
      </c>
      <c r="K100" s="46">
        <v>35.606000000000002</v>
      </c>
      <c r="L100" s="46">
        <v>33.299999999999997</v>
      </c>
      <c r="M100" s="46">
        <v>26.725000000000012</v>
      </c>
      <c r="N100" s="46">
        <v>41.063000000000002</v>
      </c>
      <c r="O100" s="46">
        <v>41.172999999999995</v>
      </c>
      <c r="P100" s="46">
        <v>19.789000000000001</v>
      </c>
      <c r="Q100" s="46">
        <v>50.867999999999995</v>
      </c>
      <c r="R100" s="46">
        <v>37.660999999999994</v>
      </c>
      <c r="S100" s="46">
        <v>27.631000000000004</v>
      </c>
      <c r="T100" s="46">
        <v>62.372999999999998</v>
      </c>
      <c r="U100" s="46">
        <v>31.622</v>
      </c>
      <c r="V100" s="46">
        <v>25.463999999999999</v>
      </c>
      <c r="W100" s="46">
        <v>51.387</v>
      </c>
      <c r="X100" s="46">
        <v>26.437000000000001</v>
      </c>
      <c r="Y100" s="46">
        <v>25.800999999999998</v>
      </c>
      <c r="Z100" s="46">
        <v>18.516999999999999</v>
      </c>
      <c r="AA100" s="46">
        <v>37.570999999999998</v>
      </c>
      <c r="AB100" s="46">
        <v>37.183</v>
      </c>
      <c r="AC100" s="46">
        <v>14.229000000000003</v>
      </c>
      <c r="AD100" s="46">
        <v>18.106000000000002</v>
      </c>
      <c r="AE100" s="46">
        <v>27.457999999999998</v>
      </c>
      <c r="AF100" s="46">
        <v>24.402000000000001</v>
      </c>
      <c r="AG100" s="46">
        <v>17.972999999999999</v>
      </c>
      <c r="AH100" s="46">
        <v>29.774999999999995</v>
      </c>
      <c r="AI100" s="46">
        <v>24.117000000000001</v>
      </c>
      <c r="AJ100" s="46">
        <v>11.738</v>
      </c>
      <c r="AK100" s="46">
        <v>30.558</v>
      </c>
      <c r="AL100" s="46">
        <v>7.109</v>
      </c>
      <c r="AM100" s="46">
        <v>36.548999999999992</v>
      </c>
      <c r="AN100" s="46">
        <v>13.1</v>
      </c>
      <c r="AO100" s="46">
        <f t="shared" si="2"/>
        <v>29.509500000000003</v>
      </c>
      <c r="AP100" s="7">
        <f t="shared" si="3"/>
        <v>3.6886875000000003</v>
      </c>
    </row>
    <row r="101" spans="1:42" x14ac:dyDescent="0.3">
      <c r="A101" s="5">
        <v>100</v>
      </c>
      <c r="B101" s="107" t="s">
        <v>58</v>
      </c>
      <c r="C101" s="112" t="s">
        <v>652</v>
      </c>
      <c r="D101" s="112" t="s">
        <v>786</v>
      </c>
      <c r="E101" s="110" t="s">
        <v>128</v>
      </c>
      <c r="F101" s="6" t="s">
        <v>12</v>
      </c>
      <c r="G101" s="6" t="s">
        <v>976</v>
      </c>
      <c r="H101" s="12" t="s">
        <v>35</v>
      </c>
      <c r="I101" s="5">
        <v>6</v>
      </c>
      <c r="J101" s="94" t="s">
        <v>273</v>
      </c>
      <c r="K101" s="46">
        <v>14.766</v>
      </c>
      <c r="L101" s="46">
        <v>17.902999999999999</v>
      </c>
      <c r="M101" s="46">
        <v>15.722000000000001</v>
      </c>
      <c r="N101" s="46">
        <v>17.631</v>
      </c>
      <c r="O101" s="46">
        <v>21.107999999999997</v>
      </c>
      <c r="P101" s="46">
        <v>30.613999999999997</v>
      </c>
      <c r="Q101" s="46">
        <v>11.004</v>
      </c>
      <c r="R101" s="46">
        <v>21.422000000000001</v>
      </c>
      <c r="S101" s="46">
        <v>28.113</v>
      </c>
      <c r="T101" s="46">
        <v>17.396000000000001</v>
      </c>
      <c r="U101" s="46">
        <v>9.8710000000000022</v>
      </c>
      <c r="V101" s="46">
        <v>26.986000000000001</v>
      </c>
      <c r="W101" s="46">
        <v>13.883999999999999</v>
      </c>
      <c r="X101" s="46">
        <v>13.416</v>
      </c>
      <c r="Y101" s="46">
        <v>26.467000000000006</v>
      </c>
      <c r="Z101" s="46">
        <v>6.9740000000000002</v>
      </c>
      <c r="AA101" s="46">
        <v>21.558</v>
      </c>
      <c r="AB101" s="46">
        <v>7.7410000000000005</v>
      </c>
      <c r="AC101" s="46">
        <v>9.3919999999999995</v>
      </c>
      <c r="AD101" s="46">
        <v>10.968000000000002</v>
      </c>
      <c r="AE101" s="46">
        <v>25.862000000000002</v>
      </c>
      <c r="AF101" s="46">
        <v>9.2470000000000017</v>
      </c>
      <c r="AG101" s="46">
        <v>21.669999999999998</v>
      </c>
      <c r="AH101" s="46">
        <v>11.367000000000001</v>
      </c>
      <c r="AI101" s="46">
        <v>4.4349999999999996</v>
      </c>
      <c r="AJ101" s="46">
        <v>0</v>
      </c>
      <c r="AK101" s="46">
        <v>13.85</v>
      </c>
      <c r="AL101" s="46">
        <v>9.5120000000000005</v>
      </c>
      <c r="AM101" s="46">
        <v>6.2190000000000003</v>
      </c>
      <c r="AN101" s="46">
        <v>17.498000000000001</v>
      </c>
      <c r="AO101" s="46">
        <f t="shared" si="2"/>
        <v>15.419866666666667</v>
      </c>
      <c r="AP101" s="7">
        <f t="shared" si="3"/>
        <v>2.5699777777777779</v>
      </c>
    </row>
    <row r="102" spans="1:42" x14ac:dyDescent="0.3">
      <c r="A102" s="5">
        <v>101</v>
      </c>
      <c r="B102" s="107" t="s">
        <v>58</v>
      </c>
      <c r="C102" s="112" t="s">
        <v>653</v>
      </c>
      <c r="D102" s="112" t="s">
        <v>953</v>
      </c>
      <c r="E102" s="110" t="s">
        <v>128</v>
      </c>
      <c r="F102" s="6" t="s">
        <v>12</v>
      </c>
      <c r="G102" s="6" t="s">
        <v>976</v>
      </c>
      <c r="H102" s="12" t="s">
        <v>35</v>
      </c>
      <c r="I102" s="5">
        <v>2</v>
      </c>
      <c r="J102" s="94" t="s">
        <v>273</v>
      </c>
      <c r="K102" s="46">
        <v>35.199999999999996</v>
      </c>
      <c r="L102" s="46">
        <v>34.591999999999999</v>
      </c>
      <c r="M102" s="46">
        <v>27.438000000000002</v>
      </c>
      <c r="N102" s="46">
        <v>29.944000000000003</v>
      </c>
      <c r="O102" s="46">
        <v>22.433</v>
      </c>
      <c r="P102" s="46">
        <v>27.617000000000001</v>
      </c>
      <c r="Q102" s="46">
        <v>35.994999999999997</v>
      </c>
      <c r="R102" s="46">
        <v>20.268000000000001</v>
      </c>
      <c r="S102" s="46">
        <v>12.155999999999999</v>
      </c>
      <c r="T102" s="46">
        <v>31.297999999999998</v>
      </c>
      <c r="U102" s="46">
        <v>38.527999999999999</v>
      </c>
      <c r="V102" s="46">
        <v>31.166999999999994</v>
      </c>
      <c r="W102" s="46">
        <v>0</v>
      </c>
      <c r="X102" s="46">
        <v>3.5739999999999998</v>
      </c>
      <c r="Y102" s="46">
        <v>13.446999999999999</v>
      </c>
      <c r="Z102" s="46">
        <v>18.442999999999998</v>
      </c>
      <c r="AA102" s="46">
        <v>30.369</v>
      </c>
      <c r="AB102" s="46">
        <v>32.211000000000006</v>
      </c>
      <c r="AC102" s="46">
        <v>13.882999999999999</v>
      </c>
      <c r="AD102" s="46">
        <v>19.051000000000002</v>
      </c>
      <c r="AE102" s="46">
        <v>6.7600000000000007</v>
      </c>
      <c r="AF102" s="46">
        <v>15.885999999999999</v>
      </c>
      <c r="AG102" s="46">
        <v>35.548999999999999</v>
      </c>
      <c r="AH102" s="46">
        <v>38.271000000000001</v>
      </c>
      <c r="AI102" s="46">
        <v>29.391999999999999</v>
      </c>
      <c r="AJ102" s="46">
        <v>16.974999999999998</v>
      </c>
      <c r="AK102" s="46">
        <v>11.357000000000001</v>
      </c>
      <c r="AL102" s="46">
        <v>22.038999999999998</v>
      </c>
      <c r="AM102" s="46">
        <v>24.935000000000002</v>
      </c>
      <c r="AN102" s="46">
        <v>7.8140000000000001</v>
      </c>
      <c r="AO102" s="46">
        <f t="shared" si="2"/>
        <v>22.886399999999998</v>
      </c>
      <c r="AP102" s="7">
        <f t="shared" si="3"/>
        <v>11.443199999999999</v>
      </c>
    </row>
    <row r="103" spans="1:42" x14ac:dyDescent="0.3">
      <c r="A103" s="5">
        <v>102</v>
      </c>
      <c r="B103" s="107" t="s">
        <v>58</v>
      </c>
      <c r="C103" s="10"/>
      <c r="D103" s="39" t="s">
        <v>917</v>
      </c>
      <c r="E103" s="110" t="s">
        <v>128</v>
      </c>
      <c r="F103" s="6" t="s">
        <v>12</v>
      </c>
      <c r="G103" s="6" t="s">
        <v>973</v>
      </c>
      <c r="H103" s="6" t="s">
        <v>80</v>
      </c>
      <c r="I103" s="92">
        <v>1</v>
      </c>
      <c r="J103" s="67" t="s">
        <v>590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1.91</v>
      </c>
      <c r="W103" s="46">
        <v>0</v>
      </c>
      <c r="X103" s="46">
        <v>0</v>
      </c>
      <c r="Y103" s="46">
        <v>0</v>
      </c>
      <c r="Z103" s="46">
        <v>0.32999999999999996</v>
      </c>
      <c r="AA103" s="46">
        <v>15</v>
      </c>
      <c r="AB103" s="46">
        <v>0</v>
      </c>
      <c r="AC103" s="46">
        <v>0</v>
      </c>
      <c r="AD103" s="46">
        <v>0</v>
      </c>
      <c r="AE103" s="46">
        <v>17.39</v>
      </c>
      <c r="AF103" s="46">
        <v>0</v>
      </c>
      <c r="AG103" s="46">
        <v>14.96</v>
      </c>
      <c r="AH103" s="46">
        <v>0</v>
      </c>
      <c r="AI103" s="46">
        <v>12.94</v>
      </c>
      <c r="AJ103" s="46">
        <v>4.3600000000000003</v>
      </c>
      <c r="AK103" s="46">
        <v>0</v>
      </c>
      <c r="AL103" s="46">
        <v>0</v>
      </c>
      <c r="AM103" s="46">
        <v>11.54</v>
      </c>
      <c r="AN103" s="46">
        <v>0</v>
      </c>
      <c r="AO103" s="46">
        <f t="shared" si="2"/>
        <v>2.6143333333333336</v>
      </c>
      <c r="AP103" s="7">
        <f t="shared" si="3"/>
        <v>2.6143333333333336</v>
      </c>
    </row>
    <row r="104" spans="1:42" x14ac:dyDescent="0.3">
      <c r="A104" s="5">
        <v>103</v>
      </c>
      <c r="B104" s="107" t="s">
        <v>58</v>
      </c>
      <c r="C104" s="10"/>
      <c r="D104" s="39" t="s">
        <v>1007</v>
      </c>
      <c r="E104" s="110" t="s">
        <v>128</v>
      </c>
      <c r="F104" s="6" t="s">
        <v>12</v>
      </c>
      <c r="G104" s="6" t="s">
        <v>974</v>
      </c>
      <c r="H104" s="12" t="s">
        <v>35</v>
      </c>
      <c r="I104" s="5">
        <v>2</v>
      </c>
      <c r="J104" s="67" t="s">
        <v>590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v>0</v>
      </c>
      <c r="AO104" s="46">
        <f t="shared" si="2"/>
        <v>0</v>
      </c>
      <c r="AP104" s="7">
        <f t="shared" si="3"/>
        <v>0</v>
      </c>
    </row>
    <row r="105" spans="1:42" ht="15.6" x14ac:dyDescent="0.3">
      <c r="A105" s="5">
        <v>104</v>
      </c>
      <c r="B105" s="107" t="s">
        <v>476</v>
      </c>
      <c r="C105" s="112" t="s">
        <v>698</v>
      </c>
      <c r="D105" s="114" t="s">
        <v>956</v>
      </c>
      <c r="E105" s="110" t="s">
        <v>128</v>
      </c>
      <c r="F105" s="6" t="s">
        <v>12</v>
      </c>
      <c r="G105" s="6" t="s">
        <v>976</v>
      </c>
      <c r="H105" s="12" t="s">
        <v>35</v>
      </c>
      <c r="I105" s="5">
        <v>1</v>
      </c>
      <c r="J105" s="67" t="s">
        <v>590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>
        <v>0</v>
      </c>
      <c r="AK105" s="46">
        <v>0</v>
      </c>
      <c r="AL105" s="46">
        <v>0</v>
      </c>
      <c r="AM105" s="46">
        <v>0</v>
      </c>
      <c r="AN105" s="46">
        <v>0</v>
      </c>
      <c r="AO105" s="46">
        <f t="shared" si="2"/>
        <v>0</v>
      </c>
      <c r="AP105" s="7">
        <f t="shared" si="3"/>
        <v>0</v>
      </c>
    </row>
    <row r="106" spans="1:42" ht="15.6" x14ac:dyDescent="0.3">
      <c r="A106" s="5">
        <v>105</v>
      </c>
      <c r="B106" s="107" t="s">
        <v>569</v>
      </c>
      <c r="C106" s="112" t="s">
        <v>656</v>
      </c>
      <c r="D106" s="114" t="s">
        <v>955</v>
      </c>
      <c r="E106" s="110" t="s">
        <v>61</v>
      </c>
      <c r="F106" s="6" t="s">
        <v>12</v>
      </c>
      <c r="G106" s="6" t="s">
        <v>976</v>
      </c>
      <c r="H106" s="12" t="s">
        <v>35</v>
      </c>
      <c r="I106" s="5">
        <v>14</v>
      </c>
      <c r="J106" s="67" t="s">
        <v>160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Q106" s="46">
        <v>0</v>
      </c>
      <c r="R106" s="46">
        <v>0</v>
      </c>
      <c r="S106" s="46">
        <v>2.56</v>
      </c>
      <c r="T106" s="46">
        <v>0</v>
      </c>
      <c r="U106" s="46">
        <v>2.5409999999999999</v>
      </c>
      <c r="V106" s="46">
        <v>2.8769999999999998</v>
      </c>
      <c r="W106" s="46">
        <v>0</v>
      </c>
      <c r="X106" s="46">
        <v>0</v>
      </c>
      <c r="Y106" s="46">
        <v>0</v>
      </c>
      <c r="Z106" s="46">
        <v>0</v>
      </c>
      <c r="AA106" s="46">
        <v>2.129</v>
      </c>
      <c r="AB106" s="46">
        <v>2.7080000000000002</v>
      </c>
      <c r="AC106" s="46">
        <v>2.4510000000000001</v>
      </c>
      <c r="AD106" s="46">
        <v>0</v>
      </c>
      <c r="AE106" s="46">
        <v>2.4829999999999997</v>
      </c>
      <c r="AF106" s="46">
        <v>2.78</v>
      </c>
      <c r="AG106" s="46">
        <v>2.8119999999999998</v>
      </c>
      <c r="AH106" s="46">
        <v>0</v>
      </c>
      <c r="AI106" s="46">
        <v>2.8580000000000001</v>
      </c>
      <c r="AJ106" s="46">
        <v>0</v>
      </c>
      <c r="AK106" s="46">
        <v>0</v>
      </c>
      <c r="AL106" s="46">
        <v>2.782</v>
      </c>
      <c r="AM106" s="46">
        <v>2.5270000000000001</v>
      </c>
      <c r="AN106" s="46">
        <v>2.3479999999999999</v>
      </c>
      <c r="AO106" s="46">
        <f t="shared" si="2"/>
        <v>1.1285333333333334</v>
      </c>
      <c r="AP106" s="7">
        <f t="shared" si="3"/>
        <v>8.0609523809523811E-2</v>
      </c>
    </row>
    <row r="107" spans="1:42" x14ac:dyDescent="0.3">
      <c r="A107" s="5">
        <v>106</v>
      </c>
      <c r="B107" s="107" t="s">
        <v>829</v>
      </c>
      <c r="C107" s="112" t="s">
        <v>831</v>
      </c>
      <c r="D107" s="112" t="s">
        <v>830</v>
      </c>
      <c r="E107" s="110" t="s">
        <v>128</v>
      </c>
      <c r="F107" s="6" t="s">
        <v>12</v>
      </c>
      <c r="G107" s="6" t="s">
        <v>973</v>
      </c>
      <c r="H107" s="6" t="s">
        <v>80</v>
      </c>
      <c r="I107" s="5">
        <v>1</v>
      </c>
      <c r="J107" s="67" t="s">
        <v>160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0</v>
      </c>
      <c r="AO107" s="46">
        <f t="shared" si="2"/>
        <v>0</v>
      </c>
      <c r="AP107" s="7">
        <f t="shared" si="3"/>
        <v>0</v>
      </c>
    </row>
    <row r="108" spans="1:42" x14ac:dyDescent="0.3">
      <c r="A108" s="5">
        <v>107</v>
      </c>
      <c r="B108" s="107" t="s">
        <v>866</v>
      </c>
      <c r="C108" s="112" t="s">
        <v>957</v>
      </c>
      <c r="D108" s="112" t="s">
        <v>867</v>
      </c>
      <c r="E108" s="110" t="s">
        <v>128</v>
      </c>
      <c r="F108" s="6" t="s">
        <v>12</v>
      </c>
      <c r="G108" s="6" t="s">
        <v>973</v>
      </c>
      <c r="H108" s="6" t="s">
        <v>80</v>
      </c>
      <c r="I108" s="5">
        <v>1</v>
      </c>
      <c r="J108" s="67" t="s">
        <v>160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0</v>
      </c>
      <c r="AN108" s="46">
        <v>0</v>
      </c>
      <c r="AO108" s="46">
        <f t="shared" si="2"/>
        <v>0</v>
      </c>
      <c r="AP108" s="7">
        <f t="shared" si="3"/>
        <v>0</v>
      </c>
    </row>
    <row r="109" spans="1:42" x14ac:dyDescent="0.3">
      <c r="A109" s="5">
        <v>108</v>
      </c>
      <c r="B109" s="107" t="s">
        <v>892</v>
      </c>
      <c r="C109" s="112" t="s">
        <v>954</v>
      </c>
      <c r="D109" s="112" t="s">
        <v>893</v>
      </c>
      <c r="E109" s="110" t="s">
        <v>128</v>
      </c>
      <c r="F109" s="6" t="s">
        <v>12</v>
      </c>
      <c r="G109" s="6" t="s">
        <v>973</v>
      </c>
      <c r="H109" s="6" t="s">
        <v>80</v>
      </c>
      <c r="I109" s="5">
        <v>1</v>
      </c>
      <c r="J109" s="67" t="s">
        <v>160</v>
      </c>
      <c r="K109" s="46">
        <v>12.209999999999999</v>
      </c>
      <c r="L109" s="46">
        <v>15.940000000000001</v>
      </c>
      <c r="M109" s="46">
        <v>5.2299999999999995</v>
      </c>
      <c r="N109" s="46">
        <v>0</v>
      </c>
      <c r="O109" s="46">
        <v>0</v>
      </c>
      <c r="P109" s="46">
        <v>0</v>
      </c>
      <c r="Q109" s="46">
        <v>11.739999999999998</v>
      </c>
      <c r="R109" s="46">
        <v>3.64</v>
      </c>
      <c r="S109" s="46">
        <v>0</v>
      </c>
      <c r="T109" s="46">
        <v>5.46</v>
      </c>
      <c r="U109" s="46">
        <v>9.64</v>
      </c>
      <c r="V109" s="46">
        <v>0</v>
      </c>
      <c r="W109" s="46">
        <v>0</v>
      </c>
      <c r="X109" s="46">
        <v>0</v>
      </c>
      <c r="Y109" s="46">
        <v>4.2300000000000004</v>
      </c>
      <c r="Z109" s="46">
        <v>10.620000000000001</v>
      </c>
      <c r="AA109" s="46">
        <v>5.51</v>
      </c>
      <c r="AB109" s="46">
        <v>0</v>
      </c>
      <c r="AC109" s="46">
        <v>0</v>
      </c>
      <c r="AD109" s="46">
        <v>0</v>
      </c>
      <c r="AE109" s="46">
        <v>8.9390000000000001</v>
      </c>
      <c r="AF109" s="46">
        <v>11.45</v>
      </c>
      <c r="AG109" s="46">
        <v>10.170999999999999</v>
      </c>
      <c r="AH109" s="46">
        <v>0</v>
      </c>
      <c r="AI109" s="46">
        <v>7.5400000000000009</v>
      </c>
      <c r="AJ109" s="46">
        <v>7.2589999999999995</v>
      </c>
      <c r="AK109" s="46">
        <v>0</v>
      </c>
      <c r="AL109" s="46">
        <v>5.43</v>
      </c>
      <c r="AM109" s="46">
        <v>0</v>
      </c>
      <c r="AN109" s="46">
        <v>5.45</v>
      </c>
      <c r="AO109" s="46">
        <f t="shared" si="2"/>
        <v>4.6819666666666668</v>
      </c>
      <c r="AP109" s="7">
        <f t="shared" si="3"/>
        <v>4.6819666666666668</v>
      </c>
    </row>
    <row r="110" spans="1:42" x14ac:dyDescent="0.3">
      <c r="A110" s="5">
        <v>109</v>
      </c>
      <c r="B110" s="107" t="s">
        <v>895</v>
      </c>
      <c r="C110" s="115"/>
      <c r="D110" s="39" t="s">
        <v>896</v>
      </c>
      <c r="E110" s="110" t="s">
        <v>128</v>
      </c>
      <c r="F110" s="6" t="s">
        <v>12</v>
      </c>
      <c r="G110" s="6" t="s">
        <v>973</v>
      </c>
      <c r="H110" s="6" t="s">
        <v>80</v>
      </c>
      <c r="I110" s="5">
        <v>1</v>
      </c>
      <c r="J110" s="67" t="s">
        <v>160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0</v>
      </c>
      <c r="AL110" s="46">
        <v>0</v>
      </c>
      <c r="AM110" s="46">
        <v>5.74</v>
      </c>
      <c r="AN110" s="46">
        <v>0</v>
      </c>
      <c r="AO110" s="46">
        <f t="shared" si="2"/>
        <v>0.19133333333333333</v>
      </c>
      <c r="AP110" s="7">
        <f t="shared" si="3"/>
        <v>0.19133333333333333</v>
      </c>
    </row>
    <row r="111" spans="1:42" x14ac:dyDescent="0.3">
      <c r="A111" s="5">
        <v>110</v>
      </c>
      <c r="B111" s="6" t="s">
        <v>1047</v>
      </c>
      <c r="C111" s="115"/>
      <c r="D111" s="39" t="s">
        <v>1045</v>
      </c>
      <c r="E111" s="6" t="s">
        <v>128</v>
      </c>
      <c r="F111" s="6" t="s">
        <v>12</v>
      </c>
      <c r="G111" s="6" t="s">
        <v>255</v>
      </c>
      <c r="H111" s="6" t="s">
        <v>80</v>
      </c>
      <c r="I111" s="92">
        <v>2</v>
      </c>
      <c r="J111" s="67" t="s">
        <v>590</v>
      </c>
      <c r="K111" s="46">
        <v>0</v>
      </c>
      <c r="L111" s="46">
        <v>0</v>
      </c>
      <c r="M111" s="46">
        <v>0</v>
      </c>
      <c r="N111" s="46">
        <v>0</v>
      </c>
      <c r="O111" s="46">
        <v>5.26</v>
      </c>
      <c r="P111" s="46">
        <v>0</v>
      </c>
      <c r="Q111" s="46">
        <v>0</v>
      </c>
      <c r="R111" s="46">
        <v>0</v>
      </c>
      <c r="S111" s="46">
        <v>0</v>
      </c>
      <c r="T111" s="46">
        <v>11.81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0</v>
      </c>
      <c r="AL111" s="46">
        <v>0</v>
      </c>
      <c r="AM111" s="46">
        <v>0</v>
      </c>
      <c r="AN111" s="46">
        <v>0</v>
      </c>
      <c r="AO111" s="46">
        <f t="shared" si="2"/>
        <v>0.56900000000000006</v>
      </c>
      <c r="AP111" s="7">
        <f t="shared" si="3"/>
        <v>0.28450000000000003</v>
      </c>
    </row>
    <row r="112" spans="1:42" x14ac:dyDescent="0.3">
      <c r="A112" s="5">
        <v>111</v>
      </c>
      <c r="B112" s="6" t="s">
        <v>1048</v>
      </c>
      <c r="C112" s="115"/>
      <c r="D112" s="39" t="s">
        <v>1046</v>
      </c>
      <c r="E112" s="6" t="s">
        <v>128</v>
      </c>
      <c r="F112" s="6" t="s">
        <v>12</v>
      </c>
      <c r="G112" s="6" t="s">
        <v>255</v>
      </c>
      <c r="H112" s="6" t="s">
        <v>80</v>
      </c>
      <c r="I112" s="92">
        <v>1</v>
      </c>
      <c r="J112" s="67" t="s">
        <v>590</v>
      </c>
      <c r="K112" s="46">
        <v>20.8</v>
      </c>
      <c r="L112" s="46">
        <v>0</v>
      </c>
      <c r="M112" s="46">
        <v>0</v>
      </c>
      <c r="N112" s="46">
        <v>24.67</v>
      </c>
      <c r="O112" s="46">
        <v>0</v>
      </c>
      <c r="P112" s="46">
        <v>0</v>
      </c>
      <c r="Q112" s="46">
        <v>0</v>
      </c>
      <c r="R112" s="46">
        <v>19.52</v>
      </c>
      <c r="S112" s="46">
        <v>0</v>
      </c>
      <c r="T112" s="46">
        <v>0</v>
      </c>
      <c r="U112" s="46">
        <v>0</v>
      </c>
      <c r="V112" s="46">
        <v>23.41</v>
      </c>
      <c r="W112" s="46">
        <v>0</v>
      </c>
      <c r="X112" s="46">
        <v>0</v>
      </c>
      <c r="Y112" s="46">
        <v>0</v>
      </c>
      <c r="Z112" s="46">
        <v>0</v>
      </c>
      <c r="AA112" s="46">
        <v>11.14</v>
      </c>
      <c r="AB112" s="46">
        <v>13.21</v>
      </c>
      <c r="AC112" s="46">
        <v>0</v>
      </c>
      <c r="AD112" s="46">
        <v>0</v>
      </c>
      <c r="AE112" s="46">
        <v>0</v>
      </c>
      <c r="AF112" s="46">
        <v>0</v>
      </c>
      <c r="AG112" s="46">
        <v>12.42</v>
      </c>
      <c r="AH112" s="46">
        <v>0</v>
      </c>
      <c r="AI112" s="46">
        <v>0</v>
      </c>
      <c r="AJ112" s="46">
        <v>26.689999999999998</v>
      </c>
      <c r="AK112" s="46">
        <v>14.73</v>
      </c>
      <c r="AL112" s="46">
        <v>0</v>
      </c>
      <c r="AM112" s="46">
        <v>0</v>
      </c>
      <c r="AN112" s="46">
        <v>21.53</v>
      </c>
      <c r="AO112" s="46">
        <f t="shared" si="2"/>
        <v>6.2706666666666671</v>
      </c>
      <c r="AP112" s="7">
        <f t="shared" si="3"/>
        <v>6.2706666666666671</v>
      </c>
    </row>
    <row r="113" spans="1:42" x14ac:dyDescent="0.3">
      <c r="A113" s="5">
        <v>112</v>
      </c>
      <c r="B113" s="107" t="s">
        <v>844</v>
      </c>
      <c r="C113" s="112" t="s">
        <v>845</v>
      </c>
      <c r="D113" s="112" t="s">
        <v>843</v>
      </c>
      <c r="E113" s="110" t="s">
        <v>128</v>
      </c>
      <c r="F113" s="6" t="s">
        <v>12</v>
      </c>
      <c r="G113" s="6" t="s">
        <v>973</v>
      </c>
      <c r="H113" s="6" t="s">
        <v>80</v>
      </c>
      <c r="I113" s="92">
        <v>1</v>
      </c>
      <c r="J113" s="67" t="s">
        <v>160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46">
        <v>0</v>
      </c>
      <c r="AM113" s="46">
        <v>0</v>
      </c>
      <c r="AN113" s="46">
        <v>0</v>
      </c>
      <c r="AO113" s="46">
        <f t="shared" si="2"/>
        <v>0</v>
      </c>
      <c r="AP113" s="7">
        <f t="shared" si="3"/>
        <v>0</v>
      </c>
    </row>
    <row r="114" spans="1:42" x14ac:dyDescent="0.3">
      <c r="A114" s="5">
        <v>113</v>
      </c>
      <c r="B114" s="107" t="s">
        <v>119</v>
      </c>
      <c r="C114" s="112" t="s">
        <v>654</v>
      </c>
      <c r="D114" s="112" t="s">
        <v>716</v>
      </c>
      <c r="E114" s="110" t="s">
        <v>30</v>
      </c>
      <c r="F114" s="6" t="s">
        <v>12</v>
      </c>
      <c r="G114" s="6" t="s">
        <v>976</v>
      </c>
      <c r="H114" s="6" t="s">
        <v>35</v>
      </c>
      <c r="I114" s="5">
        <v>20</v>
      </c>
      <c r="J114" s="12" t="s">
        <v>589</v>
      </c>
      <c r="K114" s="46">
        <v>22.611000000000001</v>
      </c>
      <c r="L114" s="46">
        <v>10.054</v>
      </c>
      <c r="M114" s="46">
        <v>9.9239999999999995</v>
      </c>
      <c r="N114" s="46">
        <v>10.103</v>
      </c>
      <c r="O114" s="46">
        <v>72.596000000000004</v>
      </c>
      <c r="P114" s="46">
        <v>26.667000000000002</v>
      </c>
      <c r="Q114" s="46">
        <v>0</v>
      </c>
      <c r="R114" s="46">
        <v>12.425000000000001</v>
      </c>
      <c r="S114" s="46">
        <v>9.9779999999999998</v>
      </c>
      <c r="T114" s="46">
        <v>27.860999999999997</v>
      </c>
      <c r="U114" s="46">
        <v>19.035</v>
      </c>
      <c r="V114" s="46">
        <v>11.132999999999999</v>
      </c>
      <c r="W114" s="46">
        <v>13.315</v>
      </c>
      <c r="X114" s="46">
        <v>1E-3</v>
      </c>
      <c r="Y114" s="46">
        <v>25.984000000000002</v>
      </c>
      <c r="Z114" s="46">
        <v>0.90700000000000003</v>
      </c>
      <c r="AA114" s="46">
        <v>0</v>
      </c>
      <c r="AB114" s="46">
        <v>0</v>
      </c>
      <c r="AC114" s="46">
        <v>119.74</v>
      </c>
      <c r="AD114" s="46">
        <v>13.337999999999999</v>
      </c>
      <c r="AE114" s="46">
        <v>0</v>
      </c>
      <c r="AF114" s="46">
        <v>1.2040000000000002</v>
      </c>
      <c r="AG114" s="46">
        <v>231.35300000000001</v>
      </c>
      <c r="AH114" s="46">
        <v>0</v>
      </c>
      <c r="AI114" s="46">
        <v>6.4450000000000003</v>
      </c>
      <c r="AJ114" s="46">
        <v>0</v>
      </c>
      <c r="AK114" s="46">
        <v>0</v>
      </c>
      <c r="AL114" s="46">
        <v>0.38800000000000001</v>
      </c>
      <c r="AM114" s="46">
        <v>0</v>
      </c>
      <c r="AN114" s="46">
        <v>0</v>
      </c>
      <c r="AO114" s="46">
        <f t="shared" si="2"/>
        <v>21.502066666666671</v>
      </c>
      <c r="AP114" s="7">
        <f t="shared" si="3"/>
        <v>1.0751033333333335</v>
      </c>
    </row>
    <row r="115" spans="1:42" x14ac:dyDescent="0.3">
      <c r="A115" s="5">
        <v>114</v>
      </c>
      <c r="B115" s="107" t="s">
        <v>119</v>
      </c>
      <c r="C115" s="112" t="s">
        <v>655</v>
      </c>
      <c r="D115" s="112" t="s">
        <v>726</v>
      </c>
      <c r="E115" s="110" t="s">
        <v>30</v>
      </c>
      <c r="F115" s="6" t="s">
        <v>12</v>
      </c>
      <c r="G115" s="6" t="s">
        <v>976</v>
      </c>
      <c r="H115" s="6" t="s">
        <v>35</v>
      </c>
      <c r="I115" s="5">
        <v>3</v>
      </c>
      <c r="J115" s="12" t="s">
        <v>589</v>
      </c>
      <c r="K115" s="46">
        <v>0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0</v>
      </c>
      <c r="AL115" s="46">
        <v>0</v>
      </c>
      <c r="AM115" s="46">
        <v>0</v>
      </c>
      <c r="AN115" s="46">
        <v>0</v>
      </c>
      <c r="AO115" s="46">
        <f t="shared" si="2"/>
        <v>0</v>
      </c>
      <c r="AP115" s="7">
        <f t="shared" si="3"/>
        <v>0</v>
      </c>
    </row>
    <row r="116" spans="1:42" x14ac:dyDescent="0.3">
      <c r="A116" s="5">
        <v>115</v>
      </c>
      <c r="B116" s="107" t="s">
        <v>578</v>
      </c>
      <c r="C116" s="112" t="s">
        <v>657</v>
      </c>
      <c r="D116" s="113" t="s">
        <v>951</v>
      </c>
      <c r="E116" s="110" t="s">
        <v>128</v>
      </c>
      <c r="F116" s="6" t="s">
        <v>12</v>
      </c>
      <c r="G116" s="6" t="s">
        <v>973</v>
      </c>
      <c r="H116" s="6" t="s">
        <v>80</v>
      </c>
      <c r="I116" s="5">
        <v>1</v>
      </c>
      <c r="J116" s="67" t="s">
        <v>160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46">
        <v>0</v>
      </c>
      <c r="AM116" s="46">
        <v>0</v>
      </c>
      <c r="AN116" s="46">
        <v>0</v>
      </c>
      <c r="AO116" s="46">
        <f t="shared" si="2"/>
        <v>0</v>
      </c>
      <c r="AP116" s="7">
        <f t="shared" si="3"/>
        <v>0</v>
      </c>
    </row>
    <row r="117" spans="1:42" x14ac:dyDescent="0.3">
      <c r="A117" s="5">
        <v>116</v>
      </c>
      <c r="B117" s="107" t="s">
        <v>576</v>
      </c>
      <c r="C117" s="112" t="s">
        <v>658</v>
      </c>
      <c r="D117" s="112" t="s">
        <v>788</v>
      </c>
      <c r="E117" s="110" t="s">
        <v>128</v>
      </c>
      <c r="F117" s="6" t="s">
        <v>12</v>
      </c>
      <c r="G117" s="6" t="s">
        <v>973</v>
      </c>
      <c r="H117" s="6" t="s">
        <v>80</v>
      </c>
      <c r="I117" s="5">
        <v>1</v>
      </c>
      <c r="J117" s="67" t="s">
        <v>160</v>
      </c>
      <c r="K117" s="46">
        <v>0</v>
      </c>
      <c r="L117" s="46">
        <v>0</v>
      </c>
      <c r="M117" s="46">
        <v>0</v>
      </c>
      <c r="N117" s="46">
        <v>0</v>
      </c>
      <c r="O117" s="46">
        <v>6.6790000000000003</v>
      </c>
      <c r="P117" s="46">
        <v>0</v>
      </c>
      <c r="Q117" s="46">
        <v>11.14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17.011000000000003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18.588999999999999</v>
      </c>
      <c r="AH117" s="46">
        <v>0</v>
      </c>
      <c r="AI117" s="46">
        <v>0</v>
      </c>
      <c r="AJ117" s="46">
        <v>0</v>
      </c>
      <c r="AK117" s="46">
        <v>0</v>
      </c>
      <c r="AL117" s="46">
        <v>0</v>
      </c>
      <c r="AM117" s="46">
        <v>0</v>
      </c>
      <c r="AN117" s="46">
        <v>0</v>
      </c>
      <c r="AO117" s="46">
        <f t="shared" si="2"/>
        <v>1.7806333333333335</v>
      </c>
      <c r="AP117" s="7">
        <f t="shared" si="3"/>
        <v>1.7806333333333335</v>
      </c>
    </row>
    <row r="118" spans="1:42" x14ac:dyDescent="0.3">
      <c r="A118" s="5">
        <v>117</v>
      </c>
      <c r="B118" s="107" t="s">
        <v>499</v>
      </c>
      <c r="C118" s="10" t="s">
        <v>660</v>
      </c>
      <c r="D118" s="39" t="s">
        <v>789</v>
      </c>
      <c r="E118" s="110" t="s">
        <v>128</v>
      </c>
      <c r="F118" s="6" t="s">
        <v>12</v>
      </c>
      <c r="G118" s="6" t="s">
        <v>973</v>
      </c>
      <c r="H118" s="6" t="s">
        <v>80</v>
      </c>
      <c r="I118" s="5">
        <v>1</v>
      </c>
      <c r="J118" s="67" t="s">
        <v>160</v>
      </c>
      <c r="K118" s="46">
        <v>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0</v>
      </c>
      <c r="AN118" s="46">
        <v>0</v>
      </c>
      <c r="AO118" s="46">
        <f t="shared" si="2"/>
        <v>0</v>
      </c>
      <c r="AP118" s="7">
        <f t="shared" si="3"/>
        <v>0</v>
      </c>
    </row>
    <row r="119" spans="1:42" x14ac:dyDescent="0.3">
      <c r="A119" s="5">
        <v>118</v>
      </c>
      <c r="B119" s="109" t="s">
        <v>560</v>
      </c>
      <c r="C119" s="112" t="s">
        <v>661</v>
      </c>
      <c r="D119" s="112" t="s">
        <v>913</v>
      </c>
      <c r="E119" s="110" t="s">
        <v>128</v>
      </c>
      <c r="F119" s="6" t="s">
        <v>12</v>
      </c>
      <c r="G119" s="6" t="s">
        <v>973</v>
      </c>
      <c r="H119" s="6" t="s">
        <v>80</v>
      </c>
      <c r="I119" s="5">
        <v>1</v>
      </c>
      <c r="J119" s="67" t="s">
        <v>160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2.6850000000000001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35.731999999999999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f t="shared" si="2"/>
        <v>1.2805666666666666</v>
      </c>
      <c r="AP119" s="7">
        <f t="shared" si="3"/>
        <v>1.2805666666666666</v>
      </c>
    </row>
    <row r="120" spans="1:42" x14ac:dyDescent="0.3">
      <c r="A120" s="5">
        <v>119</v>
      </c>
      <c r="B120" s="107" t="s">
        <v>862</v>
      </c>
      <c r="C120" s="112" t="s">
        <v>864</v>
      </c>
      <c r="D120" s="112" t="s">
        <v>952</v>
      </c>
      <c r="E120" s="110" t="s">
        <v>128</v>
      </c>
      <c r="F120" s="6" t="s">
        <v>12</v>
      </c>
      <c r="G120" s="6" t="s">
        <v>973</v>
      </c>
      <c r="H120" s="6" t="s">
        <v>80</v>
      </c>
      <c r="I120" s="5">
        <v>1</v>
      </c>
      <c r="J120" s="67" t="s">
        <v>160</v>
      </c>
      <c r="K120" s="46">
        <v>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f t="shared" si="2"/>
        <v>0</v>
      </c>
      <c r="AP120" s="7">
        <f t="shared" si="3"/>
        <v>0</v>
      </c>
    </row>
    <row r="121" spans="1:42" x14ac:dyDescent="0.3">
      <c r="A121" s="5">
        <v>120</v>
      </c>
      <c r="B121" s="107" t="s">
        <v>1014</v>
      </c>
      <c r="C121" s="112"/>
      <c r="D121" s="10" t="s">
        <v>1013</v>
      </c>
      <c r="E121" s="6" t="s">
        <v>128</v>
      </c>
      <c r="F121" s="6" t="s">
        <v>12</v>
      </c>
      <c r="G121" s="6" t="s">
        <v>973</v>
      </c>
      <c r="H121" s="6" t="s">
        <v>80</v>
      </c>
      <c r="I121" s="92">
        <v>1</v>
      </c>
      <c r="J121" s="67" t="s">
        <v>160</v>
      </c>
      <c r="K121" s="46">
        <v>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46">
        <v>0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f t="shared" si="2"/>
        <v>0</v>
      </c>
      <c r="AP121" s="7">
        <f t="shared" si="3"/>
        <v>0</v>
      </c>
    </row>
    <row r="122" spans="1:42" x14ac:dyDescent="0.3">
      <c r="A122" s="5">
        <v>121</v>
      </c>
      <c r="B122" s="107" t="s">
        <v>905</v>
      </c>
      <c r="C122" s="10"/>
      <c r="D122" s="39" t="s">
        <v>906</v>
      </c>
      <c r="E122" s="110" t="s">
        <v>128</v>
      </c>
      <c r="F122" s="6" t="s">
        <v>12</v>
      </c>
      <c r="G122" s="6" t="s">
        <v>973</v>
      </c>
      <c r="H122" s="6" t="s">
        <v>80</v>
      </c>
      <c r="I122" s="5">
        <v>2</v>
      </c>
      <c r="J122" s="67" t="s">
        <v>590</v>
      </c>
      <c r="K122" s="46">
        <v>28.31</v>
      </c>
      <c r="L122" s="46">
        <v>17.079999999999998</v>
      </c>
      <c r="M122" s="46">
        <v>17.509999999999998</v>
      </c>
      <c r="N122" s="46">
        <v>29.65</v>
      </c>
      <c r="O122" s="46">
        <v>16.829999999999998</v>
      </c>
      <c r="P122" s="46">
        <v>0</v>
      </c>
      <c r="Q122" s="46">
        <v>35.17</v>
      </c>
      <c r="R122" s="46">
        <v>29.039999999999996</v>
      </c>
      <c r="S122" s="46">
        <v>22.93</v>
      </c>
      <c r="T122" s="46">
        <v>0.37</v>
      </c>
      <c r="U122" s="46">
        <v>14.75</v>
      </c>
      <c r="V122" s="46">
        <v>11.920000000000002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21.419999999999998</v>
      </c>
      <c r="AC122" s="46">
        <v>0</v>
      </c>
      <c r="AD122" s="46">
        <v>0</v>
      </c>
      <c r="AE122" s="46">
        <v>0</v>
      </c>
      <c r="AF122" s="46">
        <v>22.66</v>
      </c>
      <c r="AG122" s="46">
        <v>0</v>
      </c>
      <c r="AH122" s="46">
        <v>0</v>
      </c>
      <c r="AI122" s="46">
        <v>1.8</v>
      </c>
      <c r="AJ122" s="46">
        <v>0</v>
      </c>
      <c r="AK122" s="46">
        <v>0</v>
      </c>
      <c r="AL122" s="46">
        <v>35.519999999999996</v>
      </c>
      <c r="AM122" s="46">
        <v>26.08</v>
      </c>
      <c r="AN122" s="46">
        <v>15.02</v>
      </c>
      <c r="AO122" s="46">
        <f t="shared" si="2"/>
        <v>11.535333333333332</v>
      </c>
      <c r="AP122" s="7">
        <f t="shared" si="3"/>
        <v>5.7676666666666661</v>
      </c>
    </row>
    <row r="123" spans="1:42" x14ac:dyDescent="0.3">
      <c r="A123" s="5">
        <v>122</v>
      </c>
      <c r="B123" s="109" t="s">
        <v>563</v>
      </c>
      <c r="C123" s="112" t="s">
        <v>659</v>
      </c>
      <c r="D123" s="112" t="s">
        <v>791</v>
      </c>
      <c r="E123" s="110" t="s">
        <v>128</v>
      </c>
      <c r="F123" s="6" t="s">
        <v>12</v>
      </c>
      <c r="G123" s="6" t="s">
        <v>973</v>
      </c>
      <c r="H123" s="6" t="s">
        <v>80</v>
      </c>
      <c r="I123" s="5">
        <v>1</v>
      </c>
      <c r="J123" s="67" t="s">
        <v>160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f t="shared" si="2"/>
        <v>0</v>
      </c>
      <c r="AP123" s="7">
        <f t="shared" si="3"/>
        <v>0</v>
      </c>
    </row>
    <row r="124" spans="1:42" x14ac:dyDescent="0.3">
      <c r="A124" s="5">
        <v>123</v>
      </c>
      <c r="B124" s="101" t="s">
        <v>832</v>
      </c>
      <c r="C124" s="112" t="s">
        <v>833</v>
      </c>
      <c r="D124" s="112" t="s">
        <v>834</v>
      </c>
      <c r="E124" s="110" t="s">
        <v>128</v>
      </c>
      <c r="F124" s="6" t="s">
        <v>12</v>
      </c>
      <c r="G124" s="6" t="s">
        <v>973</v>
      </c>
      <c r="H124" s="6" t="s">
        <v>80</v>
      </c>
      <c r="I124" s="92">
        <v>1</v>
      </c>
      <c r="J124" s="67" t="s">
        <v>160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f t="shared" si="2"/>
        <v>0</v>
      </c>
      <c r="AP124" s="7">
        <f t="shared" si="3"/>
        <v>0</v>
      </c>
    </row>
    <row r="125" spans="1:42" x14ac:dyDescent="0.3">
      <c r="A125" s="5">
        <v>124</v>
      </c>
      <c r="B125" s="109" t="s">
        <v>597</v>
      </c>
      <c r="C125" s="112" t="s">
        <v>699</v>
      </c>
      <c r="D125" s="112" t="s">
        <v>792</v>
      </c>
      <c r="E125" s="110" t="s">
        <v>128</v>
      </c>
      <c r="F125" s="6" t="s">
        <v>12</v>
      </c>
      <c r="G125" s="6" t="s">
        <v>973</v>
      </c>
      <c r="H125" s="6" t="s">
        <v>80</v>
      </c>
      <c r="I125" s="5">
        <v>1</v>
      </c>
      <c r="J125" s="67" t="s">
        <v>160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13.38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6.29</v>
      </c>
      <c r="AK125" s="46">
        <v>0</v>
      </c>
      <c r="AL125" s="46">
        <v>0</v>
      </c>
      <c r="AM125" s="46">
        <v>0</v>
      </c>
      <c r="AN125" s="46">
        <v>0</v>
      </c>
      <c r="AO125" s="46">
        <f t="shared" si="2"/>
        <v>0.65566666666666673</v>
      </c>
      <c r="AP125" s="7">
        <f t="shared" si="3"/>
        <v>0.65566666666666673</v>
      </c>
    </row>
    <row r="126" spans="1:42" x14ac:dyDescent="0.3">
      <c r="A126" s="5">
        <v>125</v>
      </c>
      <c r="B126" s="109" t="s">
        <v>885</v>
      </c>
      <c r="C126" s="112" t="s">
        <v>887</v>
      </c>
      <c r="D126" s="112" t="s">
        <v>886</v>
      </c>
      <c r="E126" s="110" t="s">
        <v>128</v>
      </c>
      <c r="F126" s="6" t="s">
        <v>12</v>
      </c>
      <c r="G126" s="6" t="s">
        <v>973</v>
      </c>
      <c r="H126" s="6" t="s">
        <v>80</v>
      </c>
      <c r="I126" s="5">
        <v>1</v>
      </c>
      <c r="J126" s="67" t="s">
        <v>160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f t="shared" si="2"/>
        <v>0</v>
      </c>
      <c r="AP126" s="7">
        <f t="shared" si="3"/>
        <v>0</v>
      </c>
    </row>
    <row r="127" spans="1:42" x14ac:dyDescent="0.3">
      <c r="A127" s="5">
        <v>126</v>
      </c>
      <c r="B127" s="109" t="s">
        <v>598</v>
      </c>
      <c r="C127" s="112" t="s">
        <v>700</v>
      </c>
      <c r="D127" s="112" t="s">
        <v>793</v>
      </c>
      <c r="E127" s="110" t="s">
        <v>128</v>
      </c>
      <c r="F127" s="6" t="s">
        <v>12</v>
      </c>
      <c r="G127" s="6" t="s">
        <v>973</v>
      </c>
      <c r="H127" s="6" t="s">
        <v>80</v>
      </c>
      <c r="I127" s="5">
        <v>1</v>
      </c>
      <c r="J127" s="67" t="s">
        <v>160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3.2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f t="shared" si="2"/>
        <v>0.10666666666666667</v>
      </c>
      <c r="AP127" s="7">
        <f t="shared" si="3"/>
        <v>0.10666666666666667</v>
      </c>
    </row>
    <row r="128" spans="1:42" x14ac:dyDescent="0.3">
      <c r="A128" s="5">
        <v>127</v>
      </c>
      <c r="B128" s="109" t="s">
        <v>708</v>
      </c>
      <c r="C128" s="112" t="s">
        <v>709</v>
      </c>
      <c r="D128" s="112" t="s">
        <v>794</v>
      </c>
      <c r="E128" s="110" t="s">
        <v>128</v>
      </c>
      <c r="F128" s="6" t="s">
        <v>12</v>
      </c>
      <c r="G128" s="6" t="s">
        <v>973</v>
      </c>
      <c r="H128" s="6" t="s">
        <v>80</v>
      </c>
      <c r="I128" s="5">
        <v>1</v>
      </c>
      <c r="J128" s="67" t="s">
        <v>160</v>
      </c>
      <c r="K128" s="46">
        <v>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f t="shared" si="2"/>
        <v>0</v>
      </c>
      <c r="AP128" s="7">
        <f t="shared" si="3"/>
        <v>0</v>
      </c>
    </row>
    <row r="129" spans="1:42" x14ac:dyDescent="0.3">
      <c r="A129" s="5">
        <v>128</v>
      </c>
      <c r="B129" s="95" t="s">
        <v>822</v>
      </c>
      <c r="C129" s="112" t="s">
        <v>823</v>
      </c>
      <c r="D129" s="112" t="s">
        <v>824</v>
      </c>
      <c r="E129" s="110" t="s">
        <v>128</v>
      </c>
      <c r="F129" s="6" t="s">
        <v>12</v>
      </c>
      <c r="G129" s="6" t="s">
        <v>973</v>
      </c>
      <c r="H129" s="6" t="s">
        <v>80</v>
      </c>
      <c r="I129" s="5">
        <v>1</v>
      </c>
      <c r="J129" s="67" t="s">
        <v>160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f t="shared" si="2"/>
        <v>0</v>
      </c>
      <c r="AP129" s="7">
        <f t="shared" si="3"/>
        <v>0</v>
      </c>
    </row>
    <row r="130" spans="1:42" x14ac:dyDescent="0.3">
      <c r="A130" s="5">
        <v>129</v>
      </c>
      <c r="B130" s="95" t="s">
        <v>882</v>
      </c>
      <c r="C130" s="112" t="s">
        <v>884</v>
      </c>
      <c r="D130" s="112" t="s">
        <v>883</v>
      </c>
      <c r="E130" s="110" t="s">
        <v>128</v>
      </c>
      <c r="F130" s="6" t="s">
        <v>12</v>
      </c>
      <c r="G130" s="6" t="s">
        <v>973</v>
      </c>
      <c r="H130" s="6" t="s">
        <v>80</v>
      </c>
      <c r="I130" s="5">
        <v>1</v>
      </c>
      <c r="J130" s="67" t="s">
        <v>160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f t="shared" si="2"/>
        <v>0</v>
      </c>
      <c r="AP130" s="7">
        <f t="shared" si="3"/>
        <v>0</v>
      </c>
    </row>
    <row r="131" spans="1:42" x14ac:dyDescent="0.3">
      <c r="A131" s="5">
        <v>130</v>
      </c>
      <c r="B131" s="107" t="s">
        <v>55</v>
      </c>
      <c r="C131" s="112" t="s">
        <v>662</v>
      </c>
      <c r="D131" s="112" t="s">
        <v>731</v>
      </c>
      <c r="E131" s="110" t="s">
        <v>57</v>
      </c>
      <c r="F131" s="6" t="s">
        <v>12</v>
      </c>
      <c r="G131" s="6" t="s">
        <v>976</v>
      </c>
      <c r="H131" s="6" t="s">
        <v>35</v>
      </c>
      <c r="I131" s="5">
        <v>40</v>
      </c>
      <c r="J131" s="12" t="s">
        <v>589</v>
      </c>
      <c r="K131" s="46">
        <v>100.134</v>
      </c>
      <c r="L131" s="46">
        <v>378.54199999999992</v>
      </c>
      <c r="M131" s="46">
        <v>343.09200000000004</v>
      </c>
      <c r="N131" s="46">
        <v>252.97400000000005</v>
      </c>
      <c r="O131" s="46">
        <v>259.21699999999993</v>
      </c>
      <c r="P131" s="46">
        <v>298.38799999999998</v>
      </c>
      <c r="Q131" s="46">
        <v>274.27399999999994</v>
      </c>
      <c r="R131" s="46">
        <v>85.541999999999973</v>
      </c>
      <c r="S131" s="46">
        <v>249.876</v>
      </c>
      <c r="T131" s="46">
        <v>314.57999999999993</v>
      </c>
      <c r="U131" s="46">
        <v>332.45</v>
      </c>
      <c r="V131" s="46">
        <v>418.33200000000005</v>
      </c>
      <c r="W131" s="46">
        <v>522.94100000000003</v>
      </c>
      <c r="X131" s="46">
        <v>485.52200000000005</v>
      </c>
      <c r="Y131" s="46">
        <v>194.71599999999995</v>
      </c>
      <c r="Z131" s="46">
        <v>86.335999999999999</v>
      </c>
      <c r="AA131" s="46">
        <v>289.24900000000008</v>
      </c>
      <c r="AB131" s="46">
        <v>275.24299999999994</v>
      </c>
      <c r="AC131" s="46">
        <v>387.38499999999999</v>
      </c>
      <c r="AD131" s="46">
        <v>334.26900000000006</v>
      </c>
      <c r="AE131" s="46">
        <v>122.53000000000003</v>
      </c>
      <c r="AF131" s="46">
        <v>367.57899999999995</v>
      </c>
      <c r="AG131" s="46">
        <v>237.62299999999999</v>
      </c>
      <c r="AH131" s="46">
        <v>251.68799999999999</v>
      </c>
      <c r="AI131" s="46">
        <v>237.02800000000013</v>
      </c>
      <c r="AJ131" s="46">
        <v>332.29</v>
      </c>
      <c r="AK131" s="46">
        <v>423.93900000000002</v>
      </c>
      <c r="AL131" s="46">
        <v>369.94700000000006</v>
      </c>
      <c r="AM131" s="46">
        <v>168.98300000000003</v>
      </c>
      <c r="AN131" s="46">
        <v>232.51499999999999</v>
      </c>
      <c r="AO131" s="46">
        <f t="shared" ref="AO131:AO194" si="4">AVERAGE(K131:AN131)</f>
        <v>287.57279999999997</v>
      </c>
      <c r="AP131" s="7">
        <f t="shared" ref="AP131:AP194" si="5">AO131/I131</f>
        <v>7.1893199999999995</v>
      </c>
    </row>
    <row r="132" spans="1:42" x14ac:dyDescent="0.3">
      <c r="A132" s="5">
        <v>131</v>
      </c>
      <c r="B132" s="107" t="s">
        <v>919</v>
      </c>
      <c r="C132" s="10"/>
      <c r="D132" s="39" t="s">
        <v>989</v>
      </c>
      <c r="E132" s="110" t="s">
        <v>128</v>
      </c>
      <c r="F132" s="6" t="s">
        <v>12</v>
      </c>
      <c r="G132" s="6" t="s">
        <v>977</v>
      </c>
      <c r="H132" s="6" t="s">
        <v>80</v>
      </c>
      <c r="I132" s="92">
        <v>1</v>
      </c>
      <c r="J132" s="12" t="s">
        <v>590</v>
      </c>
      <c r="K132" s="46">
        <v>0</v>
      </c>
      <c r="L132" s="46">
        <v>12.709999999999999</v>
      </c>
      <c r="M132" s="46">
        <v>47.04</v>
      </c>
      <c r="N132" s="46">
        <v>0.86</v>
      </c>
      <c r="O132" s="46">
        <v>51.29</v>
      </c>
      <c r="P132" s="46">
        <v>0</v>
      </c>
      <c r="Q132" s="46">
        <v>14.88</v>
      </c>
      <c r="R132" s="46">
        <v>18.570000000000004</v>
      </c>
      <c r="S132" s="46">
        <v>33.950000000000003</v>
      </c>
      <c r="T132" s="46">
        <v>1.7200000000000002</v>
      </c>
      <c r="U132" s="46">
        <v>34.700000000000003</v>
      </c>
      <c r="V132" s="46">
        <v>2.5</v>
      </c>
      <c r="W132" s="46">
        <v>0</v>
      </c>
      <c r="X132" s="46">
        <v>5.2099999999999991</v>
      </c>
      <c r="Y132" s="46">
        <v>0</v>
      </c>
      <c r="Z132" s="46">
        <v>46.309999999999995</v>
      </c>
      <c r="AA132" s="46">
        <v>45.49</v>
      </c>
      <c r="AB132" s="46">
        <v>33.29</v>
      </c>
      <c r="AC132" s="46">
        <v>37.9</v>
      </c>
      <c r="AD132" s="46">
        <v>27.79</v>
      </c>
      <c r="AE132" s="46">
        <v>32.200000000000003</v>
      </c>
      <c r="AF132" s="46">
        <v>22.2</v>
      </c>
      <c r="AG132" s="46">
        <v>64.149999999999991</v>
      </c>
      <c r="AH132" s="46">
        <v>8.5</v>
      </c>
      <c r="AI132" s="46">
        <v>0</v>
      </c>
      <c r="AJ132" s="46">
        <v>1.23</v>
      </c>
      <c r="AK132" s="46">
        <v>18.07</v>
      </c>
      <c r="AL132" s="46">
        <v>0</v>
      </c>
      <c r="AM132" s="46">
        <v>32.300000000000004</v>
      </c>
      <c r="AN132" s="46">
        <v>30.490000000000002</v>
      </c>
      <c r="AO132" s="46">
        <f t="shared" si="4"/>
        <v>20.778333333333332</v>
      </c>
      <c r="AP132" s="7">
        <f t="shared" si="5"/>
        <v>20.778333333333332</v>
      </c>
    </row>
    <row r="133" spans="1:42" x14ac:dyDescent="0.3">
      <c r="A133" s="5">
        <v>132</v>
      </c>
      <c r="B133" s="6" t="s">
        <v>1008</v>
      </c>
      <c r="C133" s="10"/>
      <c r="D133" s="39" t="s">
        <v>1009</v>
      </c>
      <c r="E133" s="6" t="s">
        <v>128</v>
      </c>
      <c r="F133" s="6" t="s">
        <v>12</v>
      </c>
      <c r="G133" s="6" t="s">
        <v>973</v>
      </c>
      <c r="H133" s="6" t="s">
        <v>80</v>
      </c>
      <c r="I133" s="92">
        <v>1</v>
      </c>
      <c r="J133" s="67" t="s">
        <v>160</v>
      </c>
      <c r="K133" s="46">
        <v>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0</v>
      </c>
      <c r="AL133" s="46">
        <v>0</v>
      </c>
      <c r="AM133" s="46">
        <v>0</v>
      </c>
      <c r="AN133" s="46">
        <v>0</v>
      </c>
      <c r="AO133" s="46">
        <f t="shared" si="4"/>
        <v>0</v>
      </c>
      <c r="AP133" s="7">
        <f t="shared" si="5"/>
        <v>0</v>
      </c>
    </row>
    <row r="134" spans="1:42" x14ac:dyDescent="0.3">
      <c r="A134" s="5">
        <v>133</v>
      </c>
      <c r="B134" s="108" t="s">
        <v>221</v>
      </c>
      <c r="C134" s="112" t="s">
        <v>664</v>
      </c>
      <c r="D134" s="112" t="s">
        <v>795</v>
      </c>
      <c r="E134" s="110" t="s">
        <v>30</v>
      </c>
      <c r="F134" s="6" t="s">
        <v>12</v>
      </c>
      <c r="G134" s="6" t="s">
        <v>976</v>
      </c>
      <c r="H134" s="6" t="s">
        <v>35</v>
      </c>
      <c r="I134" s="5">
        <v>19</v>
      </c>
      <c r="J134" s="12" t="s">
        <v>589</v>
      </c>
      <c r="K134" s="46">
        <v>0.35499999999999998</v>
      </c>
      <c r="L134" s="46">
        <v>1.121</v>
      </c>
      <c r="M134" s="46">
        <v>1.222</v>
      </c>
      <c r="N134" s="46">
        <v>1.419</v>
      </c>
      <c r="O134" s="46">
        <v>1.304</v>
      </c>
      <c r="P134" s="46">
        <v>2.069</v>
      </c>
      <c r="Q134" s="46">
        <v>1.1870000000000001</v>
      </c>
      <c r="R134" s="46">
        <v>2.2709999999999999</v>
      </c>
      <c r="S134" s="46">
        <v>3.593</v>
      </c>
      <c r="T134" s="46">
        <v>2.4910000000000001</v>
      </c>
      <c r="U134" s="46">
        <v>1.8740000000000001</v>
      </c>
      <c r="V134" s="46">
        <v>0.48299999999999998</v>
      </c>
      <c r="W134" s="46">
        <v>2.4950000000000001</v>
      </c>
      <c r="X134" s="46">
        <v>3.6229999999999998</v>
      </c>
      <c r="Y134" s="46">
        <v>3.5650000000000004</v>
      </c>
      <c r="Z134" s="46">
        <v>3.9609999999999999</v>
      </c>
      <c r="AA134" s="46">
        <v>3.52</v>
      </c>
      <c r="AB134" s="46">
        <v>4.0540000000000003</v>
      </c>
      <c r="AC134" s="46">
        <v>3.2279999999999998</v>
      </c>
      <c r="AD134" s="46">
        <v>3.5430000000000001</v>
      </c>
      <c r="AE134" s="46">
        <v>4.2590000000000003</v>
      </c>
      <c r="AF134" s="46">
        <v>3.0819999999999999</v>
      </c>
      <c r="AG134" s="46">
        <v>3.5679999999999996</v>
      </c>
      <c r="AH134" s="46">
        <v>4.0350000000000001</v>
      </c>
      <c r="AI134" s="46">
        <v>3.8499999999999996</v>
      </c>
      <c r="AJ134" s="46">
        <v>4.7590000000000003</v>
      </c>
      <c r="AK134" s="46">
        <v>3.589</v>
      </c>
      <c r="AL134" s="46">
        <v>2.8</v>
      </c>
      <c r="AM134" s="46">
        <v>2.6920000000000002</v>
      </c>
      <c r="AN134" s="46">
        <v>6.7110000000000003</v>
      </c>
      <c r="AO134" s="46">
        <f t="shared" si="4"/>
        <v>2.8907666666666665</v>
      </c>
      <c r="AP134" s="7">
        <f t="shared" si="5"/>
        <v>0.15214561403508772</v>
      </c>
    </row>
    <row r="135" spans="1:42" ht="13.5" customHeight="1" x14ac:dyDescent="0.3">
      <c r="A135" s="5">
        <v>134</v>
      </c>
      <c r="B135" s="108" t="s">
        <v>222</v>
      </c>
      <c r="C135" s="112" t="s">
        <v>663</v>
      </c>
      <c r="D135" s="112" t="s">
        <v>796</v>
      </c>
      <c r="E135" s="110" t="s">
        <v>69</v>
      </c>
      <c r="F135" s="6" t="s">
        <v>12</v>
      </c>
      <c r="G135" s="6" t="s">
        <v>979</v>
      </c>
      <c r="H135" s="6" t="s">
        <v>35</v>
      </c>
      <c r="I135" s="5">
        <v>2</v>
      </c>
      <c r="J135" s="12" t="s">
        <v>160</v>
      </c>
      <c r="K135" s="46">
        <v>0</v>
      </c>
      <c r="L135" s="46">
        <v>33.843000000000004</v>
      </c>
      <c r="M135" s="46">
        <v>38.798000000000002</v>
      </c>
      <c r="N135" s="46">
        <v>0</v>
      </c>
      <c r="O135" s="46">
        <v>0</v>
      </c>
      <c r="P135" s="46">
        <v>52.050000000000004</v>
      </c>
      <c r="Q135" s="46">
        <v>0</v>
      </c>
      <c r="R135" s="46">
        <v>0.29699999999999999</v>
      </c>
      <c r="S135" s="46">
        <v>0</v>
      </c>
      <c r="T135" s="46">
        <v>40.255000000000003</v>
      </c>
      <c r="U135" s="46">
        <v>0</v>
      </c>
      <c r="V135" s="46">
        <v>0</v>
      </c>
      <c r="W135" s="46">
        <v>39.936</v>
      </c>
      <c r="X135" s="46">
        <v>27.193000000000001</v>
      </c>
      <c r="Y135" s="46">
        <v>0</v>
      </c>
      <c r="Z135" s="46">
        <v>50.941000000000003</v>
      </c>
      <c r="AA135" s="46">
        <v>0</v>
      </c>
      <c r="AB135" s="46">
        <v>12.304</v>
      </c>
      <c r="AC135" s="46">
        <v>0</v>
      </c>
      <c r="AD135" s="46">
        <v>0</v>
      </c>
      <c r="AE135" s="46">
        <v>6.3029999999999999</v>
      </c>
      <c r="AF135" s="46">
        <v>0</v>
      </c>
      <c r="AG135" s="46">
        <v>0</v>
      </c>
      <c r="AH135" s="46">
        <v>33.235999999999997</v>
      </c>
      <c r="AI135" s="46">
        <v>0</v>
      </c>
      <c r="AJ135" s="46">
        <v>35.423999999999999</v>
      </c>
      <c r="AK135" s="46">
        <v>0</v>
      </c>
      <c r="AL135" s="46">
        <v>2.2949999999999999</v>
      </c>
      <c r="AM135" s="46">
        <v>0</v>
      </c>
      <c r="AN135" s="46">
        <v>0</v>
      </c>
      <c r="AO135" s="46">
        <f t="shared" si="4"/>
        <v>12.429166666666665</v>
      </c>
      <c r="AP135" s="7">
        <f t="shared" si="5"/>
        <v>6.2145833333333327</v>
      </c>
    </row>
    <row r="136" spans="1:42" x14ac:dyDescent="0.3">
      <c r="A136" s="5">
        <v>135</v>
      </c>
      <c r="B136" s="108" t="s">
        <v>175</v>
      </c>
      <c r="C136" s="112" t="s">
        <v>665</v>
      </c>
      <c r="D136" s="112" t="s">
        <v>718</v>
      </c>
      <c r="E136" s="110" t="s">
        <v>128</v>
      </c>
      <c r="F136" s="6" t="s">
        <v>12</v>
      </c>
      <c r="G136" s="6" t="s">
        <v>976</v>
      </c>
      <c r="H136" s="6" t="s">
        <v>35</v>
      </c>
      <c r="I136" s="5">
        <v>6</v>
      </c>
      <c r="J136" s="12" t="s">
        <v>589</v>
      </c>
      <c r="K136" s="46">
        <v>9.3979999999999997</v>
      </c>
      <c r="L136" s="46">
        <v>1.3199999999999998</v>
      </c>
      <c r="M136" s="46">
        <v>2.6389999999999998</v>
      </c>
      <c r="N136" s="46">
        <v>11.346</v>
      </c>
      <c r="O136" s="46">
        <v>21.590999999999998</v>
      </c>
      <c r="P136" s="46">
        <v>0</v>
      </c>
      <c r="Q136" s="46">
        <v>0</v>
      </c>
      <c r="R136" s="46">
        <v>0</v>
      </c>
      <c r="S136" s="46">
        <v>17.725000000000001</v>
      </c>
      <c r="T136" s="46">
        <v>6.9350000000000005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0</v>
      </c>
      <c r="AM136" s="46">
        <v>0</v>
      </c>
      <c r="AN136" s="46">
        <v>0</v>
      </c>
      <c r="AO136" s="46">
        <f t="shared" si="4"/>
        <v>2.3651333333333335</v>
      </c>
      <c r="AP136" s="7">
        <f t="shared" si="5"/>
        <v>0.39418888888888892</v>
      </c>
    </row>
    <row r="137" spans="1:42" x14ac:dyDescent="0.3">
      <c r="A137" s="5">
        <v>136</v>
      </c>
      <c r="B137" s="108" t="s">
        <v>175</v>
      </c>
      <c r="C137" s="112" t="s">
        <v>666</v>
      </c>
      <c r="D137" s="112" t="s">
        <v>799</v>
      </c>
      <c r="E137" s="110" t="s">
        <v>128</v>
      </c>
      <c r="F137" s="6" t="s">
        <v>12</v>
      </c>
      <c r="G137" s="6" t="s">
        <v>971</v>
      </c>
      <c r="H137" s="6" t="s">
        <v>80</v>
      </c>
      <c r="I137" s="5">
        <v>1</v>
      </c>
      <c r="J137" s="67" t="s">
        <v>160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v>0</v>
      </c>
      <c r="AN137" s="46">
        <v>0</v>
      </c>
      <c r="AO137" s="46">
        <f t="shared" si="4"/>
        <v>0</v>
      </c>
      <c r="AP137" s="7">
        <f t="shared" si="5"/>
        <v>0</v>
      </c>
    </row>
    <row r="138" spans="1:42" x14ac:dyDescent="0.3">
      <c r="A138" s="5">
        <v>137</v>
      </c>
      <c r="B138" s="108" t="s">
        <v>175</v>
      </c>
      <c r="C138" s="112" t="s">
        <v>667</v>
      </c>
      <c r="D138" s="112" t="s">
        <v>798</v>
      </c>
      <c r="E138" s="110" t="s">
        <v>128</v>
      </c>
      <c r="F138" s="6" t="s">
        <v>12</v>
      </c>
      <c r="G138" s="6" t="s">
        <v>971</v>
      </c>
      <c r="H138" s="6" t="s">
        <v>80</v>
      </c>
      <c r="I138" s="5">
        <v>1</v>
      </c>
      <c r="J138" s="67" t="s">
        <v>160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46">
        <v>0</v>
      </c>
      <c r="AN138" s="46">
        <v>0</v>
      </c>
      <c r="AO138" s="46">
        <f t="shared" si="4"/>
        <v>0</v>
      </c>
      <c r="AP138" s="7">
        <f t="shared" si="5"/>
        <v>0</v>
      </c>
    </row>
    <row r="139" spans="1:42" x14ac:dyDescent="0.3">
      <c r="A139" s="5">
        <v>138</v>
      </c>
      <c r="B139" s="108" t="s">
        <v>175</v>
      </c>
      <c r="C139" s="112" t="s">
        <v>668</v>
      </c>
      <c r="D139" s="112" t="s">
        <v>797</v>
      </c>
      <c r="E139" s="110" t="s">
        <v>128</v>
      </c>
      <c r="F139" s="6" t="s">
        <v>12</v>
      </c>
      <c r="G139" s="6" t="s">
        <v>971</v>
      </c>
      <c r="H139" s="6" t="s">
        <v>80</v>
      </c>
      <c r="I139" s="5">
        <v>1</v>
      </c>
      <c r="J139" s="67" t="s">
        <v>160</v>
      </c>
      <c r="K139" s="46">
        <v>0</v>
      </c>
      <c r="L139" s="46">
        <v>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>
        <v>0</v>
      </c>
      <c r="AO139" s="46">
        <f t="shared" si="4"/>
        <v>0</v>
      </c>
      <c r="AP139" s="7">
        <f t="shared" si="5"/>
        <v>0</v>
      </c>
    </row>
    <row r="140" spans="1:42" x14ac:dyDescent="0.3">
      <c r="A140" s="5">
        <v>139</v>
      </c>
      <c r="B140" s="108" t="s">
        <v>565</v>
      </c>
      <c r="C140" s="10" t="s">
        <v>669</v>
      </c>
      <c r="D140" s="39" t="s">
        <v>764</v>
      </c>
      <c r="E140" s="110" t="s">
        <v>128</v>
      </c>
      <c r="F140" s="6" t="s">
        <v>12</v>
      </c>
      <c r="G140" s="6" t="s">
        <v>976</v>
      </c>
      <c r="H140" s="6" t="s">
        <v>35</v>
      </c>
      <c r="I140" s="5">
        <v>15</v>
      </c>
      <c r="J140" s="94" t="s">
        <v>273</v>
      </c>
      <c r="K140" s="46">
        <v>228.79099999999994</v>
      </c>
      <c r="L140" s="46">
        <v>284.23099999999999</v>
      </c>
      <c r="M140" s="46">
        <v>274.14200000000005</v>
      </c>
      <c r="N140" s="46">
        <v>217.61700000000005</v>
      </c>
      <c r="O140" s="46">
        <v>309.19599999999991</v>
      </c>
      <c r="P140" s="46">
        <v>246.34700000000004</v>
      </c>
      <c r="Q140" s="46">
        <v>329.66999999999996</v>
      </c>
      <c r="R140" s="46">
        <v>227.6279999999999</v>
      </c>
      <c r="S140" s="46">
        <v>222.35799999999992</v>
      </c>
      <c r="T140" s="46">
        <v>242.93599999999992</v>
      </c>
      <c r="U140" s="46">
        <v>197.70400000000004</v>
      </c>
      <c r="V140" s="46">
        <v>264.90799999999996</v>
      </c>
      <c r="W140" s="46">
        <v>266.4310000000001</v>
      </c>
      <c r="X140" s="46">
        <v>269.59399999999999</v>
      </c>
      <c r="Y140" s="46">
        <v>317.26100000000002</v>
      </c>
      <c r="Z140" s="46">
        <v>283.11999999999995</v>
      </c>
      <c r="AA140" s="46">
        <v>345.66899999999993</v>
      </c>
      <c r="AB140" s="46">
        <v>322.77000000000004</v>
      </c>
      <c r="AC140" s="46">
        <v>316.726</v>
      </c>
      <c r="AD140" s="46">
        <v>322.16600000000011</v>
      </c>
      <c r="AE140" s="46">
        <v>279.08900000000017</v>
      </c>
      <c r="AF140" s="46">
        <v>317.45300000000009</v>
      </c>
      <c r="AG140" s="46">
        <v>328.25500000000005</v>
      </c>
      <c r="AH140" s="46">
        <v>291.62800000000004</v>
      </c>
      <c r="AI140" s="46">
        <v>355.46600000000012</v>
      </c>
      <c r="AJ140" s="46">
        <v>322.46299999999991</v>
      </c>
      <c r="AK140" s="46">
        <v>312.82000000000011</v>
      </c>
      <c r="AL140" s="46">
        <v>336.87099999999998</v>
      </c>
      <c r="AM140" s="46">
        <v>364.1520000000001</v>
      </c>
      <c r="AN140" s="46">
        <v>308.53099999999995</v>
      </c>
      <c r="AO140" s="46">
        <f t="shared" si="4"/>
        <v>290.19976666666662</v>
      </c>
      <c r="AP140" s="7">
        <f t="shared" si="5"/>
        <v>19.346651111111107</v>
      </c>
    </row>
    <row r="141" spans="1:42" x14ac:dyDescent="0.3">
      <c r="A141" s="5">
        <v>140</v>
      </c>
      <c r="B141" s="108" t="s">
        <v>565</v>
      </c>
      <c r="C141" s="10" t="s">
        <v>669</v>
      </c>
      <c r="D141" s="39" t="s">
        <v>912</v>
      </c>
      <c r="E141" s="110" t="s">
        <v>128</v>
      </c>
      <c r="F141" s="6" t="s">
        <v>12</v>
      </c>
      <c r="G141" s="6" t="s">
        <v>971</v>
      </c>
      <c r="H141" s="6" t="s">
        <v>80</v>
      </c>
      <c r="I141" s="5">
        <v>1</v>
      </c>
      <c r="J141" s="94" t="s">
        <v>273</v>
      </c>
      <c r="K141" s="46">
        <v>5.92</v>
      </c>
      <c r="L141" s="46">
        <v>0.03</v>
      </c>
      <c r="M141" s="46">
        <v>0</v>
      </c>
      <c r="N141" s="46">
        <v>0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0.67</v>
      </c>
      <c r="Z141" s="46">
        <v>0</v>
      </c>
      <c r="AA141" s="46">
        <v>0</v>
      </c>
      <c r="AB141" s="46">
        <v>0</v>
      </c>
      <c r="AC141" s="46">
        <v>0</v>
      </c>
      <c r="AD141" s="46">
        <v>0</v>
      </c>
      <c r="AE141" s="46">
        <v>0</v>
      </c>
      <c r="AF141" s="46">
        <v>0.15</v>
      </c>
      <c r="AG141" s="46">
        <v>3.1999999999999997</v>
      </c>
      <c r="AH141" s="46">
        <v>0</v>
      </c>
      <c r="AI141" s="46">
        <v>0</v>
      </c>
      <c r="AJ141" s="46">
        <v>0</v>
      </c>
      <c r="AK141" s="46">
        <v>0</v>
      </c>
      <c r="AL141" s="46">
        <v>0</v>
      </c>
      <c r="AM141" s="46">
        <v>0</v>
      </c>
      <c r="AN141" s="46">
        <v>0</v>
      </c>
      <c r="AO141" s="46">
        <f t="shared" si="4"/>
        <v>0.33233333333333337</v>
      </c>
      <c r="AP141" s="7">
        <f t="shared" si="5"/>
        <v>0.33233333333333337</v>
      </c>
    </row>
    <row r="142" spans="1:42" ht="14.25" customHeight="1" x14ac:dyDescent="0.3">
      <c r="A142" s="5">
        <v>141</v>
      </c>
      <c r="B142" s="107" t="s">
        <v>65</v>
      </c>
      <c r="C142" s="10" t="s">
        <v>670</v>
      </c>
      <c r="D142" s="12" t="s">
        <v>732</v>
      </c>
      <c r="E142" s="110" t="s">
        <v>30</v>
      </c>
      <c r="F142" s="6" t="s">
        <v>12</v>
      </c>
      <c r="G142" s="6" t="s">
        <v>976</v>
      </c>
      <c r="H142" s="6" t="s">
        <v>35</v>
      </c>
      <c r="I142" s="5">
        <v>5</v>
      </c>
      <c r="J142" s="12" t="s">
        <v>589</v>
      </c>
      <c r="K142" s="46">
        <v>0</v>
      </c>
      <c r="L142" s="46">
        <v>0</v>
      </c>
      <c r="M142" s="46">
        <v>0</v>
      </c>
      <c r="N142" s="46">
        <v>0</v>
      </c>
      <c r="O142" s="46">
        <v>0.36199999999999999</v>
      </c>
      <c r="P142" s="46">
        <v>1.0999999999999999E-2</v>
      </c>
      <c r="Q142" s="46">
        <v>0.69099999999999995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3.1960000000000002</v>
      </c>
      <c r="X142" s="46">
        <v>0</v>
      </c>
      <c r="Y142" s="46">
        <v>0</v>
      </c>
      <c r="Z142" s="46">
        <v>2.7289999999999996</v>
      </c>
      <c r="AA142" s="46">
        <v>1.0900000000000001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0.90900000000000003</v>
      </c>
      <c r="AH142" s="46">
        <v>0</v>
      </c>
      <c r="AI142" s="46">
        <v>0</v>
      </c>
      <c r="AJ142" s="46">
        <v>0</v>
      </c>
      <c r="AK142" s="46">
        <v>0</v>
      </c>
      <c r="AL142" s="46">
        <v>0</v>
      </c>
      <c r="AM142" s="46">
        <v>0.20699999999999999</v>
      </c>
      <c r="AN142" s="46">
        <v>0</v>
      </c>
      <c r="AO142" s="46">
        <f t="shared" si="4"/>
        <v>0.30649999999999999</v>
      </c>
      <c r="AP142" s="7">
        <f t="shared" si="5"/>
        <v>6.13E-2</v>
      </c>
    </row>
    <row r="143" spans="1:42" x14ac:dyDescent="0.3">
      <c r="A143" s="5">
        <v>142</v>
      </c>
      <c r="B143" s="107" t="s">
        <v>65</v>
      </c>
      <c r="C143" s="10" t="s">
        <v>671</v>
      </c>
      <c r="D143" s="12" t="s">
        <v>723</v>
      </c>
      <c r="E143" s="110" t="s">
        <v>30</v>
      </c>
      <c r="F143" s="6" t="s">
        <v>12</v>
      </c>
      <c r="G143" s="6" t="s">
        <v>976</v>
      </c>
      <c r="H143" s="6" t="s">
        <v>35</v>
      </c>
      <c r="I143" s="5">
        <v>16</v>
      </c>
      <c r="J143" s="12" t="s">
        <v>589</v>
      </c>
      <c r="K143" s="46">
        <v>121.51899999999999</v>
      </c>
      <c r="L143" s="46">
        <v>154.39699999999999</v>
      </c>
      <c r="M143" s="46">
        <v>100.68299999999998</v>
      </c>
      <c r="N143" s="46">
        <v>116.806</v>
      </c>
      <c r="O143" s="46">
        <v>118.56300000000002</v>
      </c>
      <c r="P143" s="46">
        <v>116.68700000000001</v>
      </c>
      <c r="Q143" s="46">
        <v>89.564000000000007</v>
      </c>
      <c r="R143" s="46">
        <v>125.11499999999998</v>
      </c>
      <c r="S143" s="46">
        <v>49.148000000000003</v>
      </c>
      <c r="T143" s="46">
        <v>76.048000000000002</v>
      </c>
      <c r="U143" s="46">
        <v>74.073999999999998</v>
      </c>
      <c r="V143" s="46">
        <v>38.878</v>
      </c>
      <c r="W143" s="46">
        <v>47.150999999999996</v>
      </c>
      <c r="X143" s="46">
        <v>64.430000000000007</v>
      </c>
      <c r="Y143" s="46">
        <v>70.998000000000005</v>
      </c>
      <c r="Z143" s="46">
        <v>49.981999999999999</v>
      </c>
      <c r="AA143" s="46">
        <v>8.0869999999999997</v>
      </c>
      <c r="AB143" s="46">
        <v>6.976</v>
      </c>
      <c r="AC143" s="46">
        <v>13.328000000000001</v>
      </c>
      <c r="AD143" s="46">
        <v>32.82</v>
      </c>
      <c r="AE143" s="46">
        <v>29.742000000000001</v>
      </c>
      <c r="AF143" s="46">
        <v>42.3</v>
      </c>
      <c r="AG143" s="46">
        <v>41.987000000000002</v>
      </c>
      <c r="AH143" s="46">
        <v>21.179000000000002</v>
      </c>
      <c r="AI143" s="46">
        <v>31.100999999999999</v>
      </c>
      <c r="AJ143" s="46">
        <v>20.544</v>
      </c>
      <c r="AK143" s="46">
        <v>21.561</v>
      </c>
      <c r="AL143" s="46">
        <v>54.972999999999999</v>
      </c>
      <c r="AM143" s="46">
        <v>38.513000000000005</v>
      </c>
      <c r="AN143" s="46">
        <v>97.986999999999995</v>
      </c>
      <c r="AO143" s="46">
        <f t="shared" si="4"/>
        <v>62.5047</v>
      </c>
      <c r="AP143" s="7">
        <f t="shared" si="5"/>
        <v>3.90654375</v>
      </c>
    </row>
    <row r="144" spans="1:42" x14ac:dyDescent="0.3">
      <c r="A144" s="5">
        <v>143</v>
      </c>
      <c r="B144" s="107" t="s">
        <v>65</v>
      </c>
      <c r="C144" s="10" t="s">
        <v>672</v>
      </c>
      <c r="D144" s="12" t="s">
        <v>818</v>
      </c>
      <c r="E144" s="110" t="s">
        <v>30</v>
      </c>
      <c r="F144" s="6" t="s">
        <v>12</v>
      </c>
      <c r="G144" s="6" t="s">
        <v>976</v>
      </c>
      <c r="H144" s="6" t="s">
        <v>35</v>
      </c>
      <c r="I144" s="5">
        <v>10</v>
      </c>
      <c r="J144" s="12" t="s">
        <v>589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v>0</v>
      </c>
      <c r="AN144" s="46">
        <v>0</v>
      </c>
      <c r="AO144" s="46">
        <f t="shared" si="4"/>
        <v>0</v>
      </c>
      <c r="AP144" s="7">
        <f t="shared" si="5"/>
        <v>0</v>
      </c>
    </row>
    <row r="145" spans="1:42" x14ac:dyDescent="0.3">
      <c r="A145" s="5">
        <v>144</v>
      </c>
      <c r="B145" s="107" t="s">
        <v>65</v>
      </c>
      <c r="C145" s="10" t="s">
        <v>673</v>
      </c>
      <c r="D145" s="12" t="s">
        <v>719</v>
      </c>
      <c r="E145" s="110" t="s">
        <v>30</v>
      </c>
      <c r="F145" s="6" t="s">
        <v>12</v>
      </c>
      <c r="G145" s="6" t="s">
        <v>976</v>
      </c>
      <c r="H145" s="6" t="s">
        <v>35</v>
      </c>
      <c r="I145" s="5">
        <v>13</v>
      </c>
      <c r="J145" s="12" t="s">
        <v>589</v>
      </c>
      <c r="K145" s="46">
        <v>172.637</v>
      </c>
      <c r="L145" s="46">
        <v>149.06899999999999</v>
      </c>
      <c r="M145" s="46">
        <v>116.43199999999999</v>
      </c>
      <c r="N145" s="46">
        <v>125.26600000000001</v>
      </c>
      <c r="O145" s="46">
        <v>106.64099999999998</v>
      </c>
      <c r="P145" s="46">
        <v>111.76300000000001</v>
      </c>
      <c r="Q145" s="46">
        <v>114.22699999999999</v>
      </c>
      <c r="R145" s="46">
        <v>92.557000000000002</v>
      </c>
      <c r="S145" s="46">
        <v>118.94</v>
      </c>
      <c r="T145" s="46">
        <v>113.48099999999998</v>
      </c>
      <c r="U145" s="46">
        <v>98.018000000000001</v>
      </c>
      <c r="V145" s="46">
        <v>64.435999999999993</v>
      </c>
      <c r="W145" s="46">
        <v>74.833000000000013</v>
      </c>
      <c r="X145" s="46">
        <v>62.617999999999995</v>
      </c>
      <c r="Y145" s="46">
        <v>111.282</v>
      </c>
      <c r="Z145" s="46">
        <v>93.085999999999984</v>
      </c>
      <c r="AA145" s="46">
        <v>92.123000000000005</v>
      </c>
      <c r="AB145" s="46">
        <v>87.421999999999983</v>
      </c>
      <c r="AC145" s="46">
        <v>102.38900000000001</v>
      </c>
      <c r="AD145" s="46">
        <v>6.3410000000000002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>
        <v>0</v>
      </c>
      <c r="AK145" s="46">
        <v>0</v>
      </c>
      <c r="AL145" s="46">
        <v>0</v>
      </c>
      <c r="AM145" s="46">
        <v>0</v>
      </c>
      <c r="AN145" s="46">
        <v>0</v>
      </c>
      <c r="AO145" s="46">
        <f t="shared" si="4"/>
        <v>67.11869999999999</v>
      </c>
      <c r="AP145" s="7">
        <f t="shared" si="5"/>
        <v>5.162976923076922</v>
      </c>
    </row>
    <row r="146" spans="1:42" x14ac:dyDescent="0.3">
      <c r="A146" s="5">
        <v>145</v>
      </c>
      <c r="B146" s="107" t="s">
        <v>65</v>
      </c>
      <c r="C146" s="112" t="s">
        <v>941</v>
      </c>
      <c r="D146" s="112" t="s">
        <v>904</v>
      </c>
      <c r="E146" s="110" t="s">
        <v>128</v>
      </c>
      <c r="F146" s="6" t="s">
        <v>12</v>
      </c>
      <c r="G146" s="6" t="s">
        <v>976</v>
      </c>
      <c r="H146" s="6" t="s">
        <v>35</v>
      </c>
      <c r="I146" s="5">
        <v>15</v>
      </c>
      <c r="J146" s="94" t="s">
        <v>273</v>
      </c>
      <c r="K146" s="46">
        <v>394.48400000000004</v>
      </c>
      <c r="L146" s="46">
        <v>379.51999999999992</v>
      </c>
      <c r="M146" s="46">
        <v>357.47899999999998</v>
      </c>
      <c r="N146" s="46">
        <v>395.11400000000003</v>
      </c>
      <c r="O146" s="46">
        <v>334.02299999999997</v>
      </c>
      <c r="P146" s="46">
        <v>342.99599999999998</v>
      </c>
      <c r="Q146" s="46">
        <v>227.85400000000004</v>
      </c>
      <c r="R146" s="46">
        <v>424.02100000000002</v>
      </c>
      <c r="S146" s="46">
        <v>381.92300000000006</v>
      </c>
      <c r="T146" s="46">
        <v>362.0870000000001</v>
      </c>
      <c r="U146" s="46">
        <v>384.28199999999993</v>
      </c>
      <c r="V146" s="46">
        <v>499.12300000000016</v>
      </c>
      <c r="W146" s="46">
        <v>367.83800000000002</v>
      </c>
      <c r="X146" s="46">
        <v>416.505</v>
      </c>
      <c r="Y146" s="46">
        <v>381.18500000000012</v>
      </c>
      <c r="Z146" s="46">
        <v>361.98300000000006</v>
      </c>
      <c r="AA146" s="46">
        <v>380.37</v>
      </c>
      <c r="AB146" s="46">
        <v>428.23199999999974</v>
      </c>
      <c r="AC146" s="46">
        <v>354.08800000000002</v>
      </c>
      <c r="AD146" s="46">
        <v>317.01400000000007</v>
      </c>
      <c r="AE146" s="46">
        <v>321.51700000000011</v>
      </c>
      <c r="AF146" s="46">
        <v>318.53200000000004</v>
      </c>
      <c r="AG146" s="46">
        <v>395.23700000000002</v>
      </c>
      <c r="AH146" s="46">
        <v>332.74400000000014</v>
      </c>
      <c r="AI146" s="46">
        <v>307.02199999999999</v>
      </c>
      <c r="AJ146" s="46">
        <v>269.26700000000011</v>
      </c>
      <c r="AK146" s="46">
        <v>293.01299999999998</v>
      </c>
      <c r="AL146" s="46">
        <v>298.61999999999995</v>
      </c>
      <c r="AM146" s="46">
        <v>319.21100000000001</v>
      </c>
      <c r="AN146" s="46">
        <v>418.59200000000016</v>
      </c>
      <c r="AO146" s="46">
        <f t="shared" si="4"/>
        <v>358.79586666666677</v>
      </c>
      <c r="AP146" s="7">
        <f t="shared" si="5"/>
        <v>23.919724444444451</v>
      </c>
    </row>
    <row r="147" spans="1:42" x14ac:dyDescent="0.3">
      <c r="A147" s="5">
        <v>146</v>
      </c>
      <c r="B147" s="107" t="s">
        <v>65</v>
      </c>
      <c r="C147" s="10" t="s">
        <v>674</v>
      </c>
      <c r="D147" s="12" t="s">
        <v>730</v>
      </c>
      <c r="E147" s="110" t="s">
        <v>30</v>
      </c>
      <c r="F147" s="6" t="s">
        <v>12</v>
      </c>
      <c r="G147" s="6" t="s">
        <v>976</v>
      </c>
      <c r="H147" s="6" t="s">
        <v>35</v>
      </c>
      <c r="I147" s="5">
        <v>20</v>
      </c>
      <c r="J147" s="12" t="s">
        <v>589</v>
      </c>
      <c r="K147" s="46">
        <v>269.38600000000002</v>
      </c>
      <c r="L147" s="46">
        <v>394.97499999999997</v>
      </c>
      <c r="M147" s="46">
        <v>268.99899999999991</v>
      </c>
      <c r="N147" s="46">
        <v>230.83699999999999</v>
      </c>
      <c r="O147" s="46">
        <v>259.76900000000001</v>
      </c>
      <c r="P147" s="46">
        <v>218.85</v>
      </c>
      <c r="Q147" s="46">
        <v>250.98500000000004</v>
      </c>
      <c r="R147" s="46">
        <v>261.90400000000011</v>
      </c>
      <c r="S147" s="46">
        <v>255.04700000000003</v>
      </c>
      <c r="T147" s="46">
        <v>291.11700000000008</v>
      </c>
      <c r="U147" s="46">
        <v>267.20899999999995</v>
      </c>
      <c r="V147" s="46">
        <v>379.952</v>
      </c>
      <c r="W147" s="46">
        <v>257.40800000000002</v>
      </c>
      <c r="X147" s="46">
        <v>306.26100000000002</v>
      </c>
      <c r="Y147" s="46">
        <v>239.80899999999997</v>
      </c>
      <c r="Z147" s="46">
        <v>292.584</v>
      </c>
      <c r="AA147" s="46">
        <v>313.12199999999996</v>
      </c>
      <c r="AB147" s="46">
        <v>322.62100000000009</v>
      </c>
      <c r="AC147" s="46">
        <v>304.78400000000005</v>
      </c>
      <c r="AD147" s="46">
        <v>255.99800000000002</v>
      </c>
      <c r="AE147" s="46">
        <v>326.38899999999995</v>
      </c>
      <c r="AF147" s="46">
        <v>319.44599999999991</v>
      </c>
      <c r="AG147" s="46">
        <v>325.39199999999994</v>
      </c>
      <c r="AH147" s="46">
        <v>318.45500000000004</v>
      </c>
      <c r="AI147" s="46">
        <v>248.48499999999996</v>
      </c>
      <c r="AJ147" s="46">
        <v>300.30799999999999</v>
      </c>
      <c r="AK147" s="46">
        <v>275.95</v>
      </c>
      <c r="AL147" s="46">
        <v>292.92</v>
      </c>
      <c r="AM147" s="46">
        <v>315.67500000000001</v>
      </c>
      <c r="AN147" s="46">
        <v>293.90999999999991</v>
      </c>
      <c r="AO147" s="46">
        <f t="shared" si="4"/>
        <v>288.61823333333331</v>
      </c>
      <c r="AP147" s="7">
        <f t="shared" si="5"/>
        <v>14.430911666666665</v>
      </c>
    </row>
    <row r="148" spans="1:42" x14ac:dyDescent="0.3">
      <c r="A148" s="5">
        <v>147</v>
      </c>
      <c r="B148" s="107" t="s">
        <v>65</v>
      </c>
      <c r="C148" s="112" t="s">
        <v>942</v>
      </c>
      <c r="D148" s="112" t="s">
        <v>922</v>
      </c>
      <c r="E148" s="110" t="s">
        <v>30</v>
      </c>
      <c r="F148" s="6" t="s">
        <v>12</v>
      </c>
      <c r="G148" s="6" t="s">
        <v>971</v>
      </c>
      <c r="H148" s="6" t="s">
        <v>80</v>
      </c>
      <c r="I148" s="5">
        <v>2</v>
      </c>
      <c r="J148" s="12" t="s">
        <v>589</v>
      </c>
      <c r="K148" s="46">
        <v>0</v>
      </c>
      <c r="L148" s="46">
        <v>0</v>
      </c>
      <c r="M148" s="46">
        <v>0</v>
      </c>
      <c r="N148" s="46">
        <v>20.47</v>
      </c>
      <c r="O148" s="46">
        <v>42.77000000000001</v>
      </c>
      <c r="P148" s="46">
        <v>0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8.6</v>
      </c>
      <c r="X148" s="46">
        <v>0</v>
      </c>
      <c r="Y148" s="46">
        <v>0</v>
      </c>
      <c r="Z148" s="46">
        <v>0</v>
      </c>
      <c r="AA148" s="46">
        <v>0</v>
      </c>
      <c r="AB148" s="46">
        <v>0</v>
      </c>
      <c r="AC148" s="46">
        <v>15.07</v>
      </c>
      <c r="AD148" s="46">
        <v>70.86999999999999</v>
      </c>
      <c r="AE148" s="46">
        <v>14.599999999999998</v>
      </c>
      <c r="AF148" s="46">
        <v>18.82</v>
      </c>
      <c r="AG148" s="46">
        <v>23.720000000000006</v>
      </c>
      <c r="AH148" s="46">
        <v>27.59</v>
      </c>
      <c r="AI148" s="46">
        <v>41.06</v>
      </c>
      <c r="AJ148" s="46">
        <v>38.309999999999995</v>
      </c>
      <c r="AK148" s="46">
        <v>50.46</v>
      </c>
      <c r="AL148" s="46">
        <v>49.360000000000007</v>
      </c>
      <c r="AM148" s="46">
        <v>77.11999999999999</v>
      </c>
      <c r="AN148" s="46">
        <v>10.209999999999997</v>
      </c>
      <c r="AO148" s="46">
        <f t="shared" si="4"/>
        <v>16.967666666666663</v>
      </c>
      <c r="AP148" s="7">
        <f t="shared" si="5"/>
        <v>8.4838333333333313</v>
      </c>
    </row>
    <row r="149" spans="1:42" x14ac:dyDescent="0.3">
      <c r="A149" s="5">
        <v>148</v>
      </c>
      <c r="B149" s="107" t="s">
        <v>65</v>
      </c>
      <c r="C149" s="10" t="s">
        <v>675</v>
      </c>
      <c r="D149" s="12" t="s">
        <v>800</v>
      </c>
      <c r="E149" s="110" t="s">
        <v>30</v>
      </c>
      <c r="F149" s="6" t="s">
        <v>12</v>
      </c>
      <c r="G149" s="6" t="s">
        <v>976</v>
      </c>
      <c r="H149" s="6" t="s">
        <v>35</v>
      </c>
      <c r="I149" s="5">
        <v>1</v>
      </c>
      <c r="J149" s="12" t="s">
        <v>160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>
        <v>0</v>
      </c>
      <c r="AL149" s="46">
        <v>0</v>
      </c>
      <c r="AM149" s="46">
        <v>0</v>
      </c>
      <c r="AN149" s="46">
        <v>0</v>
      </c>
      <c r="AO149" s="46">
        <f t="shared" si="4"/>
        <v>0</v>
      </c>
      <c r="AP149" s="7">
        <f t="shared" si="5"/>
        <v>0</v>
      </c>
    </row>
    <row r="150" spans="1:42" x14ac:dyDescent="0.3">
      <c r="A150" s="5">
        <v>149</v>
      </c>
      <c r="B150" s="107" t="s">
        <v>65</v>
      </c>
      <c r="C150" s="10" t="s">
        <v>676</v>
      </c>
      <c r="D150" s="12" t="s">
        <v>801</v>
      </c>
      <c r="E150" s="110" t="s">
        <v>30</v>
      </c>
      <c r="F150" s="6" t="s">
        <v>12</v>
      </c>
      <c r="G150" s="6" t="s">
        <v>976</v>
      </c>
      <c r="H150" s="6" t="s">
        <v>35</v>
      </c>
      <c r="I150" s="5">
        <v>1</v>
      </c>
      <c r="J150" s="12" t="s">
        <v>160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J150" s="46">
        <v>0</v>
      </c>
      <c r="AK150" s="46">
        <v>0</v>
      </c>
      <c r="AL150" s="46">
        <v>0</v>
      </c>
      <c r="AM150" s="46">
        <v>0</v>
      </c>
      <c r="AN150" s="46">
        <v>0</v>
      </c>
      <c r="AO150" s="46">
        <f t="shared" si="4"/>
        <v>0</v>
      </c>
      <c r="AP150" s="7">
        <f t="shared" si="5"/>
        <v>0</v>
      </c>
    </row>
    <row r="151" spans="1:42" x14ac:dyDescent="0.3">
      <c r="A151" s="5">
        <v>150</v>
      </c>
      <c r="B151" s="107" t="s">
        <v>65</v>
      </c>
      <c r="C151" s="10" t="s">
        <v>677</v>
      </c>
      <c r="D151" s="12" t="s">
        <v>990</v>
      </c>
      <c r="E151" s="110" t="s">
        <v>128</v>
      </c>
      <c r="F151" s="6" t="s">
        <v>12</v>
      </c>
      <c r="G151" s="6" t="s">
        <v>979</v>
      </c>
      <c r="H151" s="6" t="s">
        <v>35</v>
      </c>
      <c r="I151" s="5">
        <v>2</v>
      </c>
      <c r="J151" s="67" t="s">
        <v>160</v>
      </c>
      <c r="K151" s="46">
        <v>0</v>
      </c>
      <c r="L151" s="46">
        <v>0</v>
      </c>
      <c r="M151" s="46">
        <v>2.3860000000000001</v>
      </c>
      <c r="N151" s="46">
        <v>0</v>
      </c>
      <c r="O151" s="46">
        <v>9.0489999999999995</v>
      </c>
      <c r="P151" s="46">
        <v>0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8.9550000000000001</v>
      </c>
      <c r="W151" s="46">
        <v>29.387</v>
      </c>
      <c r="X151" s="46">
        <v>43.082000000000001</v>
      </c>
      <c r="Y151" s="46">
        <v>28.58</v>
      </c>
      <c r="Z151" s="46">
        <v>25.288</v>
      </c>
      <c r="AA151" s="46">
        <v>0</v>
      </c>
      <c r="AB151" s="46">
        <v>0</v>
      </c>
      <c r="AC151" s="46">
        <v>29.36</v>
      </c>
      <c r="AD151" s="46">
        <v>9.5459999999999994</v>
      </c>
      <c r="AE151" s="46">
        <v>47.606999999999999</v>
      </c>
      <c r="AF151" s="46">
        <v>0</v>
      </c>
      <c r="AG151" s="46">
        <v>0</v>
      </c>
      <c r="AH151" s="46">
        <v>0</v>
      </c>
      <c r="AI151" s="46">
        <v>32.151000000000003</v>
      </c>
      <c r="AJ151" s="46">
        <v>0</v>
      </c>
      <c r="AK151" s="46">
        <v>0</v>
      </c>
      <c r="AL151" s="46">
        <v>9.2349999999999994</v>
      </c>
      <c r="AM151" s="46">
        <v>35.616999999999997</v>
      </c>
      <c r="AN151" s="46">
        <v>0</v>
      </c>
      <c r="AO151" s="46">
        <f t="shared" si="4"/>
        <v>10.341433333333333</v>
      </c>
      <c r="AP151" s="7">
        <f t="shared" si="5"/>
        <v>5.1707166666666664</v>
      </c>
    </row>
    <row r="152" spans="1:42" ht="15.75" customHeight="1" x14ac:dyDescent="0.3">
      <c r="A152" s="5">
        <v>151</v>
      </c>
      <c r="B152" s="107" t="s">
        <v>65</v>
      </c>
      <c r="C152" s="10" t="s">
        <v>678</v>
      </c>
      <c r="D152" s="12" t="s">
        <v>803</v>
      </c>
      <c r="E152" s="110"/>
      <c r="F152" s="6" t="s">
        <v>130</v>
      </c>
      <c r="G152" s="6" t="s">
        <v>976</v>
      </c>
      <c r="H152" s="6" t="s">
        <v>35</v>
      </c>
      <c r="I152" s="5">
        <v>2</v>
      </c>
      <c r="J152" s="12" t="s">
        <v>590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f t="shared" si="4"/>
        <v>0</v>
      </c>
      <c r="AP152" s="7">
        <f t="shared" si="5"/>
        <v>0</v>
      </c>
    </row>
    <row r="153" spans="1:42" x14ac:dyDescent="0.3">
      <c r="A153" s="5">
        <v>152</v>
      </c>
      <c r="B153" s="107" t="s">
        <v>65</v>
      </c>
      <c r="C153" s="10" t="s">
        <v>679</v>
      </c>
      <c r="D153" s="12" t="s">
        <v>737</v>
      </c>
      <c r="E153" s="110" t="s">
        <v>128</v>
      </c>
      <c r="F153" s="6" t="s">
        <v>19</v>
      </c>
      <c r="G153" s="6" t="s">
        <v>976</v>
      </c>
      <c r="H153" s="6" t="s">
        <v>35</v>
      </c>
      <c r="I153" s="5">
        <v>6</v>
      </c>
      <c r="J153" s="12" t="s">
        <v>590</v>
      </c>
      <c r="K153" s="46">
        <v>9.0690000000000008</v>
      </c>
      <c r="L153" s="46">
        <v>18.512</v>
      </c>
      <c r="M153" s="46">
        <v>5.8420000000000005</v>
      </c>
      <c r="N153" s="46">
        <v>20.588999999999999</v>
      </c>
      <c r="O153" s="46">
        <v>0</v>
      </c>
      <c r="P153" s="46">
        <v>0</v>
      </c>
      <c r="Q153" s="46">
        <v>11.225000000000001</v>
      </c>
      <c r="R153" s="46">
        <v>9.7539999999999996</v>
      </c>
      <c r="S153" s="46">
        <v>16.234000000000002</v>
      </c>
      <c r="T153" s="46">
        <v>4.3999999999999995</v>
      </c>
      <c r="U153" s="46">
        <v>33.603999999999999</v>
      </c>
      <c r="V153" s="46">
        <v>0</v>
      </c>
      <c r="W153" s="46">
        <v>0</v>
      </c>
      <c r="X153" s="46">
        <v>0</v>
      </c>
      <c r="Y153" s="46">
        <v>17.202000000000002</v>
      </c>
      <c r="Z153" s="46">
        <v>11.273</v>
      </c>
      <c r="AA153" s="46">
        <v>17.783000000000001</v>
      </c>
      <c r="AB153" s="46">
        <v>1.9E-2</v>
      </c>
      <c r="AC153" s="46">
        <v>0</v>
      </c>
      <c r="AD153" s="46">
        <v>0</v>
      </c>
      <c r="AE153" s="46">
        <v>11.594999999999999</v>
      </c>
      <c r="AF153" s="46">
        <v>15.035</v>
      </c>
      <c r="AG153" s="46">
        <v>14.728</v>
      </c>
      <c r="AH153" s="46">
        <v>17.832000000000001</v>
      </c>
      <c r="AI153" s="46">
        <v>24.239999999999995</v>
      </c>
      <c r="AJ153" s="46">
        <v>0</v>
      </c>
      <c r="AK153" s="46">
        <v>0</v>
      </c>
      <c r="AL153" s="46">
        <v>12.374000000000001</v>
      </c>
      <c r="AM153" s="46">
        <v>22.734999999999999</v>
      </c>
      <c r="AN153" s="46">
        <v>32.944000000000003</v>
      </c>
      <c r="AO153" s="46">
        <f t="shared" si="4"/>
        <v>10.899633333333334</v>
      </c>
      <c r="AP153" s="7">
        <f t="shared" si="5"/>
        <v>1.8166055555555556</v>
      </c>
    </row>
    <row r="154" spans="1:42" x14ac:dyDescent="0.3">
      <c r="A154" s="5">
        <v>153</v>
      </c>
      <c r="B154" s="107" t="s">
        <v>65</v>
      </c>
      <c r="C154" s="10" t="s">
        <v>680</v>
      </c>
      <c r="D154" s="12" t="s">
        <v>751</v>
      </c>
      <c r="E154" s="110" t="s">
        <v>128</v>
      </c>
      <c r="F154" s="6" t="s">
        <v>12</v>
      </c>
      <c r="G154" s="6" t="s">
        <v>976</v>
      </c>
      <c r="H154" s="6" t="s">
        <v>35</v>
      </c>
      <c r="I154" s="5">
        <v>20</v>
      </c>
      <c r="J154" s="94" t="s">
        <v>273</v>
      </c>
      <c r="K154" s="46">
        <v>204.916</v>
      </c>
      <c r="L154" s="46">
        <v>195.91099999999997</v>
      </c>
      <c r="M154" s="46">
        <v>185.24199999999999</v>
      </c>
      <c r="N154" s="46">
        <v>181.31900000000005</v>
      </c>
      <c r="O154" s="46">
        <v>217.59699999999995</v>
      </c>
      <c r="P154" s="46">
        <v>172.61600000000004</v>
      </c>
      <c r="Q154" s="46">
        <v>206.01499999999996</v>
      </c>
      <c r="R154" s="46">
        <v>189.81299999999999</v>
      </c>
      <c r="S154" s="46">
        <v>180.95299999999995</v>
      </c>
      <c r="T154" s="46">
        <v>219.51</v>
      </c>
      <c r="U154" s="46">
        <v>192.108</v>
      </c>
      <c r="V154" s="46">
        <v>165.99799999999996</v>
      </c>
      <c r="W154" s="46">
        <v>232.52499999999995</v>
      </c>
      <c r="X154" s="46">
        <v>221.51500000000001</v>
      </c>
      <c r="Y154" s="46">
        <v>39.695</v>
      </c>
      <c r="Z154" s="46">
        <v>110.75399999999999</v>
      </c>
      <c r="AA154" s="46">
        <v>161.48700000000002</v>
      </c>
      <c r="AB154" s="46">
        <v>175.48699999999999</v>
      </c>
      <c r="AC154" s="46">
        <v>209.18600000000004</v>
      </c>
      <c r="AD154" s="46">
        <v>155.64699999999999</v>
      </c>
      <c r="AE154" s="46">
        <v>193.62499999999997</v>
      </c>
      <c r="AF154" s="46">
        <v>197.37299999999999</v>
      </c>
      <c r="AG154" s="46">
        <v>161.351</v>
      </c>
      <c r="AH154" s="46">
        <v>180.37599999999998</v>
      </c>
      <c r="AI154" s="46">
        <v>169.13800000000001</v>
      </c>
      <c r="AJ154" s="46">
        <v>115.66700000000003</v>
      </c>
      <c r="AK154" s="46">
        <v>156.87299999999996</v>
      </c>
      <c r="AL154" s="46">
        <v>133.67799999999997</v>
      </c>
      <c r="AM154" s="46">
        <v>161.38800000000001</v>
      </c>
      <c r="AN154" s="46">
        <v>93.832999999999984</v>
      </c>
      <c r="AO154" s="46">
        <f t="shared" si="4"/>
        <v>172.71986666666666</v>
      </c>
      <c r="AP154" s="7">
        <f t="shared" si="5"/>
        <v>8.6359933333333334</v>
      </c>
    </row>
    <row r="155" spans="1:42" x14ac:dyDescent="0.3">
      <c r="A155" s="5">
        <v>154</v>
      </c>
      <c r="B155" s="107" t="s">
        <v>65</v>
      </c>
      <c r="C155" s="112" t="s">
        <v>945</v>
      </c>
      <c r="D155" s="112" t="s">
        <v>946</v>
      </c>
      <c r="E155" s="110" t="s">
        <v>128</v>
      </c>
      <c r="F155" s="6" t="s">
        <v>12</v>
      </c>
      <c r="G155" s="6" t="s">
        <v>979</v>
      </c>
      <c r="H155" s="6" t="s">
        <v>35</v>
      </c>
      <c r="I155" s="5">
        <v>1</v>
      </c>
      <c r="J155" s="67" t="s">
        <v>160</v>
      </c>
      <c r="K155" s="46">
        <v>13.855999999999998</v>
      </c>
      <c r="L155" s="46">
        <v>16.454000000000001</v>
      </c>
      <c r="M155" s="46">
        <v>18.484999999999999</v>
      </c>
      <c r="N155" s="46">
        <v>16.821000000000002</v>
      </c>
      <c r="O155" s="46">
        <v>18.949000000000002</v>
      </c>
      <c r="P155" s="46">
        <v>14.557</v>
      </c>
      <c r="Q155" s="46">
        <v>20.292999999999999</v>
      </c>
      <c r="R155" s="46">
        <v>15.036</v>
      </c>
      <c r="S155" s="46">
        <v>21.91</v>
      </c>
      <c r="T155" s="46">
        <v>22.399000000000001</v>
      </c>
      <c r="U155" s="46">
        <v>14.876999999999999</v>
      </c>
      <c r="V155" s="46">
        <v>21.003999999999998</v>
      </c>
      <c r="W155" s="46">
        <v>20.131999999999998</v>
      </c>
      <c r="X155" s="46">
        <v>22.483000000000001</v>
      </c>
      <c r="Y155" s="46">
        <v>3.4</v>
      </c>
      <c r="Z155" s="46">
        <v>31.624000000000002</v>
      </c>
      <c r="AA155" s="46">
        <v>26.839999999999996</v>
      </c>
      <c r="AB155" s="46">
        <v>30.497999999999998</v>
      </c>
      <c r="AC155" s="46">
        <v>15.343999999999999</v>
      </c>
      <c r="AD155" s="46">
        <v>22.850999999999999</v>
      </c>
      <c r="AE155" s="46">
        <v>22.715999999999998</v>
      </c>
      <c r="AF155" s="46">
        <v>30.113</v>
      </c>
      <c r="AG155" s="46">
        <v>15.741999999999999</v>
      </c>
      <c r="AH155" s="46">
        <v>28.918999999999997</v>
      </c>
      <c r="AI155" s="46">
        <v>8.5640000000000001</v>
      </c>
      <c r="AJ155" s="46">
        <v>24.493000000000002</v>
      </c>
      <c r="AK155" s="46">
        <v>18.616</v>
      </c>
      <c r="AL155" s="46">
        <v>23.884999999999998</v>
      </c>
      <c r="AM155" s="46">
        <v>15.323</v>
      </c>
      <c r="AN155" s="46">
        <v>20.413</v>
      </c>
      <c r="AO155" s="46">
        <f t="shared" si="4"/>
        <v>19.886566666666667</v>
      </c>
      <c r="AP155" s="7">
        <f t="shared" si="5"/>
        <v>19.886566666666667</v>
      </c>
    </row>
    <row r="156" spans="1:42" x14ac:dyDescent="0.3">
      <c r="A156" s="5">
        <v>155</v>
      </c>
      <c r="B156" s="107" t="s">
        <v>65</v>
      </c>
      <c r="C156" s="112" t="s">
        <v>945</v>
      </c>
      <c r="D156" s="112" t="s">
        <v>946</v>
      </c>
      <c r="E156" s="110" t="s">
        <v>128</v>
      </c>
      <c r="F156" s="6" t="s">
        <v>12</v>
      </c>
      <c r="G156" s="6" t="s">
        <v>971</v>
      </c>
      <c r="H156" s="6" t="s">
        <v>80</v>
      </c>
      <c r="I156" s="5">
        <v>1</v>
      </c>
      <c r="J156" s="12" t="s">
        <v>589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0.74</v>
      </c>
      <c r="AF156" s="46">
        <v>0</v>
      </c>
      <c r="AG156" s="46">
        <v>0</v>
      </c>
      <c r="AH156" s="46">
        <v>0</v>
      </c>
      <c r="AI156" s="59">
        <v>0</v>
      </c>
      <c r="AJ156" s="59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f t="shared" si="4"/>
        <v>2.4666666666666667E-2</v>
      </c>
      <c r="AP156" s="7">
        <f t="shared" si="5"/>
        <v>2.4666666666666667E-2</v>
      </c>
    </row>
    <row r="157" spans="1:42" x14ac:dyDescent="0.3">
      <c r="A157" s="5">
        <v>156</v>
      </c>
      <c r="B157" s="107" t="s">
        <v>65</v>
      </c>
      <c r="C157" s="112" t="s">
        <v>701</v>
      </c>
      <c r="D157" s="112" t="s">
        <v>938</v>
      </c>
      <c r="E157" s="110" t="s">
        <v>128</v>
      </c>
      <c r="F157" s="6" t="s">
        <v>12</v>
      </c>
      <c r="G157" s="6" t="s">
        <v>976</v>
      </c>
      <c r="H157" s="6" t="s">
        <v>35</v>
      </c>
      <c r="I157" s="5">
        <v>5</v>
      </c>
      <c r="J157" s="12" t="s">
        <v>589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59">
        <v>0</v>
      </c>
      <c r="W157" s="59">
        <v>0</v>
      </c>
      <c r="X157" s="59">
        <v>0</v>
      </c>
      <c r="Y157" s="59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f t="shared" si="4"/>
        <v>0</v>
      </c>
      <c r="AP157" s="7">
        <f t="shared" si="5"/>
        <v>0</v>
      </c>
    </row>
    <row r="158" spans="1:42" x14ac:dyDescent="0.3">
      <c r="A158" s="5">
        <v>157</v>
      </c>
      <c r="B158" s="107" t="s">
        <v>65</v>
      </c>
      <c r="C158" s="10" t="s">
        <v>681</v>
      </c>
      <c r="D158" s="12" t="s">
        <v>757</v>
      </c>
      <c r="E158" s="110" t="s">
        <v>128</v>
      </c>
      <c r="F158" s="6" t="s">
        <v>12</v>
      </c>
      <c r="G158" s="6" t="s">
        <v>976</v>
      </c>
      <c r="H158" s="6" t="s">
        <v>35</v>
      </c>
      <c r="I158" s="5">
        <v>15</v>
      </c>
      <c r="J158" s="94" t="s">
        <v>273</v>
      </c>
      <c r="K158" s="46">
        <v>176.90200000000002</v>
      </c>
      <c r="L158" s="46">
        <v>196.88200000000001</v>
      </c>
      <c r="M158" s="46">
        <v>237.86900000000003</v>
      </c>
      <c r="N158" s="46">
        <v>199.04599999999996</v>
      </c>
      <c r="O158" s="46">
        <v>200.78</v>
      </c>
      <c r="P158" s="46">
        <v>196.81299999999999</v>
      </c>
      <c r="Q158" s="46">
        <v>191.751</v>
      </c>
      <c r="R158" s="46">
        <v>181.04500000000002</v>
      </c>
      <c r="S158" s="46">
        <v>181.5</v>
      </c>
      <c r="T158" s="46">
        <v>216.33300000000003</v>
      </c>
      <c r="U158" s="46">
        <v>240.48800000000003</v>
      </c>
      <c r="V158" s="46">
        <v>281.21799999999996</v>
      </c>
      <c r="W158" s="46">
        <v>256.88100000000009</v>
      </c>
      <c r="X158" s="46">
        <v>234.57200000000009</v>
      </c>
      <c r="Y158" s="46">
        <v>261.27799999999991</v>
      </c>
      <c r="Z158" s="46">
        <v>227.66700000000003</v>
      </c>
      <c r="AA158" s="46">
        <v>252.999</v>
      </c>
      <c r="AB158" s="46">
        <v>217.67499999999995</v>
      </c>
      <c r="AC158" s="46">
        <v>255.97800000000007</v>
      </c>
      <c r="AD158" s="46">
        <v>298.25099999999998</v>
      </c>
      <c r="AE158" s="46">
        <v>277.85099999999994</v>
      </c>
      <c r="AF158" s="46">
        <v>253.85300000000001</v>
      </c>
      <c r="AG158" s="46">
        <v>252.46199999999999</v>
      </c>
      <c r="AH158" s="46">
        <v>238.50300000000004</v>
      </c>
      <c r="AI158" s="46">
        <v>226.32300000000001</v>
      </c>
      <c r="AJ158" s="46">
        <v>229.59900000000007</v>
      </c>
      <c r="AK158" s="46">
        <v>275.24300000000005</v>
      </c>
      <c r="AL158" s="46">
        <v>255.96899999999999</v>
      </c>
      <c r="AM158" s="46">
        <v>250.08999999999997</v>
      </c>
      <c r="AN158" s="46">
        <v>245.79900000000006</v>
      </c>
      <c r="AO158" s="46">
        <f t="shared" si="4"/>
        <v>233.72066666666666</v>
      </c>
      <c r="AP158" s="7">
        <f t="shared" si="5"/>
        <v>15.581377777777778</v>
      </c>
    </row>
    <row r="159" spans="1:42" x14ac:dyDescent="0.3">
      <c r="A159" s="5">
        <v>158</v>
      </c>
      <c r="B159" s="107" t="s">
        <v>65</v>
      </c>
      <c r="C159" s="112" t="s">
        <v>943</v>
      </c>
      <c r="D159" s="112" t="s">
        <v>944</v>
      </c>
      <c r="E159" s="110" t="s">
        <v>128</v>
      </c>
      <c r="F159" s="6" t="s">
        <v>12</v>
      </c>
      <c r="G159" s="6" t="s">
        <v>971</v>
      </c>
      <c r="H159" s="6" t="s">
        <v>80</v>
      </c>
      <c r="I159" s="5">
        <v>1</v>
      </c>
      <c r="J159" s="94" t="s">
        <v>273</v>
      </c>
      <c r="K159" s="46">
        <v>8.9700000000000006</v>
      </c>
      <c r="L159" s="46">
        <v>8.75</v>
      </c>
      <c r="M159" s="46">
        <v>0</v>
      </c>
      <c r="N159" s="46">
        <v>0</v>
      </c>
      <c r="O159" s="46">
        <v>0</v>
      </c>
      <c r="P159" s="46">
        <v>15.02</v>
      </c>
      <c r="Q159" s="46">
        <v>5.22</v>
      </c>
      <c r="R159" s="46">
        <v>5.66</v>
      </c>
      <c r="S159" s="46">
        <v>0</v>
      </c>
      <c r="T159" s="46">
        <v>0</v>
      </c>
      <c r="U159" s="46">
        <v>1.26</v>
      </c>
      <c r="V159" s="46">
        <v>3.06</v>
      </c>
      <c r="W159" s="46">
        <v>8.61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f t="shared" si="4"/>
        <v>1.8849999999999996</v>
      </c>
      <c r="AP159" s="7">
        <f t="shared" si="5"/>
        <v>1.8849999999999996</v>
      </c>
    </row>
    <row r="160" spans="1:42" x14ac:dyDescent="0.3">
      <c r="A160" s="5">
        <v>159</v>
      </c>
      <c r="B160" s="107" t="s">
        <v>65</v>
      </c>
      <c r="C160" s="10" t="s">
        <v>682</v>
      </c>
      <c r="D160" s="12" t="s">
        <v>744</v>
      </c>
      <c r="E160" s="110" t="s">
        <v>128</v>
      </c>
      <c r="F160" s="6" t="s">
        <v>12</v>
      </c>
      <c r="G160" s="6" t="s">
        <v>976</v>
      </c>
      <c r="H160" s="6" t="s">
        <v>35</v>
      </c>
      <c r="I160" s="5">
        <v>4</v>
      </c>
      <c r="J160" s="12" t="s">
        <v>160</v>
      </c>
      <c r="K160" s="46">
        <v>0</v>
      </c>
      <c r="L160" s="46">
        <v>0</v>
      </c>
      <c r="M160" s="46">
        <v>0.87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1.3109999999999999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1.9E-2</v>
      </c>
      <c r="AM160" s="46">
        <v>0</v>
      </c>
      <c r="AN160" s="46">
        <v>0</v>
      </c>
      <c r="AO160" s="46">
        <f t="shared" si="4"/>
        <v>7.3333333333333334E-2</v>
      </c>
      <c r="AP160" s="7">
        <f t="shared" si="5"/>
        <v>1.8333333333333333E-2</v>
      </c>
    </row>
    <row r="161" spans="1:42" x14ac:dyDescent="0.3">
      <c r="A161" s="5">
        <v>160</v>
      </c>
      <c r="B161" s="107" t="s">
        <v>65</v>
      </c>
      <c r="C161" s="10" t="s">
        <v>682</v>
      </c>
      <c r="D161" s="12" t="s">
        <v>744</v>
      </c>
      <c r="E161" s="110" t="s">
        <v>128</v>
      </c>
      <c r="F161" s="6" t="s">
        <v>12</v>
      </c>
      <c r="G161" s="6" t="s">
        <v>979</v>
      </c>
      <c r="H161" s="6" t="s">
        <v>35</v>
      </c>
      <c r="I161" s="5">
        <v>2</v>
      </c>
      <c r="J161" s="12" t="s">
        <v>160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f t="shared" si="4"/>
        <v>0</v>
      </c>
      <c r="AP161" s="7">
        <f t="shared" si="5"/>
        <v>0</v>
      </c>
    </row>
    <row r="162" spans="1:42" x14ac:dyDescent="0.3">
      <c r="A162" s="5">
        <v>161</v>
      </c>
      <c r="B162" s="107" t="s">
        <v>65</v>
      </c>
      <c r="C162" s="5" t="s">
        <v>702</v>
      </c>
      <c r="D162" s="12" t="s">
        <v>734</v>
      </c>
      <c r="E162" s="110" t="s">
        <v>236</v>
      </c>
      <c r="F162" s="6" t="s">
        <v>12</v>
      </c>
      <c r="G162" s="6" t="s">
        <v>976</v>
      </c>
      <c r="H162" s="6" t="s">
        <v>35</v>
      </c>
      <c r="I162" s="5">
        <v>2</v>
      </c>
      <c r="J162" s="67" t="s">
        <v>160</v>
      </c>
      <c r="K162" s="46">
        <v>1.8280000000000001</v>
      </c>
      <c r="L162" s="46">
        <v>0</v>
      </c>
      <c r="M162" s="46">
        <v>1.431</v>
      </c>
      <c r="N162" s="46">
        <v>0.16300000000000001</v>
      </c>
      <c r="O162" s="46">
        <v>0</v>
      </c>
      <c r="P162" s="46">
        <v>0</v>
      </c>
      <c r="Q162" s="46">
        <v>0</v>
      </c>
      <c r="R162" s="46">
        <v>0.79900000000000004</v>
      </c>
      <c r="S162" s="46">
        <v>0</v>
      </c>
      <c r="T162" s="46">
        <v>0</v>
      </c>
      <c r="U162" s="46">
        <v>8.1000000000000003E-2</v>
      </c>
      <c r="V162" s="46">
        <v>0</v>
      </c>
      <c r="W162" s="46">
        <v>7.8840000000000003</v>
      </c>
      <c r="X162" s="46">
        <v>12.588000000000001</v>
      </c>
      <c r="Y162" s="46">
        <v>11.463999999999999</v>
      </c>
      <c r="Z162" s="46">
        <v>4.9830000000000032</v>
      </c>
      <c r="AA162" s="46">
        <v>12.672000000000001</v>
      </c>
      <c r="AB162" s="46">
        <v>16.809999999999999</v>
      </c>
      <c r="AC162" s="46">
        <v>5.2010000000000005</v>
      </c>
      <c r="AD162" s="46">
        <v>24.597000000000001</v>
      </c>
      <c r="AE162" s="46">
        <v>3.4989999999999997</v>
      </c>
      <c r="AF162" s="46">
        <v>0</v>
      </c>
      <c r="AG162" s="46">
        <v>10.031000000000001</v>
      </c>
      <c r="AH162" s="46">
        <v>12.193999999999999</v>
      </c>
      <c r="AI162" s="46">
        <v>22.977</v>
      </c>
      <c r="AJ162" s="46">
        <v>5.5139999999999993</v>
      </c>
      <c r="AK162" s="46">
        <v>21.198</v>
      </c>
      <c r="AL162" s="46">
        <v>8.4059999999999988</v>
      </c>
      <c r="AM162" s="46">
        <v>15.158000000000001</v>
      </c>
      <c r="AN162" s="46">
        <v>9.4039999999999999</v>
      </c>
      <c r="AO162" s="46">
        <f t="shared" si="4"/>
        <v>6.9627333333333334</v>
      </c>
      <c r="AP162" s="7">
        <f t="shared" si="5"/>
        <v>3.4813666666666667</v>
      </c>
    </row>
    <row r="163" spans="1:42" x14ac:dyDescent="0.3">
      <c r="A163" s="5">
        <v>162</v>
      </c>
      <c r="B163" s="107" t="s">
        <v>65</v>
      </c>
      <c r="C163" s="10" t="s">
        <v>683</v>
      </c>
      <c r="D163" s="12" t="s">
        <v>927</v>
      </c>
      <c r="E163" s="110" t="s">
        <v>236</v>
      </c>
      <c r="F163" s="6" t="s">
        <v>12</v>
      </c>
      <c r="G163" s="6" t="s">
        <v>976</v>
      </c>
      <c r="H163" s="6" t="s">
        <v>35</v>
      </c>
      <c r="I163" s="5">
        <v>3</v>
      </c>
      <c r="J163" s="67" t="s">
        <v>160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f t="shared" si="4"/>
        <v>0</v>
      </c>
      <c r="AP163" s="7">
        <f t="shared" si="5"/>
        <v>0</v>
      </c>
    </row>
    <row r="164" spans="1:42" x14ac:dyDescent="0.3">
      <c r="A164" s="5">
        <v>163</v>
      </c>
      <c r="B164" s="107" t="s">
        <v>65</v>
      </c>
      <c r="C164" s="10" t="s">
        <v>684</v>
      </c>
      <c r="D164" s="12" t="s">
        <v>926</v>
      </c>
      <c r="E164" s="110" t="s">
        <v>236</v>
      </c>
      <c r="F164" s="6" t="s">
        <v>12</v>
      </c>
      <c r="G164" s="6" t="s">
        <v>976</v>
      </c>
      <c r="H164" s="6" t="s">
        <v>35</v>
      </c>
      <c r="I164" s="5">
        <v>3</v>
      </c>
      <c r="J164" s="67" t="s">
        <v>160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f t="shared" si="4"/>
        <v>0</v>
      </c>
      <c r="AP164" s="7">
        <f t="shared" si="5"/>
        <v>0</v>
      </c>
    </row>
    <row r="165" spans="1:42" x14ac:dyDescent="0.3">
      <c r="A165" s="5">
        <v>164</v>
      </c>
      <c r="B165" s="107" t="s">
        <v>65</v>
      </c>
      <c r="C165" s="10" t="s">
        <v>684</v>
      </c>
      <c r="D165" s="12" t="s">
        <v>926</v>
      </c>
      <c r="E165" s="110" t="s">
        <v>236</v>
      </c>
      <c r="F165" s="6" t="s">
        <v>12</v>
      </c>
      <c r="G165" s="6" t="s">
        <v>971</v>
      </c>
      <c r="H165" s="6" t="s">
        <v>80</v>
      </c>
      <c r="I165" s="5">
        <v>1</v>
      </c>
      <c r="J165" s="67" t="s">
        <v>160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f t="shared" si="4"/>
        <v>0</v>
      </c>
      <c r="AP165" s="7">
        <f t="shared" si="5"/>
        <v>0</v>
      </c>
    </row>
    <row r="166" spans="1:42" x14ac:dyDescent="0.3">
      <c r="A166" s="5">
        <v>165</v>
      </c>
      <c r="B166" s="107" t="s">
        <v>65</v>
      </c>
      <c r="C166" s="10" t="s">
        <v>685</v>
      </c>
      <c r="D166" s="12" t="s">
        <v>928</v>
      </c>
      <c r="E166" s="110" t="s">
        <v>236</v>
      </c>
      <c r="F166" s="6" t="s">
        <v>12</v>
      </c>
      <c r="G166" s="6" t="s">
        <v>976</v>
      </c>
      <c r="H166" s="6" t="s">
        <v>35</v>
      </c>
      <c r="I166" s="5">
        <v>3</v>
      </c>
      <c r="J166" s="67" t="s">
        <v>160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f t="shared" si="4"/>
        <v>0</v>
      </c>
      <c r="AP166" s="7">
        <f t="shared" si="5"/>
        <v>0</v>
      </c>
    </row>
    <row r="167" spans="1:42" x14ac:dyDescent="0.3">
      <c r="A167" s="5">
        <v>166</v>
      </c>
      <c r="B167" s="107" t="s">
        <v>65</v>
      </c>
      <c r="C167" s="10" t="s">
        <v>686</v>
      </c>
      <c r="D167" s="12" t="s">
        <v>929</v>
      </c>
      <c r="E167" s="110" t="s">
        <v>236</v>
      </c>
      <c r="F167" s="6" t="s">
        <v>12</v>
      </c>
      <c r="G167" s="6" t="s">
        <v>976</v>
      </c>
      <c r="H167" s="6" t="s">
        <v>35</v>
      </c>
      <c r="I167" s="5">
        <v>3</v>
      </c>
      <c r="J167" s="67" t="s">
        <v>160</v>
      </c>
      <c r="K167" s="46">
        <v>7.5890000000000004</v>
      </c>
      <c r="L167" s="46">
        <v>14.161000000000001</v>
      </c>
      <c r="M167" s="46">
        <v>15.680999999999999</v>
      </c>
      <c r="N167" s="46">
        <v>20.341999999999999</v>
      </c>
      <c r="O167" s="46">
        <v>6.22</v>
      </c>
      <c r="P167" s="46">
        <v>21.122</v>
      </c>
      <c r="Q167" s="46">
        <v>9.7639999999999993</v>
      </c>
      <c r="R167" s="46">
        <v>17.279</v>
      </c>
      <c r="S167" s="46">
        <v>13.499000000000001</v>
      </c>
      <c r="T167" s="46">
        <v>11.587999999999999</v>
      </c>
      <c r="U167" s="46">
        <v>8.6280000000000001</v>
      </c>
      <c r="V167" s="46">
        <v>13.201000000000001</v>
      </c>
      <c r="W167" s="46">
        <v>7.8410000000000002</v>
      </c>
      <c r="X167" s="46">
        <v>2.8090000000000002</v>
      </c>
      <c r="Y167" s="46">
        <v>8.4920000000000009</v>
      </c>
      <c r="Z167" s="46">
        <v>16.074999999999999</v>
      </c>
      <c r="AA167" s="46">
        <v>6.2590000000000003</v>
      </c>
      <c r="AB167" s="46">
        <v>15.382</v>
      </c>
      <c r="AC167" s="46">
        <v>17.173999999999999</v>
      </c>
      <c r="AD167" s="46">
        <v>18.609000000000002</v>
      </c>
      <c r="AE167" s="46">
        <v>6.8079999999999998</v>
      </c>
      <c r="AF167" s="46">
        <v>12.015000000000001</v>
      </c>
      <c r="AG167" s="46">
        <v>4.8730000000000002</v>
      </c>
      <c r="AH167" s="46">
        <v>13.013999999999999</v>
      </c>
      <c r="AI167" s="46">
        <v>0</v>
      </c>
      <c r="AJ167" s="46">
        <v>25.297000000000001</v>
      </c>
      <c r="AK167" s="46">
        <v>19.374000000000002</v>
      </c>
      <c r="AL167" s="46">
        <v>7.7130000000000001</v>
      </c>
      <c r="AM167" s="46">
        <v>12.718</v>
      </c>
      <c r="AN167" s="46">
        <v>16.094999999999999</v>
      </c>
      <c r="AO167" s="46">
        <f t="shared" si="4"/>
        <v>12.320733333333335</v>
      </c>
      <c r="AP167" s="7">
        <f t="shared" si="5"/>
        <v>4.1069111111111116</v>
      </c>
    </row>
    <row r="168" spans="1:42" x14ac:dyDescent="0.3">
      <c r="A168" s="5">
        <v>167</v>
      </c>
      <c r="B168" s="107" t="s">
        <v>65</v>
      </c>
      <c r="C168" s="10" t="s">
        <v>687</v>
      </c>
      <c r="D168" s="12" t="s">
        <v>930</v>
      </c>
      <c r="E168" s="110" t="s">
        <v>236</v>
      </c>
      <c r="F168" s="6" t="s">
        <v>12</v>
      </c>
      <c r="G168" s="6" t="s">
        <v>976</v>
      </c>
      <c r="H168" s="6" t="s">
        <v>35</v>
      </c>
      <c r="I168" s="5">
        <v>3</v>
      </c>
      <c r="J168" s="67" t="s">
        <v>160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>
        <v>0</v>
      </c>
      <c r="AO168" s="46">
        <f t="shared" si="4"/>
        <v>0</v>
      </c>
      <c r="AP168" s="7">
        <f t="shared" si="5"/>
        <v>0</v>
      </c>
    </row>
    <row r="169" spans="1:42" x14ac:dyDescent="0.3">
      <c r="A169" s="5">
        <v>168</v>
      </c>
      <c r="B169" s="107" t="s">
        <v>65</v>
      </c>
      <c r="C169" s="10" t="s">
        <v>688</v>
      </c>
      <c r="D169" s="12" t="s">
        <v>931</v>
      </c>
      <c r="E169" s="110" t="s">
        <v>236</v>
      </c>
      <c r="F169" s="6" t="s">
        <v>12</v>
      </c>
      <c r="G169" s="6" t="s">
        <v>976</v>
      </c>
      <c r="H169" s="6" t="s">
        <v>35</v>
      </c>
      <c r="I169" s="5">
        <v>3</v>
      </c>
      <c r="J169" s="67" t="s">
        <v>160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v>0</v>
      </c>
      <c r="AN169" s="46">
        <v>0</v>
      </c>
      <c r="AO169" s="46">
        <f t="shared" si="4"/>
        <v>0</v>
      </c>
      <c r="AP169" s="7">
        <f t="shared" si="5"/>
        <v>0</v>
      </c>
    </row>
    <row r="170" spans="1:42" x14ac:dyDescent="0.3">
      <c r="A170" s="5">
        <v>169</v>
      </c>
      <c r="B170" s="107" t="s">
        <v>65</v>
      </c>
      <c r="C170" s="10" t="s">
        <v>689</v>
      </c>
      <c r="D170" s="12" t="s">
        <v>811</v>
      </c>
      <c r="E170" s="110" t="s">
        <v>30</v>
      </c>
      <c r="F170" s="6" t="s">
        <v>12</v>
      </c>
      <c r="G170" s="6" t="s">
        <v>976</v>
      </c>
      <c r="H170" s="6" t="s">
        <v>35</v>
      </c>
      <c r="I170" s="5">
        <v>4</v>
      </c>
      <c r="J170" s="12" t="s">
        <v>590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1.6850000000000001</v>
      </c>
      <c r="R170" s="46">
        <v>10.789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7.5330000000000004</v>
      </c>
      <c r="AI170" s="46">
        <v>10.81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f t="shared" si="4"/>
        <v>1.0272333333333334</v>
      </c>
      <c r="AP170" s="7">
        <f t="shared" si="5"/>
        <v>0.25680833333333336</v>
      </c>
    </row>
    <row r="171" spans="1:42" ht="15.75" customHeight="1" x14ac:dyDescent="0.3">
      <c r="A171" s="5">
        <v>170</v>
      </c>
      <c r="B171" s="107" t="s">
        <v>65</v>
      </c>
      <c r="C171" s="10" t="s">
        <v>690</v>
      </c>
      <c r="D171" s="12" t="s">
        <v>769</v>
      </c>
      <c r="E171" s="110" t="s">
        <v>128</v>
      </c>
      <c r="F171" s="6" t="s">
        <v>12</v>
      </c>
      <c r="G171" s="6" t="s">
        <v>976</v>
      </c>
      <c r="H171" s="6" t="s">
        <v>35</v>
      </c>
      <c r="I171" s="5">
        <v>15</v>
      </c>
      <c r="J171" s="94" t="s">
        <v>273</v>
      </c>
      <c r="K171" s="46">
        <v>114.03500000000001</v>
      </c>
      <c r="L171" s="46">
        <v>110.99499999999999</v>
      </c>
      <c r="M171" s="46">
        <v>96.491000000000028</v>
      </c>
      <c r="N171" s="46">
        <v>109.28499999999998</v>
      </c>
      <c r="O171" s="46">
        <v>102.51500000000001</v>
      </c>
      <c r="P171" s="46">
        <v>100.54299999999998</v>
      </c>
      <c r="Q171" s="46">
        <v>126.00499999999998</v>
      </c>
      <c r="R171" s="46">
        <v>94.406999999999996</v>
      </c>
      <c r="S171" s="46">
        <v>99.879000000000005</v>
      </c>
      <c r="T171" s="46">
        <v>109.23100000000001</v>
      </c>
      <c r="U171" s="46">
        <v>114.51800000000001</v>
      </c>
      <c r="V171" s="46">
        <v>104.26600000000001</v>
      </c>
      <c r="W171" s="46">
        <v>98.683999999999997</v>
      </c>
      <c r="X171" s="46">
        <v>104.95700000000001</v>
      </c>
      <c r="Y171" s="46">
        <v>110.32199999999999</v>
      </c>
      <c r="Z171" s="46">
        <v>59.489999999999995</v>
      </c>
      <c r="AA171" s="46">
        <v>110.89300000000001</v>
      </c>
      <c r="AB171" s="46">
        <v>92.971000000000004</v>
      </c>
      <c r="AC171" s="46">
        <v>110.25899999999999</v>
      </c>
      <c r="AD171" s="46">
        <v>89.823000000000008</v>
      </c>
      <c r="AE171" s="46">
        <v>71.994</v>
      </c>
      <c r="AF171" s="46">
        <v>93.571999999999989</v>
      </c>
      <c r="AG171" s="46">
        <v>82.802000000000007</v>
      </c>
      <c r="AH171" s="46">
        <v>101.95800000000001</v>
      </c>
      <c r="AI171" s="46">
        <v>95.444000000000003</v>
      </c>
      <c r="AJ171" s="46">
        <v>100.76900000000001</v>
      </c>
      <c r="AK171" s="46">
        <v>78.077999999999989</v>
      </c>
      <c r="AL171" s="46">
        <v>80.414000000000001</v>
      </c>
      <c r="AM171" s="46">
        <v>60.113</v>
      </c>
      <c r="AN171" s="46">
        <v>57.802999999999997</v>
      </c>
      <c r="AO171" s="46">
        <f t="shared" si="4"/>
        <v>96.083866666666694</v>
      </c>
      <c r="AP171" s="7">
        <f t="shared" si="5"/>
        <v>6.4055911111111126</v>
      </c>
    </row>
    <row r="172" spans="1:42" ht="15.75" customHeight="1" x14ac:dyDescent="0.3">
      <c r="A172" s="5">
        <v>171</v>
      </c>
      <c r="B172" s="107" t="s">
        <v>65</v>
      </c>
      <c r="C172" s="112" t="s">
        <v>947</v>
      </c>
      <c r="D172" s="112" t="s">
        <v>948</v>
      </c>
      <c r="E172" s="110" t="s">
        <v>128</v>
      </c>
      <c r="F172" s="6" t="s">
        <v>12</v>
      </c>
      <c r="G172" s="6" t="s">
        <v>971</v>
      </c>
      <c r="H172" s="6" t="s">
        <v>80</v>
      </c>
      <c r="I172" s="5">
        <v>1</v>
      </c>
      <c r="J172" s="67" t="s">
        <v>160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12.81</v>
      </c>
      <c r="AF172" s="46">
        <v>27.46</v>
      </c>
      <c r="AG172" s="46">
        <v>23.51</v>
      </c>
      <c r="AH172" s="46">
        <v>24.869999999999997</v>
      </c>
      <c r="AI172" s="46">
        <v>0</v>
      </c>
      <c r="AJ172" s="46">
        <v>25.61</v>
      </c>
      <c r="AK172" s="46">
        <v>23.43</v>
      </c>
      <c r="AL172" s="46">
        <v>39.021000000000001</v>
      </c>
      <c r="AM172" s="46">
        <v>6.16</v>
      </c>
      <c r="AN172" s="46">
        <v>0</v>
      </c>
      <c r="AO172" s="46">
        <f t="shared" si="4"/>
        <v>6.0956999999999999</v>
      </c>
      <c r="AP172" s="7">
        <f t="shared" si="5"/>
        <v>6.0956999999999999</v>
      </c>
    </row>
    <row r="173" spans="1:42" x14ac:dyDescent="0.3">
      <c r="A173" s="5">
        <v>172</v>
      </c>
      <c r="B173" s="107" t="s">
        <v>65</v>
      </c>
      <c r="C173" s="10" t="s">
        <v>691</v>
      </c>
      <c r="D173" s="12" t="s">
        <v>932</v>
      </c>
      <c r="E173" s="110" t="s">
        <v>407</v>
      </c>
      <c r="F173" s="6" t="s">
        <v>19</v>
      </c>
      <c r="G173" s="6" t="s">
        <v>976</v>
      </c>
      <c r="H173" s="6" t="s">
        <v>35</v>
      </c>
      <c r="I173" s="5">
        <v>2</v>
      </c>
      <c r="J173" s="12" t="s">
        <v>590</v>
      </c>
      <c r="K173" s="46">
        <v>7.2430000000000003</v>
      </c>
      <c r="L173" s="46">
        <v>13.303000000000001</v>
      </c>
      <c r="M173" s="46">
        <v>9.9589999999999996</v>
      </c>
      <c r="N173" s="46">
        <v>10.431999999999999</v>
      </c>
      <c r="O173" s="46">
        <v>0</v>
      </c>
      <c r="P173" s="46">
        <v>0</v>
      </c>
      <c r="Q173" s="46">
        <v>17.626999999999999</v>
      </c>
      <c r="R173" s="46">
        <v>10.904</v>
      </c>
      <c r="S173" s="46">
        <v>8.375</v>
      </c>
      <c r="T173" s="46">
        <v>0</v>
      </c>
      <c r="U173" s="46">
        <v>9.2249999999999996</v>
      </c>
      <c r="V173" s="46">
        <v>0</v>
      </c>
      <c r="W173" s="46">
        <v>0</v>
      </c>
      <c r="X173" s="46">
        <v>0</v>
      </c>
      <c r="Y173" s="46">
        <v>8.0410000000000004</v>
      </c>
      <c r="Z173" s="46">
        <v>4.3250000000000002</v>
      </c>
      <c r="AA173" s="46">
        <v>10.718999999999999</v>
      </c>
      <c r="AB173" s="46">
        <v>0</v>
      </c>
      <c r="AC173" s="46">
        <v>0</v>
      </c>
      <c r="AD173" s="46">
        <v>0</v>
      </c>
      <c r="AE173" s="46">
        <v>0</v>
      </c>
      <c r="AF173" s="46">
        <v>8.5180000000000007</v>
      </c>
      <c r="AG173" s="46">
        <v>13.837</v>
      </c>
      <c r="AH173" s="46">
        <v>4.7649999999999997</v>
      </c>
      <c r="AI173" s="46">
        <v>13.863</v>
      </c>
      <c r="AJ173" s="46">
        <v>0</v>
      </c>
      <c r="AK173" s="46">
        <v>0</v>
      </c>
      <c r="AL173" s="46">
        <v>5.7509999999999994</v>
      </c>
      <c r="AM173" s="46">
        <v>9.5839999999999996</v>
      </c>
      <c r="AN173" s="46">
        <v>5.5640000000000001</v>
      </c>
      <c r="AO173" s="46">
        <f t="shared" si="4"/>
        <v>5.7344999999999988</v>
      </c>
      <c r="AP173" s="7">
        <f t="shared" si="5"/>
        <v>2.8672499999999994</v>
      </c>
    </row>
    <row r="174" spans="1:42" x14ac:dyDescent="0.3">
      <c r="A174" s="5">
        <v>173</v>
      </c>
      <c r="B174" s="107" t="s">
        <v>65</v>
      </c>
      <c r="C174" s="10" t="s">
        <v>692</v>
      </c>
      <c r="D174" s="12" t="s">
        <v>933</v>
      </c>
      <c r="E174" s="110" t="s">
        <v>432</v>
      </c>
      <c r="F174" s="6" t="s">
        <v>19</v>
      </c>
      <c r="G174" s="6" t="s">
        <v>976</v>
      </c>
      <c r="H174" s="6" t="s">
        <v>35</v>
      </c>
      <c r="I174" s="5">
        <v>2</v>
      </c>
      <c r="J174" s="12" t="s">
        <v>590</v>
      </c>
      <c r="K174" s="46">
        <v>3.004</v>
      </c>
      <c r="L174" s="46">
        <v>5.0670000000000002</v>
      </c>
      <c r="M174" s="46">
        <v>0</v>
      </c>
      <c r="N174" s="46">
        <v>0</v>
      </c>
      <c r="O174" s="46">
        <v>0</v>
      </c>
      <c r="P174" s="46">
        <v>0</v>
      </c>
      <c r="Q174" s="46">
        <v>7.5110000000000001</v>
      </c>
      <c r="R174" s="46">
        <v>7.2249999999999996</v>
      </c>
      <c r="S174" s="46">
        <v>4.9130000000000003</v>
      </c>
      <c r="T174" s="46">
        <v>0</v>
      </c>
      <c r="U174" s="46">
        <v>4.6449999999999996</v>
      </c>
      <c r="V174" s="46">
        <v>0</v>
      </c>
      <c r="W174" s="46">
        <v>0</v>
      </c>
      <c r="X174" s="46">
        <v>0</v>
      </c>
      <c r="Y174" s="46">
        <v>2.0169999999999999</v>
      </c>
      <c r="Z174" s="46">
        <v>9.8209999999999997</v>
      </c>
      <c r="AA174" s="46">
        <v>0</v>
      </c>
      <c r="AB174" s="46">
        <v>0</v>
      </c>
      <c r="AC174" s="46">
        <v>0</v>
      </c>
      <c r="AD174" s="46">
        <v>0</v>
      </c>
      <c r="AE174" s="46">
        <v>11.974</v>
      </c>
      <c r="AF174" s="46">
        <v>0</v>
      </c>
      <c r="AG174" s="46">
        <v>0</v>
      </c>
      <c r="AH174" s="46">
        <v>0</v>
      </c>
      <c r="AI174" s="46">
        <v>0</v>
      </c>
      <c r="AJ174" s="46">
        <v>0</v>
      </c>
      <c r="AK174" s="46">
        <v>0</v>
      </c>
      <c r="AL174" s="46">
        <v>0</v>
      </c>
      <c r="AM174" s="46">
        <v>0</v>
      </c>
      <c r="AN174" s="46">
        <v>0</v>
      </c>
      <c r="AO174" s="46">
        <f t="shared" si="4"/>
        <v>1.8725666666666669</v>
      </c>
      <c r="AP174" s="7">
        <f t="shared" si="5"/>
        <v>0.93628333333333347</v>
      </c>
    </row>
    <row r="175" spans="1:42" x14ac:dyDescent="0.3">
      <c r="A175" s="5">
        <v>174</v>
      </c>
      <c r="B175" s="107" t="s">
        <v>65</v>
      </c>
      <c r="C175" s="10" t="s">
        <v>693</v>
      </c>
      <c r="D175" s="12" t="s">
        <v>934</v>
      </c>
      <c r="E175" s="110" t="s">
        <v>407</v>
      </c>
      <c r="F175" s="6" t="s">
        <v>19</v>
      </c>
      <c r="G175" s="6" t="s">
        <v>976</v>
      </c>
      <c r="H175" s="6" t="s">
        <v>35</v>
      </c>
      <c r="I175" s="5">
        <v>1</v>
      </c>
      <c r="J175" s="12" t="s">
        <v>590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0</v>
      </c>
      <c r="AL175" s="46">
        <v>0</v>
      </c>
      <c r="AM175" s="46">
        <v>0</v>
      </c>
      <c r="AN175" s="46">
        <v>0</v>
      </c>
      <c r="AO175" s="46">
        <f t="shared" si="4"/>
        <v>0</v>
      </c>
      <c r="AP175" s="7">
        <f t="shared" si="5"/>
        <v>0</v>
      </c>
    </row>
    <row r="176" spans="1:42" x14ac:dyDescent="0.3">
      <c r="A176" s="5">
        <v>175</v>
      </c>
      <c r="B176" s="107" t="s">
        <v>65</v>
      </c>
      <c r="C176" s="112" t="s">
        <v>694</v>
      </c>
      <c r="D176" s="112" t="s">
        <v>935</v>
      </c>
      <c r="E176" s="110" t="s">
        <v>432</v>
      </c>
      <c r="F176" s="6" t="s">
        <v>19</v>
      </c>
      <c r="G176" s="6" t="s">
        <v>976</v>
      </c>
      <c r="H176" s="6" t="s">
        <v>35</v>
      </c>
      <c r="I176" s="5">
        <v>2</v>
      </c>
      <c r="J176" s="12" t="s">
        <v>590</v>
      </c>
      <c r="K176" s="46">
        <v>0</v>
      </c>
      <c r="L176" s="46">
        <v>0</v>
      </c>
      <c r="M176" s="46">
        <v>0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0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>
        <v>0</v>
      </c>
      <c r="AL176" s="46">
        <v>0</v>
      </c>
      <c r="AM176" s="46">
        <v>0</v>
      </c>
      <c r="AN176" s="46">
        <v>0</v>
      </c>
      <c r="AO176" s="46">
        <f t="shared" si="4"/>
        <v>0</v>
      </c>
      <c r="AP176" s="7">
        <f t="shared" si="5"/>
        <v>0</v>
      </c>
    </row>
    <row r="177" spans="1:42" x14ac:dyDescent="0.3">
      <c r="A177" s="5">
        <v>176</v>
      </c>
      <c r="B177" s="107" t="s">
        <v>65</v>
      </c>
      <c r="C177" s="112" t="s">
        <v>695</v>
      </c>
      <c r="D177" s="112" t="s">
        <v>936</v>
      </c>
      <c r="E177" s="110" t="s">
        <v>521</v>
      </c>
      <c r="F177" s="6" t="s">
        <v>19</v>
      </c>
      <c r="G177" s="6" t="s">
        <v>976</v>
      </c>
      <c r="H177" s="6" t="s">
        <v>35</v>
      </c>
      <c r="I177" s="5">
        <v>1</v>
      </c>
      <c r="J177" s="12" t="s">
        <v>590</v>
      </c>
      <c r="K177" s="46">
        <v>0</v>
      </c>
      <c r="L177" s="46">
        <v>0</v>
      </c>
      <c r="M177" s="46">
        <v>0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0</v>
      </c>
      <c r="AL177" s="46">
        <v>0</v>
      </c>
      <c r="AM177" s="46">
        <v>0</v>
      </c>
      <c r="AN177" s="46">
        <v>0</v>
      </c>
      <c r="AO177" s="46">
        <f t="shared" si="4"/>
        <v>0</v>
      </c>
      <c r="AP177" s="7">
        <f t="shared" si="5"/>
        <v>0</v>
      </c>
    </row>
    <row r="178" spans="1:42" x14ac:dyDescent="0.3">
      <c r="A178" s="5">
        <v>177</v>
      </c>
      <c r="B178" s="107" t="s">
        <v>65</v>
      </c>
      <c r="C178" s="10" t="s">
        <v>846</v>
      </c>
      <c r="D178" s="39" t="s">
        <v>841</v>
      </c>
      <c r="E178" s="110" t="s">
        <v>521</v>
      </c>
      <c r="F178" s="6" t="s">
        <v>19</v>
      </c>
      <c r="G178" s="6" t="s">
        <v>976</v>
      </c>
      <c r="H178" s="6" t="s">
        <v>35</v>
      </c>
      <c r="I178" s="5">
        <v>2</v>
      </c>
      <c r="J178" s="12" t="s">
        <v>590</v>
      </c>
      <c r="K178" s="46">
        <v>14.548999999999999</v>
      </c>
      <c r="L178" s="46">
        <v>12.667999999999999</v>
      </c>
      <c r="M178" s="46">
        <v>8.3740000000000006</v>
      </c>
      <c r="N178" s="46">
        <v>7.5529999999999999</v>
      </c>
      <c r="O178" s="46">
        <v>0</v>
      </c>
      <c r="P178" s="46">
        <v>0</v>
      </c>
      <c r="Q178" s="46">
        <v>11.291</v>
      </c>
      <c r="R178" s="46">
        <v>8.6110000000000007</v>
      </c>
      <c r="S178" s="46">
        <v>11.319000000000001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9.56</v>
      </c>
      <c r="AG178" s="46">
        <v>6.32</v>
      </c>
      <c r="AH178" s="46">
        <v>11.297000000000001</v>
      </c>
      <c r="AI178" s="46">
        <v>7.7750000000000004</v>
      </c>
      <c r="AJ178" s="46">
        <v>0</v>
      </c>
      <c r="AK178" s="46">
        <v>0</v>
      </c>
      <c r="AL178" s="46">
        <v>10.757999999999999</v>
      </c>
      <c r="AM178" s="46">
        <v>11.305</v>
      </c>
      <c r="AN178" s="46">
        <v>4.5430000000000001</v>
      </c>
      <c r="AO178" s="46">
        <f t="shared" si="4"/>
        <v>4.5307666666666666</v>
      </c>
      <c r="AP178" s="7">
        <f t="shared" si="5"/>
        <v>2.2653833333333333</v>
      </c>
    </row>
    <row r="179" spans="1:42" x14ac:dyDescent="0.3">
      <c r="A179" s="5">
        <v>178</v>
      </c>
      <c r="B179" s="107" t="s">
        <v>65</v>
      </c>
      <c r="C179" s="112" t="s">
        <v>696</v>
      </c>
      <c r="D179" s="112" t="s">
        <v>937</v>
      </c>
      <c r="E179" s="110" t="s">
        <v>128</v>
      </c>
      <c r="F179" s="6" t="s">
        <v>12</v>
      </c>
      <c r="G179" s="6" t="s">
        <v>976</v>
      </c>
      <c r="H179" s="6" t="s">
        <v>35</v>
      </c>
      <c r="I179" s="5">
        <v>15</v>
      </c>
      <c r="J179" s="94" t="s">
        <v>273</v>
      </c>
      <c r="K179" s="46">
        <v>165.23099999999999</v>
      </c>
      <c r="L179" s="46">
        <v>151.96799999999999</v>
      </c>
      <c r="M179" s="46">
        <v>196.09700000000001</v>
      </c>
      <c r="N179" s="46">
        <v>196.08799999999999</v>
      </c>
      <c r="O179" s="46">
        <v>174.239</v>
      </c>
      <c r="P179" s="46">
        <v>162.44499999999999</v>
      </c>
      <c r="Q179" s="46">
        <v>159.59900000000002</v>
      </c>
      <c r="R179" s="46">
        <v>191.065</v>
      </c>
      <c r="S179" s="46">
        <v>186.14300000000003</v>
      </c>
      <c r="T179" s="46">
        <v>218.57000000000005</v>
      </c>
      <c r="U179" s="46">
        <v>208.345</v>
      </c>
      <c r="V179" s="46">
        <v>179.27799999999999</v>
      </c>
      <c r="W179" s="46">
        <v>182.459</v>
      </c>
      <c r="X179" s="46">
        <v>156.608</v>
      </c>
      <c r="Y179" s="46">
        <v>161.679</v>
      </c>
      <c r="Z179" s="46">
        <v>65.411999999999992</v>
      </c>
      <c r="AA179" s="46">
        <v>83.463000000000008</v>
      </c>
      <c r="AB179" s="46">
        <v>88.679000000000002</v>
      </c>
      <c r="AC179" s="46">
        <v>95.580999999999989</v>
      </c>
      <c r="AD179" s="46">
        <v>118.866</v>
      </c>
      <c r="AE179" s="46">
        <v>100.56399999999999</v>
      </c>
      <c r="AF179" s="46">
        <v>110.577</v>
      </c>
      <c r="AG179" s="46">
        <v>132.90400000000002</v>
      </c>
      <c r="AH179" s="46">
        <v>106.80500000000002</v>
      </c>
      <c r="AI179" s="46">
        <v>98.146000000000015</v>
      </c>
      <c r="AJ179" s="46">
        <v>105.84</v>
      </c>
      <c r="AK179" s="46">
        <v>66.230999999999995</v>
      </c>
      <c r="AL179" s="46">
        <v>54.22</v>
      </c>
      <c r="AM179" s="46">
        <v>56.042000000000002</v>
      </c>
      <c r="AN179" s="46">
        <v>66.611000000000004</v>
      </c>
      <c r="AO179" s="46">
        <f t="shared" si="4"/>
        <v>134.6585</v>
      </c>
      <c r="AP179" s="7">
        <f t="shared" si="5"/>
        <v>8.9772333333333343</v>
      </c>
    </row>
    <row r="180" spans="1:42" x14ac:dyDescent="0.3">
      <c r="A180" s="5">
        <v>179</v>
      </c>
      <c r="B180" s="107" t="s">
        <v>65</v>
      </c>
      <c r="C180" s="112" t="s">
        <v>939</v>
      </c>
      <c r="D180" s="112" t="s">
        <v>940</v>
      </c>
      <c r="E180" s="110" t="s">
        <v>128</v>
      </c>
      <c r="F180" s="6" t="s">
        <v>12</v>
      </c>
      <c r="G180" s="6" t="s">
        <v>971</v>
      </c>
      <c r="H180" s="6" t="s">
        <v>80</v>
      </c>
      <c r="I180" s="5">
        <v>2</v>
      </c>
      <c r="J180" s="94" t="s">
        <v>273</v>
      </c>
      <c r="K180" s="46">
        <v>0</v>
      </c>
      <c r="L180" s="46">
        <v>0</v>
      </c>
      <c r="M180" s="46">
        <v>0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0.34100000000000003</v>
      </c>
      <c r="AD180" s="46">
        <v>0</v>
      </c>
      <c r="AE180" s="46">
        <v>0</v>
      </c>
      <c r="AF180" s="46">
        <v>0</v>
      </c>
      <c r="AG180" s="46">
        <v>12.92</v>
      </c>
      <c r="AH180" s="46">
        <v>8.65</v>
      </c>
      <c r="AI180" s="46">
        <v>7.34</v>
      </c>
      <c r="AJ180" s="46">
        <v>0</v>
      </c>
      <c r="AK180" s="46">
        <v>0</v>
      </c>
      <c r="AL180" s="46">
        <v>0</v>
      </c>
      <c r="AM180" s="46">
        <v>0</v>
      </c>
      <c r="AN180" s="46">
        <v>0</v>
      </c>
      <c r="AO180" s="46">
        <f t="shared" si="4"/>
        <v>0.97503333333333342</v>
      </c>
      <c r="AP180" s="7">
        <f t="shared" si="5"/>
        <v>0.48751666666666671</v>
      </c>
    </row>
    <row r="181" spans="1:42" x14ac:dyDescent="0.3">
      <c r="A181" s="5">
        <v>180</v>
      </c>
      <c r="B181" s="107" t="s">
        <v>65</v>
      </c>
      <c r="C181" s="112"/>
      <c r="D181" s="112" t="s">
        <v>1012</v>
      </c>
      <c r="E181" s="6" t="s">
        <v>128</v>
      </c>
      <c r="F181" s="6" t="s">
        <v>12</v>
      </c>
      <c r="G181" s="6" t="s">
        <v>13</v>
      </c>
      <c r="H181" s="6" t="s">
        <v>35</v>
      </c>
      <c r="I181" s="92">
        <v>2</v>
      </c>
      <c r="J181" s="94" t="s">
        <v>273</v>
      </c>
      <c r="K181" s="46">
        <v>0</v>
      </c>
      <c r="L181" s="46">
        <v>0</v>
      </c>
      <c r="M181" s="46">
        <v>0</v>
      </c>
      <c r="N181" s="46">
        <v>0</v>
      </c>
      <c r="O181" s="46">
        <v>0</v>
      </c>
      <c r="P181" s="46">
        <v>10.423999999999999</v>
      </c>
      <c r="Q181" s="46">
        <v>16.088999999999999</v>
      </c>
      <c r="R181" s="46">
        <v>6.891</v>
      </c>
      <c r="S181" s="46">
        <v>10.102</v>
      </c>
      <c r="T181" s="46">
        <v>12.951000000000001</v>
      </c>
      <c r="U181" s="46">
        <v>7.27</v>
      </c>
      <c r="V181" s="46">
        <v>20.239999999999998</v>
      </c>
      <c r="W181" s="46">
        <v>10.768000000000001</v>
      </c>
      <c r="X181" s="46">
        <v>22.518999999999998</v>
      </c>
      <c r="Y181" s="46">
        <v>14.529</v>
      </c>
      <c r="Z181" s="46">
        <v>11.367000000000001</v>
      </c>
      <c r="AA181" s="46">
        <v>6.13</v>
      </c>
      <c r="AB181" s="46">
        <v>0</v>
      </c>
      <c r="AC181" s="46">
        <v>1E-3</v>
      </c>
      <c r="AD181" s="46">
        <v>0</v>
      </c>
      <c r="AE181" s="46">
        <v>14.675999999999998</v>
      </c>
      <c r="AF181" s="46">
        <v>1E-3</v>
      </c>
      <c r="AG181" s="46">
        <v>1.839</v>
      </c>
      <c r="AH181" s="46">
        <v>0</v>
      </c>
      <c r="AI181" s="46">
        <v>0</v>
      </c>
      <c r="AJ181" s="46">
        <v>7.5150000000000006</v>
      </c>
      <c r="AK181" s="46">
        <v>5.6109999999999998</v>
      </c>
      <c r="AL181" s="46">
        <v>5.1269999999999998</v>
      </c>
      <c r="AM181" s="46">
        <v>0</v>
      </c>
      <c r="AN181" s="46">
        <v>0</v>
      </c>
      <c r="AO181" s="46">
        <f t="shared" si="4"/>
        <v>6.1349999999999989</v>
      </c>
      <c r="AP181" s="7">
        <f t="shared" si="5"/>
        <v>3.0674999999999994</v>
      </c>
    </row>
    <row r="182" spans="1:42" x14ac:dyDescent="0.3">
      <c r="A182" s="5">
        <v>181</v>
      </c>
      <c r="B182" s="107" t="s">
        <v>65</v>
      </c>
      <c r="C182" s="112"/>
      <c r="D182" s="10" t="s">
        <v>1062</v>
      </c>
      <c r="E182" s="6" t="s">
        <v>128</v>
      </c>
      <c r="F182" s="6" t="s">
        <v>12</v>
      </c>
      <c r="G182" s="6" t="s">
        <v>13</v>
      </c>
      <c r="H182" s="6" t="s">
        <v>35</v>
      </c>
      <c r="I182" s="92">
        <v>1</v>
      </c>
      <c r="J182" s="94" t="s">
        <v>160</v>
      </c>
      <c r="K182" s="46"/>
      <c r="L182" s="46"/>
      <c r="M182" s="46"/>
      <c r="N182" s="46">
        <v>1.3939999999999999</v>
      </c>
      <c r="O182" s="46">
        <v>0</v>
      </c>
      <c r="P182" s="46">
        <v>0</v>
      </c>
      <c r="Q182" s="46">
        <v>0</v>
      </c>
      <c r="R182" s="46">
        <v>0</v>
      </c>
      <c r="S182" s="46">
        <v>2.2319999999999998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0</v>
      </c>
      <c r="AD182" s="46">
        <v>0</v>
      </c>
      <c r="AE182" s="46">
        <v>0</v>
      </c>
      <c r="AF182" s="46">
        <v>0</v>
      </c>
      <c r="AG182" s="46">
        <v>6.5510000000000002</v>
      </c>
      <c r="AH182" s="46">
        <v>2.6659999999999999</v>
      </c>
      <c r="AI182" s="46">
        <v>0</v>
      </c>
      <c r="AJ182" s="46">
        <v>0</v>
      </c>
      <c r="AK182" s="46">
        <v>0</v>
      </c>
      <c r="AL182" s="46">
        <v>0</v>
      </c>
      <c r="AM182" s="46">
        <v>0</v>
      </c>
      <c r="AN182" s="46">
        <v>0</v>
      </c>
      <c r="AO182" s="46">
        <f t="shared" si="4"/>
        <v>0.47566666666666668</v>
      </c>
      <c r="AP182" s="7">
        <f t="shared" si="5"/>
        <v>0.47566666666666668</v>
      </c>
    </row>
    <row r="183" spans="1:42" x14ac:dyDescent="0.3">
      <c r="A183" s="5">
        <v>182</v>
      </c>
      <c r="B183" s="107" t="s">
        <v>65</v>
      </c>
      <c r="C183" s="112"/>
      <c r="D183" s="10" t="s">
        <v>1063</v>
      </c>
      <c r="E183" s="6" t="s">
        <v>128</v>
      </c>
      <c r="F183" s="6" t="s">
        <v>12</v>
      </c>
      <c r="G183" s="6" t="s">
        <v>13</v>
      </c>
      <c r="H183" s="6" t="s">
        <v>35</v>
      </c>
      <c r="I183" s="92">
        <v>1</v>
      </c>
      <c r="J183" s="94" t="s">
        <v>160</v>
      </c>
      <c r="K183" s="46"/>
      <c r="L183" s="46"/>
      <c r="M183" s="46"/>
      <c r="N183" s="46"/>
      <c r="O183" s="46"/>
      <c r="P183" s="46"/>
      <c r="Q183" s="46">
        <v>0</v>
      </c>
      <c r="R183" s="46">
        <v>0.71699999999999997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0</v>
      </c>
      <c r="AL183" s="46">
        <v>0</v>
      </c>
      <c r="AM183" s="46">
        <v>0</v>
      </c>
      <c r="AN183" s="46">
        <v>0</v>
      </c>
      <c r="AO183" s="46">
        <f t="shared" si="4"/>
        <v>2.9874999999999999E-2</v>
      </c>
      <c r="AP183" s="7">
        <f t="shared" si="5"/>
        <v>2.9874999999999999E-2</v>
      </c>
    </row>
    <row r="184" spans="1:42" x14ac:dyDescent="0.3">
      <c r="A184" s="5">
        <v>183</v>
      </c>
      <c r="B184" s="107" t="s">
        <v>65</v>
      </c>
      <c r="C184" s="112"/>
      <c r="D184" s="10" t="s">
        <v>1064</v>
      </c>
      <c r="E184" s="6" t="s">
        <v>128</v>
      </c>
      <c r="F184" s="6" t="s">
        <v>12</v>
      </c>
      <c r="G184" s="6" t="s">
        <v>13</v>
      </c>
      <c r="H184" s="6" t="s">
        <v>35</v>
      </c>
      <c r="I184" s="92">
        <v>1</v>
      </c>
      <c r="J184" s="94" t="s">
        <v>160</v>
      </c>
      <c r="K184" s="46"/>
      <c r="L184" s="46"/>
      <c r="M184" s="46"/>
      <c r="N184" s="46"/>
      <c r="O184" s="46"/>
      <c r="P184" s="46"/>
      <c r="Q184" s="46">
        <v>0</v>
      </c>
      <c r="R184" s="46">
        <v>1.119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f t="shared" si="4"/>
        <v>4.6625E-2</v>
      </c>
      <c r="AP184" s="7">
        <f t="shared" si="5"/>
        <v>4.6625E-2</v>
      </c>
    </row>
    <row r="185" spans="1:42" x14ac:dyDescent="0.3">
      <c r="A185" s="5">
        <v>184</v>
      </c>
      <c r="B185" s="107" t="s">
        <v>65</v>
      </c>
      <c r="C185" s="112"/>
      <c r="D185" s="10" t="s">
        <v>1066</v>
      </c>
      <c r="E185" s="6" t="s">
        <v>128</v>
      </c>
      <c r="F185" s="6" t="s">
        <v>12</v>
      </c>
      <c r="G185" s="6" t="s">
        <v>135</v>
      </c>
      <c r="H185" s="6" t="s">
        <v>35</v>
      </c>
      <c r="I185" s="107">
        <v>1</v>
      </c>
      <c r="J185" s="6" t="s">
        <v>160</v>
      </c>
      <c r="K185" s="46"/>
      <c r="L185" s="46"/>
      <c r="M185" s="46"/>
      <c r="N185" s="46"/>
      <c r="O185" s="46"/>
      <c r="P185" s="46"/>
      <c r="Q185" s="46"/>
      <c r="R185" s="46"/>
      <c r="S185" s="46">
        <v>0</v>
      </c>
      <c r="T185" s="46">
        <v>30.036000000000001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0</v>
      </c>
      <c r="AL185" s="46">
        <v>0</v>
      </c>
      <c r="AM185" s="46">
        <v>0</v>
      </c>
      <c r="AN185" s="46">
        <v>0</v>
      </c>
      <c r="AO185" s="46">
        <f t="shared" si="4"/>
        <v>1.3652727272727274</v>
      </c>
      <c r="AP185" s="7">
        <f t="shared" si="5"/>
        <v>1.3652727272727274</v>
      </c>
    </row>
    <row r="186" spans="1:42" x14ac:dyDescent="0.3">
      <c r="A186" s="5">
        <v>185</v>
      </c>
      <c r="B186" s="107" t="s">
        <v>65</v>
      </c>
      <c r="C186" s="112"/>
      <c r="D186" s="10" t="s">
        <v>1065</v>
      </c>
      <c r="E186" s="6" t="s">
        <v>128</v>
      </c>
      <c r="F186" s="6" t="s">
        <v>12</v>
      </c>
      <c r="G186" s="6" t="s">
        <v>13</v>
      </c>
      <c r="H186" s="6" t="s">
        <v>35</v>
      </c>
      <c r="I186" s="92">
        <v>1</v>
      </c>
      <c r="J186" s="94" t="s">
        <v>160</v>
      </c>
      <c r="K186" s="46"/>
      <c r="L186" s="46"/>
      <c r="M186" s="46"/>
      <c r="N186" s="46"/>
      <c r="O186" s="46"/>
      <c r="P186" s="46"/>
      <c r="Q186" s="46">
        <v>0</v>
      </c>
      <c r="R186" s="46">
        <v>2.7389999999999999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0.77300000000000002</v>
      </c>
      <c r="Y186" s="46">
        <v>0</v>
      </c>
      <c r="Z186" s="46"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0</v>
      </c>
      <c r="AF186" s="46">
        <v>5.585</v>
      </c>
      <c r="AG186" s="46">
        <v>0.71599999999999997</v>
      </c>
      <c r="AH186" s="46">
        <v>0</v>
      </c>
      <c r="AI186" s="46">
        <v>0</v>
      </c>
      <c r="AJ186" s="46">
        <v>0</v>
      </c>
      <c r="AK186" s="46">
        <v>0</v>
      </c>
      <c r="AL186" s="46">
        <v>0</v>
      </c>
      <c r="AM186" s="46">
        <v>0</v>
      </c>
      <c r="AN186" s="46">
        <v>0</v>
      </c>
      <c r="AO186" s="46">
        <f t="shared" si="4"/>
        <v>0.40887499999999993</v>
      </c>
      <c r="AP186" s="7">
        <f t="shared" si="5"/>
        <v>0.40887499999999993</v>
      </c>
    </row>
    <row r="187" spans="1:42" x14ac:dyDescent="0.3">
      <c r="A187" s="5">
        <v>186</v>
      </c>
      <c r="B187" s="107" t="s">
        <v>65</v>
      </c>
      <c r="C187" s="112"/>
      <c r="D187" s="10" t="s">
        <v>1067</v>
      </c>
      <c r="E187" s="6" t="s">
        <v>128</v>
      </c>
      <c r="F187" s="6" t="s">
        <v>12</v>
      </c>
      <c r="G187" s="6" t="s">
        <v>13</v>
      </c>
      <c r="H187" s="6" t="s">
        <v>35</v>
      </c>
      <c r="I187" s="92">
        <v>1</v>
      </c>
      <c r="J187" s="94" t="s">
        <v>160</v>
      </c>
      <c r="K187" s="46"/>
      <c r="L187" s="46"/>
      <c r="M187" s="46"/>
      <c r="N187" s="46"/>
      <c r="O187" s="46"/>
      <c r="P187" s="46"/>
      <c r="Q187" s="46"/>
      <c r="R187" s="46"/>
      <c r="S187" s="46">
        <v>0</v>
      </c>
      <c r="T187" s="46">
        <v>0</v>
      </c>
      <c r="U187" s="46">
        <v>2.3610000000000002</v>
      </c>
      <c r="V187" s="46">
        <v>0</v>
      </c>
      <c r="W187" s="46">
        <v>0</v>
      </c>
      <c r="X187" s="46">
        <v>0.84499999999999997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f t="shared" si="4"/>
        <v>0.14572727272727273</v>
      </c>
      <c r="AP187" s="7">
        <f t="shared" si="5"/>
        <v>0.14572727272727273</v>
      </c>
    </row>
    <row r="188" spans="1:42" x14ac:dyDescent="0.3">
      <c r="A188" s="5">
        <v>187</v>
      </c>
      <c r="B188" s="107" t="s">
        <v>65</v>
      </c>
      <c r="C188" s="112"/>
      <c r="D188" s="10" t="s">
        <v>1069</v>
      </c>
      <c r="E188" s="6" t="s">
        <v>128</v>
      </c>
      <c r="F188" s="6" t="s">
        <v>12</v>
      </c>
      <c r="G188" s="6" t="s">
        <v>13</v>
      </c>
      <c r="H188" s="6" t="s">
        <v>35</v>
      </c>
      <c r="I188" s="92">
        <v>1</v>
      </c>
      <c r="J188" s="94" t="s">
        <v>160</v>
      </c>
      <c r="K188" s="46"/>
      <c r="L188" s="46"/>
      <c r="M188" s="46"/>
      <c r="N188" s="46"/>
      <c r="O188" s="46"/>
      <c r="P188" s="46"/>
      <c r="Q188" s="46"/>
      <c r="R188" s="46"/>
      <c r="S188" s="46">
        <v>0</v>
      </c>
      <c r="T188" s="46">
        <v>0</v>
      </c>
      <c r="U188" s="46">
        <v>0.65900000000000003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0</v>
      </c>
      <c r="AD188" s="46">
        <v>0</v>
      </c>
      <c r="AE188" s="46">
        <v>0</v>
      </c>
      <c r="AF188" s="46">
        <v>0</v>
      </c>
      <c r="AG188" s="46">
        <v>0</v>
      </c>
      <c r="AH188" s="46">
        <v>0</v>
      </c>
      <c r="AI188" s="46">
        <v>0</v>
      </c>
      <c r="AJ188" s="46">
        <v>0</v>
      </c>
      <c r="AK188" s="46">
        <v>0</v>
      </c>
      <c r="AL188" s="46">
        <v>0</v>
      </c>
      <c r="AM188" s="46">
        <v>0</v>
      </c>
      <c r="AN188" s="46">
        <v>0</v>
      </c>
      <c r="AO188" s="46">
        <f t="shared" si="4"/>
        <v>2.9954545454545456E-2</v>
      </c>
      <c r="AP188" s="7">
        <f t="shared" si="5"/>
        <v>2.9954545454545456E-2</v>
      </c>
    </row>
    <row r="189" spans="1:42" x14ac:dyDescent="0.3">
      <c r="A189" s="5">
        <v>188</v>
      </c>
      <c r="B189" s="107" t="s">
        <v>65</v>
      </c>
      <c r="C189" s="112"/>
      <c r="D189" s="10" t="s">
        <v>1070</v>
      </c>
      <c r="E189" s="6" t="s">
        <v>128</v>
      </c>
      <c r="F189" s="6" t="s">
        <v>12</v>
      </c>
      <c r="G189" s="6" t="s">
        <v>135</v>
      </c>
      <c r="H189" s="6" t="s">
        <v>35</v>
      </c>
      <c r="I189" s="92">
        <v>1</v>
      </c>
      <c r="J189" s="94" t="s">
        <v>160</v>
      </c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>
        <v>0</v>
      </c>
      <c r="V189" s="46">
        <v>10.65</v>
      </c>
      <c r="W189" s="46">
        <v>6.6950000000000003</v>
      </c>
      <c r="X189" s="46">
        <v>0</v>
      </c>
      <c r="Y189" s="46">
        <v>1E-3</v>
      </c>
      <c r="Z189" s="46">
        <v>0</v>
      </c>
      <c r="AA189" s="46">
        <v>0</v>
      </c>
      <c r="AB189" s="46">
        <v>0</v>
      </c>
      <c r="AC189" s="46">
        <v>2E-3</v>
      </c>
      <c r="AD189" s="46">
        <v>0</v>
      </c>
      <c r="AE189" s="46">
        <v>0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0</v>
      </c>
      <c r="AL189" s="46">
        <v>0</v>
      </c>
      <c r="AM189" s="46">
        <v>0</v>
      </c>
      <c r="AN189" s="46">
        <v>0</v>
      </c>
      <c r="AO189" s="46">
        <f t="shared" si="4"/>
        <v>0.86739999999999995</v>
      </c>
      <c r="AP189" s="7">
        <f t="shared" si="5"/>
        <v>0.86739999999999995</v>
      </c>
    </row>
    <row r="190" spans="1:42" x14ac:dyDescent="0.3">
      <c r="A190" s="5">
        <v>189</v>
      </c>
      <c r="B190" s="107" t="s">
        <v>65</v>
      </c>
      <c r="C190" s="112"/>
      <c r="D190" s="10" t="s">
        <v>1071</v>
      </c>
      <c r="E190" s="6" t="s">
        <v>128</v>
      </c>
      <c r="F190" s="6" t="s">
        <v>12</v>
      </c>
      <c r="G190" s="6" t="s">
        <v>135</v>
      </c>
      <c r="H190" s="6" t="s">
        <v>35</v>
      </c>
      <c r="I190" s="92">
        <v>1</v>
      </c>
      <c r="J190" s="94" t="s">
        <v>160</v>
      </c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>
        <v>0</v>
      </c>
      <c r="V190" s="46">
        <v>4.0129999999999999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12.901999999999999</v>
      </c>
      <c r="AD190" s="46">
        <v>0</v>
      </c>
      <c r="AE190" s="46">
        <v>0</v>
      </c>
      <c r="AF190" s="46">
        <v>14.135999999999999</v>
      </c>
      <c r="AG190" s="46">
        <v>0</v>
      </c>
      <c r="AH190" s="46">
        <v>0</v>
      </c>
      <c r="AI190" s="46">
        <v>0</v>
      </c>
      <c r="AJ190" s="46">
        <v>0</v>
      </c>
      <c r="AK190" s="46">
        <v>0</v>
      </c>
      <c r="AL190" s="46">
        <v>0</v>
      </c>
      <c r="AM190" s="46">
        <v>0</v>
      </c>
      <c r="AN190" s="46">
        <v>0</v>
      </c>
      <c r="AO190" s="46">
        <f t="shared" si="4"/>
        <v>1.5525499999999999</v>
      </c>
      <c r="AP190" s="7">
        <f t="shared" si="5"/>
        <v>1.5525499999999999</v>
      </c>
    </row>
    <row r="191" spans="1:42" x14ac:dyDescent="0.3">
      <c r="A191" s="5">
        <v>190</v>
      </c>
      <c r="B191" s="107" t="s">
        <v>65</v>
      </c>
      <c r="C191" s="112"/>
      <c r="D191" s="10" t="s">
        <v>1072</v>
      </c>
      <c r="E191" s="6" t="s">
        <v>128</v>
      </c>
      <c r="F191" s="6" t="s">
        <v>12</v>
      </c>
      <c r="G191" s="6" t="s">
        <v>13</v>
      </c>
      <c r="H191" s="6" t="s">
        <v>35</v>
      </c>
      <c r="I191" s="92">
        <v>1</v>
      </c>
      <c r="J191" s="94" t="s">
        <v>160</v>
      </c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>
        <v>3.5270000000000001</v>
      </c>
      <c r="Z191" s="46">
        <v>5.1219999999999999</v>
      </c>
      <c r="AA191" s="46">
        <v>6.431</v>
      </c>
      <c r="AB191" s="46">
        <v>7.7290000000000001</v>
      </c>
      <c r="AC191" s="46">
        <v>1.548</v>
      </c>
      <c r="AD191" s="46">
        <v>4.3419999999999996</v>
      </c>
      <c r="AE191" s="46">
        <v>4.6589999999999998</v>
      </c>
      <c r="AF191" s="46">
        <v>9.9749999999999996</v>
      </c>
      <c r="AG191" s="46">
        <v>7.7309999999999999</v>
      </c>
      <c r="AH191" s="46">
        <v>2.609</v>
      </c>
      <c r="AI191" s="46">
        <v>0</v>
      </c>
      <c r="AJ191" s="46">
        <v>0</v>
      </c>
      <c r="AK191" s="46">
        <v>0</v>
      </c>
      <c r="AL191" s="46">
        <v>0</v>
      </c>
      <c r="AM191" s="46">
        <v>0.76900000000000002</v>
      </c>
      <c r="AN191" s="46">
        <v>0</v>
      </c>
      <c r="AO191" s="46">
        <f t="shared" si="4"/>
        <v>3.402625</v>
      </c>
      <c r="AP191" s="7">
        <f t="shared" si="5"/>
        <v>3.402625</v>
      </c>
    </row>
    <row r="192" spans="1:42" x14ac:dyDescent="0.3">
      <c r="A192" s="5">
        <v>191</v>
      </c>
      <c r="B192" s="107" t="s">
        <v>65</v>
      </c>
      <c r="C192" s="112"/>
      <c r="D192" s="10" t="s">
        <v>1073</v>
      </c>
      <c r="E192" s="6" t="s">
        <v>128</v>
      </c>
      <c r="F192" s="6" t="s">
        <v>12</v>
      </c>
      <c r="G192" s="6" t="s">
        <v>13</v>
      </c>
      <c r="H192" s="6" t="s">
        <v>35</v>
      </c>
      <c r="I192" s="92">
        <v>1</v>
      </c>
      <c r="J192" s="94" t="s">
        <v>160</v>
      </c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>
        <v>6.1679999999999993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0</v>
      </c>
      <c r="AL192" s="46">
        <v>0</v>
      </c>
      <c r="AM192" s="46">
        <v>0</v>
      </c>
      <c r="AN192" s="46">
        <v>0</v>
      </c>
      <c r="AO192" s="46">
        <f t="shared" si="4"/>
        <v>0.4405714285714285</v>
      </c>
      <c r="AP192" s="7">
        <f t="shared" si="5"/>
        <v>0.4405714285714285</v>
      </c>
    </row>
    <row r="193" spans="1:42" x14ac:dyDescent="0.3">
      <c r="A193" s="5">
        <v>192</v>
      </c>
      <c r="B193" s="107" t="s">
        <v>65</v>
      </c>
      <c r="C193" s="112"/>
      <c r="D193" s="10" t="s">
        <v>1074</v>
      </c>
      <c r="E193" s="6" t="s">
        <v>128</v>
      </c>
      <c r="F193" s="6" t="s">
        <v>12</v>
      </c>
      <c r="G193" s="6" t="s">
        <v>135</v>
      </c>
      <c r="H193" s="6" t="s">
        <v>35</v>
      </c>
      <c r="I193" s="92">
        <v>1</v>
      </c>
      <c r="J193" s="94" t="s">
        <v>160</v>
      </c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>
        <v>15.307</v>
      </c>
      <c r="AC193" s="46">
        <v>12.362</v>
      </c>
      <c r="AD193" s="46">
        <v>27.610999999999997</v>
      </c>
      <c r="AE193" s="46">
        <v>0</v>
      </c>
      <c r="AF193" s="46">
        <v>12.359</v>
      </c>
      <c r="AG193" s="46">
        <v>12.791</v>
      </c>
      <c r="AH193" s="46">
        <v>0</v>
      </c>
      <c r="AI193" s="46">
        <v>0</v>
      </c>
      <c r="AJ193" s="46">
        <v>0</v>
      </c>
      <c r="AK193" s="46">
        <v>0</v>
      </c>
      <c r="AL193" s="46">
        <v>0</v>
      </c>
      <c r="AM193" s="46">
        <v>0</v>
      </c>
      <c r="AN193" s="46">
        <v>0</v>
      </c>
      <c r="AO193" s="46">
        <f t="shared" si="4"/>
        <v>6.1869230769230761</v>
      </c>
      <c r="AP193" s="7">
        <f t="shared" si="5"/>
        <v>6.1869230769230761</v>
      </c>
    </row>
    <row r="194" spans="1:42" x14ac:dyDescent="0.3">
      <c r="A194" s="5">
        <v>193</v>
      </c>
      <c r="B194" s="107" t="s">
        <v>65</v>
      </c>
      <c r="C194" s="112"/>
      <c r="D194" s="10" t="s">
        <v>1075</v>
      </c>
      <c r="E194" s="6" t="s">
        <v>128</v>
      </c>
      <c r="F194" s="6" t="s">
        <v>12</v>
      </c>
      <c r="G194" s="6" t="s">
        <v>13</v>
      </c>
      <c r="H194" s="6" t="s">
        <v>35</v>
      </c>
      <c r="I194" s="92">
        <v>1</v>
      </c>
      <c r="J194" s="94" t="s">
        <v>160</v>
      </c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>
        <v>0</v>
      </c>
      <c r="AD194" s="46">
        <v>0</v>
      </c>
      <c r="AE194" s="46">
        <v>0</v>
      </c>
      <c r="AF194" s="46">
        <v>0</v>
      </c>
      <c r="AG194" s="46">
        <v>2.4049999999999998</v>
      </c>
      <c r="AH194" s="46">
        <v>2.41</v>
      </c>
      <c r="AI194" s="46">
        <v>0</v>
      </c>
      <c r="AJ194" s="46">
        <v>0</v>
      </c>
      <c r="AK194" s="46">
        <v>0</v>
      </c>
      <c r="AL194" s="46">
        <v>0</v>
      </c>
      <c r="AM194" s="46">
        <v>0</v>
      </c>
      <c r="AN194" s="46">
        <v>0</v>
      </c>
      <c r="AO194" s="46">
        <f t="shared" si="4"/>
        <v>0.40124999999999994</v>
      </c>
      <c r="AP194" s="7">
        <f t="shared" si="5"/>
        <v>0.40124999999999994</v>
      </c>
    </row>
    <row r="195" spans="1:42" x14ac:dyDescent="0.3">
      <c r="A195" s="5">
        <v>194</v>
      </c>
      <c r="B195" s="107" t="s">
        <v>1077</v>
      </c>
      <c r="C195" s="112"/>
      <c r="D195" s="10" t="s">
        <v>1076</v>
      </c>
      <c r="E195" s="6" t="s">
        <v>128</v>
      </c>
      <c r="F195" s="6" t="s">
        <v>12</v>
      </c>
      <c r="G195" s="6" t="s">
        <v>290</v>
      </c>
      <c r="H195" s="6" t="s">
        <v>80</v>
      </c>
      <c r="I195" s="92">
        <v>1</v>
      </c>
      <c r="J195" s="94" t="s">
        <v>160</v>
      </c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>
        <v>0</v>
      </c>
      <c r="AD195" s="46">
        <v>9.6300000000000008</v>
      </c>
      <c r="AE195" s="46">
        <v>13.09</v>
      </c>
      <c r="AF195" s="46">
        <v>0</v>
      </c>
      <c r="AG195" s="46">
        <v>0</v>
      </c>
      <c r="AH195" s="46">
        <v>0</v>
      </c>
      <c r="AI195" s="46">
        <v>10.58</v>
      </c>
      <c r="AJ195" s="46">
        <v>0</v>
      </c>
      <c r="AK195" s="46">
        <v>0</v>
      </c>
      <c r="AL195" s="46">
        <v>10.82</v>
      </c>
      <c r="AM195" s="46">
        <v>3.95</v>
      </c>
      <c r="AN195" s="46">
        <v>16.380000000000003</v>
      </c>
      <c r="AO195" s="46">
        <f t="shared" ref="AO195:AO206" si="6">AVERAGE(K195:AN195)</f>
        <v>5.3708333333333336</v>
      </c>
      <c r="AP195" s="7">
        <f t="shared" ref="AP195:AP206" si="7">AO195/I195</f>
        <v>5.3708333333333336</v>
      </c>
    </row>
    <row r="196" spans="1:42" x14ac:dyDescent="0.3">
      <c r="A196" s="5">
        <v>195</v>
      </c>
      <c r="B196" s="107" t="s">
        <v>1080</v>
      </c>
      <c r="C196" s="112"/>
      <c r="D196" s="10" t="s">
        <v>1079</v>
      </c>
      <c r="E196" s="6" t="s">
        <v>128</v>
      </c>
      <c r="F196" s="6" t="s">
        <v>12</v>
      </c>
      <c r="G196" s="6" t="s">
        <v>290</v>
      </c>
      <c r="H196" s="6" t="s">
        <v>80</v>
      </c>
      <c r="I196" s="92">
        <v>1</v>
      </c>
      <c r="J196" s="94" t="s">
        <v>160</v>
      </c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>
        <v>14.79</v>
      </c>
      <c r="AO196" s="46">
        <f t="shared" si="6"/>
        <v>14.79</v>
      </c>
      <c r="AP196" s="7">
        <f t="shared" si="7"/>
        <v>14.79</v>
      </c>
    </row>
    <row r="197" spans="1:42" x14ac:dyDescent="0.3">
      <c r="A197" s="5">
        <v>196</v>
      </c>
      <c r="B197" s="107" t="s">
        <v>1080</v>
      </c>
      <c r="C197" s="112"/>
      <c r="D197" s="10" t="s">
        <v>1081</v>
      </c>
      <c r="E197" s="6" t="s">
        <v>128</v>
      </c>
      <c r="F197" s="6" t="s">
        <v>12</v>
      </c>
      <c r="G197" s="6" t="s">
        <v>135</v>
      </c>
      <c r="H197" s="6" t="s">
        <v>35</v>
      </c>
      <c r="I197" s="92">
        <v>1</v>
      </c>
      <c r="J197" s="94" t="s">
        <v>160</v>
      </c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>
        <v>28.468</v>
      </c>
      <c r="AO197" s="46">
        <f t="shared" si="6"/>
        <v>28.468</v>
      </c>
      <c r="AP197" s="7">
        <f t="shared" si="7"/>
        <v>28.468</v>
      </c>
    </row>
    <row r="198" spans="1:42" x14ac:dyDescent="0.3">
      <c r="A198" s="5">
        <v>197</v>
      </c>
      <c r="B198" s="107" t="s">
        <v>65</v>
      </c>
      <c r="C198" s="112"/>
      <c r="D198" s="39" t="s">
        <v>115</v>
      </c>
      <c r="E198" s="110" t="s">
        <v>113</v>
      </c>
      <c r="F198" s="6" t="s">
        <v>19</v>
      </c>
      <c r="G198" s="6" t="s">
        <v>973</v>
      </c>
      <c r="H198" s="6" t="s">
        <v>80</v>
      </c>
      <c r="I198" s="5">
        <v>1</v>
      </c>
      <c r="J198" s="67" t="s">
        <v>160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0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0</v>
      </c>
      <c r="AF198" s="46">
        <v>0</v>
      </c>
      <c r="AG198" s="46">
        <v>0</v>
      </c>
      <c r="AH198" s="46">
        <v>0</v>
      </c>
      <c r="AI198" s="46">
        <v>0</v>
      </c>
      <c r="AJ198" s="46">
        <v>0</v>
      </c>
      <c r="AK198" s="46">
        <v>0</v>
      </c>
      <c r="AL198" s="46">
        <v>0</v>
      </c>
      <c r="AM198" s="46">
        <v>0</v>
      </c>
      <c r="AN198" s="46">
        <v>0</v>
      </c>
      <c r="AO198" s="46">
        <f t="shared" si="6"/>
        <v>0</v>
      </c>
      <c r="AP198" s="7">
        <f t="shared" si="7"/>
        <v>0</v>
      </c>
    </row>
    <row r="199" spans="1:42" x14ac:dyDescent="0.3">
      <c r="A199" s="5">
        <v>198</v>
      </c>
      <c r="B199" s="107" t="s">
        <v>65</v>
      </c>
      <c r="C199" s="5"/>
      <c r="D199" s="39" t="s">
        <v>117</v>
      </c>
      <c r="E199" s="110" t="s">
        <v>113</v>
      </c>
      <c r="F199" s="6" t="s">
        <v>19</v>
      </c>
      <c r="G199" s="6" t="s">
        <v>973</v>
      </c>
      <c r="H199" s="6" t="s">
        <v>80</v>
      </c>
      <c r="I199" s="5">
        <v>1</v>
      </c>
      <c r="J199" s="67" t="s">
        <v>160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0</v>
      </c>
      <c r="AO199" s="46">
        <f t="shared" si="6"/>
        <v>0</v>
      </c>
      <c r="AP199" s="7">
        <f t="shared" si="7"/>
        <v>0</v>
      </c>
    </row>
    <row r="200" spans="1:42" x14ac:dyDescent="0.3">
      <c r="A200" s="5">
        <v>199</v>
      </c>
      <c r="B200" s="107" t="s">
        <v>65</v>
      </c>
      <c r="C200" s="5"/>
      <c r="D200" s="6" t="s">
        <v>66</v>
      </c>
      <c r="E200" s="110" t="s">
        <v>67</v>
      </c>
      <c r="F200" s="6" t="s">
        <v>12</v>
      </c>
      <c r="G200" s="6" t="s">
        <v>976</v>
      </c>
      <c r="H200" s="6" t="s">
        <v>14</v>
      </c>
      <c r="I200" s="5">
        <v>87</v>
      </c>
      <c r="J200" s="67" t="s">
        <v>160</v>
      </c>
      <c r="K200" s="46">
        <v>0</v>
      </c>
      <c r="L200" s="46">
        <v>0</v>
      </c>
      <c r="M200" s="46">
        <v>0</v>
      </c>
      <c r="N200" s="46">
        <v>0</v>
      </c>
      <c r="O200" s="46">
        <v>0</v>
      </c>
      <c r="P200" s="46">
        <v>0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J200" s="46">
        <v>0</v>
      </c>
      <c r="AK200" s="46">
        <v>0</v>
      </c>
      <c r="AL200" s="46">
        <v>0</v>
      </c>
      <c r="AM200" s="46">
        <v>0</v>
      </c>
      <c r="AN200" s="46">
        <v>0</v>
      </c>
      <c r="AO200" s="46">
        <f t="shared" si="6"/>
        <v>0</v>
      </c>
      <c r="AP200" s="7">
        <f t="shared" si="7"/>
        <v>0</v>
      </c>
    </row>
    <row r="201" spans="1:42" x14ac:dyDescent="0.3">
      <c r="A201" s="5">
        <v>200</v>
      </c>
      <c r="B201" s="107" t="s">
        <v>65</v>
      </c>
      <c r="C201" s="5"/>
      <c r="D201" s="6" t="s">
        <v>70</v>
      </c>
      <c r="E201" s="110"/>
      <c r="F201" s="6" t="s">
        <v>12</v>
      </c>
      <c r="G201" s="6" t="s">
        <v>976</v>
      </c>
      <c r="H201" s="6" t="s">
        <v>14</v>
      </c>
      <c r="I201" s="5">
        <v>82</v>
      </c>
      <c r="J201" s="67" t="s">
        <v>160</v>
      </c>
      <c r="K201" s="46">
        <v>0</v>
      </c>
      <c r="L201" s="46">
        <v>0</v>
      </c>
      <c r="M201" s="46">
        <v>0</v>
      </c>
      <c r="N201" s="46">
        <v>0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0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0</v>
      </c>
      <c r="AF201" s="46">
        <v>0</v>
      </c>
      <c r="AG201" s="46">
        <v>0</v>
      </c>
      <c r="AH201" s="46">
        <v>0</v>
      </c>
      <c r="AI201" s="46">
        <v>0</v>
      </c>
      <c r="AJ201" s="46">
        <v>0</v>
      </c>
      <c r="AK201" s="46">
        <v>0</v>
      </c>
      <c r="AL201" s="46">
        <v>0</v>
      </c>
      <c r="AM201" s="46">
        <v>0</v>
      </c>
      <c r="AN201" s="46">
        <v>0</v>
      </c>
      <c r="AO201" s="46">
        <f t="shared" si="6"/>
        <v>0</v>
      </c>
      <c r="AP201" s="7">
        <f t="shared" si="7"/>
        <v>0</v>
      </c>
    </row>
    <row r="202" spans="1:42" x14ac:dyDescent="0.3">
      <c r="A202" s="5">
        <v>201</v>
      </c>
      <c r="B202" s="107" t="s">
        <v>65</v>
      </c>
      <c r="C202" s="5"/>
      <c r="D202" s="6" t="s">
        <v>74</v>
      </c>
      <c r="E202" s="110" t="s">
        <v>30</v>
      </c>
      <c r="F202" s="6" t="s">
        <v>19</v>
      </c>
      <c r="G202" s="6" t="s">
        <v>976</v>
      </c>
      <c r="H202" s="6" t="s">
        <v>14</v>
      </c>
      <c r="I202" s="5">
        <v>2</v>
      </c>
      <c r="J202" s="67" t="s">
        <v>160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0</v>
      </c>
      <c r="AK202" s="46">
        <v>0</v>
      </c>
      <c r="AL202" s="46">
        <v>0</v>
      </c>
      <c r="AM202" s="46">
        <v>0</v>
      </c>
      <c r="AN202" s="46">
        <v>0</v>
      </c>
      <c r="AO202" s="46">
        <f t="shared" si="6"/>
        <v>0</v>
      </c>
      <c r="AP202" s="7">
        <f t="shared" si="7"/>
        <v>0</v>
      </c>
    </row>
    <row r="203" spans="1:42" x14ac:dyDescent="0.3">
      <c r="A203" s="5">
        <v>202</v>
      </c>
      <c r="B203" s="107" t="s">
        <v>65</v>
      </c>
      <c r="C203" s="5"/>
      <c r="D203" s="39" t="s">
        <v>122</v>
      </c>
      <c r="E203" s="110" t="s">
        <v>30</v>
      </c>
      <c r="F203" s="6" t="s">
        <v>19</v>
      </c>
      <c r="G203" s="6" t="s">
        <v>976</v>
      </c>
      <c r="H203" s="6" t="s">
        <v>14</v>
      </c>
      <c r="I203" s="5">
        <v>3</v>
      </c>
      <c r="J203" s="67" t="s">
        <v>160</v>
      </c>
      <c r="K203" s="46">
        <v>0</v>
      </c>
      <c r="L203" s="46">
        <v>0</v>
      </c>
      <c r="M203" s="46">
        <v>0</v>
      </c>
      <c r="N203" s="46">
        <v>0</v>
      </c>
      <c r="O203" s="46">
        <v>0</v>
      </c>
      <c r="P203" s="46">
        <v>0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0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0</v>
      </c>
      <c r="AF203" s="46">
        <v>0</v>
      </c>
      <c r="AG203" s="46">
        <v>0</v>
      </c>
      <c r="AH203" s="46">
        <v>0</v>
      </c>
      <c r="AI203" s="46">
        <v>0</v>
      </c>
      <c r="AJ203" s="46">
        <v>0</v>
      </c>
      <c r="AK203" s="46">
        <v>0</v>
      </c>
      <c r="AL203" s="46">
        <v>0</v>
      </c>
      <c r="AM203" s="46">
        <v>0</v>
      </c>
      <c r="AN203" s="46">
        <v>0</v>
      </c>
      <c r="AO203" s="46">
        <f t="shared" si="6"/>
        <v>0</v>
      </c>
      <c r="AP203" s="7">
        <f t="shared" si="7"/>
        <v>0</v>
      </c>
    </row>
    <row r="204" spans="1:42" ht="15.6" x14ac:dyDescent="0.3">
      <c r="A204" s="5">
        <v>203</v>
      </c>
      <c r="B204" s="107" t="s">
        <v>572</v>
      </c>
      <c r="C204" s="5"/>
      <c r="D204" s="114" t="s">
        <v>950</v>
      </c>
      <c r="E204" s="110" t="s">
        <v>61</v>
      </c>
      <c r="F204" s="6" t="s">
        <v>12</v>
      </c>
      <c r="G204" s="6" t="s">
        <v>976</v>
      </c>
      <c r="H204" s="6" t="s">
        <v>35</v>
      </c>
      <c r="I204" s="5">
        <v>7</v>
      </c>
      <c r="J204" s="12" t="s">
        <v>160</v>
      </c>
      <c r="K204" s="46">
        <v>0</v>
      </c>
      <c r="L204" s="46">
        <v>0</v>
      </c>
      <c r="M204" s="46">
        <v>0</v>
      </c>
      <c r="N204" s="46">
        <v>0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0</v>
      </c>
      <c r="AK204" s="46">
        <v>0</v>
      </c>
      <c r="AL204" s="46">
        <v>0</v>
      </c>
      <c r="AM204" s="46">
        <v>0</v>
      </c>
      <c r="AN204" s="46">
        <v>0</v>
      </c>
      <c r="AO204" s="46">
        <f t="shared" si="6"/>
        <v>0</v>
      </c>
      <c r="AP204" s="7">
        <f t="shared" si="7"/>
        <v>0</v>
      </c>
    </row>
    <row r="205" spans="1:42" ht="15.6" x14ac:dyDescent="0.3">
      <c r="A205" s="5">
        <v>204</v>
      </c>
      <c r="B205" s="107" t="s">
        <v>572</v>
      </c>
      <c r="C205" s="112" t="s">
        <v>697</v>
      </c>
      <c r="D205" s="114" t="s">
        <v>810</v>
      </c>
      <c r="E205" s="110" t="s">
        <v>61</v>
      </c>
      <c r="F205" s="6" t="s">
        <v>12</v>
      </c>
      <c r="G205" s="6" t="s">
        <v>976</v>
      </c>
      <c r="H205" s="6" t="s">
        <v>35</v>
      </c>
      <c r="I205" s="5">
        <v>12</v>
      </c>
      <c r="J205" s="12" t="s">
        <v>160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f t="shared" si="6"/>
        <v>0</v>
      </c>
      <c r="AP205" s="7">
        <f t="shared" si="7"/>
        <v>0</v>
      </c>
    </row>
    <row r="206" spans="1:42" x14ac:dyDescent="0.3">
      <c r="C206" s="112" t="s">
        <v>949</v>
      </c>
      <c r="H206" s="89" t="s">
        <v>79</v>
      </c>
      <c r="I206" s="90">
        <f>SUM(I2:I205)</f>
        <v>967</v>
      </c>
      <c r="J206" s="90"/>
      <c r="K206" s="91">
        <f t="shared" ref="K206:AH206" si="8">SUM(K2:K203)</f>
        <v>6092.2780000000012</v>
      </c>
      <c r="L206" s="91">
        <f t="shared" si="8"/>
        <v>6812.8789999999981</v>
      </c>
      <c r="M206" s="91">
        <f t="shared" si="8"/>
        <v>6750.1519999999973</v>
      </c>
      <c r="N206" s="91">
        <f t="shared" si="8"/>
        <v>6934.7009999999982</v>
      </c>
      <c r="O206" s="91">
        <f t="shared" si="8"/>
        <v>6335.9430000000002</v>
      </c>
      <c r="P206" s="91">
        <f t="shared" si="8"/>
        <v>5776.8700000000017</v>
      </c>
      <c r="Q206" s="91">
        <f t="shared" si="8"/>
        <v>6752.220000000003</v>
      </c>
      <c r="R206" s="91">
        <f t="shared" si="8"/>
        <v>6779.6139999999978</v>
      </c>
      <c r="S206" s="91">
        <f t="shared" si="8"/>
        <v>7548.8269999999993</v>
      </c>
      <c r="T206" s="91">
        <f t="shared" si="8"/>
        <v>7567.7949999999983</v>
      </c>
      <c r="U206" s="91">
        <f t="shared" si="8"/>
        <v>8103.1780000000035</v>
      </c>
      <c r="V206" s="91">
        <f t="shared" si="8"/>
        <v>6877.2759999999989</v>
      </c>
      <c r="W206" s="91">
        <f t="shared" si="8"/>
        <v>6448.1389999999983</v>
      </c>
      <c r="X206" s="91">
        <f t="shared" si="8"/>
        <v>7062.6340000000037</v>
      </c>
      <c r="Y206" s="91">
        <f t="shared" si="8"/>
        <v>7369.3190000000013</v>
      </c>
      <c r="Z206" s="91">
        <f t="shared" si="8"/>
        <v>7098.8730000000032</v>
      </c>
      <c r="AA206" s="91">
        <f t="shared" si="8"/>
        <v>7769.0299999999979</v>
      </c>
      <c r="AB206" s="91">
        <f t="shared" si="8"/>
        <v>6325.1810000000005</v>
      </c>
      <c r="AC206" s="91">
        <f t="shared" si="8"/>
        <v>6896.3209999999999</v>
      </c>
      <c r="AD206" s="91">
        <f t="shared" si="8"/>
        <v>7172.7499999999991</v>
      </c>
      <c r="AE206" s="91">
        <f t="shared" si="8"/>
        <v>8244.4079999999994</v>
      </c>
      <c r="AF206" s="91">
        <f t="shared" si="8"/>
        <v>8090.4820000000018</v>
      </c>
      <c r="AG206" s="91">
        <f t="shared" si="8"/>
        <v>8342.904999999997</v>
      </c>
      <c r="AH206" s="91">
        <f t="shared" si="8"/>
        <v>8252.8709999999974</v>
      </c>
      <c r="AI206" s="91">
        <f t="shared" ref="AI206:AN206" si="9">SUM(AI2:AI204)</f>
        <v>8081.1230000000014</v>
      </c>
      <c r="AJ206" s="91">
        <f t="shared" si="9"/>
        <v>7831.7329999999993</v>
      </c>
      <c r="AK206" s="91">
        <f t="shared" si="9"/>
        <v>7174.3189999999995</v>
      </c>
      <c r="AL206" s="91">
        <f t="shared" si="9"/>
        <v>7873.8390000000009</v>
      </c>
      <c r="AM206" s="91">
        <f t="shared" si="9"/>
        <v>8815.6740000000027</v>
      </c>
      <c r="AN206" s="91">
        <f t="shared" si="9"/>
        <v>8233.9000000000033</v>
      </c>
      <c r="AO206" s="46">
        <f t="shared" si="6"/>
        <v>7313.8411333333315</v>
      </c>
      <c r="AP206" s="7">
        <f t="shared" si="7"/>
        <v>7.5634344708721111</v>
      </c>
    </row>
    <row r="207" spans="1:42" x14ac:dyDescent="0.3">
      <c r="AK207" s="81"/>
      <c r="AO207" s="50"/>
    </row>
    <row r="209" spans="11:32" x14ac:dyDescent="0.3">
      <c r="K209" s="119"/>
    </row>
    <row r="210" spans="11:32" x14ac:dyDescent="0.3">
      <c r="AC210" s="88"/>
    </row>
    <row r="211" spans="11:32" x14ac:dyDescent="0.3">
      <c r="W211" s="88"/>
    </row>
    <row r="212" spans="11:32" x14ac:dyDescent="0.3">
      <c r="AB212" s="88"/>
      <c r="AE212" s="88"/>
      <c r="AF212" s="88"/>
    </row>
  </sheetData>
  <autoFilter ref="A1:AP206" xr:uid="{00000000-0009-0000-0000-00003F000000}">
    <sortState xmlns:xlrd2="http://schemas.microsoft.com/office/spreadsheetml/2017/richdata2" ref="A2:AP202">
      <sortCondition ref="A1:A202"/>
    </sortState>
  </autoFilter>
  <pageMargins left="0.7" right="0.7" top="0.75" bottom="0.75" header="0.3" footer="0.3"/>
  <pageSetup scale="1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7AF4-32AC-41E8-8D9C-AEF1F09427DB}">
  <dimension ref="A3:C20"/>
  <sheetViews>
    <sheetView workbookViewId="0">
      <selection activeCell="B9" sqref="B9"/>
    </sheetView>
  </sheetViews>
  <sheetFormatPr defaultRowHeight="14.4" x14ac:dyDescent="0.3"/>
  <sheetData>
    <row r="3" spans="1:3" x14ac:dyDescent="0.3">
      <c r="A3" s="124"/>
      <c r="B3" s="125"/>
      <c r="C3" s="126"/>
    </row>
    <row r="4" spans="1:3" x14ac:dyDescent="0.3">
      <c r="A4" s="127"/>
      <c r="B4" s="128"/>
      <c r="C4" s="129"/>
    </row>
    <row r="5" spans="1:3" x14ac:dyDescent="0.3">
      <c r="A5" s="127"/>
      <c r="B5" s="128"/>
      <c r="C5" s="129"/>
    </row>
    <row r="6" spans="1:3" x14ac:dyDescent="0.3">
      <c r="A6" s="127"/>
      <c r="B6" s="128"/>
      <c r="C6" s="129"/>
    </row>
    <row r="7" spans="1:3" x14ac:dyDescent="0.3">
      <c r="A7" s="127"/>
      <c r="B7" s="128"/>
      <c r="C7" s="129"/>
    </row>
    <row r="8" spans="1:3" x14ac:dyDescent="0.3">
      <c r="A8" s="127"/>
      <c r="B8" s="128"/>
      <c r="C8" s="129"/>
    </row>
    <row r="9" spans="1:3" x14ac:dyDescent="0.3">
      <c r="A9" s="127"/>
      <c r="B9" s="128"/>
      <c r="C9" s="129"/>
    </row>
    <row r="10" spans="1:3" x14ac:dyDescent="0.3">
      <c r="A10" s="127"/>
      <c r="B10" s="128"/>
      <c r="C10" s="129"/>
    </row>
    <row r="11" spans="1:3" x14ac:dyDescent="0.3">
      <c r="A11" s="127"/>
      <c r="B11" s="128"/>
      <c r="C11" s="129"/>
    </row>
    <row r="12" spans="1:3" x14ac:dyDescent="0.3">
      <c r="A12" s="127"/>
      <c r="B12" s="128"/>
      <c r="C12" s="129"/>
    </row>
    <row r="13" spans="1:3" x14ac:dyDescent="0.3">
      <c r="A13" s="127"/>
      <c r="B13" s="128"/>
      <c r="C13" s="129"/>
    </row>
    <row r="14" spans="1:3" x14ac:dyDescent="0.3">
      <c r="A14" s="127"/>
      <c r="B14" s="128"/>
      <c r="C14" s="129"/>
    </row>
    <row r="15" spans="1:3" x14ac:dyDescent="0.3">
      <c r="A15" s="127"/>
      <c r="B15" s="128"/>
      <c r="C15" s="129"/>
    </row>
    <row r="16" spans="1:3" x14ac:dyDescent="0.3">
      <c r="A16" s="127"/>
      <c r="B16" s="128"/>
      <c r="C16" s="129"/>
    </row>
    <row r="17" spans="1:3" x14ac:dyDescent="0.3">
      <c r="A17" s="127"/>
      <c r="B17" s="128"/>
      <c r="C17" s="129"/>
    </row>
    <row r="18" spans="1:3" x14ac:dyDescent="0.3">
      <c r="A18" s="127"/>
      <c r="B18" s="128"/>
      <c r="C18" s="129"/>
    </row>
    <row r="19" spans="1:3" x14ac:dyDescent="0.3">
      <c r="A19" s="127"/>
      <c r="B19" s="128"/>
      <c r="C19" s="129"/>
    </row>
    <row r="20" spans="1:3" x14ac:dyDescent="0.3">
      <c r="A20" s="130"/>
      <c r="B20" s="131"/>
      <c r="C20" s="13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A52E9-8032-4679-85A5-BB2529DF42ED}">
  <dimension ref="A1:AQ212"/>
  <sheetViews>
    <sheetView tabSelected="1" topLeftCell="A161" zoomScale="67" zoomScaleNormal="86" workbookViewId="0">
      <pane xSplit="9" topLeftCell="K1" activePane="topRight" state="frozen"/>
      <selection activeCell="G150" sqref="G150"/>
      <selection pane="topRight" activeCell="K206" sqref="K206"/>
    </sheetView>
  </sheetViews>
  <sheetFormatPr defaultRowHeight="14.4" x14ac:dyDescent="0.3"/>
  <cols>
    <col min="1" max="1" width="11.77734375" bestFit="1" customWidth="1"/>
    <col min="2" max="2" width="13.88671875" bestFit="1" customWidth="1"/>
    <col min="3" max="3" width="14.6640625" bestFit="1" customWidth="1"/>
    <col min="4" max="4" width="73.77734375" bestFit="1" customWidth="1"/>
    <col min="5" max="5" width="21.5546875" bestFit="1" customWidth="1"/>
    <col min="6" max="6" width="12.88671875" bestFit="1" customWidth="1"/>
    <col min="7" max="7" width="18.44140625" bestFit="1" customWidth="1"/>
    <col min="8" max="8" width="17.5546875" bestFit="1" customWidth="1"/>
    <col min="9" max="9" width="19.77734375" bestFit="1" customWidth="1"/>
    <col min="10" max="10" width="21" bestFit="1" customWidth="1"/>
    <col min="11" max="11" width="12.33203125" style="28" customWidth="1"/>
    <col min="12" max="12" width="12" style="27" customWidth="1"/>
    <col min="13" max="13" width="12.44140625" style="28" customWidth="1"/>
    <col min="14" max="14" width="12.33203125" customWidth="1"/>
    <col min="15" max="15" width="12.5546875" customWidth="1"/>
    <col min="16" max="16" width="13.109375" customWidth="1"/>
    <col min="17" max="17" width="15" bestFit="1" customWidth="1"/>
    <col min="18" max="18" width="12.88671875" customWidth="1"/>
    <col min="19" max="19" width="13.33203125" customWidth="1"/>
    <col min="20" max="20" width="15.44140625" customWidth="1"/>
    <col min="21" max="21" width="15" bestFit="1" customWidth="1"/>
    <col min="22" max="22" width="17.109375" bestFit="1" customWidth="1"/>
    <col min="23" max="23" width="13.44140625" customWidth="1"/>
    <col min="24" max="24" width="12.33203125" customWidth="1"/>
    <col min="25" max="25" width="11.5546875" customWidth="1"/>
    <col min="26" max="26" width="14.44140625" customWidth="1"/>
    <col min="27" max="27" width="13.6640625" customWidth="1"/>
    <col min="28" max="28" width="12.88671875" customWidth="1"/>
    <col min="29" max="29" width="13" customWidth="1"/>
    <col min="30" max="30" width="11.88671875" customWidth="1"/>
    <col min="31" max="31" width="12.44140625" customWidth="1"/>
    <col min="32" max="32" width="12.109375" customWidth="1"/>
    <col min="33" max="33" width="11.6640625" customWidth="1"/>
    <col min="34" max="34" width="12.5546875" customWidth="1"/>
    <col min="35" max="35" width="15" bestFit="1" customWidth="1"/>
    <col min="36" max="36" width="13.33203125" customWidth="1"/>
    <col min="37" max="37" width="11.88671875" customWidth="1"/>
    <col min="38" max="40" width="13.33203125" customWidth="1"/>
    <col min="41" max="41" width="14" bestFit="1" customWidth="1"/>
    <col min="42" max="42" width="28.6640625" bestFit="1" customWidth="1"/>
    <col min="43" max="43" width="19.109375" bestFit="1" customWidth="1"/>
  </cols>
  <sheetData>
    <row r="1" spans="1:43" ht="30.75" customHeight="1" x14ac:dyDescent="0.3">
      <c r="A1" s="13" t="s">
        <v>0</v>
      </c>
      <c r="B1" s="14" t="s">
        <v>1</v>
      </c>
      <c r="C1" s="111" t="s">
        <v>599</v>
      </c>
      <c r="D1" s="111" t="s">
        <v>394</v>
      </c>
      <c r="E1" s="14" t="s">
        <v>3</v>
      </c>
      <c r="F1" s="14" t="s">
        <v>4</v>
      </c>
      <c r="G1" s="14" t="s">
        <v>5</v>
      </c>
      <c r="H1" s="14" t="s">
        <v>6</v>
      </c>
      <c r="I1" s="13" t="s">
        <v>7</v>
      </c>
      <c r="J1" s="13" t="s">
        <v>158</v>
      </c>
      <c r="K1" s="99">
        <v>45748</v>
      </c>
      <c r="L1" s="99">
        <v>45749</v>
      </c>
      <c r="M1" s="99">
        <v>45750</v>
      </c>
      <c r="N1" s="99">
        <v>45751</v>
      </c>
      <c r="O1" s="99">
        <v>45752</v>
      </c>
      <c r="P1" s="99">
        <v>45753</v>
      </c>
      <c r="Q1" s="99">
        <v>45754</v>
      </c>
      <c r="R1" s="99">
        <v>45755</v>
      </c>
      <c r="S1" s="99">
        <v>45756</v>
      </c>
      <c r="T1" s="99">
        <v>45757</v>
      </c>
      <c r="U1" s="99">
        <v>45758</v>
      </c>
      <c r="V1" s="99">
        <v>45759</v>
      </c>
      <c r="W1" s="99">
        <v>45760</v>
      </c>
      <c r="X1" s="99">
        <v>45761</v>
      </c>
      <c r="Y1" s="99">
        <v>45762</v>
      </c>
      <c r="Z1" s="99">
        <v>45763</v>
      </c>
      <c r="AA1" s="99">
        <v>45764</v>
      </c>
      <c r="AB1" s="99">
        <v>45765</v>
      </c>
      <c r="AC1" s="99">
        <v>45766</v>
      </c>
      <c r="AD1" s="99">
        <v>45767</v>
      </c>
      <c r="AE1" s="99">
        <v>45768</v>
      </c>
      <c r="AF1" s="99">
        <v>45769</v>
      </c>
      <c r="AG1" s="99">
        <v>45770</v>
      </c>
      <c r="AH1" s="99">
        <v>45771</v>
      </c>
      <c r="AI1" s="99">
        <v>45772</v>
      </c>
      <c r="AJ1" s="99">
        <v>45773</v>
      </c>
      <c r="AK1" s="99">
        <v>45774</v>
      </c>
      <c r="AL1" s="99">
        <v>45775</v>
      </c>
      <c r="AM1" s="99">
        <v>45776</v>
      </c>
      <c r="AN1" s="99">
        <v>45777</v>
      </c>
      <c r="AO1" s="13" t="s">
        <v>8</v>
      </c>
      <c r="AP1" s="12" t="s">
        <v>154</v>
      </c>
      <c r="AQ1" t="s">
        <v>1320</v>
      </c>
    </row>
    <row r="2" spans="1:43" x14ac:dyDescent="0.3">
      <c r="A2" s="5">
        <v>8</v>
      </c>
      <c r="B2" s="107" t="s">
        <v>9</v>
      </c>
      <c r="C2" s="112" t="s">
        <v>607</v>
      </c>
      <c r="D2" s="112" t="s">
        <v>958</v>
      </c>
      <c r="E2" s="110" t="s">
        <v>128</v>
      </c>
      <c r="F2" s="6" t="s">
        <v>19</v>
      </c>
      <c r="G2" s="6" t="s">
        <v>976</v>
      </c>
      <c r="H2" s="6" t="s">
        <v>35</v>
      </c>
      <c r="I2" s="5">
        <v>1</v>
      </c>
      <c r="J2" s="12" t="s">
        <v>590</v>
      </c>
      <c r="K2" s="46">
        <v>3.3570000000000002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1.677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3.3490000000000002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3.3719999999999999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f>AVERAGE(K2:AN2)</f>
        <v>0.39183333333333337</v>
      </c>
      <c r="AP2" s="7">
        <f>AO2/I2</f>
        <v>0.39183333333333337</v>
      </c>
      <c r="AQ2" s="81">
        <f>SUM(K2:AN2)</f>
        <v>11.755000000000001</v>
      </c>
    </row>
    <row r="3" spans="1:43" x14ac:dyDescent="0.3">
      <c r="A3" s="5">
        <v>11</v>
      </c>
      <c r="B3" s="107" t="s">
        <v>9</v>
      </c>
      <c r="C3" s="112" t="s">
        <v>608</v>
      </c>
      <c r="D3" s="113" t="s">
        <v>772</v>
      </c>
      <c r="E3" s="110" t="s">
        <v>128</v>
      </c>
      <c r="F3" s="6" t="s">
        <v>12</v>
      </c>
      <c r="G3" s="6" t="s">
        <v>1052</v>
      </c>
      <c r="H3" s="6" t="s">
        <v>80</v>
      </c>
      <c r="I3" s="5">
        <v>1</v>
      </c>
      <c r="J3" s="67" t="s">
        <v>160</v>
      </c>
      <c r="K3" s="46">
        <v>0</v>
      </c>
      <c r="L3" s="46">
        <v>0</v>
      </c>
      <c r="M3" s="46">
        <v>0</v>
      </c>
      <c r="N3" s="46">
        <v>0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 s="46">
        <v>0</v>
      </c>
      <c r="Y3" s="46">
        <v>0</v>
      </c>
      <c r="Z3" s="46">
        <v>0</v>
      </c>
      <c r="AA3" s="46">
        <v>0</v>
      </c>
      <c r="AB3" s="46">
        <v>0</v>
      </c>
      <c r="AC3" s="46">
        <v>0</v>
      </c>
      <c r="AD3" s="46">
        <v>0</v>
      </c>
      <c r="AE3" s="46">
        <v>0</v>
      </c>
      <c r="AF3" s="46">
        <v>0</v>
      </c>
      <c r="AG3" s="46">
        <v>0</v>
      </c>
      <c r="AH3" s="46">
        <v>13.96</v>
      </c>
      <c r="AI3" s="46">
        <v>0</v>
      </c>
      <c r="AJ3" s="46">
        <v>54.819999999999993</v>
      </c>
      <c r="AK3" s="46">
        <v>0</v>
      </c>
      <c r="AL3" s="46">
        <v>49.89</v>
      </c>
      <c r="AM3" s="46">
        <v>0</v>
      </c>
      <c r="AN3" s="46">
        <v>5.12</v>
      </c>
      <c r="AO3" s="46">
        <f>AVERAGE(K3:AN3)</f>
        <v>4.1263333333333332</v>
      </c>
      <c r="AP3" s="7">
        <f>AO3/I3</f>
        <v>4.1263333333333332</v>
      </c>
      <c r="AQ3" s="81">
        <f t="shared" ref="AQ3:AQ66" si="0">SUM(K3:AN3)</f>
        <v>123.79</v>
      </c>
    </row>
    <row r="4" spans="1:43" x14ac:dyDescent="0.3">
      <c r="A4" s="5">
        <v>13</v>
      </c>
      <c r="B4" s="107" t="s">
        <v>9</v>
      </c>
      <c r="C4" s="112" t="s">
        <v>960</v>
      </c>
      <c r="D4" s="112" t="s">
        <v>985</v>
      </c>
      <c r="E4" s="110" t="s">
        <v>128</v>
      </c>
      <c r="F4" s="6" t="s">
        <v>12</v>
      </c>
      <c r="G4" s="6" t="s">
        <v>971</v>
      </c>
      <c r="H4" s="6" t="s">
        <v>80</v>
      </c>
      <c r="I4" s="5">
        <v>1</v>
      </c>
      <c r="J4" s="94" t="s">
        <v>273</v>
      </c>
      <c r="K4" s="46">
        <v>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f>AVERAGE(K4:AN4)</f>
        <v>0</v>
      </c>
      <c r="AP4" s="7">
        <f>AO4/I4</f>
        <v>0</v>
      </c>
      <c r="AQ4" s="81">
        <f t="shared" si="0"/>
        <v>0</v>
      </c>
    </row>
    <row r="5" spans="1:43" ht="15" customHeight="1" x14ac:dyDescent="0.3">
      <c r="A5" s="5">
        <v>16</v>
      </c>
      <c r="B5" s="107" t="s">
        <v>9</v>
      </c>
      <c r="C5" s="112" t="s">
        <v>964</v>
      </c>
      <c r="D5" s="112" t="s">
        <v>982</v>
      </c>
      <c r="E5" s="110" t="s">
        <v>128</v>
      </c>
      <c r="F5" s="6" t="s">
        <v>12</v>
      </c>
      <c r="G5" s="6" t="s">
        <v>973</v>
      </c>
      <c r="H5" s="6" t="s">
        <v>80</v>
      </c>
      <c r="I5" s="5">
        <v>1</v>
      </c>
      <c r="J5" s="94" t="s">
        <v>273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13.719999999999999</v>
      </c>
      <c r="W5" s="46">
        <v>74.510000000000005</v>
      </c>
      <c r="X5" s="46">
        <v>42.96</v>
      </c>
      <c r="Y5" s="46">
        <v>82.32</v>
      </c>
      <c r="Z5" s="46">
        <v>62.778999999999996</v>
      </c>
      <c r="AA5" s="46">
        <v>74.579000000000008</v>
      </c>
      <c r="AB5" s="46">
        <v>53.459999999999994</v>
      </c>
      <c r="AC5" s="46">
        <v>59.331000000000003</v>
      </c>
      <c r="AD5" s="46">
        <v>43.210000000000008</v>
      </c>
      <c r="AE5" s="46">
        <v>36.460000000000008</v>
      </c>
      <c r="AF5" s="46">
        <v>60.609999999999992</v>
      </c>
      <c r="AG5" s="46">
        <v>18.119999999999997</v>
      </c>
      <c r="AH5" s="46">
        <v>26.980000000000004</v>
      </c>
      <c r="AI5" s="46">
        <v>63.279999999999994</v>
      </c>
      <c r="AJ5" s="46">
        <v>53.362000000000002</v>
      </c>
      <c r="AK5" s="46">
        <v>48.92</v>
      </c>
      <c r="AL5" s="46">
        <v>46.069000000000003</v>
      </c>
      <c r="AM5" s="46">
        <v>49.54</v>
      </c>
      <c r="AN5" s="46">
        <v>30.080000000000002</v>
      </c>
      <c r="AO5" s="46">
        <f>AVERAGE(K5:AN5)</f>
        <v>31.343</v>
      </c>
      <c r="AP5" s="7">
        <f>AO5/I5</f>
        <v>31.343</v>
      </c>
      <c r="AQ5" s="81">
        <f>SUM(K5:AN5)</f>
        <v>940.29</v>
      </c>
    </row>
    <row r="6" spans="1:43" x14ac:dyDescent="0.3">
      <c r="A6" s="5">
        <v>19</v>
      </c>
      <c r="B6" s="107" t="s">
        <v>9</v>
      </c>
      <c r="C6" s="112" t="s">
        <v>612</v>
      </c>
      <c r="D6" s="112" t="s">
        <v>771</v>
      </c>
      <c r="E6" s="110" t="s">
        <v>128</v>
      </c>
      <c r="F6" s="6" t="s">
        <v>12</v>
      </c>
      <c r="G6" s="6" t="s">
        <v>979</v>
      </c>
      <c r="H6" s="6" t="s">
        <v>35</v>
      </c>
      <c r="I6" s="5">
        <v>1</v>
      </c>
      <c r="J6" s="67" t="s">
        <v>160</v>
      </c>
      <c r="K6" s="46">
        <v>0</v>
      </c>
      <c r="L6" s="46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>
        <f>AVERAGE(K6:AN6)</f>
        <v>0</v>
      </c>
      <c r="AP6" s="7">
        <f>AO6/I6</f>
        <v>0</v>
      </c>
      <c r="AQ6" s="81">
        <f t="shared" si="0"/>
        <v>0</v>
      </c>
    </row>
    <row r="7" spans="1:43" x14ac:dyDescent="0.3">
      <c r="A7" s="5">
        <v>20</v>
      </c>
      <c r="B7" s="107" t="s">
        <v>9</v>
      </c>
      <c r="C7" s="112" t="s">
        <v>612</v>
      </c>
      <c r="D7" s="112" t="s">
        <v>981</v>
      </c>
      <c r="E7" s="110" t="s">
        <v>128</v>
      </c>
      <c r="F7" s="6" t="s">
        <v>12</v>
      </c>
      <c r="G7" s="6" t="s">
        <v>971</v>
      </c>
      <c r="H7" s="6" t="s">
        <v>80</v>
      </c>
      <c r="I7" s="5">
        <v>1</v>
      </c>
      <c r="J7" s="67" t="s">
        <v>160</v>
      </c>
      <c r="K7" s="46">
        <v>0</v>
      </c>
      <c r="L7" s="46">
        <v>0.01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f>AVERAGE(K7:AN7)</f>
        <v>3.3333333333333332E-4</v>
      </c>
      <c r="AP7" s="7">
        <f>AO7/I7</f>
        <v>3.3333333333333332E-4</v>
      </c>
      <c r="AQ7" s="81">
        <f t="shared" si="0"/>
        <v>0.01</v>
      </c>
    </row>
    <row r="8" spans="1:43" x14ac:dyDescent="0.3">
      <c r="A8" s="5">
        <v>21</v>
      </c>
      <c r="B8" s="107" t="s">
        <v>9</v>
      </c>
      <c r="C8" s="112" t="s">
        <v>612</v>
      </c>
      <c r="D8" s="112" t="s">
        <v>981</v>
      </c>
      <c r="E8" s="110" t="s">
        <v>128</v>
      </c>
      <c r="F8" s="6" t="s">
        <v>12</v>
      </c>
      <c r="G8" s="6" t="s">
        <v>973</v>
      </c>
      <c r="H8" s="6" t="s">
        <v>80</v>
      </c>
      <c r="I8" s="5">
        <v>1</v>
      </c>
      <c r="J8" s="67" t="s">
        <v>160</v>
      </c>
      <c r="K8" s="46">
        <v>15.089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13.79</v>
      </c>
      <c r="Z8" s="46">
        <v>0</v>
      </c>
      <c r="AA8" s="46">
        <v>0</v>
      </c>
      <c r="AB8" s="46">
        <v>16.27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12.67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5.0599999999999996</v>
      </c>
      <c r="AO8" s="46">
        <f>AVERAGE(K8:AN8)</f>
        <v>2.095966666666667</v>
      </c>
      <c r="AP8" s="7">
        <f>AO8/I8</f>
        <v>2.095966666666667</v>
      </c>
      <c r="AQ8" s="81">
        <f t="shared" si="0"/>
        <v>62.879000000000005</v>
      </c>
    </row>
    <row r="9" spans="1:43" x14ac:dyDescent="0.3">
      <c r="A9" s="5">
        <v>22</v>
      </c>
      <c r="B9" s="107" t="s">
        <v>9</v>
      </c>
      <c r="C9" s="112" t="s">
        <v>612</v>
      </c>
      <c r="D9" s="112" t="s">
        <v>981</v>
      </c>
      <c r="E9" s="110" t="s">
        <v>128</v>
      </c>
      <c r="F9" s="6" t="s">
        <v>12</v>
      </c>
      <c r="G9" s="6" t="s">
        <v>290</v>
      </c>
      <c r="H9" s="6" t="s">
        <v>80</v>
      </c>
      <c r="I9" s="5">
        <v>1</v>
      </c>
      <c r="J9" s="67" t="s">
        <v>160</v>
      </c>
      <c r="K9" s="46">
        <v>354.85</v>
      </c>
      <c r="L9" s="46">
        <v>499.36999999999989</v>
      </c>
      <c r="M9" s="46">
        <v>399.17800000000005</v>
      </c>
      <c r="N9" s="46">
        <v>436.90000000000009</v>
      </c>
      <c r="O9" s="46">
        <v>189.22599999999997</v>
      </c>
      <c r="P9" s="46">
        <v>122.572</v>
      </c>
      <c r="Q9" s="46">
        <v>433.05</v>
      </c>
      <c r="R9" s="46">
        <v>245.55199999999999</v>
      </c>
      <c r="S9" s="46">
        <v>475.22599999999994</v>
      </c>
      <c r="T9" s="46">
        <v>319.14799999999991</v>
      </c>
      <c r="U9" s="46">
        <v>406.25</v>
      </c>
      <c r="V9" s="46">
        <v>83.85</v>
      </c>
      <c r="W9" s="46">
        <v>145.22000000000003</v>
      </c>
      <c r="X9" s="46">
        <v>334.12399999999997</v>
      </c>
      <c r="Y9" s="46">
        <v>415.04399999999993</v>
      </c>
      <c r="Z9" s="46">
        <v>435.85</v>
      </c>
      <c r="AA9" s="46">
        <v>467.77800000000002</v>
      </c>
      <c r="AB9" s="46">
        <v>321.84999999999997</v>
      </c>
      <c r="AC9" s="46">
        <v>117.32399999999998</v>
      </c>
      <c r="AD9" s="46">
        <v>107.19999999999997</v>
      </c>
      <c r="AE9" s="46">
        <v>357.47200000000009</v>
      </c>
      <c r="AF9" s="46">
        <v>469.36799999999999</v>
      </c>
      <c r="AG9" s="46">
        <v>456.17799999999994</v>
      </c>
      <c r="AH9" s="46">
        <v>396.59599999999995</v>
      </c>
      <c r="AI9" s="46">
        <v>310.60000000000002</v>
      </c>
      <c r="AJ9" s="46">
        <v>128.696</v>
      </c>
      <c r="AK9" s="46">
        <v>197.04800000000006</v>
      </c>
      <c r="AL9" s="46">
        <v>388.02799999999996</v>
      </c>
      <c r="AM9" s="46">
        <v>563.05200000000025</v>
      </c>
      <c r="AN9" s="46">
        <v>546.19599999999969</v>
      </c>
      <c r="AO9" s="46">
        <f>AVERAGE(K9:AN9)</f>
        <v>337.42653333333334</v>
      </c>
      <c r="AP9" s="7">
        <f>AO9/I9</f>
        <v>337.42653333333334</v>
      </c>
      <c r="AQ9" s="81">
        <f t="shared" si="0"/>
        <v>10122.796</v>
      </c>
    </row>
    <row r="10" spans="1:43" x14ac:dyDescent="0.3">
      <c r="A10" s="5">
        <v>23</v>
      </c>
      <c r="B10" s="107" t="s">
        <v>9</v>
      </c>
      <c r="C10" s="112" t="s">
        <v>612</v>
      </c>
      <c r="D10" s="112" t="s">
        <v>771</v>
      </c>
      <c r="E10" s="110" t="s">
        <v>128</v>
      </c>
      <c r="F10" s="6" t="s">
        <v>12</v>
      </c>
      <c r="G10" s="6" t="s">
        <v>972</v>
      </c>
      <c r="H10" s="6" t="s">
        <v>80</v>
      </c>
      <c r="I10" s="5">
        <v>1</v>
      </c>
      <c r="J10" s="67" t="s">
        <v>160</v>
      </c>
      <c r="K10" s="46">
        <v>371.85</v>
      </c>
      <c r="L10" s="46">
        <v>478.80999999999995</v>
      </c>
      <c r="M10" s="46">
        <v>506.87000000000012</v>
      </c>
      <c r="N10" s="46">
        <v>400.04000000000008</v>
      </c>
      <c r="O10" s="46">
        <v>244.98999999999995</v>
      </c>
      <c r="P10" s="46">
        <v>214.43</v>
      </c>
      <c r="Q10" s="46">
        <v>450.69999999999993</v>
      </c>
      <c r="R10" s="46">
        <v>270.63</v>
      </c>
      <c r="S10" s="46">
        <v>378.18999999999988</v>
      </c>
      <c r="T10" s="46">
        <v>445.31</v>
      </c>
      <c r="U10" s="46">
        <v>434.72999999999985</v>
      </c>
      <c r="V10" s="46">
        <v>133.11000000000001</v>
      </c>
      <c r="W10" s="46">
        <v>212.5</v>
      </c>
      <c r="X10" s="46">
        <v>367.02999999999986</v>
      </c>
      <c r="Y10" s="46">
        <v>505.41999999999996</v>
      </c>
      <c r="Z10" s="46">
        <v>532.48</v>
      </c>
      <c r="AA10" s="46">
        <v>521.30999999999983</v>
      </c>
      <c r="AB10" s="46">
        <v>347.11</v>
      </c>
      <c r="AC10" s="46">
        <v>200.38</v>
      </c>
      <c r="AD10" s="46">
        <v>193.14</v>
      </c>
      <c r="AE10" s="46">
        <v>430.95999999999992</v>
      </c>
      <c r="AF10" s="46">
        <v>460.24</v>
      </c>
      <c r="AG10" s="46">
        <v>504.29000000000019</v>
      </c>
      <c r="AH10" s="46">
        <v>392.79</v>
      </c>
      <c r="AI10" s="46">
        <v>488.66999999999996</v>
      </c>
      <c r="AJ10" s="46">
        <v>251.39000000000004</v>
      </c>
      <c r="AK10" s="46">
        <v>180.01999999999995</v>
      </c>
      <c r="AL10" s="46">
        <v>445.83999999999992</v>
      </c>
      <c r="AM10" s="46">
        <v>535.69000000000017</v>
      </c>
      <c r="AN10" s="46">
        <v>638.66</v>
      </c>
      <c r="AO10" s="46">
        <f>AVERAGE(K10:AN10)</f>
        <v>384.58600000000007</v>
      </c>
      <c r="AP10" s="7">
        <f>AO10/I10</f>
        <v>384.58600000000007</v>
      </c>
      <c r="AQ10" s="81">
        <f t="shared" si="0"/>
        <v>11537.580000000002</v>
      </c>
    </row>
    <row r="11" spans="1:43" x14ac:dyDescent="0.3">
      <c r="A11" s="5">
        <v>24</v>
      </c>
      <c r="B11" s="107" t="s">
        <v>9</v>
      </c>
      <c r="C11" s="112" t="s">
        <v>612</v>
      </c>
      <c r="D11" s="112" t="s">
        <v>771</v>
      </c>
      <c r="E11" s="110" t="s">
        <v>128</v>
      </c>
      <c r="F11" s="6" t="s">
        <v>12</v>
      </c>
      <c r="G11" s="6" t="s">
        <v>1004</v>
      </c>
      <c r="H11" s="6" t="s">
        <v>80</v>
      </c>
      <c r="I11" s="5">
        <v>1</v>
      </c>
      <c r="J11" s="67" t="s">
        <v>160</v>
      </c>
      <c r="K11" s="46">
        <v>0</v>
      </c>
      <c r="L11" s="46">
        <v>0</v>
      </c>
      <c r="M11" s="46">
        <v>0</v>
      </c>
      <c r="N11" s="46">
        <v>0</v>
      </c>
      <c r="O11" s="46">
        <v>62.15</v>
      </c>
      <c r="P11" s="46">
        <v>11.2</v>
      </c>
      <c r="Q11" s="46">
        <v>155.375</v>
      </c>
      <c r="R11" s="46">
        <v>62.024999999999999</v>
      </c>
      <c r="S11" s="46">
        <v>42.1</v>
      </c>
      <c r="T11" s="46">
        <v>0</v>
      </c>
      <c r="U11" s="46">
        <v>280.92500000000001</v>
      </c>
      <c r="V11" s="46">
        <v>0</v>
      </c>
      <c r="W11" s="46">
        <v>0</v>
      </c>
      <c r="X11" s="46">
        <v>0</v>
      </c>
      <c r="Y11" s="46">
        <v>95.724999999999994</v>
      </c>
      <c r="Z11" s="46">
        <v>84.35</v>
      </c>
      <c r="AA11" s="46">
        <v>289.89999999999998</v>
      </c>
      <c r="AB11" s="46">
        <v>397.125</v>
      </c>
      <c r="AC11" s="46">
        <v>75.95</v>
      </c>
      <c r="AD11" s="46">
        <v>484.17499999999995</v>
      </c>
      <c r="AE11" s="46">
        <v>779.9</v>
      </c>
      <c r="AF11" s="46">
        <v>274.25</v>
      </c>
      <c r="AG11" s="46">
        <v>490.92499999999995</v>
      </c>
      <c r="AH11" s="46">
        <v>307.87399999999997</v>
      </c>
      <c r="AI11" s="46">
        <v>419.79999999999995</v>
      </c>
      <c r="AJ11" s="46">
        <v>478.65000000000003</v>
      </c>
      <c r="AK11" s="46">
        <v>419.92500000000001</v>
      </c>
      <c r="AL11" s="46">
        <v>353.32499999999999</v>
      </c>
      <c r="AM11" s="46">
        <v>733.99999999999977</v>
      </c>
      <c r="AN11" s="46">
        <v>336.05</v>
      </c>
      <c r="AO11" s="46">
        <f>AVERAGE(K11:AN11)</f>
        <v>221.18996666666666</v>
      </c>
      <c r="AP11" s="7">
        <f>AO11/I11</f>
        <v>221.18996666666666</v>
      </c>
      <c r="AQ11" s="81">
        <f t="shared" si="0"/>
        <v>6635.6989999999996</v>
      </c>
    </row>
    <row r="12" spans="1:43" x14ac:dyDescent="0.3">
      <c r="A12" s="5">
        <v>26</v>
      </c>
      <c r="B12" s="107" t="s">
        <v>9</v>
      </c>
      <c r="C12" s="112" t="s">
        <v>613</v>
      </c>
      <c r="D12" s="112" t="s">
        <v>742</v>
      </c>
      <c r="E12" s="110" t="s">
        <v>128</v>
      </c>
      <c r="F12" s="6" t="s">
        <v>12</v>
      </c>
      <c r="G12" s="6" t="s">
        <v>976</v>
      </c>
      <c r="H12" s="6" t="s">
        <v>35</v>
      </c>
      <c r="I12" s="5">
        <v>1</v>
      </c>
      <c r="J12" s="67" t="s">
        <v>160</v>
      </c>
      <c r="K12" s="46">
        <v>6.4210000000000003</v>
      </c>
      <c r="L12" s="46">
        <v>10.446</v>
      </c>
      <c r="M12" s="46">
        <v>10.865</v>
      </c>
      <c r="N12" s="46">
        <v>0.46800000000000003</v>
      </c>
      <c r="O12" s="46">
        <v>1.9629999999999999</v>
      </c>
      <c r="P12" s="46">
        <v>11.382</v>
      </c>
      <c r="Q12" s="46">
        <v>0</v>
      </c>
      <c r="R12" s="46">
        <v>1.984</v>
      </c>
      <c r="S12" s="46">
        <v>6.4080000000000004</v>
      </c>
      <c r="T12" s="46">
        <v>0.84899999999999998</v>
      </c>
      <c r="U12" s="46">
        <v>0</v>
      </c>
      <c r="V12" s="46">
        <v>2.665</v>
      </c>
      <c r="W12" s="46">
        <v>1.252</v>
      </c>
      <c r="X12" s="46">
        <v>7.7210000000000001</v>
      </c>
      <c r="Y12" s="46">
        <v>6.4050000000000002</v>
      </c>
      <c r="Z12" s="46">
        <v>9.2479999999999993</v>
      </c>
      <c r="AA12" s="46">
        <v>9.3219999999999992</v>
      </c>
      <c r="AB12" s="46">
        <v>0</v>
      </c>
      <c r="AC12" s="46">
        <v>5.2859999999999996</v>
      </c>
      <c r="AD12" s="46">
        <v>3.4670000000000001</v>
      </c>
      <c r="AE12" s="46">
        <v>3.1320000000000001</v>
      </c>
      <c r="AF12" s="46">
        <v>0</v>
      </c>
      <c r="AG12" s="46">
        <v>0</v>
      </c>
      <c r="AH12" s="46">
        <v>0</v>
      </c>
      <c r="AI12" s="46">
        <v>0.32200000000000001</v>
      </c>
      <c r="AJ12" s="46">
        <v>33.85</v>
      </c>
      <c r="AK12" s="46">
        <v>56.880000000000017</v>
      </c>
      <c r="AL12" s="46">
        <v>5.2010000000000005</v>
      </c>
      <c r="AM12" s="46">
        <v>12.221</v>
      </c>
      <c r="AN12" s="46">
        <v>5.6070000000000011</v>
      </c>
      <c r="AO12" s="46">
        <f>AVERAGE(K12:AN12)</f>
        <v>7.1121666666666679</v>
      </c>
      <c r="AP12" s="7">
        <f>AO12/I12</f>
        <v>7.1121666666666679</v>
      </c>
      <c r="AQ12" s="81">
        <f t="shared" si="0"/>
        <v>213.36500000000004</v>
      </c>
    </row>
    <row r="13" spans="1:43" x14ac:dyDescent="0.3">
      <c r="A13" s="5">
        <v>27</v>
      </c>
      <c r="B13" s="107" t="s">
        <v>9</v>
      </c>
      <c r="C13" s="112" t="s">
        <v>613</v>
      </c>
      <c r="D13" s="112" t="s">
        <v>742</v>
      </c>
      <c r="E13" s="110" t="s">
        <v>128</v>
      </c>
      <c r="F13" s="6" t="s">
        <v>12</v>
      </c>
      <c r="G13" s="6" t="s">
        <v>979</v>
      </c>
      <c r="H13" s="6" t="s">
        <v>35</v>
      </c>
      <c r="I13" s="5">
        <v>1</v>
      </c>
      <c r="J13" s="67" t="s">
        <v>160</v>
      </c>
      <c r="K13" s="46">
        <v>15.042000000000002</v>
      </c>
      <c r="L13" s="46">
        <v>9.923</v>
      </c>
      <c r="M13" s="46">
        <v>0</v>
      </c>
      <c r="N13" s="46">
        <v>0</v>
      </c>
      <c r="O13" s="46">
        <v>18.600000000000001</v>
      </c>
      <c r="P13" s="46">
        <v>0</v>
      </c>
      <c r="Q13" s="46">
        <v>0</v>
      </c>
      <c r="R13" s="46">
        <v>31.513000000000002</v>
      </c>
      <c r="S13" s="46">
        <v>0</v>
      </c>
      <c r="T13" s="46">
        <v>19.856999999999999</v>
      </c>
      <c r="U13" s="46">
        <v>0</v>
      </c>
      <c r="V13" s="46">
        <v>16.158000000000001</v>
      </c>
      <c r="W13" s="46">
        <v>0</v>
      </c>
      <c r="X13" s="46">
        <v>0</v>
      </c>
      <c r="Y13" s="46">
        <v>11.65</v>
      </c>
      <c r="Z13" s="46">
        <v>2.105</v>
      </c>
      <c r="AA13" s="46">
        <v>15.806000000000001</v>
      </c>
      <c r="AB13" s="46">
        <v>0</v>
      </c>
      <c r="AC13" s="46">
        <v>0</v>
      </c>
      <c r="AD13" s="46">
        <v>0</v>
      </c>
      <c r="AE13" s="46">
        <v>0</v>
      </c>
      <c r="AF13" s="46">
        <v>34.192999999999998</v>
      </c>
      <c r="AG13" s="46">
        <v>0</v>
      </c>
      <c r="AH13" s="46">
        <v>0</v>
      </c>
      <c r="AI13" s="46">
        <v>66.459000000000003</v>
      </c>
      <c r="AJ13" s="46">
        <v>9.5330000000000013</v>
      </c>
      <c r="AK13" s="46">
        <v>8.2759999999999998</v>
      </c>
      <c r="AL13" s="46">
        <v>25.600999999999999</v>
      </c>
      <c r="AM13" s="46">
        <v>0</v>
      </c>
      <c r="AN13" s="46">
        <v>5.1749999999999998</v>
      </c>
      <c r="AO13" s="46">
        <f>AVERAGE(K13:AN13)</f>
        <v>9.6630333333333365</v>
      </c>
      <c r="AP13" s="7">
        <f>AO13/I13</f>
        <v>9.6630333333333365</v>
      </c>
      <c r="AQ13" s="81">
        <f t="shared" si="0"/>
        <v>289.89100000000008</v>
      </c>
    </row>
    <row r="14" spans="1:43" x14ac:dyDescent="0.3">
      <c r="A14" s="5">
        <v>29</v>
      </c>
      <c r="B14" s="107" t="s">
        <v>9</v>
      </c>
      <c r="C14" s="112" t="s">
        <v>613</v>
      </c>
      <c r="D14" s="112" t="s">
        <v>980</v>
      </c>
      <c r="E14" s="110" t="s">
        <v>128</v>
      </c>
      <c r="F14" s="6" t="s">
        <v>12</v>
      </c>
      <c r="G14" s="6" t="s">
        <v>975</v>
      </c>
      <c r="H14" s="6" t="s">
        <v>80</v>
      </c>
      <c r="I14" s="5">
        <v>1</v>
      </c>
      <c r="J14" s="67" t="s">
        <v>160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>
        <v>0</v>
      </c>
      <c r="AO14" s="46">
        <f>AVERAGE(K14:AN14)</f>
        <v>0</v>
      </c>
      <c r="AP14" s="7">
        <f>AO14/I14</f>
        <v>0</v>
      </c>
      <c r="AQ14" s="81">
        <f t="shared" si="0"/>
        <v>0</v>
      </c>
    </row>
    <row r="15" spans="1:43" x14ac:dyDescent="0.3">
      <c r="A15" s="5">
        <v>30</v>
      </c>
      <c r="B15" s="107" t="s">
        <v>9</v>
      </c>
      <c r="C15" s="112" t="s">
        <v>613</v>
      </c>
      <c r="D15" s="112" t="s">
        <v>980</v>
      </c>
      <c r="E15" s="110" t="s">
        <v>128</v>
      </c>
      <c r="F15" s="6" t="s">
        <v>12</v>
      </c>
      <c r="G15" s="6" t="s">
        <v>1018</v>
      </c>
      <c r="H15" s="6" t="s">
        <v>80</v>
      </c>
      <c r="I15" s="5">
        <v>1</v>
      </c>
      <c r="J15" s="67" t="s">
        <v>160</v>
      </c>
      <c r="K15" s="46">
        <v>30.560000000000002</v>
      </c>
      <c r="L15" s="46">
        <v>15.68</v>
      </c>
      <c r="M15" s="46">
        <v>40.86</v>
      </c>
      <c r="N15" s="46">
        <v>83.52</v>
      </c>
      <c r="O15" s="46">
        <v>17.34</v>
      </c>
      <c r="P15" s="46">
        <v>49.75</v>
      </c>
      <c r="Q15" s="46">
        <v>41.89</v>
      </c>
      <c r="R15" s="46">
        <v>124.28</v>
      </c>
      <c r="S15" s="46">
        <v>87.83</v>
      </c>
      <c r="T15" s="46">
        <v>40.78</v>
      </c>
      <c r="U15" s="46">
        <v>18.98</v>
      </c>
      <c r="V15" s="46">
        <v>44.370000000000005</v>
      </c>
      <c r="W15" s="46">
        <v>38.449999999999996</v>
      </c>
      <c r="X15" s="46">
        <v>27.009999999999998</v>
      </c>
      <c r="Y15" s="46">
        <v>58.79</v>
      </c>
      <c r="Z15" s="46">
        <v>50.33</v>
      </c>
      <c r="AA15" s="46">
        <v>51.32</v>
      </c>
      <c r="AB15" s="46">
        <v>56.849999999999994</v>
      </c>
      <c r="AC15" s="46">
        <v>13.969999999999999</v>
      </c>
      <c r="AD15" s="46">
        <v>31.279999999999998</v>
      </c>
      <c r="AE15" s="46">
        <v>10.780000000000001</v>
      </c>
      <c r="AF15" s="46">
        <v>35</v>
      </c>
      <c r="AG15" s="46">
        <v>32</v>
      </c>
      <c r="AH15" s="46">
        <v>0</v>
      </c>
      <c r="AI15" s="46">
        <v>114.77999999999999</v>
      </c>
      <c r="AJ15" s="46">
        <v>41</v>
      </c>
      <c r="AK15" s="46">
        <v>29.9</v>
      </c>
      <c r="AL15" s="46">
        <v>65.44</v>
      </c>
      <c r="AM15" s="46">
        <v>48.21</v>
      </c>
      <c r="AN15" s="46">
        <v>82.13000000000001</v>
      </c>
      <c r="AO15" s="46">
        <f>AVERAGE(K15:AN15)</f>
        <v>46.102666666666678</v>
      </c>
      <c r="AP15" s="7">
        <f>AO15/I15</f>
        <v>46.102666666666678</v>
      </c>
      <c r="AQ15" s="81">
        <f>SUM(K15:AN15)</f>
        <v>1383.0800000000004</v>
      </c>
    </row>
    <row r="16" spans="1:43" x14ac:dyDescent="0.3">
      <c r="A16" s="5">
        <v>32</v>
      </c>
      <c r="B16" s="107" t="s">
        <v>9</v>
      </c>
      <c r="C16" s="112" t="s">
        <v>966</v>
      </c>
      <c r="D16" s="112" t="s">
        <v>967</v>
      </c>
      <c r="E16" s="110" t="s">
        <v>128</v>
      </c>
      <c r="F16" s="6" t="s">
        <v>12</v>
      </c>
      <c r="G16" s="6" t="s">
        <v>973</v>
      </c>
      <c r="H16" s="6" t="s">
        <v>80</v>
      </c>
      <c r="I16" s="5">
        <v>1</v>
      </c>
      <c r="J16" s="94" t="s">
        <v>273</v>
      </c>
      <c r="K16" s="46">
        <v>0</v>
      </c>
      <c r="L16" s="46">
        <v>5.98</v>
      </c>
      <c r="M16" s="46">
        <v>0</v>
      </c>
      <c r="N16" s="46">
        <v>0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0</v>
      </c>
      <c r="AL16" s="46">
        <v>0</v>
      </c>
      <c r="AM16" s="46">
        <v>0</v>
      </c>
      <c r="AN16" s="46">
        <v>0</v>
      </c>
      <c r="AO16" s="46">
        <f>AVERAGE(K16:AN16)</f>
        <v>0.19933333333333333</v>
      </c>
      <c r="AP16" s="7">
        <f>AO16/I16</f>
        <v>0.19933333333333333</v>
      </c>
      <c r="AQ16" s="81">
        <f t="shared" si="0"/>
        <v>5.98</v>
      </c>
    </row>
    <row r="17" spans="1:43" x14ac:dyDescent="0.3">
      <c r="A17" s="5">
        <v>37</v>
      </c>
      <c r="B17" s="107" t="s">
        <v>9</v>
      </c>
      <c r="C17" s="112" t="s">
        <v>962</v>
      </c>
      <c r="D17" s="112" t="s">
        <v>963</v>
      </c>
      <c r="E17" s="110" t="s">
        <v>128</v>
      </c>
      <c r="F17" s="6" t="s">
        <v>12</v>
      </c>
      <c r="G17" s="6" t="s">
        <v>971</v>
      </c>
      <c r="H17" s="6" t="s">
        <v>80</v>
      </c>
      <c r="I17" s="5">
        <v>1</v>
      </c>
      <c r="J17" s="94" t="s">
        <v>273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0</v>
      </c>
      <c r="AL17" s="46">
        <v>0</v>
      </c>
      <c r="AM17" s="46">
        <v>0</v>
      </c>
      <c r="AN17" s="46">
        <v>0</v>
      </c>
      <c r="AO17" s="46">
        <f>AVERAGE(K17:AN17)</f>
        <v>0</v>
      </c>
      <c r="AP17" s="7">
        <f>AO17/I17</f>
        <v>0</v>
      </c>
      <c r="AQ17" s="81">
        <f t="shared" si="0"/>
        <v>0</v>
      </c>
    </row>
    <row r="18" spans="1:43" x14ac:dyDescent="0.3">
      <c r="A18" s="5">
        <v>38</v>
      </c>
      <c r="B18" s="107" t="s">
        <v>9</v>
      </c>
      <c r="C18" s="112" t="s">
        <v>619</v>
      </c>
      <c r="D18" s="112" t="s">
        <v>736</v>
      </c>
      <c r="E18" s="110" t="s">
        <v>128</v>
      </c>
      <c r="F18" s="6" t="s">
        <v>12</v>
      </c>
      <c r="G18" s="6" t="s">
        <v>976</v>
      </c>
      <c r="H18" s="6" t="s">
        <v>35</v>
      </c>
      <c r="I18" s="5">
        <v>1</v>
      </c>
      <c r="J18" s="12" t="s">
        <v>590</v>
      </c>
      <c r="K18" s="46">
        <v>0</v>
      </c>
      <c r="L18" s="46">
        <v>0</v>
      </c>
      <c r="M18" s="46">
        <v>0</v>
      </c>
      <c r="N18" s="46">
        <v>0.79900000000000004</v>
      </c>
      <c r="O18" s="46">
        <v>1.7150000000000001</v>
      </c>
      <c r="P18" s="46">
        <v>0</v>
      </c>
      <c r="Q18" s="46">
        <v>0</v>
      </c>
      <c r="R18" s="46">
        <v>0</v>
      </c>
      <c r="S18" s="46">
        <v>0</v>
      </c>
      <c r="T18" s="46">
        <v>1.8029999999999999</v>
      </c>
      <c r="U18" s="46">
        <v>0</v>
      </c>
      <c r="V18" s="46">
        <v>1.133</v>
      </c>
      <c r="W18" s="46">
        <v>0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2.0310000000000001</v>
      </c>
      <c r="AD18" s="46">
        <v>0</v>
      </c>
      <c r="AE18" s="46">
        <v>0</v>
      </c>
      <c r="AF18" s="46">
        <v>1.0720000000000001</v>
      </c>
      <c r="AG18" s="46">
        <v>0</v>
      </c>
      <c r="AH18" s="46">
        <v>0</v>
      </c>
      <c r="AI18" s="46">
        <v>0</v>
      </c>
      <c r="AJ18" s="46">
        <v>0</v>
      </c>
      <c r="AK18" s="46">
        <v>0</v>
      </c>
      <c r="AL18" s="46">
        <v>1.903</v>
      </c>
      <c r="AM18" s="46">
        <v>0</v>
      </c>
      <c r="AN18" s="46">
        <v>0</v>
      </c>
      <c r="AO18" s="46">
        <f>AVERAGE(K18:AN18)</f>
        <v>0.34853333333333336</v>
      </c>
      <c r="AP18" s="7">
        <f>AO18/I18</f>
        <v>0.34853333333333336</v>
      </c>
      <c r="AQ18" s="81">
        <f t="shared" si="0"/>
        <v>10.456000000000001</v>
      </c>
    </row>
    <row r="19" spans="1:43" x14ac:dyDescent="0.3">
      <c r="A19" s="5">
        <v>41</v>
      </c>
      <c r="B19" s="107" t="s">
        <v>9</v>
      </c>
      <c r="C19" s="112" t="s">
        <v>622</v>
      </c>
      <c r="D19" s="112" t="s">
        <v>987</v>
      </c>
      <c r="E19" s="110" t="s">
        <v>128</v>
      </c>
      <c r="F19" s="6" t="s">
        <v>12</v>
      </c>
      <c r="G19" s="6" t="s">
        <v>974</v>
      </c>
      <c r="H19" s="6" t="s">
        <v>35</v>
      </c>
      <c r="I19" s="5">
        <v>1</v>
      </c>
      <c r="J19" s="12" t="s">
        <v>590</v>
      </c>
      <c r="K19" s="46">
        <v>0</v>
      </c>
      <c r="L19" s="46">
        <v>0</v>
      </c>
      <c r="M19" s="46">
        <v>0</v>
      </c>
      <c r="N19" s="46">
        <v>0</v>
      </c>
      <c r="O19" s="46">
        <v>0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0</v>
      </c>
      <c r="AD19" s="46">
        <v>0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0</v>
      </c>
      <c r="AL19" s="46">
        <v>0</v>
      </c>
      <c r="AM19" s="46">
        <v>0</v>
      </c>
      <c r="AN19" s="46">
        <v>0</v>
      </c>
      <c r="AO19" s="46">
        <f>AVERAGE(K19:AN19)</f>
        <v>0</v>
      </c>
      <c r="AP19" s="7">
        <f>AO19/I19</f>
        <v>0</v>
      </c>
      <c r="AQ19" s="81">
        <f t="shared" si="0"/>
        <v>0</v>
      </c>
    </row>
    <row r="20" spans="1:43" x14ac:dyDescent="0.3">
      <c r="A20" s="5">
        <v>43</v>
      </c>
      <c r="B20" s="107" t="s">
        <v>9</v>
      </c>
      <c r="C20" s="112" t="s">
        <v>624</v>
      </c>
      <c r="D20" s="112" t="s">
        <v>776</v>
      </c>
      <c r="E20" s="110" t="s">
        <v>30</v>
      </c>
      <c r="F20" s="6" t="s">
        <v>12</v>
      </c>
      <c r="G20" s="6" t="s">
        <v>976</v>
      </c>
      <c r="H20" s="6" t="s">
        <v>35</v>
      </c>
      <c r="I20" s="5">
        <v>1</v>
      </c>
      <c r="J20" s="12" t="s">
        <v>589</v>
      </c>
      <c r="K20" s="46">
        <v>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6">
        <v>0</v>
      </c>
      <c r="AN20" s="46">
        <v>0</v>
      </c>
      <c r="AO20" s="46">
        <f>AVERAGE(K20:AN20)</f>
        <v>0</v>
      </c>
      <c r="AP20" s="7">
        <f>AO20/I20</f>
        <v>0</v>
      </c>
      <c r="AQ20" s="81">
        <f t="shared" si="0"/>
        <v>0</v>
      </c>
    </row>
    <row r="21" spans="1:43" x14ac:dyDescent="0.3">
      <c r="A21" s="5">
        <v>44</v>
      </c>
      <c r="B21" s="107" t="s">
        <v>9</v>
      </c>
      <c r="C21" s="112" t="s">
        <v>625</v>
      </c>
      <c r="D21" s="112" t="s">
        <v>777</v>
      </c>
      <c r="E21" s="110" t="s">
        <v>128</v>
      </c>
      <c r="F21" s="6" t="s">
        <v>12</v>
      </c>
      <c r="G21" s="6" t="s">
        <v>976</v>
      </c>
      <c r="H21" s="6" t="s">
        <v>35</v>
      </c>
      <c r="I21" s="5">
        <v>1</v>
      </c>
      <c r="J21" s="12" t="s">
        <v>590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f>AVERAGE(K21:AN21)</f>
        <v>0</v>
      </c>
      <c r="AP21" s="7">
        <f>AO21/I21</f>
        <v>0</v>
      </c>
      <c r="AQ21" s="81">
        <f t="shared" si="0"/>
        <v>0</v>
      </c>
    </row>
    <row r="22" spans="1:43" x14ac:dyDescent="0.3">
      <c r="A22" s="5">
        <v>45</v>
      </c>
      <c r="B22" s="107" t="s">
        <v>9</v>
      </c>
      <c r="C22" s="112" t="s">
        <v>626</v>
      </c>
      <c r="D22" s="112" t="s">
        <v>778</v>
      </c>
      <c r="E22" s="110" t="s">
        <v>30</v>
      </c>
      <c r="F22" s="6" t="s">
        <v>12</v>
      </c>
      <c r="G22" s="6" t="s">
        <v>976</v>
      </c>
      <c r="H22" s="6" t="s">
        <v>35</v>
      </c>
      <c r="I22" s="5">
        <v>1</v>
      </c>
      <c r="J22" s="12" t="s">
        <v>589</v>
      </c>
      <c r="K22" s="46">
        <v>0</v>
      </c>
      <c r="L22" s="46">
        <v>0</v>
      </c>
      <c r="M22" s="46">
        <v>0</v>
      </c>
      <c r="N22" s="46">
        <v>3.2549999999999999</v>
      </c>
      <c r="O22" s="46">
        <v>0</v>
      </c>
      <c r="P22" s="46">
        <v>0</v>
      </c>
      <c r="Q22" s="46">
        <v>1.738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2.7109999999999999</v>
      </c>
      <c r="AA22" s="46">
        <v>0.58899999999999997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1.9259999999999999</v>
      </c>
      <c r="AK22" s="46">
        <v>0</v>
      </c>
      <c r="AL22" s="46">
        <v>1.968</v>
      </c>
      <c r="AM22" s="46">
        <v>0</v>
      </c>
      <c r="AN22" s="46">
        <v>0</v>
      </c>
      <c r="AO22" s="46">
        <f>AVERAGE(K22:AN22)</f>
        <v>0.40623333333333339</v>
      </c>
      <c r="AP22" s="7">
        <f>AO22/I22</f>
        <v>0.40623333333333339</v>
      </c>
      <c r="AQ22" s="81">
        <f t="shared" si="0"/>
        <v>12.187000000000001</v>
      </c>
    </row>
    <row r="23" spans="1:43" x14ac:dyDescent="0.3">
      <c r="A23" s="5">
        <v>46</v>
      </c>
      <c r="B23" s="107" t="s">
        <v>9</v>
      </c>
      <c r="C23" s="112" t="s">
        <v>627</v>
      </c>
      <c r="D23" s="112" t="s">
        <v>779</v>
      </c>
      <c r="E23" s="110" t="s">
        <v>30</v>
      </c>
      <c r="F23" s="6" t="s">
        <v>12</v>
      </c>
      <c r="G23" s="6" t="s">
        <v>976</v>
      </c>
      <c r="H23" s="6" t="s">
        <v>35</v>
      </c>
      <c r="I23" s="5">
        <v>1</v>
      </c>
      <c r="J23" s="12" t="s">
        <v>589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0</v>
      </c>
      <c r="AA23" s="46">
        <v>0</v>
      </c>
      <c r="AB23" s="46">
        <v>0</v>
      </c>
      <c r="AC23" s="46">
        <v>0</v>
      </c>
      <c r="AD23" s="46">
        <v>0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6">
        <v>0</v>
      </c>
      <c r="AN23" s="46">
        <v>0</v>
      </c>
      <c r="AO23" s="46">
        <f>AVERAGE(K23:AN23)</f>
        <v>0</v>
      </c>
      <c r="AP23" s="7">
        <f>AO23/I23</f>
        <v>0</v>
      </c>
      <c r="AQ23" s="81">
        <f t="shared" si="0"/>
        <v>0</v>
      </c>
    </row>
    <row r="24" spans="1:43" x14ac:dyDescent="0.3">
      <c r="A24" s="5">
        <v>51</v>
      </c>
      <c r="B24" s="107" t="s">
        <v>9</v>
      </c>
      <c r="C24" s="112" t="s">
        <v>631</v>
      </c>
      <c r="D24" s="112" t="s">
        <v>743</v>
      </c>
      <c r="E24" s="110" t="s">
        <v>128</v>
      </c>
      <c r="F24" s="6" t="s">
        <v>12</v>
      </c>
      <c r="G24" s="6" t="s">
        <v>976</v>
      </c>
      <c r="H24" s="6" t="s">
        <v>35</v>
      </c>
      <c r="I24" s="5">
        <v>1</v>
      </c>
      <c r="J24" s="67" t="s">
        <v>160</v>
      </c>
      <c r="K24" s="46">
        <v>0</v>
      </c>
      <c r="L24" s="46">
        <v>0</v>
      </c>
      <c r="M24" s="46">
        <v>5.4889999999999999</v>
      </c>
      <c r="N24" s="46">
        <v>5.9669999999999996</v>
      </c>
      <c r="O24" s="46">
        <v>3.8359999999999999</v>
      </c>
      <c r="P24" s="46">
        <v>0</v>
      </c>
      <c r="Q24" s="46">
        <v>3.7850000000000001</v>
      </c>
      <c r="R24" s="46">
        <v>20.032</v>
      </c>
      <c r="S24" s="46">
        <v>5.9399999999999995</v>
      </c>
      <c r="T24" s="46">
        <v>3.5379999999999998</v>
      </c>
      <c r="U24" s="46">
        <v>3.948</v>
      </c>
      <c r="V24" s="46">
        <v>3.694</v>
      </c>
      <c r="W24" s="46">
        <v>0</v>
      </c>
      <c r="X24" s="46">
        <v>4.5440000000000005</v>
      </c>
      <c r="Y24" s="46">
        <v>4.0960000000000001</v>
      </c>
      <c r="Z24" s="46">
        <v>4.2309999999999999</v>
      </c>
      <c r="AA24" s="46">
        <v>3.548</v>
      </c>
      <c r="AB24" s="46">
        <v>1.984</v>
      </c>
      <c r="AC24" s="46">
        <v>0</v>
      </c>
      <c r="AD24" s="46">
        <v>0</v>
      </c>
      <c r="AE24" s="46">
        <v>3.7210000000000001</v>
      </c>
      <c r="AF24" s="46">
        <v>2.9209999999999998</v>
      </c>
      <c r="AG24" s="46">
        <v>2.964</v>
      </c>
      <c r="AH24" s="46">
        <v>2.0550000000000002</v>
      </c>
      <c r="AI24" s="46">
        <v>6.5759999999999996</v>
      </c>
      <c r="AJ24" s="46">
        <v>3.07</v>
      </c>
      <c r="AK24" s="46">
        <v>0</v>
      </c>
      <c r="AL24" s="46">
        <v>3.96</v>
      </c>
      <c r="AM24" s="46">
        <v>0</v>
      </c>
      <c r="AN24" s="46">
        <v>0</v>
      </c>
      <c r="AO24" s="46">
        <f>AVERAGE(K24:AN24)</f>
        <v>3.3299666666666661</v>
      </c>
      <c r="AP24" s="7">
        <f>AO24/I24</f>
        <v>3.3299666666666661</v>
      </c>
      <c r="AQ24" s="81">
        <f t="shared" si="0"/>
        <v>99.898999999999987</v>
      </c>
    </row>
    <row r="25" spans="1:43" x14ac:dyDescent="0.3">
      <c r="A25" s="5">
        <v>52</v>
      </c>
      <c r="B25" s="107" t="s">
        <v>9</v>
      </c>
      <c r="C25" s="112" t="s">
        <v>631</v>
      </c>
      <c r="D25" s="112" t="s">
        <v>743</v>
      </c>
      <c r="E25" s="110" t="s">
        <v>128</v>
      </c>
      <c r="F25" s="6" t="s">
        <v>12</v>
      </c>
      <c r="G25" s="6" t="s">
        <v>979</v>
      </c>
      <c r="H25" s="6" t="s">
        <v>35</v>
      </c>
      <c r="I25" s="5">
        <v>1</v>
      </c>
      <c r="J25" s="67" t="s">
        <v>160</v>
      </c>
      <c r="K25" s="46">
        <v>0</v>
      </c>
      <c r="L25" s="46">
        <v>0</v>
      </c>
      <c r="M25" s="46">
        <v>0</v>
      </c>
      <c r="N25" s="46">
        <v>0</v>
      </c>
      <c r="O25" s="46">
        <v>0</v>
      </c>
      <c r="P25" s="46">
        <v>0</v>
      </c>
      <c r="Q25" s="46">
        <v>0</v>
      </c>
      <c r="R25" s="46">
        <v>0</v>
      </c>
      <c r="S25" s="46">
        <v>0</v>
      </c>
      <c r="T25" s="46">
        <v>10.51</v>
      </c>
      <c r="U25" s="46">
        <v>0</v>
      </c>
      <c r="V25" s="46">
        <v>11.615</v>
      </c>
      <c r="W25" s="46">
        <v>19.273</v>
      </c>
      <c r="X25" s="46">
        <v>0</v>
      </c>
      <c r="Y25" s="46">
        <v>0</v>
      </c>
      <c r="Z25" s="46">
        <v>6.5750000000000002</v>
      </c>
      <c r="AA25" s="46">
        <v>0</v>
      </c>
      <c r="AB25" s="46">
        <v>0</v>
      </c>
      <c r="AC25" s="46">
        <v>2.2389999999999999</v>
      </c>
      <c r="AD25" s="46">
        <v>0</v>
      </c>
      <c r="AE25" s="46">
        <v>0</v>
      </c>
      <c r="AF25" s="46">
        <v>0</v>
      </c>
      <c r="AG25" s="46">
        <v>0</v>
      </c>
      <c r="AH25" s="46">
        <v>0</v>
      </c>
      <c r="AI25" s="46">
        <v>0</v>
      </c>
      <c r="AJ25" s="46">
        <v>0</v>
      </c>
      <c r="AK25" s="46">
        <v>0</v>
      </c>
      <c r="AL25" s="46">
        <v>0</v>
      </c>
      <c r="AM25" s="46">
        <v>0</v>
      </c>
      <c r="AN25" s="46">
        <v>0</v>
      </c>
      <c r="AO25" s="46">
        <f>AVERAGE(K25:AN25)</f>
        <v>1.6737333333333333</v>
      </c>
      <c r="AP25" s="7">
        <f>AO25/I25</f>
        <v>1.6737333333333333</v>
      </c>
      <c r="AQ25" s="81">
        <f t="shared" si="0"/>
        <v>50.211999999999996</v>
      </c>
    </row>
    <row r="26" spans="1:43" x14ac:dyDescent="0.3">
      <c r="A26" s="5">
        <v>53</v>
      </c>
      <c r="B26" s="107" t="s">
        <v>9</v>
      </c>
      <c r="C26" s="112" t="s">
        <v>631</v>
      </c>
      <c r="D26" s="112" t="s">
        <v>743</v>
      </c>
      <c r="E26" s="110" t="s">
        <v>128</v>
      </c>
      <c r="F26" s="6" t="s">
        <v>12</v>
      </c>
      <c r="G26" s="6" t="s">
        <v>971</v>
      </c>
      <c r="H26" s="6" t="s">
        <v>80</v>
      </c>
      <c r="I26" s="5">
        <v>1</v>
      </c>
      <c r="J26" s="67" t="s">
        <v>160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>
        <v>0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</v>
      </c>
      <c r="Y26" s="46">
        <v>0</v>
      </c>
      <c r="Z26" s="46">
        <v>0</v>
      </c>
      <c r="AA26" s="46">
        <v>0</v>
      </c>
      <c r="AB26" s="46">
        <v>0</v>
      </c>
      <c r="AC26" s="46">
        <v>0</v>
      </c>
      <c r="AD26" s="46">
        <v>0</v>
      </c>
      <c r="AE26" s="46">
        <v>0</v>
      </c>
      <c r="AF26" s="46">
        <v>0</v>
      </c>
      <c r="AG26" s="46">
        <v>0</v>
      </c>
      <c r="AH26" s="46">
        <v>0</v>
      </c>
      <c r="AI26" s="46">
        <v>0</v>
      </c>
      <c r="AJ26" s="46">
        <v>0</v>
      </c>
      <c r="AK26" s="46">
        <v>0</v>
      </c>
      <c r="AL26" s="46">
        <v>14.657</v>
      </c>
      <c r="AM26" s="46">
        <v>0</v>
      </c>
      <c r="AN26" s="46">
        <v>0</v>
      </c>
      <c r="AO26" s="46">
        <f>AVERAGE(K26:AN26)</f>
        <v>0.48856666666666665</v>
      </c>
      <c r="AP26" s="7">
        <f>AO26/I26</f>
        <v>0.48856666666666665</v>
      </c>
      <c r="AQ26" s="81">
        <f t="shared" si="0"/>
        <v>14.657</v>
      </c>
    </row>
    <row r="27" spans="1:43" x14ac:dyDescent="0.3">
      <c r="A27" s="5">
        <v>55</v>
      </c>
      <c r="B27" s="107" t="s">
        <v>9</v>
      </c>
      <c r="C27" s="112" t="s">
        <v>633</v>
      </c>
      <c r="D27" s="112" t="s">
        <v>782</v>
      </c>
      <c r="E27" s="110" t="s">
        <v>128</v>
      </c>
      <c r="F27" s="6" t="s">
        <v>12</v>
      </c>
      <c r="G27" s="6" t="s">
        <v>976</v>
      </c>
      <c r="H27" s="6" t="s">
        <v>35</v>
      </c>
      <c r="I27" s="5">
        <v>1</v>
      </c>
      <c r="J27" s="12" t="s">
        <v>590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6">
        <v>0</v>
      </c>
      <c r="AB27" s="46">
        <v>0</v>
      </c>
      <c r="AC27" s="46">
        <v>0</v>
      </c>
      <c r="AD27" s="46">
        <v>0</v>
      </c>
      <c r="AE27" s="46">
        <v>0</v>
      </c>
      <c r="AF27" s="46">
        <v>0</v>
      </c>
      <c r="AG27" s="46">
        <v>0</v>
      </c>
      <c r="AH27" s="46">
        <v>0</v>
      </c>
      <c r="AI27" s="46">
        <v>0</v>
      </c>
      <c r="AJ27" s="46">
        <v>0</v>
      </c>
      <c r="AK27" s="46">
        <v>0</v>
      </c>
      <c r="AL27" s="46">
        <v>0</v>
      </c>
      <c r="AM27" s="46">
        <v>0</v>
      </c>
      <c r="AN27" s="46">
        <v>0</v>
      </c>
      <c r="AO27" s="46">
        <f>AVERAGE(K27:AN27)</f>
        <v>0</v>
      </c>
      <c r="AP27" s="7">
        <f>AO27/I27</f>
        <v>0</v>
      </c>
      <c r="AQ27" s="81">
        <f t="shared" si="0"/>
        <v>0</v>
      </c>
    </row>
    <row r="28" spans="1:43" x14ac:dyDescent="0.3">
      <c r="A28" s="5">
        <v>56</v>
      </c>
      <c r="B28" s="107" t="s">
        <v>498</v>
      </c>
      <c r="C28" s="112" t="s">
        <v>634</v>
      </c>
      <c r="D28" s="113" t="s">
        <v>783</v>
      </c>
      <c r="E28" s="110" t="s">
        <v>128</v>
      </c>
      <c r="F28" s="6" t="s">
        <v>12</v>
      </c>
      <c r="G28" s="6" t="s">
        <v>973</v>
      </c>
      <c r="H28" s="6" t="s">
        <v>80</v>
      </c>
      <c r="I28" s="5">
        <v>1</v>
      </c>
      <c r="J28" s="67" t="s">
        <v>160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46">
        <v>0</v>
      </c>
      <c r="AL28" s="46">
        <v>0</v>
      </c>
      <c r="AM28" s="46">
        <v>0</v>
      </c>
      <c r="AN28" s="46">
        <v>0</v>
      </c>
      <c r="AO28" s="46">
        <f>AVERAGE(K28:AN28)</f>
        <v>0</v>
      </c>
      <c r="AP28" s="7">
        <f>AO28/I28</f>
        <v>0</v>
      </c>
      <c r="AQ28" s="81">
        <f t="shared" si="0"/>
        <v>0</v>
      </c>
    </row>
    <row r="29" spans="1:43" x14ac:dyDescent="0.3">
      <c r="A29" s="5">
        <v>57</v>
      </c>
      <c r="B29" s="107" t="s">
        <v>9</v>
      </c>
      <c r="C29" s="112" t="s">
        <v>635</v>
      </c>
      <c r="D29" s="112" t="s">
        <v>720</v>
      </c>
      <c r="E29" s="110" t="s">
        <v>128</v>
      </c>
      <c r="F29" s="6" t="s">
        <v>12</v>
      </c>
      <c r="G29" s="6" t="s">
        <v>976</v>
      </c>
      <c r="H29" s="6" t="s">
        <v>35</v>
      </c>
      <c r="I29" s="5">
        <v>1</v>
      </c>
      <c r="J29" s="12" t="s">
        <v>589</v>
      </c>
      <c r="K29" s="46">
        <v>3.6619999999999999</v>
      </c>
      <c r="L29" s="46">
        <v>7.9000000000000001E-2</v>
      </c>
      <c r="M29" s="46">
        <v>0.57199999999999995</v>
      </c>
      <c r="N29" s="46">
        <v>5.1880000000000006</v>
      </c>
      <c r="O29" s="46">
        <v>2.78</v>
      </c>
      <c r="P29" s="46">
        <v>0</v>
      </c>
      <c r="Q29" s="46">
        <v>6.7379999999999995</v>
      </c>
      <c r="R29" s="46">
        <v>5.44</v>
      </c>
      <c r="S29" s="46">
        <v>0</v>
      </c>
      <c r="T29" s="46">
        <v>0.55200000000000005</v>
      </c>
      <c r="U29" s="46">
        <v>5.8000000000000007</v>
      </c>
      <c r="V29" s="46">
        <v>0.89100000000000001</v>
      </c>
      <c r="W29" s="46">
        <v>6.0839999999999996</v>
      </c>
      <c r="X29" s="46">
        <v>3.3959999999999999</v>
      </c>
      <c r="Y29" s="46">
        <v>3.629</v>
      </c>
      <c r="Z29" s="46">
        <v>3.2040000000000002</v>
      </c>
      <c r="AA29" s="46">
        <v>0</v>
      </c>
      <c r="AB29" s="46">
        <v>1.3320000000000001</v>
      </c>
      <c r="AC29" s="46">
        <v>6.6010000000000009</v>
      </c>
      <c r="AD29" s="46">
        <v>3.839</v>
      </c>
      <c r="AE29" s="46">
        <v>2.1960000000000002</v>
      </c>
      <c r="AF29" s="46">
        <v>0.66500000000000004</v>
      </c>
      <c r="AG29" s="46">
        <v>0</v>
      </c>
      <c r="AH29" s="46">
        <v>1.3579999999999999</v>
      </c>
      <c r="AI29" s="46">
        <v>1.675</v>
      </c>
      <c r="AJ29" s="46">
        <v>4.4820000000000002</v>
      </c>
      <c r="AK29" s="46">
        <v>7.992</v>
      </c>
      <c r="AL29" s="46">
        <v>5.2750000000000004</v>
      </c>
      <c r="AM29" s="46">
        <v>2.7690000000000001</v>
      </c>
      <c r="AN29" s="46">
        <v>2.72</v>
      </c>
      <c r="AO29" s="46">
        <f>AVERAGE(K29:AN29)</f>
        <v>2.9639666666666669</v>
      </c>
      <c r="AP29" s="7">
        <f>AO29/I29</f>
        <v>2.9639666666666669</v>
      </c>
      <c r="AQ29" s="81">
        <f t="shared" si="0"/>
        <v>88.919000000000011</v>
      </c>
    </row>
    <row r="30" spans="1:43" x14ac:dyDescent="0.3">
      <c r="A30" s="5">
        <v>59</v>
      </c>
      <c r="B30" s="107" t="s">
        <v>9</v>
      </c>
      <c r="C30" s="112">
        <v>0</v>
      </c>
      <c r="D30" s="112" t="s">
        <v>753</v>
      </c>
      <c r="E30" s="110" t="s">
        <v>128</v>
      </c>
      <c r="F30" s="6" t="s">
        <v>12</v>
      </c>
      <c r="G30" s="6" t="s">
        <v>1052</v>
      </c>
      <c r="H30" s="6" t="s">
        <v>80</v>
      </c>
      <c r="I30" s="5">
        <v>1</v>
      </c>
      <c r="J30" s="67" t="s">
        <v>160</v>
      </c>
      <c r="K30" s="46">
        <v>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>
        <v>0</v>
      </c>
      <c r="AK30" s="46">
        <v>0</v>
      </c>
      <c r="AL30" s="46">
        <v>0</v>
      </c>
      <c r="AM30" s="46">
        <v>0</v>
      </c>
      <c r="AN30" s="46">
        <v>0</v>
      </c>
      <c r="AO30" s="46">
        <f>AVERAGE(K30:AN30)</f>
        <v>0</v>
      </c>
      <c r="AP30" s="7">
        <f>AO30/I30</f>
        <v>0</v>
      </c>
      <c r="AQ30" s="81">
        <f t="shared" si="0"/>
        <v>0</v>
      </c>
    </row>
    <row r="31" spans="1:43" x14ac:dyDescent="0.3">
      <c r="A31" s="5">
        <v>61</v>
      </c>
      <c r="B31" s="107" t="s">
        <v>9</v>
      </c>
      <c r="C31" s="5">
        <v>0</v>
      </c>
      <c r="D31" s="6" t="s">
        <v>93</v>
      </c>
      <c r="E31" s="110" t="s">
        <v>26</v>
      </c>
      <c r="F31" s="6" t="s">
        <v>19</v>
      </c>
      <c r="G31" s="6" t="s">
        <v>976</v>
      </c>
      <c r="H31" s="6" t="s">
        <v>14</v>
      </c>
      <c r="I31" s="5">
        <v>1</v>
      </c>
      <c r="J31" s="67" t="s">
        <v>160</v>
      </c>
      <c r="K31" s="46">
        <v>0</v>
      </c>
      <c r="L31" s="46">
        <v>0</v>
      </c>
      <c r="M31" s="46">
        <v>0</v>
      </c>
      <c r="N31" s="46">
        <v>0</v>
      </c>
      <c r="O31" s="46">
        <v>0</v>
      </c>
      <c r="P31" s="46">
        <v>0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0</v>
      </c>
      <c r="AD31" s="46">
        <v>0</v>
      </c>
      <c r="AE31" s="46">
        <v>0</v>
      </c>
      <c r="AF31" s="46">
        <v>0</v>
      </c>
      <c r="AG31" s="46">
        <v>0</v>
      </c>
      <c r="AH31" s="46">
        <v>0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>
        <v>0</v>
      </c>
      <c r="AO31" s="46">
        <f>AVERAGE(K31:AN31)</f>
        <v>0</v>
      </c>
      <c r="AP31" s="7">
        <f>AO31/I31</f>
        <v>0</v>
      </c>
      <c r="AQ31" s="81">
        <f t="shared" si="0"/>
        <v>0</v>
      </c>
    </row>
    <row r="32" spans="1:43" x14ac:dyDescent="0.3">
      <c r="A32" s="5">
        <v>65</v>
      </c>
      <c r="B32" s="107" t="s">
        <v>9</v>
      </c>
      <c r="C32" s="112" t="s">
        <v>857</v>
      </c>
      <c r="D32" s="112" t="s">
        <v>856</v>
      </c>
      <c r="E32" s="110" t="s">
        <v>128</v>
      </c>
      <c r="F32" s="6" t="s">
        <v>12</v>
      </c>
      <c r="G32" s="6" t="s">
        <v>290</v>
      </c>
      <c r="H32" s="6" t="s">
        <v>80</v>
      </c>
      <c r="I32" s="5">
        <v>1</v>
      </c>
      <c r="J32" s="12" t="s">
        <v>590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0</v>
      </c>
      <c r="AD32" s="46">
        <v>0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f>AVERAGE(K32:AN32)</f>
        <v>0</v>
      </c>
      <c r="AP32" s="7">
        <f>AO32/I32</f>
        <v>0</v>
      </c>
      <c r="AQ32" s="81">
        <f t="shared" si="0"/>
        <v>0</v>
      </c>
    </row>
    <row r="33" spans="1:43" ht="14.25" customHeight="1" x14ac:dyDescent="0.3">
      <c r="A33" s="5">
        <v>66</v>
      </c>
      <c r="B33" s="107" t="s">
        <v>9</v>
      </c>
      <c r="C33" s="112" t="s">
        <v>968</v>
      </c>
      <c r="D33" s="114" t="s">
        <v>969</v>
      </c>
      <c r="E33" s="110" t="s">
        <v>128</v>
      </c>
      <c r="F33" s="6" t="s">
        <v>12</v>
      </c>
      <c r="G33" s="6" t="s">
        <v>976</v>
      </c>
      <c r="H33" s="6" t="s">
        <v>35</v>
      </c>
      <c r="I33" s="5">
        <v>1</v>
      </c>
      <c r="J33" s="12" t="s">
        <v>590</v>
      </c>
      <c r="K33" s="46">
        <v>0</v>
      </c>
      <c r="L33" s="46">
        <v>0</v>
      </c>
      <c r="M33" s="46">
        <v>0</v>
      </c>
      <c r="N33" s="46">
        <v>0.41299999999999998</v>
      </c>
      <c r="O33" s="46">
        <v>0</v>
      </c>
      <c r="P33" s="46">
        <v>2.109</v>
      </c>
      <c r="Q33" s="46">
        <v>0</v>
      </c>
      <c r="R33" s="46">
        <v>0</v>
      </c>
      <c r="S33" s="46">
        <v>3.0019999999999998</v>
      </c>
      <c r="T33" s="46">
        <v>0</v>
      </c>
      <c r="U33" s="46">
        <v>0</v>
      </c>
      <c r="V33" s="46">
        <v>0</v>
      </c>
      <c r="W33" s="46">
        <v>0</v>
      </c>
      <c r="X33" s="46">
        <v>2.9990000000000001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2.0419999999999998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f>AVERAGE(K33:AN33)</f>
        <v>0.35216666666666663</v>
      </c>
      <c r="AP33" s="7">
        <f>AO33/I33</f>
        <v>0.35216666666666663</v>
      </c>
      <c r="AQ33" s="81">
        <f t="shared" si="0"/>
        <v>10.565</v>
      </c>
    </row>
    <row r="34" spans="1:43" x14ac:dyDescent="0.3">
      <c r="A34" s="5">
        <v>71</v>
      </c>
      <c r="B34" s="107" t="s">
        <v>1024</v>
      </c>
      <c r="C34" s="10">
        <v>0</v>
      </c>
      <c r="D34" s="10" t="s">
        <v>1022</v>
      </c>
      <c r="E34" s="110" t="s">
        <v>128</v>
      </c>
      <c r="F34" s="6" t="s">
        <v>12</v>
      </c>
      <c r="G34" s="6" t="s">
        <v>1023</v>
      </c>
      <c r="H34" s="6" t="s">
        <v>80</v>
      </c>
      <c r="I34" s="5">
        <v>1</v>
      </c>
      <c r="J34" s="67" t="s">
        <v>160</v>
      </c>
      <c r="K34" s="46">
        <v>36.549999999999997</v>
      </c>
      <c r="L34" s="46">
        <v>0</v>
      </c>
      <c r="M34" s="46">
        <v>0</v>
      </c>
      <c r="N34" s="46">
        <v>0</v>
      </c>
      <c r="O34" s="46">
        <v>53.4</v>
      </c>
      <c r="P34" s="46">
        <v>5.5750000000000002</v>
      </c>
      <c r="Q34" s="46">
        <v>0</v>
      </c>
      <c r="R34" s="46">
        <v>34.700000000000003</v>
      </c>
      <c r="S34" s="46">
        <v>340.52500000000003</v>
      </c>
      <c r="T34" s="46">
        <v>329.2</v>
      </c>
      <c r="U34" s="46">
        <v>381.94999999999993</v>
      </c>
      <c r="V34" s="46">
        <v>361.07499999999999</v>
      </c>
      <c r="W34" s="46">
        <v>299.25</v>
      </c>
      <c r="X34" s="46">
        <v>195.02500000000001</v>
      </c>
      <c r="Y34" s="46">
        <v>95.3</v>
      </c>
      <c r="Z34" s="46">
        <v>204.9</v>
      </c>
      <c r="AA34" s="46">
        <v>311.99999999999994</v>
      </c>
      <c r="AB34" s="46">
        <v>23.375</v>
      </c>
      <c r="AC34" s="46">
        <v>225.95</v>
      </c>
      <c r="AD34" s="46">
        <v>906.07400000000007</v>
      </c>
      <c r="AE34" s="46">
        <v>120.62499999999999</v>
      </c>
      <c r="AF34" s="46">
        <v>374.45000000000005</v>
      </c>
      <c r="AG34" s="46">
        <v>488.35000000000008</v>
      </c>
      <c r="AH34" s="46">
        <v>576.57500000000005</v>
      </c>
      <c r="AI34" s="46">
        <v>650.87400000000002</v>
      </c>
      <c r="AJ34" s="46">
        <v>578.09999999999991</v>
      </c>
      <c r="AK34" s="46">
        <v>578.851</v>
      </c>
      <c r="AL34" s="46">
        <v>479.274</v>
      </c>
      <c r="AM34" s="46">
        <v>401.02499999999998</v>
      </c>
      <c r="AN34" s="46">
        <v>467.22500000000008</v>
      </c>
      <c r="AO34" s="46">
        <f>AVERAGE(K34:AN34)</f>
        <v>284.00659999999999</v>
      </c>
      <c r="AP34" s="7">
        <f>AO34/I34</f>
        <v>284.00659999999999</v>
      </c>
      <c r="AQ34" s="81">
        <f t="shared" si="0"/>
        <v>8520.1980000000003</v>
      </c>
    </row>
    <row r="35" spans="1:43" ht="13.5" customHeight="1" x14ac:dyDescent="0.3">
      <c r="A35" s="5">
        <v>74</v>
      </c>
      <c r="B35" s="107" t="s">
        <v>9</v>
      </c>
      <c r="C35" s="10">
        <v>0</v>
      </c>
      <c r="D35" s="10" t="s">
        <v>1061</v>
      </c>
      <c r="E35" s="110" t="s">
        <v>128</v>
      </c>
      <c r="F35" s="6" t="s">
        <v>12</v>
      </c>
      <c r="G35" s="6" t="s">
        <v>13</v>
      </c>
      <c r="H35" s="6" t="s">
        <v>35</v>
      </c>
      <c r="I35" s="5">
        <v>1</v>
      </c>
      <c r="J35" s="67" t="s">
        <v>160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2.593</v>
      </c>
      <c r="U35" s="46">
        <v>7.3650000000000002</v>
      </c>
      <c r="V35" s="46">
        <v>8.1739999999999995</v>
      </c>
      <c r="W35" s="46">
        <v>11.952000000000002</v>
      </c>
      <c r="X35" s="46">
        <v>5.0609999999999999</v>
      </c>
      <c r="Y35" s="46">
        <v>9.5359999999999996</v>
      </c>
      <c r="Z35" s="46">
        <v>21.633999999999997</v>
      </c>
      <c r="AA35" s="46">
        <v>15.539</v>
      </c>
      <c r="AB35" s="46">
        <v>28.477</v>
      </c>
      <c r="AC35" s="46">
        <v>26.007000000000001</v>
      </c>
      <c r="AD35" s="46">
        <v>12.722</v>
      </c>
      <c r="AE35" s="46">
        <v>21.41</v>
      </c>
      <c r="AF35" s="46">
        <v>14.266</v>
      </c>
      <c r="AG35" s="46">
        <v>7.84</v>
      </c>
      <c r="AH35" s="46">
        <v>26.253</v>
      </c>
      <c r="AI35" s="46">
        <v>18.189</v>
      </c>
      <c r="AJ35" s="46">
        <v>30.222000000000001</v>
      </c>
      <c r="AK35" s="46">
        <v>12.82</v>
      </c>
      <c r="AL35" s="46">
        <v>14.308000000000002</v>
      </c>
      <c r="AM35" s="46">
        <v>16.251999999999999</v>
      </c>
      <c r="AN35" s="46">
        <v>9.956999999999999</v>
      </c>
      <c r="AO35" s="46">
        <f>AVERAGE(K35:AN35)</f>
        <v>10.6859</v>
      </c>
      <c r="AP35" s="7">
        <f>AO35/I35</f>
        <v>10.6859</v>
      </c>
      <c r="AQ35" s="81">
        <f t="shared" si="0"/>
        <v>320.577</v>
      </c>
    </row>
    <row r="36" spans="1:43" ht="15.75" customHeight="1" x14ac:dyDescent="0.3">
      <c r="A36" s="5">
        <v>75</v>
      </c>
      <c r="B36" s="107" t="s">
        <v>1050</v>
      </c>
      <c r="C36" s="10">
        <v>0</v>
      </c>
      <c r="D36" s="10" t="s">
        <v>1049</v>
      </c>
      <c r="E36" s="110" t="s">
        <v>128</v>
      </c>
      <c r="F36" s="6" t="s">
        <v>12</v>
      </c>
      <c r="G36" s="6" t="s">
        <v>13</v>
      </c>
      <c r="H36" s="6" t="s">
        <v>35</v>
      </c>
      <c r="I36" s="5">
        <v>1</v>
      </c>
      <c r="J36" s="94" t="s">
        <v>590</v>
      </c>
      <c r="K36" s="46">
        <v>20.802</v>
      </c>
      <c r="L36" s="46">
        <v>2.2629999999999999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1.5349999999999999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6.6050000000000004</v>
      </c>
      <c r="AM36" s="46">
        <v>0</v>
      </c>
      <c r="AN36" s="46">
        <v>0</v>
      </c>
      <c r="AO36" s="46">
        <f>AVERAGE(K36:AN36)</f>
        <v>1.0401666666666667</v>
      </c>
      <c r="AP36" s="7">
        <f>AO36/I36</f>
        <v>1.0401666666666667</v>
      </c>
      <c r="AQ36" s="81">
        <f t="shared" si="0"/>
        <v>31.204999999999998</v>
      </c>
    </row>
    <row r="37" spans="1:43" x14ac:dyDescent="0.3">
      <c r="A37" s="5">
        <v>76</v>
      </c>
      <c r="B37" s="107" t="s">
        <v>1050</v>
      </c>
      <c r="C37" s="10">
        <v>0</v>
      </c>
      <c r="D37" s="10" t="s">
        <v>1049</v>
      </c>
      <c r="E37" s="110" t="s">
        <v>128</v>
      </c>
      <c r="F37" s="6" t="s">
        <v>12</v>
      </c>
      <c r="G37" s="6" t="s">
        <v>135</v>
      </c>
      <c r="H37" s="6" t="s">
        <v>35</v>
      </c>
      <c r="I37" s="5">
        <v>1</v>
      </c>
      <c r="J37" s="94" t="s">
        <v>590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33.504999999999995</v>
      </c>
      <c r="AB37" s="46">
        <v>0</v>
      </c>
      <c r="AC37" s="46">
        <v>0</v>
      </c>
      <c r="AD37" s="46">
        <v>0</v>
      </c>
      <c r="AE37" s="46">
        <v>1.728</v>
      </c>
      <c r="AF37" s="46">
        <v>0</v>
      </c>
      <c r="AG37" s="46">
        <v>0</v>
      </c>
      <c r="AH37" s="46">
        <v>0</v>
      </c>
      <c r="AI37" s="46">
        <v>13.259999999999998</v>
      </c>
      <c r="AJ37" s="46">
        <v>0</v>
      </c>
      <c r="AK37" s="46">
        <v>0</v>
      </c>
      <c r="AL37" s="46">
        <v>13.925000000000001</v>
      </c>
      <c r="AM37" s="46">
        <v>0</v>
      </c>
      <c r="AN37" s="46">
        <v>0</v>
      </c>
      <c r="AO37" s="46">
        <f>AVERAGE(K37:AN37)</f>
        <v>2.0805999999999996</v>
      </c>
      <c r="AP37" s="7">
        <f>AO37/I37</f>
        <v>2.0805999999999996</v>
      </c>
      <c r="AQ37" s="81">
        <f t="shared" si="0"/>
        <v>62.417999999999992</v>
      </c>
    </row>
    <row r="38" spans="1:43" x14ac:dyDescent="0.3">
      <c r="A38" s="5">
        <v>77</v>
      </c>
      <c r="B38" s="107" t="s">
        <v>1050</v>
      </c>
      <c r="C38" s="10">
        <v>0</v>
      </c>
      <c r="D38" s="10" t="s">
        <v>1049</v>
      </c>
      <c r="E38" s="110" t="s">
        <v>128</v>
      </c>
      <c r="F38" s="6" t="s">
        <v>12</v>
      </c>
      <c r="G38" s="6" t="s">
        <v>41</v>
      </c>
      <c r="H38" s="6" t="s">
        <v>35</v>
      </c>
      <c r="I38" s="5">
        <v>1</v>
      </c>
      <c r="J38" s="94" t="s">
        <v>590</v>
      </c>
      <c r="K38" s="46">
        <v>0</v>
      </c>
      <c r="L38" s="46">
        <v>0</v>
      </c>
      <c r="M38" s="46">
        <v>2.839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18.757999999999999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f>AVERAGE(K38:AN38)</f>
        <v>0.71989999999999987</v>
      </c>
      <c r="AP38" s="7">
        <f>AO38/I38</f>
        <v>0.71989999999999987</v>
      </c>
      <c r="AQ38" s="81">
        <f t="shared" si="0"/>
        <v>21.596999999999998</v>
      </c>
    </row>
    <row r="39" spans="1:43" x14ac:dyDescent="0.3">
      <c r="A39" s="5">
        <v>78</v>
      </c>
      <c r="B39" s="107" t="s">
        <v>536</v>
      </c>
      <c r="C39" s="112" t="s">
        <v>639</v>
      </c>
      <c r="D39" s="112" t="s">
        <v>784</v>
      </c>
      <c r="E39" s="110" t="s">
        <v>128</v>
      </c>
      <c r="F39" s="6" t="s">
        <v>12</v>
      </c>
      <c r="G39" s="6" t="s">
        <v>973</v>
      </c>
      <c r="H39" s="6" t="s">
        <v>80</v>
      </c>
      <c r="I39" s="5">
        <v>1</v>
      </c>
      <c r="J39" s="67" t="s">
        <v>160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16.619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0</v>
      </c>
      <c r="AN39" s="46">
        <v>0</v>
      </c>
      <c r="AO39" s="46">
        <f>AVERAGE(K39:AN39)</f>
        <v>0.55396666666666661</v>
      </c>
      <c r="AP39" s="7">
        <f>AO39/I39</f>
        <v>0.55396666666666661</v>
      </c>
      <c r="AQ39" s="81">
        <f t="shared" si="0"/>
        <v>16.619</v>
      </c>
    </row>
    <row r="40" spans="1:43" x14ac:dyDescent="0.3">
      <c r="A40" s="5">
        <v>81</v>
      </c>
      <c r="B40" s="107" t="s">
        <v>49</v>
      </c>
      <c r="C40" s="5">
        <v>0</v>
      </c>
      <c r="D40" s="39" t="s">
        <v>1056</v>
      </c>
      <c r="E40" s="110" t="s">
        <v>128</v>
      </c>
      <c r="F40" s="6" t="s">
        <v>12</v>
      </c>
      <c r="G40" s="6" t="s">
        <v>1023</v>
      </c>
      <c r="H40" s="6" t="s">
        <v>80</v>
      </c>
      <c r="I40" s="5">
        <v>1</v>
      </c>
      <c r="J40" s="67" t="s">
        <v>160</v>
      </c>
      <c r="K40" s="46">
        <v>0</v>
      </c>
      <c r="L40" s="46">
        <v>0</v>
      </c>
      <c r="M40" s="46">
        <v>0</v>
      </c>
      <c r="N40" s="46">
        <v>0</v>
      </c>
      <c r="O40" s="46">
        <v>0</v>
      </c>
      <c r="P40" s="46">
        <v>0</v>
      </c>
      <c r="Q40" s="46">
        <v>0</v>
      </c>
      <c r="R40" s="46">
        <v>46.198999999999998</v>
      </c>
      <c r="S40" s="46">
        <v>151</v>
      </c>
      <c r="T40" s="46">
        <v>0</v>
      </c>
      <c r="U40" s="46">
        <v>189.4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355.2</v>
      </c>
      <c r="AD40" s="46">
        <v>205.52500000000001</v>
      </c>
      <c r="AE40" s="46">
        <v>761.875</v>
      </c>
      <c r="AF40" s="46">
        <v>486.45</v>
      </c>
      <c r="AG40" s="46">
        <v>350.4</v>
      </c>
      <c r="AH40" s="46">
        <v>450.20000000000005</v>
      </c>
      <c r="AI40" s="46">
        <v>367.67500000000001</v>
      </c>
      <c r="AJ40" s="46">
        <v>472.92499999999995</v>
      </c>
      <c r="AK40" s="46">
        <v>419.22500000000002</v>
      </c>
      <c r="AL40" s="46">
        <v>515.04999999999995</v>
      </c>
      <c r="AM40" s="46">
        <v>362.52499999999998</v>
      </c>
      <c r="AN40" s="46">
        <v>254.72499999999999</v>
      </c>
      <c r="AO40" s="46">
        <f>AVERAGE(K40:AN40)</f>
        <v>179.61246666666668</v>
      </c>
      <c r="AP40" s="7">
        <f>AO40/I40</f>
        <v>179.61246666666668</v>
      </c>
      <c r="AQ40" s="81">
        <f t="shared" si="0"/>
        <v>5388.3740000000007</v>
      </c>
    </row>
    <row r="41" spans="1:43" x14ac:dyDescent="0.3">
      <c r="A41" s="5">
        <v>87</v>
      </c>
      <c r="B41" s="107" t="s">
        <v>52</v>
      </c>
      <c r="C41" s="112">
        <v>0</v>
      </c>
      <c r="D41" s="10" t="s">
        <v>1078</v>
      </c>
      <c r="E41" s="110" t="s">
        <v>128</v>
      </c>
      <c r="F41" s="6" t="s">
        <v>12</v>
      </c>
      <c r="G41" s="6" t="s">
        <v>135</v>
      </c>
      <c r="H41" s="6" t="s">
        <v>35</v>
      </c>
      <c r="I41" s="5">
        <v>1</v>
      </c>
      <c r="J41" s="12" t="s">
        <v>590</v>
      </c>
      <c r="K41" s="46">
        <v>0</v>
      </c>
      <c r="L41" s="46">
        <v>0</v>
      </c>
      <c r="M41" s="46">
        <v>0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0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0</v>
      </c>
      <c r="AL41" s="46">
        <v>0</v>
      </c>
      <c r="AM41" s="46">
        <v>0</v>
      </c>
      <c r="AN41" s="46">
        <v>0</v>
      </c>
      <c r="AO41" s="46">
        <f>AVERAGE(K41:AN41)</f>
        <v>0</v>
      </c>
      <c r="AP41" s="7">
        <f>AO41/I41</f>
        <v>0</v>
      </c>
      <c r="AQ41" s="81">
        <f t="shared" si="0"/>
        <v>0</v>
      </c>
    </row>
    <row r="42" spans="1:43" x14ac:dyDescent="0.3">
      <c r="A42" s="5">
        <v>89</v>
      </c>
      <c r="B42" s="107" t="s">
        <v>58</v>
      </c>
      <c r="C42" s="112">
        <v>0</v>
      </c>
      <c r="D42" s="39" t="s">
        <v>1037</v>
      </c>
      <c r="E42" s="110" t="s">
        <v>128</v>
      </c>
      <c r="F42" s="6" t="s">
        <v>12</v>
      </c>
      <c r="G42" s="6" t="s">
        <v>13</v>
      </c>
      <c r="H42" s="6" t="s">
        <v>35</v>
      </c>
      <c r="I42" s="5">
        <v>1</v>
      </c>
      <c r="J42" s="94" t="s">
        <v>590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f>AVERAGE(K42:AN42)</f>
        <v>0</v>
      </c>
      <c r="AP42" s="7">
        <f>AO42/I42</f>
        <v>0</v>
      </c>
      <c r="AQ42" s="81">
        <f t="shared" si="0"/>
        <v>0</v>
      </c>
    </row>
    <row r="43" spans="1:43" x14ac:dyDescent="0.3">
      <c r="A43" s="5">
        <v>90</v>
      </c>
      <c r="B43" s="107" t="s">
        <v>58</v>
      </c>
      <c r="C43" s="112">
        <v>0</v>
      </c>
      <c r="D43" s="39" t="s">
        <v>1037</v>
      </c>
      <c r="E43" s="110" t="s">
        <v>128</v>
      </c>
      <c r="F43" s="6" t="s">
        <v>12</v>
      </c>
      <c r="G43" s="6" t="s">
        <v>1038</v>
      </c>
      <c r="H43" s="6" t="s">
        <v>35</v>
      </c>
      <c r="I43" s="5">
        <v>1</v>
      </c>
      <c r="J43" s="94" t="s">
        <v>590</v>
      </c>
      <c r="K43" s="46">
        <v>0</v>
      </c>
      <c r="L43" s="46">
        <v>0</v>
      </c>
      <c r="M43" s="46">
        <v>0</v>
      </c>
      <c r="N43" s="46">
        <v>0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0</v>
      </c>
      <c r="AD43" s="46">
        <v>0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f>AVERAGE(K43:AN43)</f>
        <v>0</v>
      </c>
      <c r="AP43" s="7">
        <f>AO43/I43</f>
        <v>0</v>
      </c>
      <c r="AQ43" s="81">
        <f t="shared" si="0"/>
        <v>0</v>
      </c>
    </row>
    <row r="44" spans="1:43" x14ac:dyDescent="0.3">
      <c r="A44" s="5">
        <v>91</v>
      </c>
      <c r="B44" s="107" t="s">
        <v>58</v>
      </c>
      <c r="C44" s="112">
        <v>0</v>
      </c>
      <c r="D44" s="39" t="s">
        <v>1037</v>
      </c>
      <c r="E44" s="110" t="s">
        <v>128</v>
      </c>
      <c r="F44" s="6" t="s">
        <v>12</v>
      </c>
      <c r="G44" s="6" t="s">
        <v>41</v>
      </c>
      <c r="H44" s="6" t="s">
        <v>35</v>
      </c>
      <c r="I44" s="5">
        <v>1</v>
      </c>
      <c r="J44" s="94" t="s">
        <v>590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f>AVERAGE(K44:AN44)</f>
        <v>0</v>
      </c>
      <c r="AP44" s="7">
        <f>AO44/I44</f>
        <v>0</v>
      </c>
      <c r="AQ44" s="81">
        <f t="shared" si="0"/>
        <v>0</v>
      </c>
    </row>
    <row r="45" spans="1:43" x14ac:dyDescent="0.3">
      <c r="A45" s="5">
        <v>96</v>
      </c>
      <c r="B45" s="107" t="s">
        <v>58</v>
      </c>
      <c r="C45" s="10" t="s">
        <v>648</v>
      </c>
      <c r="D45" s="39" t="s">
        <v>763</v>
      </c>
      <c r="E45" s="110" t="s">
        <v>63</v>
      </c>
      <c r="F45" s="6" t="s">
        <v>19</v>
      </c>
      <c r="G45" s="6" t="s">
        <v>978</v>
      </c>
      <c r="H45" s="6" t="s">
        <v>80</v>
      </c>
      <c r="I45" s="5">
        <v>1</v>
      </c>
      <c r="J45" s="94" t="s">
        <v>273</v>
      </c>
      <c r="K45" s="46">
        <v>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f>AVERAGE(K45:AN45)</f>
        <v>0</v>
      </c>
      <c r="AP45" s="7">
        <f>AO45/I45</f>
        <v>0</v>
      </c>
      <c r="AQ45" s="81">
        <f t="shared" si="0"/>
        <v>0</v>
      </c>
    </row>
    <row r="46" spans="1:43" x14ac:dyDescent="0.3">
      <c r="A46" s="5">
        <v>102</v>
      </c>
      <c r="B46" s="107" t="s">
        <v>58</v>
      </c>
      <c r="C46" s="10">
        <v>0</v>
      </c>
      <c r="D46" s="39" t="s">
        <v>917</v>
      </c>
      <c r="E46" s="110" t="s">
        <v>128</v>
      </c>
      <c r="F46" s="6" t="s">
        <v>12</v>
      </c>
      <c r="G46" s="6" t="s">
        <v>973</v>
      </c>
      <c r="H46" s="6" t="s">
        <v>80</v>
      </c>
      <c r="I46" s="5">
        <v>1</v>
      </c>
      <c r="J46" s="67" t="s">
        <v>590</v>
      </c>
      <c r="K46" s="46">
        <v>0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1.91</v>
      </c>
      <c r="W46" s="46">
        <v>0</v>
      </c>
      <c r="X46" s="46">
        <v>0</v>
      </c>
      <c r="Y46" s="46">
        <v>0</v>
      </c>
      <c r="Z46" s="46">
        <v>0.32999999999999996</v>
      </c>
      <c r="AA46" s="46">
        <v>15</v>
      </c>
      <c r="AB46" s="46">
        <v>0</v>
      </c>
      <c r="AC46" s="46">
        <v>0</v>
      </c>
      <c r="AD46" s="46">
        <v>0</v>
      </c>
      <c r="AE46" s="46">
        <v>17.39</v>
      </c>
      <c r="AF46" s="46">
        <v>0</v>
      </c>
      <c r="AG46" s="46">
        <v>14.96</v>
      </c>
      <c r="AH46" s="46">
        <v>0</v>
      </c>
      <c r="AI46" s="46">
        <v>12.94</v>
      </c>
      <c r="AJ46" s="46">
        <v>4.3600000000000003</v>
      </c>
      <c r="AK46" s="46">
        <v>0</v>
      </c>
      <c r="AL46" s="46">
        <v>0</v>
      </c>
      <c r="AM46" s="46">
        <v>11.54</v>
      </c>
      <c r="AN46" s="46">
        <v>0</v>
      </c>
      <c r="AO46" s="46">
        <f>AVERAGE(K46:AN46)</f>
        <v>2.6143333333333336</v>
      </c>
      <c r="AP46" s="7">
        <f>AO46/I46</f>
        <v>2.6143333333333336</v>
      </c>
      <c r="AQ46" s="81">
        <f t="shared" si="0"/>
        <v>78.430000000000007</v>
      </c>
    </row>
    <row r="47" spans="1:43" ht="15.6" x14ac:dyDescent="0.3">
      <c r="A47" s="5">
        <v>104</v>
      </c>
      <c r="B47" s="107" t="s">
        <v>476</v>
      </c>
      <c r="C47" s="112" t="s">
        <v>698</v>
      </c>
      <c r="D47" s="114" t="s">
        <v>956</v>
      </c>
      <c r="E47" s="110" t="s">
        <v>128</v>
      </c>
      <c r="F47" s="6" t="s">
        <v>12</v>
      </c>
      <c r="G47" s="6" t="s">
        <v>976</v>
      </c>
      <c r="H47" s="12" t="s">
        <v>35</v>
      </c>
      <c r="I47" s="5">
        <v>1</v>
      </c>
      <c r="J47" s="67" t="s">
        <v>590</v>
      </c>
      <c r="K47" s="46">
        <v>0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f>AVERAGE(K47:AN47)</f>
        <v>0</v>
      </c>
      <c r="AP47" s="7">
        <f>AO47/I47</f>
        <v>0</v>
      </c>
      <c r="AQ47" s="81">
        <f t="shared" si="0"/>
        <v>0</v>
      </c>
    </row>
    <row r="48" spans="1:43" ht="15.75" customHeight="1" x14ac:dyDescent="0.3">
      <c r="A48" s="5">
        <v>106</v>
      </c>
      <c r="B48" s="107" t="s">
        <v>829</v>
      </c>
      <c r="C48" s="112" t="s">
        <v>831</v>
      </c>
      <c r="D48" s="112" t="s">
        <v>830</v>
      </c>
      <c r="E48" s="110" t="s">
        <v>128</v>
      </c>
      <c r="F48" s="6" t="s">
        <v>12</v>
      </c>
      <c r="G48" s="6" t="s">
        <v>973</v>
      </c>
      <c r="H48" s="6" t="s">
        <v>80</v>
      </c>
      <c r="I48" s="5">
        <v>1</v>
      </c>
      <c r="J48" s="67" t="s">
        <v>160</v>
      </c>
      <c r="K48" s="46">
        <v>0</v>
      </c>
      <c r="L48" s="46">
        <v>0</v>
      </c>
      <c r="M48" s="46">
        <v>0</v>
      </c>
      <c r="N48" s="46">
        <v>0</v>
      </c>
      <c r="O48" s="46">
        <v>0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0</v>
      </c>
      <c r="AD48" s="46">
        <v>0</v>
      </c>
      <c r="AE48" s="46">
        <v>0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0</v>
      </c>
      <c r="AL48" s="46">
        <v>0</v>
      </c>
      <c r="AM48" s="46">
        <v>0</v>
      </c>
      <c r="AN48" s="46">
        <v>0</v>
      </c>
      <c r="AO48" s="46">
        <f>AVERAGE(K48:AN48)</f>
        <v>0</v>
      </c>
      <c r="AP48" s="7">
        <f>AO48/I48</f>
        <v>0</v>
      </c>
      <c r="AQ48" s="81">
        <f t="shared" si="0"/>
        <v>0</v>
      </c>
    </row>
    <row r="49" spans="1:43" ht="16.5" customHeight="1" x14ac:dyDescent="0.3">
      <c r="A49" s="5">
        <v>107</v>
      </c>
      <c r="B49" s="107" t="s">
        <v>866</v>
      </c>
      <c r="C49" s="112" t="s">
        <v>957</v>
      </c>
      <c r="D49" s="112" t="s">
        <v>867</v>
      </c>
      <c r="E49" s="110" t="s">
        <v>128</v>
      </c>
      <c r="F49" s="6" t="s">
        <v>12</v>
      </c>
      <c r="G49" s="6" t="s">
        <v>973</v>
      </c>
      <c r="H49" s="6" t="s">
        <v>80</v>
      </c>
      <c r="I49" s="5">
        <v>1</v>
      </c>
      <c r="J49" s="67" t="s">
        <v>160</v>
      </c>
      <c r="K49" s="46">
        <v>0</v>
      </c>
      <c r="L49" s="46">
        <v>0</v>
      </c>
      <c r="M49" s="46">
        <v>0</v>
      </c>
      <c r="N49" s="46">
        <v>0</v>
      </c>
      <c r="O49" s="46">
        <v>0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0</v>
      </c>
      <c r="AD49" s="46">
        <v>0</v>
      </c>
      <c r="AE49" s="46">
        <v>0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f>AVERAGE(K49:AN49)</f>
        <v>0</v>
      </c>
      <c r="AP49" s="7">
        <f>AO49/I49</f>
        <v>0</v>
      </c>
      <c r="AQ49" s="81">
        <f t="shared" si="0"/>
        <v>0</v>
      </c>
    </row>
    <row r="50" spans="1:43" x14ac:dyDescent="0.3">
      <c r="A50" s="5">
        <v>108</v>
      </c>
      <c r="B50" s="107" t="s">
        <v>892</v>
      </c>
      <c r="C50" s="112" t="s">
        <v>954</v>
      </c>
      <c r="D50" s="112" t="s">
        <v>893</v>
      </c>
      <c r="E50" s="110" t="s">
        <v>128</v>
      </c>
      <c r="F50" s="6" t="s">
        <v>12</v>
      </c>
      <c r="G50" s="6" t="s">
        <v>973</v>
      </c>
      <c r="H50" s="6" t="s">
        <v>80</v>
      </c>
      <c r="I50" s="5">
        <v>1</v>
      </c>
      <c r="J50" s="67" t="s">
        <v>160</v>
      </c>
      <c r="K50" s="46">
        <v>12.209999999999999</v>
      </c>
      <c r="L50" s="46">
        <v>15.940000000000001</v>
      </c>
      <c r="M50" s="46">
        <v>5.2299999999999995</v>
      </c>
      <c r="N50" s="46">
        <v>0</v>
      </c>
      <c r="O50" s="46">
        <v>0</v>
      </c>
      <c r="P50" s="46">
        <v>0</v>
      </c>
      <c r="Q50" s="46">
        <v>11.739999999999998</v>
      </c>
      <c r="R50" s="46">
        <v>3.64</v>
      </c>
      <c r="S50" s="46">
        <v>0</v>
      </c>
      <c r="T50" s="46">
        <v>5.46</v>
      </c>
      <c r="U50" s="46">
        <v>9.64</v>
      </c>
      <c r="V50" s="46">
        <v>0</v>
      </c>
      <c r="W50" s="46">
        <v>0</v>
      </c>
      <c r="X50" s="46">
        <v>0</v>
      </c>
      <c r="Y50" s="46">
        <v>4.2300000000000004</v>
      </c>
      <c r="Z50" s="46">
        <v>10.620000000000001</v>
      </c>
      <c r="AA50" s="46">
        <v>5.51</v>
      </c>
      <c r="AB50" s="46">
        <v>0</v>
      </c>
      <c r="AC50" s="46">
        <v>0</v>
      </c>
      <c r="AD50" s="46">
        <v>0</v>
      </c>
      <c r="AE50" s="46">
        <v>8.9390000000000001</v>
      </c>
      <c r="AF50" s="46">
        <v>11.45</v>
      </c>
      <c r="AG50" s="46">
        <v>10.170999999999999</v>
      </c>
      <c r="AH50" s="46">
        <v>0</v>
      </c>
      <c r="AI50" s="46">
        <v>7.5400000000000009</v>
      </c>
      <c r="AJ50" s="46">
        <v>7.2589999999999995</v>
      </c>
      <c r="AK50" s="46">
        <v>0</v>
      </c>
      <c r="AL50" s="46">
        <v>5.43</v>
      </c>
      <c r="AM50" s="46">
        <v>0</v>
      </c>
      <c r="AN50" s="46">
        <v>5.45</v>
      </c>
      <c r="AO50" s="46">
        <f>AVERAGE(K50:AN50)</f>
        <v>4.6819666666666668</v>
      </c>
      <c r="AP50" s="7">
        <f>AO50/I50</f>
        <v>4.6819666666666668</v>
      </c>
      <c r="AQ50" s="81">
        <f t="shared" si="0"/>
        <v>140.459</v>
      </c>
    </row>
    <row r="51" spans="1:43" x14ac:dyDescent="0.3">
      <c r="A51" s="5">
        <v>109</v>
      </c>
      <c r="B51" s="107" t="s">
        <v>895</v>
      </c>
      <c r="C51" s="115">
        <v>0</v>
      </c>
      <c r="D51" s="39" t="s">
        <v>896</v>
      </c>
      <c r="E51" s="110" t="s">
        <v>128</v>
      </c>
      <c r="F51" s="6" t="s">
        <v>12</v>
      </c>
      <c r="G51" s="6" t="s">
        <v>973</v>
      </c>
      <c r="H51" s="6" t="s">
        <v>80</v>
      </c>
      <c r="I51" s="5">
        <v>1</v>
      </c>
      <c r="J51" s="67" t="s">
        <v>160</v>
      </c>
      <c r="K51" s="46">
        <v>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6">
        <v>5.74</v>
      </c>
      <c r="AN51" s="46">
        <v>0</v>
      </c>
      <c r="AO51" s="46">
        <f>AVERAGE(K51:AN51)</f>
        <v>0.19133333333333333</v>
      </c>
      <c r="AP51" s="7">
        <f>AO51/I51</f>
        <v>0.19133333333333333</v>
      </c>
      <c r="AQ51" s="81">
        <f t="shared" si="0"/>
        <v>5.74</v>
      </c>
    </row>
    <row r="52" spans="1:43" x14ac:dyDescent="0.3">
      <c r="A52" s="5">
        <v>111</v>
      </c>
      <c r="B52" s="107" t="s">
        <v>1048</v>
      </c>
      <c r="C52" s="115">
        <v>0</v>
      </c>
      <c r="D52" s="39" t="s">
        <v>1046</v>
      </c>
      <c r="E52" s="110" t="s">
        <v>128</v>
      </c>
      <c r="F52" s="6" t="s">
        <v>12</v>
      </c>
      <c r="G52" s="6" t="s">
        <v>255</v>
      </c>
      <c r="H52" s="6" t="s">
        <v>80</v>
      </c>
      <c r="I52" s="5">
        <v>1</v>
      </c>
      <c r="J52" s="67" t="s">
        <v>590</v>
      </c>
      <c r="K52" s="46">
        <v>20.8</v>
      </c>
      <c r="L52" s="46">
        <v>0</v>
      </c>
      <c r="M52" s="46">
        <v>0</v>
      </c>
      <c r="N52" s="46">
        <v>24.67</v>
      </c>
      <c r="O52" s="46">
        <v>0</v>
      </c>
      <c r="P52" s="46">
        <v>0</v>
      </c>
      <c r="Q52" s="46">
        <v>0</v>
      </c>
      <c r="R52" s="46">
        <v>19.52</v>
      </c>
      <c r="S52" s="46">
        <v>0</v>
      </c>
      <c r="T52" s="46">
        <v>0</v>
      </c>
      <c r="U52" s="46">
        <v>0</v>
      </c>
      <c r="V52" s="46">
        <v>23.41</v>
      </c>
      <c r="W52" s="46">
        <v>0</v>
      </c>
      <c r="X52" s="46">
        <v>0</v>
      </c>
      <c r="Y52" s="46">
        <v>0</v>
      </c>
      <c r="Z52" s="46">
        <v>0</v>
      </c>
      <c r="AA52" s="46">
        <v>11.14</v>
      </c>
      <c r="AB52" s="46">
        <v>13.21</v>
      </c>
      <c r="AC52" s="46">
        <v>0</v>
      </c>
      <c r="AD52" s="46">
        <v>0</v>
      </c>
      <c r="AE52" s="46">
        <v>0</v>
      </c>
      <c r="AF52" s="46">
        <v>0</v>
      </c>
      <c r="AG52" s="46">
        <v>12.42</v>
      </c>
      <c r="AH52" s="46">
        <v>0</v>
      </c>
      <c r="AI52" s="46">
        <v>0</v>
      </c>
      <c r="AJ52" s="46">
        <v>26.689999999999998</v>
      </c>
      <c r="AK52" s="46">
        <v>14.73</v>
      </c>
      <c r="AL52" s="46">
        <v>0</v>
      </c>
      <c r="AM52" s="46">
        <v>0</v>
      </c>
      <c r="AN52" s="46">
        <v>21.53</v>
      </c>
      <c r="AO52" s="46">
        <f>AVERAGE(K52:AN52)</f>
        <v>6.2706666666666671</v>
      </c>
      <c r="AP52" s="7">
        <f>AO52/I52</f>
        <v>6.2706666666666671</v>
      </c>
      <c r="AQ52" s="81">
        <f t="shared" si="0"/>
        <v>188.12</v>
      </c>
    </row>
    <row r="53" spans="1:43" x14ac:dyDescent="0.3">
      <c r="A53" s="5">
        <v>112</v>
      </c>
      <c r="B53" s="107" t="s">
        <v>844</v>
      </c>
      <c r="C53" s="112" t="s">
        <v>845</v>
      </c>
      <c r="D53" s="112" t="s">
        <v>843</v>
      </c>
      <c r="E53" s="110" t="s">
        <v>128</v>
      </c>
      <c r="F53" s="6" t="s">
        <v>12</v>
      </c>
      <c r="G53" s="6" t="s">
        <v>973</v>
      </c>
      <c r="H53" s="6" t="s">
        <v>80</v>
      </c>
      <c r="I53" s="5">
        <v>1</v>
      </c>
      <c r="J53" s="67" t="s">
        <v>160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f>AVERAGE(K53:AN53)</f>
        <v>0</v>
      </c>
      <c r="AP53" s="7">
        <f>AO53/I53</f>
        <v>0</v>
      </c>
      <c r="AQ53" s="81">
        <f t="shared" si="0"/>
        <v>0</v>
      </c>
    </row>
    <row r="54" spans="1:43" x14ac:dyDescent="0.3">
      <c r="A54" s="5">
        <v>115</v>
      </c>
      <c r="B54" s="107" t="s">
        <v>578</v>
      </c>
      <c r="C54" s="112" t="s">
        <v>657</v>
      </c>
      <c r="D54" s="113" t="s">
        <v>951</v>
      </c>
      <c r="E54" s="110" t="s">
        <v>128</v>
      </c>
      <c r="F54" s="6" t="s">
        <v>12</v>
      </c>
      <c r="G54" s="6" t="s">
        <v>973</v>
      </c>
      <c r="H54" s="6" t="s">
        <v>80</v>
      </c>
      <c r="I54" s="5">
        <v>1</v>
      </c>
      <c r="J54" s="67" t="s">
        <v>160</v>
      </c>
      <c r="K54" s="46">
        <v>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f>AVERAGE(K54:AN54)</f>
        <v>0</v>
      </c>
      <c r="AP54" s="7">
        <f>AO54/I54</f>
        <v>0</v>
      </c>
      <c r="AQ54" s="81">
        <f t="shared" si="0"/>
        <v>0</v>
      </c>
    </row>
    <row r="55" spans="1:43" x14ac:dyDescent="0.3">
      <c r="A55" s="5">
        <v>116</v>
      </c>
      <c r="B55" s="107" t="s">
        <v>576</v>
      </c>
      <c r="C55" s="112" t="s">
        <v>658</v>
      </c>
      <c r="D55" s="112" t="s">
        <v>788</v>
      </c>
      <c r="E55" s="110" t="s">
        <v>128</v>
      </c>
      <c r="F55" s="6" t="s">
        <v>12</v>
      </c>
      <c r="G55" s="6" t="s">
        <v>973</v>
      </c>
      <c r="H55" s="6" t="s">
        <v>80</v>
      </c>
      <c r="I55" s="5">
        <v>1</v>
      </c>
      <c r="J55" s="67" t="s">
        <v>160</v>
      </c>
      <c r="K55" s="46">
        <v>0</v>
      </c>
      <c r="L55" s="46">
        <v>0</v>
      </c>
      <c r="M55" s="46">
        <v>0</v>
      </c>
      <c r="N55" s="46">
        <v>0</v>
      </c>
      <c r="O55" s="46">
        <v>6.6790000000000003</v>
      </c>
      <c r="P55" s="46">
        <v>0</v>
      </c>
      <c r="Q55" s="46">
        <v>11.14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17.011000000000003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18.588999999999999</v>
      </c>
      <c r="AH55" s="46">
        <v>0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f>AVERAGE(K55:AN55)</f>
        <v>1.7806333333333335</v>
      </c>
      <c r="AP55" s="7">
        <f>AO55/I55</f>
        <v>1.7806333333333335</v>
      </c>
      <c r="AQ55" s="81">
        <f t="shared" si="0"/>
        <v>53.419000000000004</v>
      </c>
    </row>
    <row r="56" spans="1:43" x14ac:dyDescent="0.3">
      <c r="A56" s="5">
        <v>117</v>
      </c>
      <c r="B56" s="107" t="s">
        <v>499</v>
      </c>
      <c r="C56" s="10" t="s">
        <v>660</v>
      </c>
      <c r="D56" s="39" t="s">
        <v>789</v>
      </c>
      <c r="E56" s="110" t="s">
        <v>128</v>
      </c>
      <c r="F56" s="6" t="s">
        <v>12</v>
      </c>
      <c r="G56" s="6" t="s">
        <v>973</v>
      </c>
      <c r="H56" s="6" t="s">
        <v>80</v>
      </c>
      <c r="I56" s="5">
        <v>1</v>
      </c>
      <c r="J56" s="67" t="s">
        <v>160</v>
      </c>
      <c r="K56" s="46">
        <v>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f>AVERAGE(K56:AN56)</f>
        <v>0</v>
      </c>
      <c r="AP56" s="7">
        <f>AO56/I56</f>
        <v>0</v>
      </c>
      <c r="AQ56" s="81">
        <f t="shared" si="0"/>
        <v>0</v>
      </c>
    </row>
    <row r="57" spans="1:43" x14ac:dyDescent="0.3">
      <c r="A57" s="5">
        <v>118</v>
      </c>
      <c r="B57" s="109" t="s">
        <v>560</v>
      </c>
      <c r="C57" s="112" t="s">
        <v>661</v>
      </c>
      <c r="D57" s="112" t="s">
        <v>913</v>
      </c>
      <c r="E57" s="110" t="s">
        <v>128</v>
      </c>
      <c r="F57" s="6" t="s">
        <v>12</v>
      </c>
      <c r="G57" s="6" t="s">
        <v>973</v>
      </c>
      <c r="H57" s="6" t="s">
        <v>80</v>
      </c>
      <c r="I57" s="5">
        <v>1</v>
      </c>
      <c r="J57" s="67" t="s">
        <v>160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2.6850000000000001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35.731999999999999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v>0</v>
      </c>
      <c r="AO57" s="46">
        <f>AVERAGE(K57:AN57)</f>
        <v>1.2805666666666666</v>
      </c>
      <c r="AP57" s="7">
        <f>AO57/I57</f>
        <v>1.2805666666666666</v>
      </c>
      <c r="AQ57" s="81">
        <f t="shared" si="0"/>
        <v>38.417000000000002</v>
      </c>
    </row>
    <row r="58" spans="1:43" x14ac:dyDescent="0.3">
      <c r="A58" s="5">
        <v>119</v>
      </c>
      <c r="B58" s="107" t="s">
        <v>862</v>
      </c>
      <c r="C58" s="112" t="s">
        <v>864</v>
      </c>
      <c r="D58" s="112" t="s">
        <v>952</v>
      </c>
      <c r="E58" s="110" t="s">
        <v>128</v>
      </c>
      <c r="F58" s="6" t="s">
        <v>12</v>
      </c>
      <c r="G58" s="6" t="s">
        <v>973</v>
      </c>
      <c r="H58" s="6" t="s">
        <v>80</v>
      </c>
      <c r="I58" s="5">
        <v>1</v>
      </c>
      <c r="J58" s="67" t="s">
        <v>160</v>
      </c>
      <c r="K58" s="46">
        <v>0</v>
      </c>
      <c r="L58" s="46">
        <v>0</v>
      </c>
      <c r="M58" s="46">
        <v>0</v>
      </c>
      <c r="N58" s="46">
        <v>0</v>
      </c>
      <c r="O58" s="46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6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6">
        <v>0</v>
      </c>
      <c r="AH58" s="46">
        <v>0</v>
      </c>
      <c r="AI58" s="46">
        <v>0</v>
      </c>
      <c r="AJ58" s="46">
        <v>0</v>
      </c>
      <c r="AK58" s="46">
        <v>0</v>
      </c>
      <c r="AL58" s="46">
        <v>0</v>
      </c>
      <c r="AM58" s="46">
        <v>0</v>
      </c>
      <c r="AN58" s="46">
        <v>0</v>
      </c>
      <c r="AO58" s="46">
        <f>AVERAGE(K58:AN58)</f>
        <v>0</v>
      </c>
      <c r="AP58" s="7">
        <f>AO58/I58</f>
        <v>0</v>
      </c>
      <c r="AQ58" s="81">
        <f t="shared" si="0"/>
        <v>0</v>
      </c>
    </row>
    <row r="59" spans="1:43" x14ac:dyDescent="0.3">
      <c r="A59" s="5">
        <v>120</v>
      </c>
      <c r="B59" s="107" t="s">
        <v>1014</v>
      </c>
      <c r="C59" s="112">
        <v>0</v>
      </c>
      <c r="D59" s="10" t="s">
        <v>1013</v>
      </c>
      <c r="E59" s="110" t="s">
        <v>128</v>
      </c>
      <c r="F59" s="6" t="s">
        <v>12</v>
      </c>
      <c r="G59" s="6" t="s">
        <v>973</v>
      </c>
      <c r="H59" s="6" t="s">
        <v>80</v>
      </c>
      <c r="I59" s="5">
        <v>1</v>
      </c>
      <c r="J59" s="67" t="s">
        <v>160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0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0</v>
      </c>
      <c r="AI59" s="46">
        <v>0</v>
      </c>
      <c r="AJ59" s="46">
        <v>0</v>
      </c>
      <c r="AK59" s="46">
        <v>0</v>
      </c>
      <c r="AL59" s="46">
        <v>0</v>
      </c>
      <c r="AM59" s="46">
        <v>0</v>
      </c>
      <c r="AN59" s="46">
        <v>0</v>
      </c>
      <c r="AO59" s="46">
        <f>AVERAGE(K59:AN59)</f>
        <v>0</v>
      </c>
      <c r="AP59" s="7">
        <f>AO59/I59</f>
        <v>0</v>
      </c>
      <c r="AQ59" s="81">
        <f t="shared" si="0"/>
        <v>0</v>
      </c>
    </row>
    <row r="60" spans="1:43" x14ac:dyDescent="0.3">
      <c r="A60" s="5">
        <v>122</v>
      </c>
      <c r="B60" s="109" t="s">
        <v>563</v>
      </c>
      <c r="C60" s="112" t="s">
        <v>659</v>
      </c>
      <c r="D60" s="112" t="s">
        <v>791</v>
      </c>
      <c r="E60" s="110" t="s">
        <v>128</v>
      </c>
      <c r="F60" s="6" t="s">
        <v>12</v>
      </c>
      <c r="G60" s="6" t="s">
        <v>973</v>
      </c>
      <c r="H60" s="6" t="s">
        <v>80</v>
      </c>
      <c r="I60" s="5">
        <v>1</v>
      </c>
      <c r="J60" s="67" t="s">
        <v>160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>
        <v>0</v>
      </c>
      <c r="AK60" s="46">
        <v>0</v>
      </c>
      <c r="AL60" s="46">
        <v>0</v>
      </c>
      <c r="AM60" s="46">
        <v>0</v>
      </c>
      <c r="AN60" s="46">
        <v>0</v>
      </c>
      <c r="AO60" s="46">
        <f>AVERAGE(K60:AN60)</f>
        <v>0</v>
      </c>
      <c r="AP60" s="7">
        <f>AO60/I60</f>
        <v>0</v>
      </c>
      <c r="AQ60" s="81">
        <f t="shared" si="0"/>
        <v>0</v>
      </c>
    </row>
    <row r="61" spans="1:43" x14ac:dyDescent="0.3">
      <c r="A61" s="5">
        <v>123</v>
      </c>
      <c r="B61" s="133" t="s">
        <v>832</v>
      </c>
      <c r="C61" s="112" t="s">
        <v>833</v>
      </c>
      <c r="D61" s="112" t="s">
        <v>834</v>
      </c>
      <c r="E61" s="110" t="s">
        <v>128</v>
      </c>
      <c r="F61" s="6" t="s">
        <v>12</v>
      </c>
      <c r="G61" s="6" t="s">
        <v>973</v>
      </c>
      <c r="H61" s="6" t="s">
        <v>80</v>
      </c>
      <c r="I61" s="5">
        <v>1</v>
      </c>
      <c r="J61" s="67" t="s">
        <v>160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0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0</v>
      </c>
      <c r="AE61" s="46">
        <v>0</v>
      </c>
      <c r="AF61" s="46">
        <v>0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46">
        <v>0</v>
      </c>
      <c r="AM61" s="46">
        <v>0</v>
      </c>
      <c r="AN61" s="46">
        <v>0</v>
      </c>
      <c r="AO61" s="46">
        <f>AVERAGE(K61:AN61)</f>
        <v>0</v>
      </c>
      <c r="AP61" s="7">
        <f>AO61/I61</f>
        <v>0</v>
      </c>
      <c r="AQ61" s="81">
        <f t="shared" si="0"/>
        <v>0</v>
      </c>
    </row>
    <row r="62" spans="1:43" x14ac:dyDescent="0.3">
      <c r="A62" s="5">
        <v>124</v>
      </c>
      <c r="B62" s="109" t="s">
        <v>597</v>
      </c>
      <c r="C62" s="112" t="s">
        <v>699</v>
      </c>
      <c r="D62" s="112" t="s">
        <v>792</v>
      </c>
      <c r="E62" s="110" t="s">
        <v>128</v>
      </c>
      <c r="F62" s="6" t="s">
        <v>12</v>
      </c>
      <c r="G62" s="6" t="s">
        <v>973</v>
      </c>
      <c r="H62" s="6" t="s">
        <v>80</v>
      </c>
      <c r="I62" s="5">
        <v>1</v>
      </c>
      <c r="J62" s="67" t="s">
        <v>160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13.38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>
        <v>6.29</v>
      </c>
      <c r="AK62" s="46">
        <v>0</v>
      </c>
      <c r="AL62" s="46">
        <v>0</v>
      </c>
      <c r="AM62" s="46">
        <v>0</v>
      </c>
      <c r="AN62" s="46">
        <v>0</v>
      </c>
      <c r="AO62" s="46">
        <f>AVERAGE(K62:AN62)</f>
        <v>0.65566666666666673</v>
      </c>
      <c r="AP62" s="7">
        <f>AO62/I62</f>
        <v>0.65566666666666673</v>
      </c>
      <c r="AQ62" s="81">
        <f t="shared" si="0"/>
        <v>19.670000000000002</v>
      </c>
    </row>
    <row r="63" spans="1:43" x14ac:dyDescent="0.3">
      <c r="A63" s="5">
        <v>125</v>
      </c>
      <c r="B63" s="109" t="s">
        <v>885</v>
      </c>
      <c r="C63" s="112" t="s">
        <v>887</v>
      </c>
      <c r="D63" s="112" t="s">
        <v>886</v>
      </c>
      <c r="E63" s="110" t="s">
        <v>128</v>
      </c>
      <c r="F63" s="6" t="s">
        <v>12</v>
      </c>
      <c r="G63" s="6" t="s">
        <v>973</v>
      </c>
      <c r="H63" s="6" t="s">
        <v>80</v>
      </c>
      <c r="I63" s="5">
        <v>1</v>
      </c>
      <c r="J63" s="67" t="s">
        <v>160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>
        <v>0</v>
      </c>
      <c r="AO63" s="46">
        <f>AVERAGE(K63:AN63)</f>
        <v>0</v>
      </c>
      <c r="AP63" s="7">
        <f>AO63/I63</f>
        <v>0</v>
      </c>
      <c r="AQ63" s="81">
        <f t="shared" si="0"/>
        <v>0</v>
      </c>
    </row>
    <row r="64" spans="1:43" x14ac:dyDescent="0.3">
      <c r="A64" s="5">
        <v>126</v>
      </c>
      <c r="B64" s="109" t="s">
        <v>598</v>
      </c>
      <c r="C64" s="112" t="s">
        <v>700</v>
      </c>
      <c r="D64" s="112" t="s">
        <v>793</v>
      </c>
      <c r="E64" s="110" t="s">
        <v>128</v>
      </c>
      <c r="F64" s="6" t="s">
        <v>12</v>
      </c>
      <c r="G64" s="6" t="s">
        <v>973</v>
      </c>
      <c r="H64" s="6" t="s">
        <v>80</v>
      </c>
      <c r="I64" s="5">
        <v>1</v>
      </c>
      <c r="J64" s="67" t="s">
        <v>160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3.2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AJ64" s="46">
        <v>0</v>
      </c>
      <c r="AK64" s="46">
        <v>0</v>
      </c>
      <c r="AL64" s="46">
        <v>0</v>
      </c>
      <c r="AM64" s="46">
        <v>0</v>
      </c>
      <c r="AN64" s="46">
        <v>0</v>
      </c>
      <c r="AO64" s="46">
        <f>AVERAGE(K64:AN64)</f>
        <v>0.10666666666666667</v>
      </c>
      <c r="AP64" s="7">
        <f>AO64/I64</f>
        <v>0.10666666666666667</v>
      </c>
      <c r="AQ64" s="81">
        <f t="shared" si="0"/>
        <v>3.2</v>
      </c>
    </row>
    <row r="65" spans="1:43" x14ac:dyDescent="0.3">
      <c r="A65" s="5">
        <v>127</v>
      </c>
      <c r="B65" s="109" t="s">
        <v>708</v>
      </c>
      <c r="C65" s="112" t="s">
        <v>709</v>
      </c>
      <c r="D65" s="112" t="s">
        <v>794</v>
      </c>
      <c r="E65" s="110" t="s">
        <v>128</v>
      </c>
      <c r="F65" s="6" t="s">
        <v>12</v>
      </c>
      <c r="G65" s="6" t="s">
        <v>973</v>
      </c>
      <c r="H65" s="6" t="s">
        <v>80</v>
      </c>
      <c r="I65" s="5">
        <v>1</v>
      </c>
      <c r="J65" s="67" t="s">
        <v>160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>
        <v>0</v>
      </c>
      <c r="AE65" s="46">
        <v>0</v>
      </c>
      <c r="AF65" s="46">
        <v>0</v>
      </c>
      <c r="AG65" s="46">
        <v>0</v>
      </c>
      <c r="AH65" s="46">
        <v>0</v>
      </c>
      <c r="AI65" s="46">
        <v>0</v>
      </c>
      <c r="AJ65" s="46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f>AVERAGE(K65:AN65)</f>
        <v>0</v>
      </c>
      <c r="AP65" s="7">
        <f>AO65/I65</f>
        <v>0</v>
      </c>
      <c r="AQ65" s="81">
        <f t="shared" si="0"/>
        <v>0</v>
      </c>
    </row>
    <row r="66" spans="1:43" x14ac:dyDescent="0.3">
      <c r="A66" s="5">
        <v>128</v>
      </c>
      <c r="B66" s="95" t="s">
        <v>822</v>
      </c>
      <c r="C66" s="112" t="s">
        <v>823</v>
      </c>
      <c r="D66" s="112" t="s">
        <v>824</v>
      </c>
      <c r="E66" s="110" t="s">
        <v>128</v>
      </c>
      <c r="F66" s="6" t="s">
        <v>12</v>
      </c>
      <c r="G66" s="6" t="s">
        <v>973</v>
      </c>
      <c r="H66" s="6" t="s">
        <v>80</v>
      </c>
      <c r="I66" s="5">
        <v>1</v>
      </c>
      <c r="J66" s="67" t="s">
        <v>160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f>AVERAGE(K66:AN66)</f>
        <v>0</v>
      </c>
      <c r="AP66" s="7">
        <f>AO66/I66</f>
        <v>0</v>
      </c>
      <c r="AQ66" s="81">
        <f t="shared" si="0"/>
        <v>0</v>
      </c>
    </row>
    <row r="67" spans="1:43" x14ac:dyDescent="0.3">
      <c r="A67" s="5">
        <v>129</v>
      </c>
      <c r="B67" s="95" t="s">
        <v>882</v>
      </c>
      <c r="C67" s="112" t="s">
        <v>884</v>
      </c>
      <c r="D67" s="112" t="s">
        <v>883</v>
      </c>
      <c r="E67" s="110" t="s">
        <v>128</v>
      </c>
      <c r="F67" s="6" t="s">
        <v>12</v>
      </c>
      <c r="G67" s="6" t="s">
        <v>973</v>
      </c>
      <c r="H67" s="6" t="s">
        <v>80</v>
      </c>
      <c r="I67" s="5">
        <v>1</v>
      </c>
      <c r="J67" s="67" t="s">
        <v>160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f>AVERAGE(K67:AN67)</f>
        <v>0</v>
      </c>
      <c r="AP67" s="7">
        <f>AO67/I67</f>
        <v>0</v>
      </c>
      <c r="AQ67" s="81">
        <f t="shared" ref="AQ67:AQ130" si="1">SUM(K67:AN67)</f>
        <v>0</v>
      </c>
    </row>
    <row r="68" spans="1:43" x14ac:dyDescent="0.3">
      <c r="A68" s="5">
        <v>131</v>
      </c>
      <c r="B68" s="107" t="s">
        <v>919</v>
      </c>
      <c r="C68" s="10">
        <v>0</v>
      </c>
      <c r="D68" s="39" t="s">
        <v>989</v>
      </c>
      <c r="E68" s="110" t="s">
        <v>128</v>
      </c>
      <c r="F68" s="6" t="s">
        <v>12</v>
      </c>
      <c r="G68" s="6" t="s">
        <v>977</v>
      </c>
      <c r="H68" s="6" t="s">
        <v>80</v>
      </c>
      <c r="I68" s="92">
        <v>1</v>
      </c>
      <c r="J68" s="12" t="s">
        <v>590</v>
      </c>
      <c r="K68" s="46">
        <v>0</v>
      </c>
      <c r="L68" s="46">
        <v>12.709999999999999</v>
      </c>
      <c r="M68" s="46">
        <v>47.04</v>
      </c>
      <c r="N68" s="46">
        <v>0.86</v>
      </c>
      <c r="O68" s="46">
        <v>51.29</v>
      </c>
      <c r="P68" s="46">
        <v>0</v>
      </c>
      <c r="Q68" s="46">
        <v>14.88</v>
      </c>
      <c r="R68" s="46">
        <v>18.570000000000004</v>
      </c>
      <c r="S68" s="46">
        <v>33.950000000000003</v>
      </c>
      <c r="T68" s="46">
        <v>1.7200000000000002</v>
      </c>
      <c r="U68" s="46">
        <v>34.700000000000003</v>
      </c>
      <c r="V68" s="46">
        <v>2.5</v>
      </c>
      <c r="W68" s="46">
        <v>0</v>
      </c>
      <c r="X68" s="46">
        <v>5.2099999999999991</v>
      </c>
      <c r="Y68" s="46">
        <v>0</v>
      </c>
      <c r="Z68" s="46">
        <v>46.309999999999995</v>
      </c>
      <c r="AA68" s="46">
        <v>45.49</v>
      </c>
      <c r="AB68" s="46">
        <v>33.29</v>
      </c>
      <c r="AC68" s="46">
        <v>37.9</v>
      </c>
      <c r="AD68" s="46">
        <v>27.79</v>
      </c>
      <c r="AE68" s="46">
        <v>32.200000000000003</v>
      </c>
      <c r="AF68" s="46">
        <v>22.2</v>
      </c>
      <c r="AG68" s="46">
        <v>64.149999999999991</v>
      </c>
      <c r="AH68" s="46">
        <v>8.5</v>
      </c>
      <c r="AI68" s="46">
        <v>0</v>
      </c>
      <c r="AJ68" s="46">
        <v>1.23</v>
      </c>
      <c r="AK68" s="46">
        <v>18.07</v>
      </c>
      <c r="AL68" s="46">
        <v>0</v>
      </c>
      <c r="AM68" s="46">
        <v>32.300000000000004</v>
      </c>
      <c r="AN68" s="46">
        <v>30.490000000000002</v>
      </c>
      <c r="AO68" s="46">
        <f>AVERAGE(K68:AN68)</f>
        <v>20.778333333333332</v>
      </c>
      <c r="AP68" s="7">
        <f>AO68/I68</f>
        <v>20.778333333333332</v>
      </c>
      <c r="AQ68" s="81">
        <f t="shared" si="1"/>
        <v>623.35</v>
      </c>
    </row>
    <row r="69" spans="1:43" x14ac:dyDescent="0.3">
      <c r="A69" s="5">
        <v>132</v>
      </c>
      <c r="B69" s="107" t="s">
        <v>1008</v>
      </c>
      <c r="C69" s="10">
        <v>0</v>
      </c>
      <c r="D69" s="39" t="s">
        <v>1009</v>
      </c>
      <c r="E69" s="110" t="s">
        <v>128</v>
      </c>
      <c r="F69" s="6" t="s">
        <v>12</v>
      </c>
      <c r="G69" s="6" t="s">
        <v>973</v>
      </c>
      <c r="H69" s="6" t="s">
        <v>80</v>
      </c>
      <c r="I69" s="92">
        <v>1</v>
      </c>
      <c r="J69" s="67" t="s">
        <v>160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0</v>
      </c>
      <c r="AL69" s="46">
        <v>0</v>
      </c>
      <c r="AM69" s="46">
        <v>0</v>
      </c>
      <c r="AN69" s="46">
        <v>0</v>
      </c>
      <c r="AO69" s="46">
        <f>AVERAGE(K69:AN69)</f>
        <v>0</v>
      </c>
      <c r="AP69" s="7">
        <f>AO69/I69</f>
        <v>0</v>
      </c>
      <c r="AQ69" s="81">
        <f t="shared" si="1"/>
        <v>0</v>
      </c>
    </row>
    <row r="70" spans="1:43" x14ac:dyDescent="0.3">
      <c r="A70" s="5">
        <v>136</v>
      </c>
      <c r="B70" s="108" t="s">
        <v>175</v>
      </c>
      <c r="C70" s="112" t="s">
        <v>666</v>
      </c>
      <c r="D70" s="134" t="s">
        <v>799</v>
      </c>
      <c r="E70" s="6" t="s">
        <v>128</v>
      </c>
      <c r="F70" s="6" t="s">
        <v>12</v>
      </c>
      <c r="G70" s="6" t="s">
        <v>971</v>
      </c>
      <c r="H70" s="6" t="s">
        <v>80</v>
      </c>
      <c r="I70" s="92">
        <v>1</v>
      </c>
      <c r="J70" s="67" t="s">
        <v>160</v>
      </c>
      <c r="K70" s="46">
        <v>0</v>
      </c>
      <c r="L70" s="46">
        <v>0</v>
      </c>
      <c r="M70" s="46">
        <v>0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0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0</v>
      </c>
      <c r="AL70" s="46">
        <v>0</v>
      </c>
      <c r="AM70" s="46">
        <v>0</v>
      </c>
      <c r="AN70" s="46">
        <v>0</v>
      </c>
      <c r="AO70" s="46">
        <f>AVERAGE(K70:AN70)</f>
        <v>0</v>
      </c>
      <c r="AP70" s="7">
        <f>AO70/I70</f>
        <v>0</v>
      </c>
      <c r="AQ70" s="81">
        <f t="shared" si="1"/>
        <v>0</v>
      </c>
    </row>
    <row r="71" spans="1:43" x14ac:dyDescent="0.3">
      <c r="A71" s="5">
        <v>137</v>
      </c>
      <c r="B71" s="108" t="s">
        <v>175</v>
      </c>
      <c r="C71" s="112" t="s">
        <v>667</v>
      </c>
      <c r="D71" s="134" t="s">
        <v>798</v>
      </c>
      <c r="E71" s="6" t="s">
        <v>128</v>
      </c>
      <c r="F71" s="6" t="s">
        <v>12</v>
      </c>
      <c r="G71" s="6" t="s">
        <v>971</v>
      </c>
      <c r="H71" s="6" t="s">
        <v>80</v>
      </c>
      <c r="I71" s="92">
        <v>1</v>
      </c>
      <c r="J71" s="67" t="s">
        <v>160</v>
      </c>
      <c r="K71" s="46">
        <v>0</v>
      </c>
      <c r="L71" s="46">
        <v>0</v>
      </c>
      <c r="M71" s="46">
        <v>0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0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0</v>
      </c>
      <c r="AL71" s="46">
        <v>0</v>
      </c>
      <c r="AM71" s="46">
        <v>0</v>
      </c>
      <c r="AN71" s="46">
        <v>0</v>
      </c>
      <c r="AO71" s="46">
        <f>AVERAGE(K71:AN71)</f>
        <v>0</v>
      </c>
      <c r="AP71" s="7">
        <f>AO71/I71</f>
        <v>0</v>
      </c>
      <c r="AQ71" s="81">
        <f t="shared" si="1"/>
        <v>0</v>
      </c>
    </row>
    <row r="72" spans="1:43" x14ac:dyDescent="0.3">
      <c r="A72" s="5">
        <v>138</v>
      </c>
      <c r="B72" s="108" t="s">
        <v>175</v>
      </c>
      <c r="C72" s="112" t="s">
        <v>668</v>
      </c>
      <c r="D72" s="134" t="s">
        <v>797</v>
      </c>
      <c r="E72" s="6" t="s">
        <v>128</v>
      </c>
      <c r="F72" s="6" t="s">
        <v>12</v>
      </c>
      <c r="G72" s="6" t="s">
        <v>971</v>
      </c>
      <c r="H72" s="6" t="s">
        <v>80</v>
      </c>
      <c r="I72" s="92">
        <v>1</v>
      </c>
      <c r="J72" s="67" t="s">
        <v>160</v>
      </c>
      <c r="K72" s="46">
        <v>0</v>
      </c>
      <c r="L72" s="46">
        <v>0</v>
      </c>
      <c r="M72" s="46">
        <v>0</v>
      </c>
      <c r="N72" s="46">
        <v>0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0</v>
      </c>
      <c r="AD72" s="46">
        <v>0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0</v>
      </c>
      <c r="AL72" s="46">
        <v>0</v>
      </c>
      <c r="AM72" s="46">
        <v>0</v>
      </c>
      <c r="AN72" s="46">
        <v>0</v>
      </c>
      <c r="AO72" s="46">
        <f>AVERAGE(K72:AN72)</f>
        <v>0</v>
      </c>
      <c r="AP72" s="7">
        <f>AO72/I72</f>
        <v>0</v>
      </c>
      <c r="AQ72" s="81">
        <f t="shared" si="1"/>
        <v>0</v>
      </c>
    </row>
    <row r="73" spans="1:43" x14ac:dyDescent="0.3">
      <c r="A73" s="5">
        <v>140</v>
      </c>
      <c r="B73" s="108" t="s">
        <v>565</v>
      </c>
      <c r="C73" s="10" t="s">
        <v>669</v>
      </c>
      <c r="D73" s="39" t="s">
        <v>912</v>
      </c>
      <c r="E73" s="6" t="s">
        <v>128</v>
      </c>
      <c r="F73" s="6" t="s">
        <v>12</v>
      </c>
      <c r="G73" s="6" t="s">
        <v>971</v>
      </c>
      <c r="H73" s="6" t="s">
        <v>80</v>
      </c>
      <c r="I73" s="92">
        <v>1</v>
      </c>
      <c r="J73" s="94" t="s">
        <v>273</v>
      </c>
      <c r="K73" s="46">
        <v>5.92</v>
      </c>
      <c r="L73" s="46">
        <v>0.03</v>
      </c>
      <c r="M73" s="46">
        <v>0</v>
      </c>
      <c r="N73" s="46">
        <v>0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0.67</v>
      </c>
      <c r="Z73" s="46">
        <v>0</v>
      </c>
      <c r="AA73" s="46">
        <v>0</v>
      </c>
      <c r="AB73" s="46">
        <v>0</v>
      </c>
      <c r="AC73" s="46">
        <v>0</v>
      </c>
      <c r="AD73" s="46">
        <v>0</v>
      </c>
      <c r="AE73" s="46">
        <v>0</v>
      </c>
      <c r="AF73" s="46">
        <v>0.15</v>
      </c>
      <c r="AG73" s="46">
        <v>3.1999999999999997</v>
      </c>
      <c r="AH73" s="46">
        <v>0</v>
      </c>
      <c r="AI73" s="46">
        <v>0</v>
      </c>
      <c r="AJ73" s="46">
        <v>0</v>
      </c>
      <c r="AK73" s="46">
        <v>0</v>
      </c>
      <c r="AL73" s="46">
        <v>0</v>
      </c>
      <c r="AM73" s="46">
        <v>0</v>
      </c>
      <c r="AN73" s="46">
        <v>0</v>
      </c>
      <c r="AO73" s="46">
        <f>AVERAGE(K73:AN73)</f>
        <v>0.33233333333333337</v>
      </c>
      <c r="AP73" s="7">
        <f>AO73/I73</f>
        <v>0.33233333333333337</v>
      </c>
      <c r="AQ73" s="81">
        <f t="shared" si="1"/>
        <v>9.9700000000000006</v>
      </c>
    </row>
    <row r="74" spans="1:43" x14ac:dyDescent="0.3">
      <c r="A74" s="5">
        <v>148</v>
      </c>
      <c r="B74" s="107" t="s">
        <v>65</v>
      </c>
      <c r="C74" s="10" t="s">
        <v>675</v>
      </c>
      <c r="D74" s="12" t="s">
        <v>800</v>
      </c>
      <c r="E74" s="6" t="s">
        <v>30</v>
      </c>
      <c r="F74" s="6" t="s">
        <v>12</v>
      </c>
      <c r="G74" s="6" t="s">
        <v>976</v>
      </c>
      <c r="H74" s="6" t="s">
        <v>35</v>
      </c>
      <c r="I74" s="92">
        <v>1</v>
      </c>
      <c r="J74" s="12" t="s">
        <v>160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6">
        <v>0</v>
      </c>
      <c r="AN74" s="46">
        <v>0</v>
      </c>
      <c r="AO74" s="46">
        <f>AVERAGE(K74:AN74)</f>
        <v>0</v>
      </c>
      <c r="AP74" s="7">
        <f>AO74/I74</f>
        <v>0</v>
      </c>
      <c r="AQ74" s="81">
        <f t="shared" si="1"/>
        <v>0</v>
      </c>
    </row>
    <row r="75" spans="1:43" x14ac:dyDescent="0.3">
      <c r="A75" s="5">
        <v>149</v>
      </c>
      <c r="B75" s="107" t="s">
        <v>65</v>
      </c>
      <c r="C75" s="10" t="s">
        <v>676</v>
      </c>
      <c r="D75" s="12" t="s">
        <v>801</v>
      </c>
      <c r="E75" s="6" t="s">
        <v>30</v>
      </c>
      <c r="F75" s="6" t="s">
        <v>12</v>
      </c>
      <c r="G75" s="6" t="s">
        <v>976</v>
      </c>
      <c r="H75" s="6" t="s">
        <v>35</v>
      </c>
      <c r="I75" s="92">
        <v>1</v>
      </c>
      <c r="J75" s="12" t="s">
        <v>160</v>
      </c>
      <c r="K75" s="46">
        <v>0</v>
      </c>
      <c r="L75" s="46">
        <v>0</v>
      </c>
      <c r="M75" s="46">
        <v>0</v>
      </c>
      <c r="N75" s="46">
        <v>0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0</v>
      </c>
      <c r="AD75" s="46">
        <v>0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0</v>
      </c>
      <c r="AL75" s="46">
        <v>0</v>
      </c>
      <c r="AM75" s="46">
        <v>0</v>
      </c>
      <c r="AN75" s="46">
        <v>0</v>
      </c>
      <c r="AO75" s="46">
        <f>AVERAGE(K75:AN75)</f>
        <v>0</v>
      </c>
      <c r="AP75" s="7">
        <f>AO75/I75</f>
        <v>0</v>
      </c>
      <c r="AQ75" s="81">
        <f t="shared" si="1"/>
        <v>0</v>
      </c>
    </row>
    <row r="76" spans="1:43" x14ac:dyDescent="0.3">
      <c r="A76" s="5">
        <v>154</v>
      </c>
      <c r="B76" s="6" t="s">
        <v>65</v>
      </c>
      <c r="C76" s="112" t="s">
        <v>945</v>
      </c>
      <c r="D76" s="134" t="s">
        <v>946</v>
      </c>
      <c r="E76" s="6" t="s">
        <v>128</v>
      </c>
      <c r="F76" s="6" t="s">
        <v>12</v>
      </c>
      <c r="G76" s="6" t="s">
        <v>979</v>
      </c>
      <c r="H76" s="6" t="s">
        <v>35</v>
      </c>
      <c r="I76" s="92">
        <v>1</v>
      </c>
      <c r="J76" s="67" t="s">
        <v>160</v>
      </c>
      <c r="K76" s="46">
        <v>13.855999999999998</v>
      </c>
      <c r="L76" s="46">
        <v>16.454000000000001</v>
      </c>
      <c r="M76" s="46">
        <v>18.484999999999999</v>
      </c>
      <c r="N76" s="46">
        <v>16.821000000000002</v>
      </c>
      <c r="O76" s="46">
        <v>18.949000000000002</v>
      </c>
      <c r="P76" s="46">
        <v>14.557</v>
      </c>
      <c r="Q76" s="46">
        <v>20.292999999999999</v>
      </c>
      <c r="R76" s="46">
        <v>15.036</v>
      </c>
      <c r="S76" s="46">
        <v>21.91</v>
      </c>
      <c r="T76" s="46">
        <v>22.399000000000001</v>
      </c>
      <c r="U76" s="46">
        <v>14.876999999999999</v>
      </c>
      <c r="V76" s="46">
        <v>21.003999999999998</v>
      </c>
      <c r="W76" s="46">
        <v>20.131999999999998</v>
      </c>
      <c r="X76" s="46">
        <v>22.483000000000001</v>
      </c>
      <c r="Y76" s="46">
        <v>3.4</v>
      </c>
      <c r="Z76" s="46">
        <v>31.624000000000002</v>
      </c>
      <c r="AA76" s="46">
        <v>26.839999999999996</v>
      </c>
      <c r="AB76" s="46">
        <v>30.497999999999998</v>
      </c>
      <c r="AC76" s="46">
        <v>15.343999999999999</v>
      </c>
      <c r="AD76" s="46">
        <v>22.850999999999999</v>
      </c>
      <c r="AE76" s="46">
        <v>22.715999999999998</v>
      </c>
      <c r="AF76" s="46">
        <v>30.113</v>
      </c>
      <c r="AG76" s="46">
        <v>15.741999999999999</v>
      </c>
      <c r="AH76" s="46">
        <v>28.918999999999997</v>
      </c>
      <c r="AI76" s="46">
        <v>8.5640000000000001</v>
      </c>
      <c r="AJ76" s="46">
        <v>24.493000000000002</v>
      </c>
      <c r="AK76" s="46">
        <v>18.616</v>
      </c>
      <c r="AL76" s="46">
        <v>23.884999999999998</v>
      </c>
      <c r="AM76" s="46">
        <v>15.323</v>
      </c>
      <c r="AN76" s="46">
        <v>20.413</v>
      </c>
      <c r="AO76" s="46">
        <f>AVERAGE(K76:AN76)</f>
        <v>19.886566666666667</v>
      </c>
      <c r="AP76" s="7">
        <f>AO76/I76</f>
        <v>19.886566666666667</v>
      </c>
      <c r="AQ76" s="81">
        <f t="shared" si="1"/>
        <v>596.59699999999998</v>
      </c>
    </row>
    <row r="77" spans="1:43" x14ac:dyDescent="0.3">
      <c r="A77" s="5">
        <v>155</v>
      </c>
      <c r="B77" s="6" t="s">
        <v>65</v>
      </c>
      <c r="C77" s="112" t="s">
        <v>945</v>
      </c>
      <c r="D77" s="134" t="s">
        <v>946</v>
      </c>
      <c r="E77" s="6" t="s">
        <v>128</v>
      </c>
      <c r="F77" s="6" t="s">
        <v>12</v>
      </c>
      <c r="G77" s="6" t="s">
        <v>971</v>
      </c>
      <c r="H77" s="6" t="s">
        <v>80</v>
      </c>
      <c r="I77" s="92">
        <v>1</v>
      </c>
      <c r="J77" s="12" t="s">
        <v>589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46">
        <v>0</v>
      </c>
      <c r="AE77" s="46">
        <v>0.74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0</v>
      </c>
      <c r="AL77" s="46">
        <v>0</v>
      </c>
      <c r="AM77" s="46">
        <v>0</v>
      </c>
      <c r="AN77" s="46">
        <v>0</v>
      </c>
      <c r="AO77" s="46">
        <f>AVERAGE(K77:AN77)</f>
        <v>2.4666666666666667E-2</v>
      </c>
      <c r="AP77" s="7">
        <f>AO77/I77</f>
        <v>2.4666666666666667E-2</v>
      </c>
      <c r="AQ77" s="81">
        <f t="shared" si="1"/>
        <v>0.74</v>
      </c>
    </row>
    <row r="78" spans="1:43" x14ac:dyDescent="0.3">
      <c r="A78" s="5">
        <v>158</v>
      </c>
      <c r="B78" s="6" t="s">
        <v>65</v>
      </c>
      <c r="C78" s="112" t="s">
        <v>943</v>
      </c>
      <c r="D78" s="134" t="s">
        <v>944</v>
      </c>
      <c r="E78" s="6" t="s">
        <v>128</v>
      </c>
      <c r="F78" s="6" t="s">
        <v>12</v>
      </c>
      <c r="G78" s="6" t="s">
        <v>971</v>
      </c>
      <c r="H78" s="6" t="s">
        <v>80</v>
      </c>
      <c r="I78" s="92">
        <v>1</v>
      </c>
      <c r="J78" s="94" t="s">
        <v>273</v>
      </c>
      <c r="K78" s="46">
        <v>8.9700000000000006</v>
      </c>
      <c r="L78" s="46">
        <v>8.75</v>
      </c>
      <c r="M78" s="46">
        <v>0</v>
      </c>
      <c r="N78" s="46">
        <v>0</v>
      </c>
      <c r="O78" s="46">
        <v>0</v>
      </c>
      <c r="P78" s="46">
        <v>15.02</v>
      </c>
      <c r="Q78" s="46">
        <v>5.22</v>
      </c>
      <c r="R78" s="46">
        <v>5.66</v>
      </c>
      <c r="S78" s="46">
        <v>0</v>
      </c>
      <c r="T78" s="46">
        <v>0</v>
      </c>
      <c r="U78" s="46">
        <v>1.26</v>
      </c>
      <c r="V78" s="46">
        <v>3.06</v>
      </c>
      <c r="W78" s="46">
        <v>8.61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46">
        <v>0</v>
      </c>
      <c r="AE78" s="46">
        <v>0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0</v>
      </c>
      <c r="AL78" s="46">
        <v>0</v>
      </c>
      <c r="AM78" s="46">
        <v>0</v>
      </c>
      <c r="AN78" s="46">
        <v>0</v>
      </c>
      <c r="AO78" s="46">
        <f>AVERAGE(K78:AN78)</f>
        <v>1.8849999999999996</v>
      </c>
      <c r="AP78" s="7">
        <f>AO78/I78</f>
        <v>1.8849999999999996</v>
      </c>
      <c r="AQ78" s="81">
        <f t="shared" si="1"/>
        <v>56.54999999999999</v>
      </c>
    </row>
    <row r="79" spans="1:43" x14ac:dyDescent="0.3">
      <c r="A79" s="5">
        <v>164</v>
      </c>
      <c r="B79" s="107" t="s">
        <v>65</v>
      </c>
      <c r="C79" s="10" t="s">
        <v>684</v>
      </c>
      <c r="D79" s="12" t="s">
        <v>926</v>
      </c>
      <c r="E79" s="110" t="s">
        <v>236</v>
      </c>
      <c r="F79" s="6" t="s">
        <v>12</v>
      </c>
      <c r="G79" s="6" t="s">
        <v>971</v>
      </c>
      <c r="H79" s="6" t="s">
        <v>80</v>
      </c>
      <c r="I79" s="5">
        <v>1</v>
      </c>
      <c r="J79" s="67" t="s">
        <v>160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0</v>
      </c>
      <c r="AL79" s="46">
        <v>0</v>
      </c>
      <c r="AM79" s="46">
        <v>0</v>
      </c>
      <c r="AN79" s="46">
        <v>0</v>
      </c>
      <c r="AO79" s="46">
        <f>AVERAGE(K79:AN79)</f>
        <v>0</v>
      </c>
      <c r="AP79" s="7">
        <f>AO79/I79</f>
        <v>0</v>
      </c>
      <c r="AQ79" s="81">
        <f t="shared" si="1"/>
        <v>0</v>
      </c>
    </row>
    <row r="80" spans="1:43" x14ac:dyDescent="0.3">
      <c r="A80" s="5">
        <v>171</v>
      </c>
      <c r="B80" s="107" t="s">
        <v>65</v>
      </c>
      <c r="C80" s="112" t="s">
        <v>947</v>
      </c>
      <c r="D80" s="112" t="s">
        <v>948</v>
      </c>
      <c r="E80" s="110" t="s">
        <v>128</v>
      </c>
      <c r="F80" s="6" t="s">
        <v>12</v>
      </c>
      <c r="G80" s="6" t="s">
        <v>971</v>
      </c>
      <c r="H80" s="6" t="s">
        <v>80</v>
      </c>
      <c r="I80" s="5">
        <v>1</v>
      </c>
      <c r="J80" s="67" t="s">
        <v>160</v>
      </c>
      <c r="K80" s="46">
        <v>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12.81</v>
      </c>
      <c r="AF80" s="46">
        <v>27.46</v>
      </c>
      <c r="AG80" s="46">
        <v>23.51</v>
      </c>
      <c r="AH80" s="46">
        <v>24.869999999999997</v>
      </c>
      <c r="AI80" s="46">
        <v>0</v>
      </c>
      <c r="AJ80" s="46">
        <v>25.61</v>
      </c>
      <c r="AK80" s="46">
        <v>23.43</v>
      </c>
      <c r="AL80" s="46">
        <v>39.021000000000001</v>
      </c>
      <c r="AM80" s="46">
        <v>6.16</v>
      </c>
      <c r="AN80" s="46">
        <v>0</v>
      </c>
      <c r="AO80" s="46">
        <f>AVERAGE(K80:AN80)</f>
        <v>6.0956999999999999</v>
      </c>
      <c r="AP80" s="7">
        <f>AO80/I80</f>
        <v>6.0956999999999999</v>
      </c>
      <c r="AQ80" s="81">
        <f t="shared" si="1"/>
        <v>182.87100000000001</v>
      </c>
    </row>
    <row r="81" spans="1:43" x14ac:dyDescent="0.3">
      <c r="A81" s="5">
        <v>174</v>
      </c>
      <c r="B81" s="107" t="s">
        <v>65</v>
      </c>
      <c r="C81" s="10" t="s">
        <v>693</v>
      </c>
      <c r="D81" s="12" t="s">
        <v>934</v>
      </c>
      <c r="E81" s="110" t="s">
        <v>407</v>
      </c>
      <c r="F81" s="6" t="s">
        <v>19</v>
      </c>
      <c r="G81" s="6" t="s">
        <v>976</v>
      </c>
      <c r="H81" s="6" t="s">
        <v>35</v>
      </c>
      <c r="I81" s="5">
        <v>1</v>
      </c>
      <c r="J81" s="12" t="s">
        <v>590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v>0</v>
      </c>
      <c r="AO81" s="46">
        <f>AVERAGE(K81:AN81)</f>
        <v>0</v>
      </c>
      <c r="AP81" s="7">
        <f>AO81/I81</f>
        <v>0</v>
      </c>
      <c r="AQ81" s="81">
        <f t="shared" si="1"/>
        <v>0</v>
      </c>
    </row>
    <row r="82" spans="1:43" x14ac:dyDescent="0.3">
      <c r="A82" s="5">
        <v>176</v>
      </c>
      <c r="B82" s="107" t="s">
        <v>65</v>
      </c>
      <c r="C82" s="112" t="s">
        <v>695</v>
      </c>
      <c r="D82" s="112" t="s">
        <v>936</v>
      </c>
      <c r="E82" s="110" t="s">
        <v>521</v>
      </c>
      <c r="F82" s="6" t="s">
        <v>19</v>
      </c>
      <c r="G82" s="6" t="s">
        <v>976</v>
      </c>
      <c r="H82" s="6" t="s">
        <v>35</v>
      </c>
      <c r="I82" s="92">
        <v>1</v>
      </c>
      <c r="J82" s="12" t="s">
        <v>590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46">
        <v>0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46">
        <v>0</v>
      </c>
      <c r="AA82" s="46">
        <v>0</v>
      </c>
      <c r="AB82" s="46">
        <v>0</v>
      </c>
      <c r="AC82" s="46">
        <v>0</v>
      </c>
      <c r="AD82" s="46">
        <v>0</v>
      </c>
      <c r="AE82" s="46">
        <v>0</v>
      </c>
      <c r="AF82" s="46">
        <v>0</v>
      </c>
      <c r="AG82" s="46">
        <v>0</v>
      </c>
      <c r="AH82" s="46">
        <v>0</v>
      </c>
      <c r="AI82" s="46">
        <v>0</v>
      </c>
      <c r="AJ82" s="46">
        <v>0</v>
      </c>
      <c r="AK82" s="46">
        <v>0</v>
      </c>
      <c r="AL82" s="46">
        <v>0</v>
      </c>
      <c r="AM82" s="46">
        <v>0</v>
      </c>
      <c r="AN82" s="46">
        <v>0</v>
      </c>
      <c r="AO82" s="46">
        <f>AVERAGE(K82:AN82)</f>
        <v>0</v>
      </c>
      <c r="AP82" s="7">
        <f>AO82/I82</f>
        <v>0</v>
      </c>
      <c r="AQ82" s="81">
        <f t="shared" si="1"/>
        <v>0</v>
      </c>
    </row>
    <row r="83" spans="1:43" x14ac:dyDescent="0.3">
      <c r="A83" s="5">
        <v>181</v>
      </c>
      <c r="B83" s="107" t="s">
        <v>65</v>
      </c>
      <c r="C83" s="112">
        <v>0</v>
      </c>
      <c r="D83" s="10" t="s">
        <v>1062</v>
      </c>
      <c r="E83" s="110" t="s">
        <v>128</v>
      </c>
      <c r="F83" s="6" t="s">
        <v>12</v>
      </c>
      <c r="G83" s="6" t="s">
        <v>13</v>
      </c>
      <c r="H83" s="6" t="s">
        <v>35</v>
      </c>
      <c r="I83" s="5">
        <v>1</v>
      </c>
      <c r="J83" s="94" t="s">
        <v>160</v>
      </c>
      <c r="K83" s="46">
        <v>0</v>
      </c>
      <c r="L83" s="46">
        <v>0</v>
      </c>
      <c r="M83" s="46">
        <v>0</v>
      </c>
      <c r="N83" s="46">
        <v>1.3939999999999999</v>
      </c>
      <c r="O83" s="46">
        <v>0</v>
      </c>
      <c r="P83" s="46">
        <v>0</v>
      </c>
      <c r="Q83" s="46">
        <v>0</v>
      </c>
      <c r="R83" s="46">
        <v>0</v>
      </c>
      <c r="S83" s="46">
        <v>2.2319999999999998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6.5510000000000002</v>
      </c>
      <c r="AH83" s="46">
        <v>2.6659999999999999</v>
      </c>
      <c r="AI83" s="46">
        <v>0</v>
      </c>
      <c r="AJ83" s="46">
        <v>0</v>
      </c>
      <c r="AK83" s="46">
        <v>0</v>
      </c>
      <c r="AL83" s="46">
        <v>0</v>
      </c>
      <c r="AM83" s="46">
        <v>0</v>
      </c>
      <c r="AN83" s="46">
        <v>0</v>
      </c>
      <c r="AO83" s="46">
        <f>AVERAGE(K83:AN83)</f>
        <v>0.42809999999999998</v>
      </c>
      <c r="AP83" s="7">
        <f>AO83/I83</f>
        <v>0.42809999999999998</v>
      </c>
      <c r="AQ83" s="81">
        <f t="shared" si="1"/>
        <v>12.843</v>
      </c>
    </row>
    <row r="84" spans="1:43" x14ac:dyDescent="0.3">
      <c r="A84" s="5">
        <v>182</v>
      </c>
      <c r="B84" s="107" t="s">
        <v>65</v>
      </c>
      <c r="C84" s="112">
        <v>0</v>
      </c>
      <c r="D84" s="10" t="s">
        <v>1063</v>
      </c>
      <c r="E84" s="110" t="s">
        <v>128</v>
      </c>
      <c r="F84" s="6" t="s">
        <v>12</v>
      </c>
      <c r="G84" s="6" t="s">
        <v>13</v>
      </c>
      <c r="H84" s="6" t="s">
        <v>35</v>
      </c>
      <c r="I84" s="5">
        <v>1</v>
      </c>
      <c r="J84" s="94" t="s">
        <v>160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46">
        <v>0</v>
      </c>
      <c r="Q84" s="46">
        <v>0</v>
      </c>
      <c r="R84" s="46">
        <v>0.71699999999999997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46">
        <v>0</v>
      </c>
      <c r="AA84" s="46">
        <v>0</v>
      </c>
      <c r="AB84" s="46">
        <v>0</v>
      </c>
      <c r="AC84" s="46">
        <v>0</v>
      </c>
      <c r="AD84" s="46">
        <v>0</v>
      </c>
      <c r="AE84" s="46">
        <v>0</v>
      </c>
      <c r="AF84" s="46">
        <v>0</v>
      </c>
      <c r="AG84" s="46">
        <v>0</v>
      </c>
      <c r="AH84" s="46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>
        <v>0</v>
      </c>
      <c r="AO84" s="46">
        <f>AVERAGE(K84:AN84)</f>
        <v>2.3899999999999998E-2</v>
      </c>
      <c r="AP84" s="7">
        <f>AO84/I84</f>
        <v>2.3899999999999998E-2</v>
      </c>
      <c r="AQ84" s="81">
        <f t="shared" si="1"/>
        <v>0.71699999999999997</v>
      </c>
    </row>
    <row r="85" spans="1:43" x14ac:dyDescent="0.3">
      <c r="A85" s="5">
        <v>183</v>
      </c>
      <c r="B85" s="107" t="s">
        <v>65</v>
      </c>
      <c r="C85" s="112">
        <v>0</v>
      </c>
      <c r="D85" s="10" t="s">
        <v>1064</v>
      </c>
      <c r="E85" s="110" t="s">
        <v>128</v>
      </c>
      <c r="F85" s="6" t="s">
        <v>12</v>
      </c>
      <c r="G85" s="6" t="s">
        <v>13</v>
      </c>
      <c r="H85" s="6" t="s">
        <v>35</v>
      </c>
      <c r="I85" s="5">
        <v>1</v>
      </c>
      <c r="J85" s="94" t="s">
        <v>160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1.119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>
        <v>0</v>
      </c>
      <c r="AK85" s="46">
        <v>0</v>
      </c>
      <c r="AL85" s="46">
        <v>0</v>
      </c>
      <c r="AM85" s="46">
        <v>0</v>
      </c>
      <c r="AN85" s="46">
        <v>0</v>
      </c>
      <c r="AO85" s="46">
        <f>AVERAGE(K85:AN85)</f>
        <v>3.73E-2</v>
      </c>
      <c r="AP85" s="7">
        <f>AO85/I85</f>
        <v>3.73E-2</v>
      </c>
      <c r="AQ85" s="81">
        <f t="shared" si="1"/>
        <v>1.119</v>
      </c>
    </row>
    <row r="86" spans="1:43" x14ac:dyDescent="0.3">
      <c r="A86" s="5">
        <v>184</v>
      </c>
      <c r="B86" s="107" t="s">
        <v>65</v>
      </c>
      <c r="C86" s="112">
        <v>0</v>
      </c>
      <c r="D86" s="10" t="s">
        <v>1066</v>
      </c>
      <c r="E86" s="110" t="s">
        <v>128</v>
      </c>
      <c r="F86" s="6" t="s">
        <v>12</v>
      </c>
      <c r="G86" s="6" t="s">
        <v>135</v>
      </c>
      <c r="H86" s="6" t="s">
        <v>35</v>
      </c>
      <c r="I86" s="6">
        <v>1</v>
      </c>
      <c r="J86" s="6" t="s">
        <v>160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46">
        <v>0</v>
      </c>
      <c r="Q86" s="46">
        <v>0</v>
      </c>
      <c r="R86" s="46">
        <v>0</v>
      </c>
      <c r="S86" s="46">
        <v>0</v>
      </c>
      <c r="T86" s="46">
        <v>30.036000000000001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>
        <v>0</v>
      </c>
      <c r="AK86" s="46">
        <v>0</v>
      </c>
      <c r="AL86" s="46">
        <v>0</v>
      </c>
      <c r="AM86" s="46">
        <v>0</v>
      </c>
      <c r="AN86" s="46">
        <v>0</v>
      </c>
      <c r="AO86" s="46">
        <f>AVERAGE(K86:AN86)</f>
        <v>1.0012000000000001</v>
      </c>
      <c r="AP86" s="7">
        <f>AO86/I86</f>
        <v>1.0012000000000001</v>
      </c>
      <c r="AQ86" s="81">
        <f t="shared" si="1"/>
        <v>30.036000000000001</v>
      </c>
    </row>
    <row r="87" spans="1:43" x14ac:dyDescent="0.3">
      <c r="A87" s="5">
        <v>185</v>
      </c>
      <c r="B87" s="107" t="s">
        <v>65</v>
      </c>
      <c r="C87" s="112">
        <v>0</v>
      </c>
      <c r="D87" s="10" t="s">
        <v>1065</v>
      </c>
      <c r="E87" s="110" t="s">
        <v>128</v>
      </c>
      <c r="F87" s="6" t="s">
        <v>12</v>
      </c>
      <c r="G87" s="6" t="s">
        <v>13</v>
      </c>
      <c r="H87" s="6" t="s">
        <v>35</v>
      </c>
      <c r="I87" s="5">
        <v>1</v>
      </c>
      <c r="J87" s="94" t="s">
        <v>160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6">
        <v>2.7389999999999999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0.77300000000000002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5.585</v>
      </c>
      <c r="AG87" s="46">
        <v>0.71599999999999997</v>
      </c>
      <c r="AH87" s="46">
        <v>0</v>
      </c>
      <c r="AI87" s="46">
        <v>0</v>
      </c>
      <c r="AJ87" s="46">
        <v>0</v>
      </c>
      <c r="AK87" s="46">
        <v>0</v>
      </c>
      <c r="AL87" s="46">
        <v>0</v>
      </c>
      <c r="AM87" s="46">
        <v>0</v>
      </c>
      <c r="AN87" s="46">
        <v>0</v>
      </c>
      <c r="AO87" s="46">
        <f>AVERAGE(K87:AN87)</f>
        <v>0.32709999999999995</v>
      </c>
      <c r="AP87" s="7">
        <f>AO87/I87</f>
        <v>0.32709999999999995</v>
      </c>
      <c r="AQ87" s="81">
        <f t="shared" si="1"/>
        <v>9.8129999999999988</v>
      </c>
    </row>
    <row r="88" spans="1:43" x14ac:dyDescent="0.3">
      <c r="A88" s="5">
        <v>186</v>
      </c>
      <c r="B88" s="107" t="s">
        <v>65</v>
      </c>
      <c r="C88" s="112">
        <v>0</v>
      </c>
      <c r="D88" s="10" t="s">
        <v>1067</v>
      </c>
      <c r="E88" s="110" t="s">
        <v>128</v>
      </c>
      <c r="F88" s="6" t="s">
        <v>12</v>
      </c>
      <c r="G88" s="6" t="s">
        <v>13</v>
      </c>
      <c r="H88" s="6" t="s">
        <v>35</v>
      </c>
      <c r="I88" s="5">
        <v>1</v>
      </c>
      <c r="J88" s="94" t="s">
        <v>160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46">
        <v>0</v>
      </c>
      <c r="Q88" s="46">
        <v>0</v>
      </c>
      <c r="R88" s="46">
        <v>0</v>
      </c>
      <c r="S88" s="46">
        <v>0</v>
      </c>
      <c r="T88" s="46">
        <v>0</v>
      </c>
      <c r="U88" s="46">
        <v>2.3610000000000002</v>
      </c>
      <c r="V88" s="46">
        <v>0</v>
      </c>
      <c r="W88" s="46">
        <v>0</v>
      </c>
      <c r="X88" s="46">
        <v>0.84499999999999997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6">
        <v>0</v>
      </c>
      <c r="AI88" s="46">
        <v>0</v>
      </c>
      <c r="AJ88" s="46">
        <v>0</v>
      </c>
      <c r="AK88" s="46">
        <v>0</v>
      </c>
      <c r="AL88" s="46">
        <v>0</v>
      </c>
      <c r="AM88" s="46">
        <v>0</v>
      </c>
      <c r="AN88" s="46">
        <v>0</v>
      </c>
      <c r="AO88" s="46">
        <f>AVERAGE(K88:AN88)</f>
        <v>0.10686666666666668</v>
      </c>
      <c r="AP88" s="7">
        <f>AO88/I88</f>
        <v>0.10686666666666668</v>
      </c>
      <c r="AQ88" s="81">
        <f t="shared" si="1"/>
        <v>3.2060000000000004</v>
      </c>
    </row>
    <row r="89" spans="1:43" ht="16.5" customHeight="1" x14ac:dyDescent="0.3">
      <c r="A89" s="5">
        <v>187</v>
      </c>
      <c r="B89" s="107" t="s">
        <v>65</v>
      </c>
      <c r="C89" s="112">
        <v>0</v>
      </c>
      <c r="D89" s="10" t="s">
        <v>1069</v>
      </c>
      <c r="E89" s="110" t="s">
        <v>128</v>
      </c>
      <c r="F89" s="6" t="s">
        <v>12</v>
      </c>
      <c r="G89" s="6" t="s">
        <v>13</v>
      </c>
      <c r="H89" s="6" t="s">
        <v>35</v>
      </c>
      <c r="I89" s="5">
        <v>1</v>
      </c>
      <c r="J89" s="94" t="s">
        <v>160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0.65900000000000003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0</v>
      </c>
      <c r="AL89" s="46">
        <v>0</v>
      </c>
      <c r="AM89" s="46">
        <v>0</v>
      </c>
      <c r="AN89" s="46">
        <v>0</v>
      </c>
      <c r="AO89" s="46">
        <f>AVERAGE(K89:AN89)</f>
        <v>2.1966666666666669E-2</v>
      </c>
      <c r="AP89" s="7">
        <f>AO89/I89</f>
        <v>2.1966666666666669E-2</v>
      </c>
      <c r="AQ89" s="81">
        <f t="shared" si="1"/>
        <v>0.65900000000000003</v>
      </c>
    </row>
    <row r="90" spans="1:43" x14ac:dyDescent="0.3">
      <c r="A90" s="5">
        <v>188</v>
      </c>
      <c r="B90" s="107" t="s">
        <v>65</v>
      </c>
      <c r="C90" s="112">
        <v>0</v>
      </c>
      <c r="D90" s="10" t="s">
        <v>1070</v>
      </c>
      <c r="E90" s="110" t="s">
        <v>128</v>
      </c>
      <c r="F90" s="6" t="s">
        <v>12</v>
      </c>
      <c r="G90" s="6" t="s">
        <v>135</v>
      </c>
      <c r="H90" s="6" t="s">
        <v>35</v>
      </c>
      <c r="I90" s="5">
        <v>1</v>
      </c>
      <c r="J90" s="94" t="s">
        <v>160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10.65</v>
      </c>
      <c r="W90" s="46">
        <v>6.6950000000000003</v>
      </c>
      <c r="X90" s="46">
        <v>0</v>
      </c>
      <c r="Y90" s="46">
        <v>1E-3</v>
      </c>
      <c r="Z90" s="46">
        <v>0</v>
      </c>
      <c r="AA90" s="46">
        <v>0</v>
      </c>
      <c r="AB90" s="46">
        <v>0</v>
      </c>
      <c r="AC90" s="46">
        <v>2E-3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0</v>
      </c>
      <c r="AL90" s="46">
        <v>0</v>
      </c>
      <c r="AM90" s="46">
        <v>0</v>
      </c>
      <c r="AN90" s="46">
        <v>0</v>
      </c>
      <c r="AO90" s="46">
        <f>AVERAGE(K90:AN90)</f>
        <v>0.5782666666666666</v>
      </c>
      <c r="AP90" s="7">
        <f>AO90/I90</f>
        <v>0.5782666666666666</v>
      </c>
      <c r="AQ90" s="81">
        <f t="shared" si="1"/>
        <v>17.347999999999999</v>
      </c>
    </row>
    <row r="91" spans="1:43" x14ac:dyDescent="0.3">
      <c r="A91" s="5">
        <v>189</v>
      </c>
      <c r="B91" s="107" t="s">
        <v>65</v>
      </c>
      <c r="C91" s="112">
        <v>0</v>
      </c>
      <c r="D91" s="10" t="s">
        <v>1071</v>
      </c>
      <c r="E91" s="6" t="s">
        <v>128</v>
      </c>
      <c r="F91" s="6" t="s">
        <v>12</v>
      </c>
      <c r="G91" s="6" t="s">
        <v>135</v>
      </c>
      <c r="H91" s="6" t="s">
        <v>35</v>
      </c>
      <c r="I91" s="92">
        <v>1</v>
      </c>
      <c r="J91" s="94" t="s">
        <v>160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4.0129999999999999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12.901999999999999</v>
      </c>
      <c r="AD91" s="46">
        <v>0</v>
      </c>
      <c r="AE91" s="46">
        <v>0</v>
      </c>
      <c r="AF91" s="46">
        <v>14.135999999999999</v>
      </c>
      <c r="AG91" s="46">
        <v>0</v>
      </c>
      <c r="AH91" s="46">
        <v>0</v>
      </c>
      <c r="AI91" s="46">
        <v>0</v>
      </c>
      <c r="AJ91" s="46">
        <v>0</v>
      </c>
      <c r="AK91" s="46">
        <v>0</v>
      </c>
      <c r="AL91" s="46">
        <v>0</v>
      </c>
      <c r="AM91" s="46">
        <v>0</v>
      </c>
      <c r="AN91" s="46">
        <v>0</v>
      </c>
      <c r="AO91" s="46">
        <f>AVERAGE(K91:AN91)</f>
        <v>1.0350333333333332</v>
      </c>
      <c r="AP91" s="7">
        <f>AO91/I91</f>
        <v>1.0350333333333332</v>
      </c>
      <c r="AQ91" s="81">
        <f t="shared" si="1"/>
        <v>31.050999999999998</v>
      </c>
    </row>
    <row r="92" spans="1:43" x14ac:dyDescent="0.3">
      <c r="A92" s="5">
        <v>190</v>
      </c>
      <c r="B92" s="107" t="s">
        <v>65</v>
      </c>
      <c r="C92" s="112">
        <v>0</v>
      </c>
      <c r="D92" s="10" t="s">
        <v>1072</v>
      </c>
      <c r="E92" s="6" t="s">
        <v>128</v>
      </c>
      <c r="F92" s="6" t="s">
        <v>12</v>
      </c>
      <c r="G92" s="6" t="s">
        <v>13</v>
      </c>
      <c r="H92" s="6" t="s">
        <v>35</v>
      </c>
      <c r="I92" s="92">
        <v>1</v>
      </c>
      <c r="J92" s="94" t="s">
        <v>160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3.5270000000000001</v>
      </c>
      <c r="Z92" s="46">
        <v>5.1219999999999999</v>
      </c>
      <c r="AA92" s="46">
        <v>6.431</v>
      </c>
      <c r="AB92" s="46">
        <v>7.7290000000000001</v>
      </c>
      <c r="AC92" s="46">
        <v>1.548</v>
      </c>
      <c r="AD92" s="46">
        <v>4.3419999999999996</v>
      </c>
      <c r="AE92" s="46">
        <v>4.6589999999999998</v>
      </c>
      <c r="AF92" s="46">
        <v>9.9749999999999996</v>
      </c>
      <c r="AG92" s="46">
        <v>7.7309999999999999</v>
      </c>
      <c r="AH92" s="46">
        <v>2.609</v>
      </c>
      <c r="AI92" s="46">
        <v>0</v>
      </c>
      <c r="AJ92" s="46">
        <v>0</v>
      </c>
      <c r="AK92" s="46">
        <v>0</v>
      </c>
      <c r="AL92" s="46">
        <v>0</v>
      </c>
      <c r="AM92" s="46">
        <v>0.76900000000000002</v>
      </c>
      <c r="AN92" s="46">
        <v>0</v>
      </c>
      <c r="AO92" s="46">
        <f>AVERAGE(K92:AN92)</f>
        <v>1.8147333333333333</v>
      </c>
      <c r="AP92" s="7">
        <f>AO92/I92</f>
        <v>1.8147333333333333</v>
      </c>
      <c r="AQ92" s="81">
        <f t="shared" si="1"/>
        <v>54.442</v>
      </c>
    </row>
    <row r="93" spans="1:43" x14ac:dyDescent="0.3">
      <c r="A93" s="5">
        <v>191</v>
      </c>
      <c r="B93" s="107" t="s">
        <v>65</v>
      </c>
      <c r="C93" s="112">
        <v>0</v>
      </c>
      <c r="D93" s="10" t="s">
        <v>1073</v>
      </c>
      <c r="E93" s="6" t="s">
        <v>128</v>
      </c>
      <c r="F93" s="6" t="s">
        <v>12</v>
      </c>
      <c r="G93" s="6" t="s">
        <v>13</v>
      </c>
      <c r="H93" s="6" t="s">
        <v>35</v>
      </c>
      <c r="I93" s="92">
        <v>1</v>
      </c>
      <c r="J93" s="94" t="s">
        <v>160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6.1679999999999993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0</v>
      </c>
      <c r="AL93" s="46">
        <v>0</v>
      </c>
      <c r="AM93" s="46">
        <v>0</v>
      </c>
      <c r="AN93" s="46">
        <v>0</v>
      </c>
      <c r="AO93" s="46">
        <f>AVERAGE(K93:AN93)</f>
        <v>0.20559999999999998</v>
      </c>
      <c r="AP93" s="7">
        <f>AO93/I93</f>
        <v>0.20559999999999998</v>
      </c>
      <c r="AQ93" s="81">
        <f t="shared" si="1"/>
        <v>6.1679999999999993</v>
      </c>
    </row>
    <row r="94" spans="1:43" ht="17.25" customHeight="1" x14ac:dyDescent="0.3">
      <c r="A94" s="5">
        <v>192</v>
      </c>
      <c r="B94" s="107" t="s">
        <v>65</v>
      </c>
      <c r="C94" s="112">
        <v>0</v>
      </c>
      <c r="D94" s="10" t="s">
        <v>1074</v>
      </c>
      <c r="E94" s="110" t="s">
        <v>128</v>
      </c>
      <c r="F94" s="6" t="s">
        <v>12</v>
      </c>
      <c r="G94" s="6" t="s">
        <v>135</v>
      </c>
      <c r="H94" s="6" t="s">
        <v>35</v>
      </c>
      <c r="I94" s="5">
        <v>1</v>
      </c>
      <c r="J94" s="94" t="s">
        <v>160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15.307</v>
      </c>
      <c r="AC94" s="46">
        <v>12.362</v>
      </c>
      <c r="AD94" s="46">
        <v>27.610999999999997</v>
      </c>
      <c r="AE94" s="46">
        <v>0</v>
      </c>
      <c r="AF94" s="46">
        <v>12.359</v>
      </c>
      <c r="AG94" s="46">
        <v>12.791</v>
      </c>
      <c r="AH94" s="46">
        <v>0</v>
      </c>
      <c r="AI94" s="46">
        <v>0</v>
      </c>
      <c r="AJ94" s="46">
        <v>0</v>
      </c>
      <c r="AK94" s="46">
        <v>0</v>
      </c>
      <c r="AL94" s="46">
        <v>0</v>
      </c>
      <c r="AM94" s="46">
        <v>0</v>
      </c>
      <c r="AN94" s="46">
        <v>0</v>
      </c>
      <c r="AO94" s="46">
        <f>AVERAGE(K94:AN94)</f>
        <v>2.6809999999999996</v>
      </c>
      <c r="AP94" s="7">
        <f>AO94/I94</f>
        <v>2.6809999999999996</v>
      </c>
      <c r="AQ94" s="81">
        <f t="shared" si="1"/>
        <v>80.429999999999993</v>
      </c>
    </row>
    <row r="95" spans="1:43" x14ac:dyDescent="0.3">
      <c r="A95" s="5">
        <v>193</v>
      </c>
      <c r="B95" s="107" t="s">
        <v>65</v>
      </c>
      <c r="C95" s="112">
        <v>0</v>
      </c>
      <c r="D95" s="10" t="s">
        <v>1075</v>
      </c>
      <c r="E95" s="110" t="s">
        <v>128</v>
      </c>
      <c r="F95" s="6" t="s">
        <v>12</v>
      </c>
      <c r="G95" s="6" t="s">
        <v>13</v>
      </c>
      <c r="H95" s="6" t="s">
        <v>35</v>
      </c>
      <c r="I95" s="5">
        <v>1</v>
      </c>
      <c r="J95" s="94" t="s">
        <v>160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2.4049999999999998</v>
      </c>
      <c r="AH95" s="46">
        <v>2.41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f>AVERAGE(K95:AN95)</f>
        <v>0.16049999999999998</v>
      </c>
      <c r="AP95" s="7">
        <f>AO95/I95</f>
        <v>0.16049999999999998</v>
      </c>
      <c r="AQ95" s="81">
        <f t="shared" si="1"/>
        <v>4.8149999999999995</v>
      </c>
    </row>
    <row r="96" spans="1:43" x14ac:dyDescent="0.3">
      <c r="A96" s="5">
        <v>194</v>
      </c>
      <c r="B96" s="107" t="s">
        <v>1077</v>
      </c>
      <c r="C96" s="112">
        <v>0</v>
      </c>
      <c r="D96" s="10" t="s">
        <v>1076</v>
      </c>
      <c r="E96" s="110" t="s">
        <v>128</v>
      </c>
      <c r="F96" s="6" t="s">
        <v>12</v>
      </c>
      <c r="G96" s="6" t="s">
        <v>290</v>
      </c>
      <c r="H96" s="6" t="s">
        <v>80</v>
      </c>
      <c r="I96" s="5">
        <v>1</v>
      </c>
      <c r="J96" s="94" t="s">
        <v>160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9.6300000000000008</v>
      </c>
      <c r="AE96" s="46">
        <v>13.09</v>
      </c>
      <c r="AF96" s="46">
        <v>0</v>
      </c>
      <c r="AG96" s="46">
        <v>0</v>
      </c>
      <c r="AH96" s="46">
        <v>0</v>
      </c>
      <c r="AI96" s="46">
        <v>10.58</v>
      </c>
      <c r="AJ96" s="46">
        <v>0</v>
      </c>
      <c r="AK96" s="46">
        <v>0</v>
      </c>
      <c r="AL96" s="46">
        <v>10.82</v>
      </c>
      <c r="AM96" s="46">
        <v>3.95</v>
      </c>
      <c r="AN96" s="46">
        <v>16.380000000000003</v>
      </c>
      <c r="AO96" s="46">
        <f>AVERAGE(K96:AN96)</f>
        <v>2.1483333333333334</v>
      </c>
      <c r="AP96" s="7">
        <f>AO96/I96</f>
        <v>2.1483333333333334</v>
      </c>
      <c r="AQ96" s="81">
        <f t="shared" si="1"/>
        <v>64.45</v>
      </c>
    </row>
    <row r="97" spans="1:43" ht="15" customHeight="1" x14ac:dyDescent="0.3">
      <c r="A97" s="5">
        <v>195</v>
      </c>
      <c r="B97" s="107" t="s">
        <v>1080</v>
      </c>
      <c r="C97" s="112">
        <v>0</v>
      </c>
      <c r="D97" s="10" t="s">
        <v>1079</v>
      </c>
      <c r="E97" s="110" t="s">
        <v>128</v>
      </c>
      <c r="F97" s="6" t="s">
        <v>12</v>
      </c>
      <c r="G97" s="6" t="s">
        <v>290</v>
      </c>
      <c r="H97" s="6" t="s">
        <v>80</v>
      </c>
      <c r="I97" s="5">
        <v>1</v>
      </c>
      <c r="J97" s="94" t="s">
        <v>160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0</v>
      </c>
      <c r="AL97" s="46">
        <v>0</v>
      </c>
      <c r="AM97" s="46">
        <v>0</v>
      </c>
      <c r="AN97" s="46">
        <v>14.79</v>
      </c>
      <c r="AO97" s="46">
        <f>AVERAGE(K97:AN97)</f>
        <v>0.49299999999999999</v>
      </c>
      <c r="AP97" s="7">
        <f>AO97/I97</f>
        <v>0.49299999999999999</v>
      </c>
      <c r="AQ97" s="81">
        <f t="shared" si="1"/>
        <v>14.79</v>
      </c>
    </row>
    <row r="98" spans="1:43" x14ac:dyDescent="0.3">
      <c r="A98" s="5">
        <v>196</v>
      </c>
      <c r="B98" s="107" t="s">
        <v>1080</v>
      </c>
      <c r="C98" s="112">
        <v>0</v>
      </c>
      <c r="D98" s="10" t="s">
        <v>1081</v>
      </c>
      <c r="E98" s="110" t="s">
        <v>128</v>
      </c>
      <c r="F98" s="6" t="s">
        <v>12</v>
      </c>
      <c r="G98" s="6" t="s">
        <v>135</v>
      </c>
      <c r="H98" s="6" t="s">
        <v>35</v>
      </c>
      <c r="I98" s="5">
        <v>1</v>
      </c>
      <c r="J98" s="94" t="s">
        <v>160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0</v>
      </c>
      <c r="AM98" s="46">
        <v>0</v>
      </c>
      <c r="AN98" s="46">
        <v>28.468</v>
      </c>
      <c r="AO98" s="46">
        <f>AVERAGE(K98:AN98)</f>
        <v>0.9489333333333333</v>
      </c>
      <c r="AP98" s="7">
        <f>AO98/I98</f>
        <v>0.9489333333333333</v>
      </c>
      <c r="AQ98" s="81">
        <f t="shared" si="1"/>
        <v>28.468</v>
      </c>
    </row>
    <row r="99" spans="1:43" x14ac:dyDescent="0.3">
      <c r="A99" s="5">
        <v>197</v>
      </c>
      <c r="B99" s="107" t="s">
        <v>65</v>
      </c>
      <c r="C99" s="112">
        <v>0</v>
      </c>
      <c r="D99" s="39" t="s">
        <v>115</v>
      </c>
      <c r="E99" s="110" t="s">
        <v>113</v>
      </c>
      <c r="F99" s="6" t="s">
        <v>19</v>
      </c>
      <c r="G99" s="6" t="s">
        <v>973</v>
      </c>
      <c r="H99" s="6" t="s">
        <v>80</v>
      </c>
      <c r="I99" s="5">
        <v>1</v>
      </c>
      <c r="J99" s="67" t="s">
        <v>160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f>AVERAGE(K99:AN99)</f>
        <v>0</v>
      </c>
      <c r="AP99" s="7">
        <f>AO99/I99</f>
        <v>0</v>
      </c>
      <c r="AQ99" s="81">
        <f t="shared" si="1"/>
        <v>0</v>
      </c>
    </row>
    <row r="100" spans="1:43" x14ac:dyDescent="0.3">
      <c r="A100" s="5">
        <v>198</v>
      </c>
      <c r="B100" s="107" t="s">
        <v>65</v>
      </c>
      <c r="C100" s="5">
        <v>0</v>
      </c>
      <c r="D100" s="39" t="s">
        <v>117</v>
      </c>
      <c r="E100" s="110" t="s">
        <v>113</v>
      </c>
      <c r="F100" s="6" t="s">
        <v>19</v>
      </c>
      <c r="G100" s="6" t="s">
        <v>973</v>
      </c>
      <c r="H100" s="6" t="s">
        <v>80</v>
      </c>
      <c r="I100" s="5">
        <v>1</v>
      </c>
      <c r="J100" s="67" t="s">
        <v>160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46">
        <v>0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46">
        <v>0</v>
      </c>
      <c r="AA100" s="46">
        <v>0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>
        <v>0</v>
      </c>
      <c r="AH100" s="46">
        <v>0</v>
      </c>
      <c r="AI100" s="46">
        <v>0</v>
      </c>
      <c r="AJ100" s="46">
        <v>0</v>
      </c>
      <c r="AK100" s="46">
        <v>0</v>
      </c>
      <c r="AL100" s="46">
        <v>0</v>
      </c>
      <c r="AM100" s="46">
        <v>0</v>
      </c>
      <c r="AN100" s="46">
        <v>0</v>
      </c>
      <c r="AO100" s="46">
        <f>AVERAGE(K100:AN100)</f>
        <v>0</v>
      </c>
      <c r="AP100" s="7">
        <f>AO100/I100</f>
        <v>0</v>
      </c>
      <c r="AQ100" s="81">
        <f t="shared" si="1"/>
        <v>0</v>
      </c>
    </row>
    <row r="101" spans="1:43" x14ac:dyDescent="0.3">
      <c r="A101" s="5">
        <v>9</v>
      </c>
      <c r="B101" s="107" t="s">
        <v>9</v>
      </c>
      <c r="C101" s="112" t="s">
        <v>608</v>
      </c>
      <c r="D101" s="113" t="s">
        <v>984</v>
      </c>
      <c r="E101" s="110" t="s">
        <v>128</v>
      </c>
      <c r="F101" s="6" t="s">
        <v>12</v>
      </c>
      <c r="G101" s="6" t="s">
        <v>979</v>
      </c>
      <c r="H101" s="6" t="s">
        <v>35</v>
      </c>
      <c r="I101" s="5">
        <v>2</v>
      </c>
      <c r="J101" s="67" t="s">
        <v>160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>
        <v>0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J101" s="46">
        <v>0</v>
      </c>
      <c r="AK101" s="46">
        <v>0</v>
      </c>
      <c r="AL101" s="46">
        <v>0</v>
      </c>
      <c r="AM101" s="46">
        <v>0</v>
      </c>
      <c r="AN101" s="46">
        <v>0</v>
      </c>
      <c r="AO101" s="46">
        <f>AVERAGE(K101:AN101)</f>
        <v>0</v>
      </c>
      <c r="AP101" s="7">
        <f>AO101/I101</f>
        <v>0</v>
      </c>
      <c r="AQ101" s="81">
        <f t="shared" si="1"/>
        <v>0</v>
      </c>
    </row>
    <row r="102" spans="1:43" x14ac:dyDescent="0.3">
      <c r="A102" s="5">
        <v>10</v>
      </c>
      <c r="B102" s="107" t="s">
        <v>9</v>
      </c>
      <c r="C102" s="112" t="s">
        <v>608</v>
      </c>
      <c r="D102" s="113" t="s">
        <v>772</v>
      </c>
      <c r="E102" s="110" t="s">
        <v>128</v>
      </c>
      <c r="F102" s="6" t="s">
        <v>12</v>
      </c>
      <c r="G102" s="6" t="s">
        <v>973</v>
      </c>
      <c r="H102" s="6" t="s">
        <v>80</v>
      </c>
      <c r="I102" s="5">
        <v>2</v>
      </c>
      <c r="J102" s="67" t="s">
        <v>160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46">
        <v>0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0</v>
      </c>
      <c r="AF102" s="46">
        <v>0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0</v>
      </c>
      <c r="AN102" s="46">
        <v>0</v>
      </c>
      <c r="AO102" s="46">
        <f>AVERAGE(K102:AN102)</f>
        <v>0</v>
      </c>
      <c r="AP102" s="7">
        <f>AO102/I102</f>
        <v>0</v>
      </c>
      <c r="AQ102" s="81">
        <f t="shared" si="1"/>
        <v>0</v>
      </c>
    </row>
    <row r="103" spans="1:43" x14ac:dyDescent="0.3">
      <c r="A103" s="5">
        <v>17</v>
      </c>
      <c r="B103" s="107" t="s">
        <v>9</v>
      </c>
      <c r="C103" s="112" t="s">
        <v>964</v>
      </c>
      <c r="D103" s="112" t="s">
        <v>982</v>
      </c>
      <c r="E103" s="110" t="s">
        <v>128</v>
      </c>
      <c r="F103" s="6" t="s">
        <v>12</v>
      </c>
      <c r="G103" s="6" t="s">
        <v>971</v>
      </c>
      <c r="H103" s="6" t="s">
        <v>80</v>
      </c>
      <c r="I103" s="92">
        <v>2</v>
      </c>
      <c r="J103" s="94" t="s">
        <v>273</v>
      </c>
      <c r="K103" s="46">
        <v>35.28</v>
      </c>
      <c r="L103" s="46">
        <v>48.59</v>
      </c>
      <c r="M103" s="46">
        <v>34.119999999999997</v>
      </c>
      <c r="N103" s="46">
        <v>18.71</v>
      </c>
      <c r="O103" s="46">
        <v>7.49</v>
      </c>
      <c r="P103" s="46">
        <v>14.879999999999999</v>
      </c>
      <c r="Q103" s="46">
        <v>10.050000000000001</v>
      </c>
      <c r="R103" s="46">
        <v>6.7899999999999991</v>
      </c>
      <c r="S103" s="46">
        <v>161.59999999999997</v>
      </c>
      <c r="T103" s="46">
        <v>0</v>
      </c>
      <c r="U103" s="46">
        <v>11.719999999999999</v>
      </c>
      <c r="V103" s="46">
        <v>45.13</v>
      </c>
      <c r="W103" s="46">
        <v>18.049999999999997</v>
      </c>
      <c r="X103" s="46">
        <v>47.06</v>
      </c>
      <c r="Y103" s="46">
        <v>29.81</v>
      </c>
      <c r="Z103" s="46">
        <v>32.79</v>
      </c>
      <c r="AA103" s="46">
        <v>53.97</v>
      </c>
      <c r="AB103" s="46">
        <v>20.189999999999998</v>
      </c>
      <c r="AC103" s="46">
        <v>27.15</v>
      </c>
      <c r="AD103" s="46">
        <v>42.31</v>
      </c>
      <c r="AE103" s="46">
        <v>23.4</v>
      </c>
      <c r="AF103" s="46">
        <v>12.96</v>
      </c>
      <c r="AG103" s="46">
        <v>25.85</v>
      </c>
      <c r="AH103" s="46">
        <v>29.38</v>
      </c>
      <c r="AI103" s="46">
        <v>3.7199999999999998</v>
      </c>
      <c r="AJ103" s="46">
        <v>14.61</v>
      </c>
      <c r="AK103" s="46">
        <v>27.959999999999997</v>
      </c>
      <c r="AL103" s="46">
        <v>0</v>
      </c>
      <c r="AM103" s="46">
        <v>30.699999999999996</v>
      </c>
      <c r="AN103" s="46">
        <v>17.57</v>
      </c>
      <c r="AO103" s="46">
        <f>AVERAGE(K103:AN103)</f>
        <v>28.394666666666676</v>
      </c>
      <c r="AP103" s="7">
        <f>AO103/I103</f>
        <v>14.197333333333338</v>
      </c>
      <c r="AQ103" s="81">
        <f t="shared" si="1"/>
        <v>851.84000000000026</v>
      </c>
    </row>
    <row r="104" spans="1:43" x14ac:dyDescent="0.3">
      <c r="A104" s="5">
        <v>34</v>
      </c>
      <c r="B104" s="107" t="s">
        <v>9</v>
      </c>
      <c r="C104" s="10" t="s">
        <v>616</v>
      </c>
      <c r="D104" s="39" t="s">
        <v>748</v>
      </c>
      <c r="E104" s="110" t="s">
        <v>128</v>
      </c>
      <c r="F104" s="6" t="s">
        <v>12</v>
      </c>
      <c r="G104" s="6" t="s">
        <v>979</v>
      </c>
      <c r="H104" s="6" t="s">
        <v>35</v>
      </c>
      <c r="I104" s="5">
        <v>2</v>
      </c>
      <c r="J104" s="94" t="s">
        <v>273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>
        <v>0</v>
      </c>
      <c r="AK104" s="46">
        <v>0</v>
      </c>
      <c r="AL104" s="46">
        <v>0</v>
      </c>
      <c r="AM104" s="46">
        <v>0</v>
      </c>
      <c r="AN104" s="46">
        <v>0</v>
      </c>
      <c r="AO104" s="46">
        <f>AVERAGE(K104:AN104)</f>
        <v>0</v>
      </c>
      <c r="AP104" s="7">
        <f>AO104/I104</f>
        <v>0</v>
      </c>
      <c r="AQ104" s="81">
        <f t="shared" si="1"/>
        <v>0</v>
      </c>
    </row>
    <row r="105" spans="1:43" x14ac:dyDescent="0.3">
      <c r="A105" s="5">
        <v>35</v>
      </c>
      <c r="B105" s="107" t="s">
        <v>9</v>
      </c>
      <c r="C105" s="112" t="s">
        <v>617</v>
      </c>
      <c r="D105" s="112" t="s">
        <v>722</v>
      </c>
      <c r="E105" s="110" t="s">
        <v>128</v>
      </c>
      <c r="F105" s="6" t="s">
        <v>12</v>
      </c>
      <c r="G105" s="6" t="s">
        <v>976</v>
      </c>
      <c r="H105" s="6" t="s">
        <v>35</v>
      </c>
      <c r="I105" s="5">
        <v>2</v>
      </c>
      <c r="J105" s="12" t="s">
        <v>589</v>
      </c>
      <c r="K105" s="46">
        <v>8.7720000000000002</v>
      </c>
      <c r="L105" s="46">
        <v>17.737000000000002</v>
      </c>
      <c r="M105" s="46">
        <v>9.4710000000000001</v>
      </c>
      <c r="N105" s="46">
        <v>18.718000000000004</v>
      </c>
      <c r="O105" s="46">
        <v>6.120000000000001</v>
      </c>
      <c r="P105" s="46">
        <v>13.089999999999998</v>
      </c>
      <c r="Q105" s="46">
        <v>22.355999999999998</v>
      </c>
      <c r="R105" s="46">
        <v>19.871000000000002</v>
      </c>
      <c r="S105" s="46">
        <v>22.469999999999995</v>
      </c>
      <c r="T105" s="46">
        <v>23.919</v>
      </c>
      <c r="U105" s="46">
        <v>27.974999999999994</v>
      </c>
      <c r="V105" s="46">
        <v>26.875</v>
      </c>
      <c r="W105" s="46">
        <v>14.974000000000002</v>
      </c>
      <c r="X105" s="46">
        <v>24.042000000000002</v>
      </c>
      <c r="Y105" s="46">
        <v>24.619000000000003</v>
      </c>
      <c r="Z105" s="46">
        <v>27.609000000000002</v>
      </c>
      <c r="AA105" s="46">
        <v>11.009</v>
      </c>
      <c r="AB105" s="46">
        <v>22.736999999999998</v>
      </c>
      <c r="AC105" s="46">
        <v>25.072000000000003</v>
      </c>
      <c r="AD105" s="46">
        <v>20.512999999999998</v>
      </c>
      <c r="AE105" s="46">
        <v>19.186</v>
      </c>
      <c r="AF105" s="46">
        <v>20.651</v>
      </c>
      <c r="AG105" s="46">
        <v>15.911000000000001</v>
      </c>
      <c r="AH105" s="46">
        <v>29.372999999999998</v>
      </c>
      <c r="AI105" s="46">
        <v>18.113</v>
      </c>
      <c r="AJ105" s="46">
        <v>20.164999999999999</v>
      </c>
      <c r="AK105" s="46">
        <v>28.436999999999998</v>
      </c>
      <c r="AL105" s="46">
        <v>9.3309999999999995</v>
      </c>
      <c r="AM105" s="46">
        <v>26.326999999999998</v>
      </c>
      <c r="AN105" s="46">
        <v>25.328999999999997</v>
      </c>
      <c r="AO105" s="46">
        <f>AVERAGE(K105:AN105)</f>
        <v>20.025733333333331</v>
      </c>
      <c r="AP105" s="7">
        <f>AO105/I105</f>
        <v>10.012866666666666</v>
      </c>
      <c r="AQ105" s="81">
        <f t="shared" si="1"/>
        <v>600.77199999999993</v>
      </c>
    </row>
    <row r="106" spans="1:43" x14ac:dyDescent="0.3">
      <c r="A106" s="5">
        <v>47</v>
      </c>
      <c r="B106" s="107" t="s">
        <v>9</v>
      </c>
      <c r="C106" s="112" t="s">
        <v>628</v>
      </c>
      <c r="D106" s="112" t="s">
        <v>988</v>
      </c>
      <c r="E106" s="110" t="s">
        <v>128</v>
      </c>
      <c r="F106" s="6" t="s">
        <v>12</v>
      </c>
      <c r="G106" s="6" t="s">
        <v>975</v>
      </c>
      <c r="H106" s="6" t="s">
        <v>80</v>
      </c>
      <c r="I106" s="5">
        <v>2</v>
      </c>
      <c r="J106" s="67" t="s">
        <v>160</v>
      </c>
      <c r="K106" s="46">
        <v>179.81299999999999</v>
      </c>
      <c r="L106" s="46">
        <v>255.04399999999998</v>
      </c>
      <c r="M106" s="46">
        <v>180.06800000000001</v>
      </c>
      <c r="N106" s="46">
        <v>220.95900000000003</v>
      </c>
      <c r="O106" s="46">
        <v>166.654</v>
      </c>
      <c r="P106" s="46">
        <v>78.237999999999985</v>
      </c>
      <c r="Q106" s="46">
        <v>204.84899999999996</v>
      </c>
      <c r="R106" s="46">
        <v>352.92100000000005</v>
      </c>
      <c r="S106" s="46">
        <v>293.40499999999997</v>
      </c>
      <c r="T106" s="46">
        <v>311.303</v>
      </c>
      <c r="U106" s="46">
        <v>364.89299999999997</v>
      </c>
      <c r="V106" s="46">
        <v>197.55999999999997</v>
      </c>
      <c r="W106" s="46">
        <v>84.568999999999988</v>
      </c>
      <c r="X106" s="46">
        <v>213.87400000000002</v>
      </c>
      <c r="Y106" s="46">
        <v>308.03499999999997</v>
      </c>
      <c r="Z106" s="46">
        <v>353.65600000000001</v>
      </c>
      <c r="AA106" s="46">
        <v>309.82899999999995</v>
      </c>
      <c r="AB106" s="46">
        <v>0</v>
      </c>
      <c r="AC106" s="46">
        <v>152.44299999999998</v>
      </c>
      <c r="AD106" s="46">
        <v>50.620999999999995</v>
      </c>
      <c r="AE106" s="46">
        <v>230.32100000000003</v>
      </c>
      <c r="AF106" s="46">
        <v>385.678</v>
      </c>
      <c r="AG106" s="46">
        <v>360.70599999999996</v>
      </c>
      <c r="AH106" s="46">
        <v>335.84300000000002</v>
      </c>
      <c r="AI106" s="46">
        <v>422.10499999999996</v>
      </c>
      <c r="AJ106" s="46">
        <v>171.48699999999999</v>
      </c>
      <c r="AK106" s="46">
        <v>99.460000000000008</v>
      </c>
      <c r="AL106" s="46">
        <v>293.10399999999993</v>
      </c>
      <c r="AM106" s="46">
        <v>320.65299999999996</v>
      </c>
      <c r="AN106" s="46">
        <v>378.81400000000008</v>
      </c>
      <c r="AO106" s="46">
        <f>AVERAGE(K106:AN106)</f>
        <v>242.5635</v>
      </c>
      <c r="AP106" s="7">
        <f>AO106/I106</f>
        <v>121.28175</v>
      </c>
      <c r="AQ106" s="81">
        <f t="shared" si="1"/>
        <v>7276.9049999999997</v>
      </c>
    </row>
    <row r="107" spans="1:43" x14ac:dyDescent="0.3">
      <c r="A107" s="5">
        <v>49</v>
      </c>
      <c r="B107" s="107" t="s">
        <v>9</v>
      </c>
      <c r="C107" s="112" t="s">
        <v>630</v>
      </c>
      <c r="D107" s="112" t="s">
        <v>780</v>
      </c>
      <c r="E107" s="110" t="s">
        <v>128</v>
      </c>
      <c r="F107" s="6" t="s">
        <v>12</v>
      </c>
      <c r="G107" s="6" t="s">
        <v>976</v>
      </c>
      <c r="H107" s="6" t="s">
        <v>35</v>
      </c>
      <c r="I107" s="5">
        <v>2</v>
      </c>
      <c r="J107" s="12" t="s">
        <v>590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0</v>
      </c>
      <c r="AO107" s="46">
        <f>AVERAGE(K107:AN107)</f>
        <v>0</v>
      </c>
      <c r="AP107" s="7">
        <f>AO107/I107</f>
        <v>0</v>
      </c>
      <c r="AQ107" s="81">
        <f t="shared" si="1"/>
        <v>0</v>
      </c>
    </row>
    <row r="108" spans="1:43" x14ac:dyDescent="0.3">
      <c r="A108" s="5">
        <v>50</v>
      </c>
      <c r="B108" s="107" t="s">
        <v>9</v>
      </c>
      <c r="C108" s="112" t="s">
        <v>630</v>
      </c>
      <c r="D108" s="112" t="s">
        <v>780</v>
      </c>
      <c r="E108" s="110" t="s">
        <v>128</v>
      </c>
      <c r="F108" s="6" t="s">
        <v>12</v>
      </c>
      <c r="G108" s="6" t="s">
        <v>974</v>
      </c>
      <c r="H108" s="6" t="s">
        <v>35</v>
      </c>
      <c r="I108" s="5">
        <v>2</v>
      </c>
      <c r="J108" s="12" t="s">
        <v>590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46">
        <v>0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J108" s="46">
        <v>0</v>
      </c>
      <c r="AK108" s="46">
        <v>0</v>
      </c>
      <c r="AL108" s="46">
        <v>0</v>
      </c>
      <c r="AM108" s="46">
        <v>0</v>
      </c>
      <c r="AN108" s="46">
        <v>0</v>
      </c>
      <c r="AO108" s="46">
        <f>AVERAGE(K108:AN108)</f>
        <v>0</v>
      </c>
      <c r="AP108" s="7">
        <f>AO108/I108</f>
        <v>0</v>
      </c>
      <c r="AQ108" s="81">
        <f t="shared" si="1"/>
        <v>0</v>
      </c>
    </row>
    <row r="109" spans="1:43" x14ac:dyDescent="0.3">
      <c r="A109" s="5">
        <v>60</v>
      </c>
      <c r="B109" s="107" t="s">
        <v>9</v>
      </c>
      <c r="C109" s="112" t="s">
        <v>637</v>
      </c>
      <c r="D109" s="112" t="s">
        <v>721</v>
      </c>
      <c r="E109" s="110" t="s">
        <v>128</v>
      </c>
      <c r="F109" s="6" t="s">
        <v>12</v>
      </c>
      <c r="G109" s="6" t="s">
        <v>976</v>
      </c>
      <c r="H109" s="6" t="s">
        <v>35</v>
      </c>
      <c r="I109" s="5">
        <v>2</v>
      </c>
      <c r="J109" s="12" t="s">
        <v>589</v>
      </c>
      <c r="K109" s="46">
        <v>15.998000000000001</v>
      </c>
      <c r="L109" s="46">
        <v>10.729000000000001</v>
      </c>
      <c r="M109" s="46">
        <v>21.556000000000001</v>
      </c>
      <c r="N109" s="46">
        <v>16.738</v>
      </c>
      <c r="O109" s="46">
        <v>13.635999999999999</v>
      </c>
      <c r="P109" s="46">
        <v>16.736000000000001</v>
      </c>
      <c r="Q109" s="46">
        <v>12.133000000000001</v>
      </c>
      <c r="R109" s="46">
        <v>21.274999999999999</v>
      </c>
      <c r="S109" s="46">
        <v>20.344999999999999</v>
      </c>
      <c r="T109" s="46">
        <v>16.492999999999999</v>
      </c>
      <c r="U109" s="46">
        <v>14.95</v>
      </c>
      <c r="V109" s="46">
        <v>13.138</v>
      </c>
      <c r="W109" s="46">
        <v>11.618</v>
      </c>
      <c r="X109" s="46">
        <v>30.405000000000001</v>
      </c>
      <c r="Y109" s="46">
        <v>11.373000000000001</v>
      </c>
      <c r="Z109" s="46">
        <v>22.338999999999999</v>
      </c>
      <c r="AA109" s="46">
        <v>11.167000000000002</v>
      </c>
      <c r="AB109" s="46">
        <v>13.239000000000001</v>
      </c>
      <c r="AC109" s="46">
        <v>11.724</v>
      </c>
      <c r="AD109" s="46">
        <v>10.313000000000001</v>
      </c>
      <c r="AE109" s="46">
        <v>12.355999999999998</v>
      </c>
      <c r="AF109" s="46">
        <v>17.204000000000001</v>
      </c>
      <c r="AG109" s="46">
        <v>7.9820000000000011</v>
      </c>
      <c r="AH109" s="46">
        <v>6.1660000000000004</v>
      </c>
      <c r="AI109" s="46">
        <v>8.5630000000000006</v>
      </c>
      <c r="AJ109" s="46">
        <v>14.999000000000001</v>
      </c>
      <c r="AK109" s="46">
        <v>11.333</v>
      </c>
      <c r="AL109" s="46">
        <v>8.3620000000000001</v>
      </c>
      <c r="AM109" s="46">
        <v>16.334</v>
      </c>
      <c r="AN109" s="46">
        <v>23.33</v>
      </c>
      <c r="AO109" s="46">
        <f>AVERAGE(K109:AN109)</f>
        <v>14.751133333333335</v>
      </c>
      <c r="AP109" s="7">
        <f>AO109/I109</f>
        <v>7.3755666666666677</v>
      </c>
      <c r="AQ109" s="81">
        <f t="shared" si="1"/>
        <v>442.53400000000005</v>
      </c>
    </row>
    <row r="110" spans="1:43" x14ac:dyDescent="0.3">
      <c r="A110" s="5">
        <v>67</v>
      </c>
      <c r="B110" s="107" t="s">
        <v>9</v>
      </c>
      <c r="C110" s="10">
        <v>0</v>
      </c>
      <c r="D110" s="39" t="s">
        <v>918</v>
      </c>
      <c r="E110" s="110" t="s">
        <v>128</v>
      </c>
      <c r="F110" s="6" t="s">
        <v>12</v>
      </c>
      <c r="G110" s="6" t="s">
        <v>976</v>
      </c>
      <c r="H110" s="6" t="s">
        <v>35</v>
      </c>
      <c r="I110" s="5">
        <v>2</v>
      </c>
      <c r="J110" s="94" t="s">
        <v>590</v>
      </c>
      <c r="K110" s="46">
        <v>0</v>
      </c>
      <c r="L110" s="46">
        <v>3.0209999999999999</v>
      </c>
      <c r="M110" s="46">
        <v>0</v>
      </c>
      <c r="N110" s="46">
        <v>2.8319999999999999</v>
      </c>
      <c r="O110" s="46">
        <v>2.9050000000000002</v>
      </c>
      <c r="P110" s="46">
        <v>0</v>
      </c>
      <c r="Q110" s="46">
        <v>2.157</v>
      </c>
      <c r="R110" s="46">
        <v>0</v>
      </c>
      <c r="S110" s="46">
        <v>1.256</v>
      </c>
      <c r="T110" s="46">
        <v>2.3330000000000002</v>
      </c>
      <c r="U110" s="46">
        <v>2.1040000000000001</v>
      </c>
      <c r="V110" s="46">
        <v>5.1869999999999994</v>
      </c>
      <c r="W110" s="46">
        <v>0.45400000000000001</v>
      </c>
      <c r="X110" s="46">
        <v>0.629</v>
      </c>
      <c r="Y110" s="46">
        <v>1.234</v>
      </c>
      <c r="Z110" s="46">
        <v>3.698</v>
      </c>
      <c r="AA110" s="46">
        <v>2.4209999999999998</v>
      </c>
      <c r="AB110" s="46">
        <v>0</v>
      </c>
      <c r="AC110" s="46">
        <v>2.5609999999999999</v>
      </c>
      <c r="AD110" s="46">
        <v>0</v>
      </c>
      <c r="AE110" s="46">
        <v>5.32</v>
      </c>
      <c r="AF110" s="46">
        <v>0</v>
      </c>
      <c r="AG110" s="46">
        <v>1.9870000000000001</v>
      </c>
      <c r="AH110" s="46">
        <v>1.0780000000000001</v>
      </c>
      <c r="AI110" s="46">
        <v>2.7440000000000002</v>
      </c>
      <c r="AJ110" s="46">
        <v>1.7999999999999998</v>
      </c>
      <c r="AK110" s="46">
        <v>1.7390000000000001</v>
      </c>
      <c r="AL110" s="46">
        <v>2.347</v>
      </c>
      <c r="AM110" s="46">
        <v>0</v>
      </c>
      <c r="AN110" s="46">
        <v>10.273000000000001</v>
      </c>
      <c r="AO110" s="46">
        <f>AVERAGE(K110:AN110)</f>
        <v>2.0026666666666668</v>
      </c>
      <c r="AP110" s="7">
        <f>AO110/I110</f>
        <v>1.0013333333333334</v>
      </c>
      <c r="AQ110" s="81">
        <f t="shared" si="1"/>
        <v>60.080000000000005</v>
      </c>
    </row>
    <row r="111" spans="1:43" x14ac:dyDescent="0.3">
      <c r="A111" s="5">
        <v>68</v>
      </c>
      <c r="B111" s="6" t="s">
        <v>9</v>
      </c>
      <c r="C111" s="10">
        <v>0</v>
      </c>
      <c r="D111" s="39" t="s">
        <v>918</v>
      </c>
      <c r="E111" s="6" t="s">
        <v>128</v>
      </c>
      <c r="F111" s="6" t="s">
        <v>12</v>
      </c>
      <c r="G111" s="6" t="s">
        <v>979</v>
      </c>
      <c r="H111" s="6" t="s">
        <v>35</v>
      </c>
      <c r="I111" s="92">
        <v>2</v>
      </c>
      <c r="J111" s="94" t="s">
        <v>590</v>
      </c>
      <c r="K111" s="46">
        <v>36.097000000000001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28.975000000000001</v>
      </c>
      <c r="R111" s="46">
        <v>3.367</v>
      </c>
      <c r="S111" s="46">
        <v>6.2560000000000002</v>
      </c>
      <c r="T111" s="46">
        <v>27.533999999999999</v>
      </c>
      <c r="U111" s="46">
        <v>0</v>
      </c>
      <c r="V111" s="46">
        <v>0</v>
      </c>
      <c r="W111" s="46">
        <v>42.813000000000002</v>
      </c>
      <c r="X111" s="46">
        <v>0</v>
      </c>
      <c r="Y111" s="46">
        <v>0</v>
      </c>
      <c r="Z111" s="46">
        <v>0</v>
      </c>
      <c r="AA111" s="46">
        <v>26.984999999999999</v>
      </c>
      <c r="AB111" s="46">
        <v>2.089</v>
      </c>
      <c r="AC111" s="46">
        <v>0.88600000000000001</v>
      </c>
      <c r="AD111" s="46">
        <v>7.2970000000000006</v>
      </c>
      <c r="AE111" s="46">
        <v>20.891000000000002</v>
      </c>
      <c r="AF111" s="46">
        <v>4.8860000000000001</v>
      </c>
      <c r="AG111" s="46">
        <v>0</v>
      </c>
      <c r="AH111" s="46">
        <v>0</v>
      </c>
      <c r="AI111" s="46">
        <v>0</v>
      </c>
      <c r="AJ111" s="46">
        <v>42.578000000000003</v>
      </c>
      <c r="AK111" s="46">
        <v>0</v>
      </c>
      <c r="AL111" s="46">
        <v>0</v>
      </c>
      <c r="AM111" s="46">
        <v>0</v>
      </c>
      <c r="AN111" s="46">
        <v>0</v>
      </c>
      <c r="AO111" s="46">
        <f>AVERAGE(K111:AN111)</f>
        <v>8.3551333333333346</v>
      </c>
      <c r="AP111" s="7">
        <f>AO111/I111</f>
        <v>4.1775666666666673</v>
      </c>
      <c r="AQ111" s="81">
        <f t="shared" si="1"/>
        <v>250.65400000000002</v>
      </c>
    </row>
    <row r="112" spans="1:43" x14ac:dyDescent="0.3">
      <c r="A112" s="5">
        <v>69</v>
      </c>
      <c r="B112" s="6" t="s">
        <v>9</v>
      </c>
      <c r="C112" s="10">
        <v>0</v>
      </c>
      <c r="D112" s="10" t="s">
        <v>991</v>
      </c>
      <c r="E112" s="6" t="s">
        <v>128</v>
      </c>
      <c r="F112" s="6" t="s">
        <v>12</v>
      </c>
      <c r="G112" s="6" t="s">
        <v>13</v>
      </c>
      <c r="H112" s="6" t="s">
        <v>35</v>
      </c>
      <c r="I112" s="92">
        <v>2</v>
      </c>
      <c r="J112" s="94" t="s">
        <v>590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2.3929999999999998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1.117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0.1</v>
      </c>
      <c r="AO112" s="46">
        <f>AVERAGE(K112:AN112)</f>
        <v>0.12033333333333333</v>
      </c>
      <c r="AP112" s="7">
        <f>AO112/I112</f>
        <v>6.0166666666666667E-2</v>
      </c>
      <c r="AQ112" s="81">
        <f t="shared" si="1"/>
        <v>3.61</v>
      </c>
    </row>
    <row r="113" spans="1:43" x14ac:dyDescent="0.3">
      <c r="A113" s="5">
        <v>73</v>
      </c>
      <c r="B113" s="107" t="s">
        <v>9</v>
      </c>
      <c r="C113" s="10">
        <v>0</v>
      </c>
      <c r="D113" s="10" t="s">
        <v>1061</v>
      </c>
      <c r="E113" s="110" t="s">
        <v>128</v>
      </c>
      <c r="F113" s="6" t="s">
        <v>12</v>
      </c>
      <c r="G113" s="6" t="s">
        <v>40</v>
      </c>
      <c r="H113" s="6" t="s">
        <v>35</v>
      </c>
      <c r="I113" s="92">
        <v>2</v>
      </c>
      <c r="J113" s="67" t="s">
        <v>160</v>
      </c>
      <c r="K113" s="46">
        <v>0</v>
      </c>
      <c r="L113" s="46">
        <v>0</v>
      </c>
      <c r="M113" s="46">
        <v>0</v>
      </c>
      <c r="N113" s="46">
        <v>1.4929999999999999</v>
      </c>
      <c r="O113" s="46">
        <v>0</v>
      </c>
      <c r="P113" s="46">
        <v>0</v>
      </c>
      <c r="Q113" s="46">
        <v>3.8940000000000001</v>
      </c>
      <c r="R113" s="46">
        <v>0</v>
      </c>
      <c r="S113" s="46">
        <v>0</v>
      </c>
      <c r="T113" s="46">
        <v>57.155999999999999</v>
      </c>
      <c r="U113" s="46">
        <v>0.16500000000000001</v>
      </c>
      <c r="V113" s="46">
        <v>23.34</v>
      </c>
      <c r="W113" s="46">
        <v>0</v>
      </c>
      <c r="X113" s="46">
        <v>0</v>
      </c>
      <c r="Y113" s="46">
        <v>19.545000000000002</v>
      </c>
      <c r="Z113" s="46">
        <v>51.31</v>
      </c>
      <c r="AA113" s="46">
        <v>3.3040000000000003</v>
      </c>
      <c r="AB113" s="46">
        <v>0</v>
      </c>
      <c r="AC113" s="46">
        <v>0</v>
      </c>
      <c r="AD113" s="46">
        <v>28.481999999999999</v>
      </c>
      <c r="AE113" s="46">
        <v>0</v>
      </c>
      <c r="AF113" s="46">
        <v>21.038</v>
      </c>
      <c r="AG113" s="46">
        <v>14.566999999999998</v>
      </c>
      <c r="AH113" s="46">
        <v>48.163000000000004</v>
      </c>
      <c r="AI113" s="46">
        <v>0</v>
      </c>
      <c r="AJ113" s="46">
        <v>0</v>
      </c>
      <c r="AK113" s="46">
        <v>14.811999999999999</v>
      </c>
      <c r="AL113" s="46">
        <v>5.47</v>
      </c>
      <c r="AM113" s="46">
        <v>35.161000000000001</v>
      </c>
      <c r="AN113" s="46">
        <v>25.764000000000003</v>
      </c>
      <c r="AO113" s="46">
        <f>AVERAGE(K113:AN113)</f>
        <v>11.788800000000004</v>
      </c>
      <c r="AP113" s="7">
        <f>AO113/I113</f>
        <v>5.8944000000000019</v>
      </c>
      <c r="AQ113" s="81">
        <f t="shared" si="1"/>
        <v>353.6640000000001</v>
      </c>
    </row>
    <row r="114" spans="1:43" x14ac:dyDescent="0.3">
      <c r="A114" s="5">
        <v>80</v>
      </c>
      <c r="B114" s="107" t="s">
        <v>9</v>
      </c>
      <c r="C114" s="5">
        <v>0</v>
      </c>
      <c r="D114" s="6" t="s">
        <v>94</v>
      </c>
      <c r="E114" s="110" t="s">
        <v>32</v>
      </c>
      <c r="F114" s="6" t="s">
        <v>19</v>
      </c>
      <c r="G114" s="6" t="s">
        <v>976</v>
      </c>
      <c r="H114" s="6" t="s">
        <v>14</v>
      </c>
      <c r="I114" s="5">
        <v>2</v>
      </c>
      <c r="J114" s="67" t="s">
        <v>160</v>
      </c>
      <c r="K114" s="46">
        <v>0</v>
      </c>
      <c r="L114" s="46">
        <v>0</v>
      </c>
      <c r="M114" s="46">
        <v>0</v>
      </c>
      <c r="N114" s="46">
        <v>0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0</v>
      </c>
      <c r="AD114" s="46">
        <v>0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0</v>
      </c>
      <c r="AL114" s="46">
        <v>0</v>
      </c>
      <c r="AM114" s="46">
        <v>0</v>
      </c>
      <c r="AN114" s="46">
        <v>0</v>
      </c>
      <c r="AO114" s="46">
        <f>AVERAGE(K114:AN114)</f>
        <v>0</v>
      </c>
      <c r="AP114" s="7">
        <f>AO114/I114</f>
        <v>0</v>
      </c>
      <c r="AQ114" s="81">
        <f t="shared" si="1"/>
        <v>0</v>
      </c>
    </row>
    <row r="115" spans="1:43" x14ac:dyDescent="0.3">
      <c r="A115" s="5">
        <v>101</v>
      </c>
      <c r="B115" s="107" t="s">
        <v>58</v>
      </c>
      <c r="C115" s="112" t="s">
        <v>653</v>
      </c>
      <c r="D115" s="112" t="s">
        <v>953</v>
      </c>
      <c r="E115" s="110" t="s">
        <v>128</v>
      </c>
      <c r="F115" s="6" t="s">
        <v>12</v>
      </c>
      <c r="G115" s="6" t="s">
        <v>976</v>
      </c>
      <c r="H115" s="12" t="s">
        <v>35</v>
      </c>
      <c r="I115" s="5">
        <v>2</v>
      </c>
      <c r="J115" s="94" t="s">
        <v>273</v>
      </c>
      <c r="K115" s="46">
        <v>35.199999999999996</v>
      </c>
      <c r="L115" s="46">
        <v>34.591999999999999</v>
      </c>
      <c r="M115" s="46">
        <v>27.438000000000002</v>
      </c>
      <c r="N115" s="46">
        <v>29.944000000000003</v>
      </c>
      <c r="O115" s="46">
        <v>22.433</v>
      </c>
      <c r="P115" s="46">
        <v>27.617000000000001</v>
      </c>
      <c r="Q115" s="46">
        <v>35.994999999999997</v>
      </c>
      <c r="R115" s="46">
        <v>20.268000000000001</v>
      </c>
      <c r="S115" s="46">
        <v>12.155999999999999</v>
      </c>
      <c r="T115" s="46">
        <v>31.297999999999998</v>
      </c>
      <c r="U115" s="46">
        <v>38.527999999999999</v>
      </c>
      <c r="V115" s="46">
        <v>31.166999999999994</v>
      </c>
      <c r="W115" s="46">
        <v>0</v>
      </c>
      <c r="X115" s="46">
        <v>3.5739999999999998</v>
      </c>
      <c r="Y115" s="46">
        <v>13.446999999999999</v>
      </c>
      <c r="Z115" s="46">
        <v>18.442999999999998</v>
      </c>
      <c r="AA115" s="46">
        <v>30.369</v>
      </c>
      <c r="AB115" s="46">
        <v>32.211000000000006</v>
      </c>
      <c r="AC115" s="46">
        <v>13.882999999999999</v>
      </c>
      <c r="AD115" s="46">
        <v>19.051000000000002</v>
      </c>
      <c r="AE115" s="46">
        <v>6.7600000000000007</v>
      </c>
      <c r="AF115" s="46">
        <v>15.885999999999999</v>
      </c>
      <c r="AG115" s="46">
        <v>35.548999999999999</v>
      </c>
      <c r="AH115" s="46">
        <v>38.271000000000001</v>
      </c>
      <c r="AI115" s="46">
        <v>29.391999999999999</v>
      </c>
      <c r="AJ115" s="46">
        <v>16.974999999999998</v>
      </c>
      <c r="AK115" s="46">
        <v>11.357000000000001</v>
      </c>
      <c r="AL115" s="46">
        <v>22.038999999999998</v>
      </c>
      <c r="AM115" s="46">
        <v>24.935000000000002</v>
      </c>
      <c r="AN115" s="46">
        <v>7.8140000000000001</v>
      </c>
      <c r="AO115" s="46">
        <f>AVERAGE(K115:AN115)</f>
        <v>22.886399999999998</v>
      </c>
      <c r="AP115" s="7">
        <f>AO115/I115</f>
        <v>11.443199999999999</v>
      </c>
      <c r="AQ115" s="81">
        <f t="shared" si="1"/>
        <v>686.59199999999998</v>
      </c>
    </row>
    <row r="116" spans="1:43" x14ac:dyDescent="0.3">
      <c r="A116" s="5">
        <v>103</v>
      </c>
      <c r="B116" s="107" t="s">
        <v>58</v>
      </c>
      <c r="C116" s="10">
        <v>0</v>
      </c>
      <c r="D116" s="39" t="s">
        <v>1007</v>
      </c>
      <c r="E116" s="110" t="s">
        <v>128</v>
      </c>
      <c r="F116" s="6" t="s">
        <v>12</v>
      </c>
      <c r="G116" s="6" t="s">
        <v>974</v>
      </c>
      <c r="H116" s="12" t="s">
        <v>35</v>
      </c>
      <c r="I116" s="5">
        <v>2</v>
      </c>
      <c r="J116" s="67" t="s">
        <v>590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46">
        <v>0</v>
      </c>
      <c r="AM116" s="46">
        <v>0</v>
      </c>
      <c r="AN116" s="46">
        <v>0</v>
      </c>
      <c r="AO116" s="46">
        <f>AVERAGE(K116:AN116)</f>
        <v>0</v>
      </c>
      <c r="AP116" s="7">
        <f>AO116/I116</f>
        <v>0</v>
      </c>
      <c r="AQ116" s="81">
        <f t="shared" si="1"/>
        <v>0</v>
      </c>
    </row>
    <row r="117" spans="1:43" x14ac:dyDescent="0.3">
      <c r="A117" s="5">
        <v>110</v>
      </c>
      <c r="B117" s="107" t="s">
        <v>1047</v>
      </c>
      <c r="C117" s="115">
        <v>0</v>
      </c>
      <c r="D117" s="39" t="s">
        <v>1045</v>
      </c>
      <c r="E117" s="110" t="s">
        <v>128</v>
      </c>
      <c r="F117" s="6" t="s">
        <v>12</v>
      </c>
      <c r="G117" s="6" t="s">
        <v>255</v>
      </c>
      <c r="H117" s="6" t="s">
        <v>80</v>
      </c>
      <c r="I117" s="5">
        <v>2</v>
      </c>
      <c r="J117" s="67" t="s">
        <v>590</v>
      </c>
      <c r="K117" s="46">
        <v>0</v>
      </c>
      <c r="L117" s="46">
        <v>0</v>
      </c>
      <c r="M117" s="46">
        <v>0</v>
      </c>
      <c r="N117" s="46">
        <v>0</v>
      </c>
      <c r="O117" s="46">
        <v>5.26</v>
      </c>
      <c r="P117" s="46">
        <v>0</v>
      </c>
      <c r="Q117" s="46">
        <v>0</v>
      </c>
      <c r="R117" s="46">
        <v>0</v>
      </c>
      <c r="S117" s="46">
        <v>0</v>
      </c>
      <c r="T117" s="46">
        <v>11.81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0</v>
      </c>
      <c r="AL117" s="46">
        <v>0</v>
      </c>
      <c r="AM117" s="46">
        <v>0</v>
      </c>
      <c r="AN117" s="46">
        <v>0</v>
      </c>
      <c r="AO117" s="46">
        <f>AVERAGE(K117:AN117)</f>
        <v>0.56900000000000006</v>
      </c>
      <c r="AP117" s="7">
        <f>AO117/I117</f>
        <v>0.28450000000000003</v>
      </c>
      <c r="AQ117" s="81">
        <f t="shared" si="1"/>
        <v>17.07</v>
      </c>
    </row>
    <row r="118" spans="1:43" x14ac:dyDescent="0.3">
      <c r="A118" s="5">
        <v>121</v>
      </c>
      <c r="B118" s="107" t="s">
        <v>905</v>
      </c>
      <c r="C118" s="10">
        <v>0</v>
      </c>
      <c r="D118" s="39" t="s">
        <v>906</v>
      </c>
      <c r="E118" s="110" t="s">
        <v>128</v>
      </c>
      <c r="F118" s="6" t="s">
        <v>12</v>
      </c>
      <c r="G118" s="6" t="s">
        <v>973</v>
      </c>
      <c r="H118" s="6" t="s">
        <v>80</v>
      </c>
      <c r="I118" s="5">
        <v>2</v>
      </c>
      <c r="J118" s="67" t="s">
        <v>590</v>
      </c>
      <c r="K118" s="46">
        <v>28.31</v>
      </c>
      <c r="L118" s="46">
        <v>17.079999999999998</v>
      </c>
      <c r="M118" s="46">
        <v>17.509999999999998</v>
      </c>
      <c r="N118" s="46">
        <v>29.65</v>
      </c>
      <c r="O118" s="46">
        <v>16.829999999999998</v>
      </c>
      <c r="P118" s="46">
        <v>0</v>
      </c>
      <c r="Q118" s="46">
        <v>35.17</v>
      </c>
      <c r="R118" s="46">
        <v>29.039999999999996</v>
      </c>
      <c r="S118" s="46">
        <v>22.93</v>
      </c>
      <c r="T118" s="46">
        <v>0.37</v>
      </c>
      <c r="U118" s="46">
        <v>14.75</v>
      </c>
      <c r="V118" s="46">
        <v>11.920000000000002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21.419999999999998</v>
      </c>
      <c r="AC118" s="46">
        <v>0</v>
      </c>
      <c r="AD118" s="46">
        <v>0</v>
      </c>
      <c r="AE118" s="46">
        <v>0</v>
      </c>
      <c r="AF118" s="46">
        <v>22.66</v>
      </c>
      <c r="AG118" s="46">
        <v>0</v>
      </c>
      <c r="AH118" s="46">
        <v>0</v>
      </c>
      <c r="AI118" s="46">
        <v>1.8</v>
      </c>
      <c r="AJ118" s="46">
        <v>0</v>
      </c>
      <c r="AK118" s="46">
        <v>0</v>
      </c>
      <c r="AL118" s="46">
        <v>35.519999999999996</v>
      </c>
      <c r="AM118" s="46">
        <v>26.08</v>
      </c>
      <c r="AN118" s="46">
        <v>15.02</v>
      </c>
      <c r="AO118" s="46">
        <f>AVERAGE(K118:AN118)</f>
        <v>11.535333333333332</v>
      </c>
      <c r="AP118" s="7">
        <f>AO118/I118</f>
        <v>5.7676666666666661</v>
      </c>
      <c r="AQ118" s="81">
        <f t="shared" si="1"/>
        <v>346.05999999999995</v>
      </c>
    </row>
    <row r="119" spans="1:43" x14ac:dyDescent="0.3">
      <c r="A119" s="5">
        <v>134</v>
      </c>
      <c r="B119" s="108" t="s">
        <v>222</v>
      </c>
      <c r="C119" s="112" t="s">
        <v>663</v>
      </c>
      <c r="D119" s="112" t="s">
        <v>796</v>
      </c>
      <c r="E119" s="110" t="s">
        <v>69</v>
      </c>
      <c r="F119" s="6" t="s">
        <v>12</v>
      </c>
      <c r="G119" s="6" t="s">
        <v>979</v>
      </c>
      <c r="H119" s="6" t="s">
        <v>35</v>
      </c>
      <c r="I119" s="5">
        <v>2</v>
      </c>
      <c r="J119" s="12" t="s">
        <v>160</v>
      </c>
      <c r="K119" s="46">
        <v>0</v>
      </c>
      <c r="L119" s="46">
        <v>33.843000000000004</v>
      </c>
      <c r="M119" s="46">
        <v>38.798000000000002</v>
      </c>
      <c r="N119" s="46">
        <v>0</v>
      </c>
      <c r="O119" s="46">
        <v>0</v>
      </c>
      <c r="P119" s="46">
        <v>52.050000000000004</v>
      </c>
      <c r="Q119" s="46">
        <v>0</v>
      </c>
      <c r="R119" s="46">
        <v>0.29699999999999999</v>
      </c>
      <c r="S119" s="46">
        <v>0</v>
      </c>
      <c r="T119" s="46">
        <v>40.255000000000003</v>
      </c>
      <c r="U119" s="46">
        <v>0</v>
      </c>
      <c r="V119" s="46">
        <v>0</v>
      </c>
      <c r="W119" s="46">
        <v>39.936</v>
      </c>
      <c r="X119" s="46">
        <v>27.193000000000001</v>
      </c>
      <c r="Y119" s="46">
        <v>0</v>
      </c>
      <c r="Z119" s="46">
        <v>50.941000000000003</v>
      </c>
      <c r="AA119" s="46">
        <v>0</v>
      </c>
      <c r="AB119" s="46">
        <v>12.304</v>
      </c>
      <c r="AC119" s="46">
        <v>0</v>
      </c>
      <c r="AD119" s="46">
        <v>0</v>
      </c>
      <c r="AE119" s="46">
        <v>6.3029999999999999</v>
      </c>
      <c r="AF119" s="46">
        <v>0</v>
      </c>
      <c r="AG119" s="46">
        <v>0</v>
      </c>
      <c r="AH119" s="46">
        <v>33.235999999999997</v>
      </c>
      <c r="AI119" s="46">
        <v>0</v>
      </c>
      <c r="AJ119" s="46">
        <v>35.423999999999999</v>
      </c>
      <c r="AK119" s="46">
        <v>0</v>
      </c>
      <c r="AL119" s="46">
        <v>2.2949999999999999</v>
      </c>
      <c r="AM119" s="46">
        <v>0</v>
      </c>
      <c r="AN119" s="46">
        <v>0</v>
      </c>
      <c r="AO119" s="46">
        <f>AVERAGE(K119:AN119)</f>
        <v>12.429166666666665</v>
      </c>
      <c r="AP119" s="7">
        <f>AO119/I119</f>
        <v>6.2145833333333327</v>
      </c>
      <c r="AQ119" s="81">
        <f t="shared" si="1"/>
        <v>372.87499999999994</v>
      </c>
    </row>
    <row r="120" spans="1:43" x14ac:dyDescent="0.3">
      <c r="A120" s="5">
        <v>147</v>
      </c>
      <c r="B120" s="107" t="s">
        <v>65</v>
      </c>
      <c r="C120" s="112" t="s">
        <v>942</v>
      </c>
      <c r="D120" s="112" t="s">
        <v>922</v>
      </c>
      <c r="E120" s="110" t="s">
        <v>30</v>
      </c>
      <c r="F120" s="6" t="s">
        <v>12</v>
      </c>
      <c r="G120" s="6" t="s">
        <v>971</v>
      </c>
      <c r="H120" s="6" t="s">
        <v>80</v>
      </c>
      <c r="I120" s="5">
        <v>2</v>
      </c>
      <c r="J120" s="12" t="s">
        <v>589</v>
      </c>
      <c r="K120" s="46">
        <v>0</v>
      </c>
      <c r="L120" s="46">
        <v>0</v>
      </c>
      <c r="M120" s="46">
        <v>0</v>
      </c>
      <c r="N120" s="46">
        <v>20.47</v>
      </c>
      <c r="O120" s="46">
        <v>42.77000000000001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8.6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15.07</v>
      </c>
      <c r="AD120" s="46">
        <v>70.86999999999999</v>
      </c>
      <c r="AE120" s="46">
        <v>14.599999999999998</v>
      </c>
      <c r="AF120" s="46">
        <v>18.82</v>
      </c>
      <c r="AG120" s="46">
        <v>23.720000000000006</v>
      </c>
      <c r="AH120" s="46">
        <v>27.59</v>
      </c>
      <c r="AI120" s="46">
        <v>41.06</v>
      </c>
      <c r="AJ120" s="46">
        <v>38.309999999999995</v>
      </c>
      <c r="AK120" s="46">
        <v>50.46</v>
      </c>
      <c r="AL120" s="46">
        <v>49.360000000000007</v>
      </c>
      <c r="AM120" s="46">
        <v>77.11999999999999</v>
      </c>
      <c r="AN120" s="46">
        <v>10.209999999999997</v>
      </c>
      <c r="AO120" s="46">
        <f>AVERAGE(K120:AN120)</f>
        <v>16.967666666666663</v>
      </c>
      <c r="AP120" s="7">
        <f>AO120/I120</f>
        <v>8.4838333333333313</v>
      </c>
      <c r="AQ120" s="81">
        <f t="shared" si="1"/>
        <v>509.02999999999992</v>
      </c>
    </row>
    <row r="121" spans="1:43" x14ac:dyDescent="0.3">
      <c r="A121" s="5">
        <v>150</v>
      </c>
      <c r="B121" s="107" t="s">
        <v>65</v>
      </c>
      <c r="C121" s="10" t="s">
        <v>677</v>
      </c>
      <c r="D121" s="12" t="s">
        <v>990</v>
      </c>
      <c r="E121" s="6" t="s">
        <v>128</v>
      </c>
      <c r="F121" s="6" t="s">
        <v>12</v>
      </c>
      <c r="G121" s="6" t="s">
        <v>979</v>
      </c>
      <c r="H121" s="6" t="s">
        <v>35</v>
      </c>
      <c r="I121" s="92">
        <v>2</v>
      </c>
      <c r="J121" s="67" t="s">
        <v>160</v>
      </c>
      <c r="K121" s="46">
        <v>0</v>
      </c>
      <c r="L121" s="46">
        <v>0</v>
      </c>
      <c r="M121" s="46">
        <v>2.3860000000000001</v>
      </c>
      <c r="N121" s="46">
        <v>0</v>
      </c>
      <c r="O121" s="46">
        <v>9.0489999999999995</v>
      </c>
      <c r="P121" s="46">
        <v>0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8.9550000000000001</v>
      </c>
      <c r="W121" s="46">
        <v>29.387</v>
      </c>
      <c r="X121" s="46">
        <v>43.082000000000001</v>
      </c>
      <c r="Y121" s="46">
        <v>28.58</v>
      </c>
      <c r="Z121" s="46">
        <v>25.288</v>
      </c>
      <c r="AA121" s="46">
        <v>0</v>
      </c>
      <c r="AB121" s="46">
        <v>0</v>
      </c>
      <c r="AC121" s="46">
        <v>29.36</v>
      </c>
      <c r="AD121" s="46">
        <v>9.5459999999999994</v>
      </c>
      <c r="AE121" s="46">
        <v>47.606999999999999</v>
      </c>
      <c r="AF121" s="46">
        <v>0</v>
      </c>
      <c r="AG121" s="46">
        <v>0</v>
      </c>
      <c r="AH121" s="46">
        <v>0</v>
      </c>
      <c r="AI121" s="46">
        <v>32.151000000000003</v>
      </c>
      <c r="AJ121" s="46">
        <v>0</v>
      </c>
      <c r="AK121" s="46">
        <v>0</v>
      </c>
      <c r="AL121" s="46">
        <v>9.2349999999999994</v>
      </c>
      <c r="AM121" s="46">
        <v>35.616999999999997</v>
      </c>
      <c r="AN121" s="46">
        <v>0</v>
      </c>
      <c r="AO121" s="46">
        <f>AVERAGE(K121:AN121)</f>
        <v>10.341433333333333</v>
      </c>
      <c r="AP121" s="7">
        <f>AO121/I121</f>
        <v>5.1707166666666664</v>
      </c>
      <c r="AQ121" s="81">
        <f t="shared" si="1"/>
        <v>310.24299999999999</v>
      </c>
    </row>
    <row r="122" spans="1:43" x14ac:dyDescent="0.3">
      <c r="A122" s="5">
        <v>151</v>
      </c>
      <c r="B122" s="107" t="s">
        <v>65</v>
      </c>
      <c r="C122" s="10" t="s">
        <v>678</v>
      </c>
      <c r="D122" s="12" t="s">
        <v>803</v>
      </c>
      <c r="E122" s="110">
        <v>0</v>
      </c>
      <c r="F122" s="6" t="s">
        <v>130</v>
      </c>
      <c r="G122" s="6" t="s">
        <v>976</v>
      </c>
      <c r="H122" s="6" t="s">
        <v>35</v>
      </c>
      <c r="I122" s="5">
        <v>2</v>
      </c>
      <c r="J122" s="12" t="s">
        <v>590</v>
      </c>
      <c r="K122" s="46">
        <v>0</v>
      </c>
      <c r="L122" s="46">
        <v>0</v>
      </c>
      <c r="M122" s="46">
        <v>0</v>
      </c>
      <c r="N122" s="46">
        <v>0</v>
      </c>
      <c r="O122" s="46">
        <v>0</v>
      </c>
      <c r="P122" s="46">
        <v>0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0</v>
      </c>
      <c r="AK122" s="46">
        <v>0</v>
      </c>
      <c r="AL122" s="46">
        <v>0</v>
      </c>
      <c r="AM122" s="46">
        <v>0</v>
      </c>
      <c r="AN122" s="46">
        <v>0</v>
      </c>
      <c r="AO122" s="46">
        <f>AVERAGE(K122:AN122)</f>
        <v>0</v>
      </c>
      <c r="AP122" s="7">
        <f>AO122/I122</f>
        <v>0</v>
      </c>
      <c r="AQ122" s="81">
        <f t="shared" si="1"/>
        <v>0</v>
      </c>
    </row>
    <row r="123" spans="1:43" x14ac:dyDescent="0.3">
      <c r="A123" s="5">
        <v>160</v>
      </c>
      <c r="B123" s="107" t="s">
        <v>65</v>
      </c>
      <c r="C123" s="10" t="s">
        <v>682</v>
      </c>
      <c r="D123" s="12" t="s">
        <v>744</v>
      </c>
      <c r="E123" s="110" t="s">
        <v>128</v>
      </c>
      <c r="F123" s="6" t="s">
        <v>12</v>
      </c>
      <c r="G123" s="6" t="s">
        <v>979</v>
      </c>
      <c r="H123" s="6" t="s">
        <v>35</v>
      </c>
      <c r="I123" s="5">
        <v>2</v>
      </c>
      <c r="J123" s="12" t="s">
        <v>160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f>AVERAGE(K123:AN123)</f>
        <v>0</v>
      </c>
      <c r="AP123" s="7">
        <f>AO123/I123</f>
        <v>0</v>
      </c>
      <c r="AQ123" s="81">
        <f t="shared" si="1"/>
        <v>0</v>
      </c>
    </row>
    <row r="124" spans="1:43" x14ac:dyDescent="0.3">
      <c r="A124" s="5">
        <v>161</v>
      </c>
      <c r="B124" s="135" t="s">
        <v>65</v>
      </c>
      <c r="C124" s="5" t="s">
        <v>702</v>
      </c>
      <c r="D124" s="12" t="s">
        <v>734</v>
      </c>
      <c r="E124" s="110" t="s">
        <v>236</v>
      </c>
      <c r="F124" s="6" t="s">
        <v>12</v>
      </c>
      <c r="G124" s="6" t="s">
        <v>976</v>
      </c>
      <c r="H124" s="6" t="s">
        <v>35</v>
      </c>
      <c r="I124" s="92">
        <v>2</v>
      </c>
      <c r="J124" s="67" t="s">
        <v>160</v>
      </c>
      <c r="K124" s="46">
        <v>1.8280000000000001</v>
      </c>
      <c r="L124" s="46">
        <v>0</v>
      </c>
      <c r="M124" s="46">
        <v>1.431</v>
      </c>
      <c r="N124" s="46">
        <v>0.16300000000000001</v>
      </c>
      <c r="O124" s="46">
        <v>0</v>
      </c>
      <c r="P124" s="46">
        <v>0</v>
      </c>
      <c r="Q124" s="46">
        <v>0</v>
      </c>
      <c r="R124" s="46">
        <v>0.79900000000000004</v>
      </c>
      <c r="S124" s="46">
        <v>0</v>
      </c>
      <c r="T124" s="46">
        <v>0</v>
      </c>
      <c r="U124" s="46">
        <v>8.1000000000000003E-2</v>
      </c>
      <c r="V124" s="46">
        <v>0</v>
      </c>
      <c r="W124" s="46">
        <v>7.8840000000000003</v>
      </c>
      <c r="X124" s="46">
        <v>12.588000000000001</v>
      </c>
      <c r="Y124" s="46">
        <v>11.463999999999999</v>
      </c>
      <c r="Z124" s="46">
        <v>4.9830000000000032</v>
      </c>
      <c r="AA124" s="46">
        <v>12.672000000000001</v>
      </c>
      <c r="AB124" s="46">
        <v>16.809999999999999</v>
      </c>
      <c r="AC124" s="46">
        <v>5.2010000000000005</v>
      </c>
      <c r="AD124" s="46">
        <v>24.597000000000001</v>
      </c>
      <c r="AE124" s="46">
        <v>3.4989999999999997</v>
      </c>
      <c r="AF124" s="46">
        <v>0</v>
      </c>
      <c r="AG124" s="46">
        <v>10.031000000000001</v>
      </c>
      <c r="AH124" s="46">
        <v>12.193999999999999</v>
      </c>
      <c r="AI124" s="46">
        <v>22.977</v>
      </c>
      <c r="AJ124" s="46">
        <v>5.5139999999999993</v>
      </c>
      <c r="AK124" s="46">
        <v>21.198</v>
      </c>
      <c r="AL124" s="46">
        <v>8.4059999999999988</v>
      </c>
      <c r="AM124" s="46">
        <v>15.158000000000001</v>
      </c>
      <c r="AN124" s="46">
        <v>9.4039999999999999</v>
      </c>
      <c r="AO124" s="46">
        <f>AVERAGE(K124:AN124)</f>
        <v>6.9627333333333334</v>
      </c>
      <c r="AP124" s="7">
        <f>AO124/I124</f>
        <v>3.4813666666666667</v>
      </c>
      <c r="AQ124" s="81">
        <f t="shared" si="1"/>
        <v>208.88200000000001</v>
      </c>
    </row>
    <row r="125" spans="1:43" x14ac:dyDescent="0.3">
      <c r="A125" s="5">
        <v>172</v>
      </c>
      <c r="B125" s="107" t="s">
        <v>65</v>
      </c>
      <c r="C125" s="10" t="s">
        <v>691</v>
      </c>
      <c r="D125" s="12" t="s">
        <v>932</v>
      </c>
      <c r="E125" s="110" t="s">
        <v>407</v>
      </c>
      <c r="F125" s="6" t="s">
        <v>19</v>
      </c>
      <c r="G125" s="6" t="s">
        <v>976</v>
      </c>
      <c r="H125" s="6" t="s">
        <v>35</v>
      </c>
      <c r="I125" s="5">
        <v>2</v>
      </c>
      <c r="J125" s="12" t="s">
        <v>590</v>
      </c>
      <c r="K125" s="46">
        <v>7.2430000000000003</v>
      </c>
      <c r="L125" s="46">
        <v>13.303000000000001</v>
      </c>
      <c r="M125" s="46">
        <v>9.9589999999999996</v>
      </c>
      <c r="N125" s="46">
        <v>10.431999999999999</v>
      </c>
      <c r="O125" s="46">
        <v>0</v>
      </c>
      <c r="P125" s="46">
        <v>0</v>
      </c>
      <c r="Q125" s="46">
        <v>17.626999999999999</v>
      </c>
      <c r="R125" s="46">
        <v>10.904</v>
      </c>
      <c r="S125" s="46">
        <v>8.375</v>
      </c>
      <c r="T125" s="46">
        <v>0</v>
      </c>
      <c r="U125" s="46">
        <v>9.2249999999999996</v>
      </c>
      <c r="V125" s="46">
        <v>0</v>
      </c>
      <c r="W125" s="46">
        <v>0</v>
      </c>
      <c r="X125" s="46">
        <v>0</v>
      </c>
      <c r="Y125" s="46">
        <v>8.0410000000000004</v>
      </c>
      <c r="Z125" s="46">
        <v>4.3250000000000002</v>
      </c>
      <c r="AA125" s="46">
        <v>10.718999999999999</v>
      </c>
      <c r="AB125" s="46">
        <v>0</v>
      </c>
      <c r="AC125" s="46">
        <v>0</v>
      </c>
      <c r="AD125" s="46">
        <v>0</v>
      </c>
      <c r="AE125" s="46">
        <v>0</v>
      </c>
      <c r="AF125" s="46">
        <v>8.5180000000000007</v>
      </c>
      <c r="AG125" s="46">
        <v>13.837</v>
      </c>
      <c r="AH125" s="46">
        <v>4.7649999999999997</v>
      </c>
      <c r="AI125" s="46">
        <v>13.863</v>
      </c>
      <c r="AJ125" s="46">
        <v>0</v>
      </c>
      <c r="AK125" s="46">
        <v>0</v>
      </c>
      <c r="AL125" s="46">
        <v>5.7509999999999994</v>
      </c>
      <c r="AM125" s="46">
        <v>9.5839999999999996</v>
      </c>
      <c r="AN125" s="46">
        <v>5.5640000000000001</v>
      </c>
      <c r="AO125" s="46">
        <f>AVERAGE(K125:AN125)</f>
        <v>5.7344999999999988</v>
      </c>
      <c r="AP125" s="7">
        <f>AO125/I125</f>
        <v>2.8672499999999994</v>
      </c>
      <c r="AQ125" s="81">
        <f t="shared" si="1"/>
        <v>172.03499999999997</v>
      </c>
    </row>
    <row r="126" spans="1:43" x14ac:dyDescent="0.3">
      <c r="A126" s="5">
        <v>173</v>
      </c>
      <c r="B126" s="107" t="s">
        <v>65</v>
      </c>
      <c r="C126" s="10" t="s">
        <v>692</v>
      </c>
      <c r="D126" s="12" t="s">
        <v>933</v>
      </c>
      <c r="E126" s="110" t="s">
        <v>432</v>
      </c>
      <c r="F126" s="6" t="s">
        <v>19</v>
      </c>
      <c r="G126" s="6" t="s">
        <v>976</v>
      </c>
      <c r="H126" s="6" t="s">
        <v>35</v>
      </c>
      <c r="I126" s="5">
        <v>2</v>
      </c>
      <c r="J126" s="12" t="s">
        <v>590</v>
      </c>
      <c r="K126" s="46">
        <v>3.004</v>
      </c>
      <c r="L126" s="46">
        <v>5.0670000000000002</v>
      </c>
      <c r="M126" s="46">
        <v>0</v>
      </c>
      <c r="N126" s="46">
        <v>0</v>
      </c>
      <c r="O126" s="46">
        <v>0</v>
      </c>
      <c r="P126" s="46">
        <v>0</v>
      </c>
      <c r="Q126" s="46">
        <v>7.5110000000000001</v>
      </c>
      <c r="R126" s="46">
        <v>7.2249999999999996</v>
      </c>
      <c r="S126" s="46">
        <v>4.9130000000000003</v>
      </c>
      <c r="T126" s="46">
        <v>0</v>
      </c>
      <c r="U126" s="46">
        <v>4.6449999999999996</v>
      </c>
      <c r="V126" s="46">
        <v>0</v>
      </c>
      <c r="W126" s="46">
        <v>0</v>
      </c>
      <c r="X126" s="46">
        <v>0</v>
      </c>
      <c r="Y126" s="46">
        <v>2.0169999999999999</v>
      </c>
      <c r="Z126" s="46">
        <v>9.8209999999999997</v>
      </c>
      <c r="AA126" s="46">
        <v>0</v>
      </c>
      <c r="AB126" s="46">
        <v>0</v>
      </c>
      <c r="AC126" s="46">
        <v>0</v>
      </c>
      <c r="AD126" s="46">
        <v>0</v>
      </c>
      <c r="AE126" s="46">
        <v>11.974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f>AVERAGE(K126:AN126)</f>
        <v>1.8725666666666669</v>
      </c>
      <c r="AP126" s="7">
        <f>AO126/I126</f>
        <v>0.93628333333333347</v>
      </c>
      <c r="AQ126" s="81">
        <f t="shared" si="1"/>
        <v>56.177000000000007</v>
      </c>
    </row>
    <row r="127" spans="1:43" x14ac:dyDescent="0.3">
      <c r="A127" s="5">
        <v>175</v>
      </c>
      <c r="B127" s="107" t="s">
        <v>65</v>
      </c>
      <c r="C127" s="112" t="s">
        <v>694</v>
      </c>
      <c r="D127" s="112" t="s">
        <v>935</v>
      </c>
      <c r="E127" s="110" t="s">
        <v>432</v>
      </c>
      <c r="F127" s="6" t="s">
        <v>19</v>
      </c>
      <c r="G127" s="6" t="s">
        <v>976</v>
      </c>
      <c r="H127" s="6" t="s">
        <v>35</v>
      </c>
      <c r="I127" s="5">
        <v>2</v>
      </c>
      <c r="J127" s="12" t="s">
        <v>590</v>
      </c>
      <c r="K127" s="46">
        <v>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f>AVERAGE(K127:AN127)</f>
        <v>0</v>
      </c>
      <c r="AP127" s="7">
        <f>AO127/I127</f>
        <v>0</v>
      </c>
      <c r="AQ127" s="81">
        <f t="shared" si="1"/>
        <v>0</v>
      </c>
    </row>
    <row r="128" spans="1:43" x14ac:dyDescent="0.3">
      <c r="A128" s="5">
        <v>177</v>
      </c>
      <c r="B128" s="107" t="s">
        <v>65</v>
      </c>
      <c r="C128" s="10" t="s">
        <v>846</v>
      </c>
      <c r="D128" s="39" t="s">
        <v>841</v>
      </c>
      <c r="E128" s="110" t="s">
        <v>521</v>
      </c>
      <c r="F128" s="6" t="s">
        <v>19</v>
      </c>
      <c r="G128" s="6" t="s">
        <v>976</v>
      </c>
      <c r="H128" s="6" t="s">
        <v>35</v>
      </c>
      <c r="I128" s="5">
        <v>2</v>
      </c>
      <c r="J128" s="12" t="s">
        <v>590</v>
      </c>
      <c r="K128" s="46">
        <v>14.548999999999999</v>
      </c>
      <c r="L128" s="46">
        <v>12.667999999999999</v>
      </c>
      <c r="M128" s="46">
        <v>8.3740000000000006</v>
      </c>
      <c r="N128" s="46">
        <v>7.5529999999999999</v>
      </c>
      <c r="O128" s="46">
        <v>0</v>
      </c>
      <c r="P128" s="46">
        <v>0</v>
      </c>
      <c r="Q128" s="46">
        <v>11.291</v>
      </c>
      <c r="R128" s="46">
        <v>8.6110000000000007</v>
      </c>
      <c r="S128" s="46">
        <v>11.319000000000001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9.56</v>
      </c>
      <c r="AG128" s="46">
        <v>6.32</v>
      </c>
      <c r="AH128" s="46">
        <v>11.297000000000001</v>
      </c>
      <c r="AI128" s="46">
        <v>7.7750000000000004</v>
      </c>
      <c r="AJ128" s="46">
        <v>0</v>
      </c>
      <c r="AK128" s="46">
        <v>0</v>
      </c>
      <c r="AL128" s="46">
        <v>10.757999999999999</v>
      </c>
      <c r="AM128" s="46">
        <v>11.305</v>
      </c>
      <c r="AN128" s="46">
        <v>4.5430000000000001</v>
      </c>
      <c r="AO128" s="46">
        <f>AVERAGE(K128:AN128)</f>
        <v>4.5307666666666666</v>
      </c>
      <c r="AP128" s="7">
        <f>AO128/I128</f>
        <v>2.2653833333333333</v>
      </c>
      <c r="AQ128" s="81">
        <f t="shared" si="1"/>
        <v>135.923</v>
      </c>
    </row>
    <row r="129" spans="1:43" x14ac:dyDescent="0.3">
      <c r="A129" s="5">
        <v>179</v>
      </c>
      <c r="B129" s="107" t="s">
        <v>65</v>
      </c>
      <c r="C129" s="112" t="s">
        <v>939</v>
      </c>
      <c r="D129" s="112" t="s">
        <v>940</v>
      </c>
      <c r="E129" s="110" t="s">
        <v>128</v>
      </c>
      <c r="F129" s="6" t="s">
        <v>12</v>
      </c>
      <c r="G129" s="6" t="s">
        <v>971</v>
      </c>
      <c r="H129" s="6" t="s">
        <v>80</v>
      </c>
      <c r="I129" s="5">
        <v>2</v>
      </c>
      <c r="J129" s="94" t="s">
        <v>273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0.34100000000000003</v>
      </c>
      <c r="AD129" s="46">
        <v>0</v>
      </c>
      <c r="AE129" s="46">
        <v>0</v>
      </c>
      <c r="AF129" s="46">
        <v>0</v>
      </c>
      <c r="AG129" s="46">
        <v>12.92</v>
      </c>
      <c r="AH129" s="46">
        <v>8.65</v>
      </c>
      <c r="AI129" s="46">
        <v>7.34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f>AVERAGE(K129:AN129)</f>
        <v>0.97503333333333342</v>
      </c>
      <c r="AP129" s="7">
        <f>AO129/I129</f>
        <v>0.48751666666666671</v>
      </c>
      <c r="AQ129" s="81">
        <f t="shared" si="1"/>
        <v>29.251000000000001</v>
      </c>
    </row>
    <row r="130" spans="1:43" x14ac:dyDescent="0.3">
      <c r="A130" s="5">
        <v>180</v>
      </c>
      <c r="B130" s="107" t="s">
        <v>65</v>
      </c>
      <c r="C130" s="112">
        <v>0</v>
      </c>
      <c r="D130" s="112" t="s">
        <v>1012</v>
      </c>
      <c r="E130" s="110" t="s">
        <v>128</v>
      </c>
      <c r="F130" s="6" t="s">
        <v>12</v>
      </c>
      <c r="G130" s="6" t="s">
        <v>13</v>
      </c>
      <c r="H130" s="6" t="s">
        <v>35</v>
      </c>
      <c r="I130" s="5">
        <v>2</v>
      </c>
      <c r="J130" s="94" t="s">
        <v>273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10.423999999999999</v>
      </c>
      <c r="Q130" s="46">
        <v>16.088999999999999</v>
      </c>
      <c r="R130" s="46">
        <v>6.891</v>
      </c>
      <c r="S130" s="46">
        <v>10.102</v>
      </c>
      <c r="T130" s="46">
        <v>12.951000000000001</v>
      </c>
      <c r="U130" s="46">
        <v>7.27</v>
      </c>
      <c r="V130" s="46">
        <v>20.239999999999998</v>
      </c>
      <c r="W130" s="46">
        <v>10.768000000000001</v>
      </c>
      <c r="X130" s="46">
        <v>22.518999999999998</v>
      </c>
      <c r="Y130" s="46">
        <v>14.529</v>
      </c>
      <c r="Z130" s="46">
        <v>11.367000000000001</v>
      </c>
      <c r="AA130" s="46">
        <v>6.13</v>
      </c>
      <c r="AB130" s="46">
        <v>0</v>
      </c>
      <c r="AC130" s="46">
        <v>1E-3</v>
      </c>
      <c r="AD130" s="46">
        <v>0</v>
      </c>
      <c r="AE130" s="46">
        <v>14.675999999999998</v>
      </c>
      <c r="AF130" s="46">
        <v>1E-3</v>
      </c>
      <c r="AG130" s="46">
        <v>1.839</v>
      </c>
      <c r="AH130" s="46">
        <v>0</v>
      </c>
      <c r="AI130" s="46">
        <v>0</v>
      </c>
      <c r="AJ130" s="46">
        <v>7.5150000000000006</v>
      </c>
      <c r="AK130" s="46">
        <v>5.6109999999999998</v>
      </c>
      <c r="AL130" s="46">
        <v>5.1269999999999998</v>
      </c>
      <c r="AM130" s="46">
        <v>0</v>
      </c>
      <c r="AN130" s="46">
        <v>0</v>
      </c>
      <c r="AO130" s="46">
        <f>AVERAGE(K130:AN130)</f>
        <v>6.1349999999999989</v>
      </c>
      <c r="AP130" s="7">
        <f>AO130/I130</f>
        <v>3.0674999999999994</v>
      </c>
      <c r="AQ130" s="81">
        <f t="shared" si="1"/>
        <v>184.04999999999995</v>
      </c>
    </row>
    <row r="131" spans="1:43" x14ac:dyDescent="0.3">
      <c r="A131" s="5">
        <v>201</v>
      </c>
      <c r="B131" s="107" t="s">
        <v>65</v>
      </c>
      <c r="C131" s="5">
        <v>0</v>
      </c>
      <c r="D131" s="6" t="s">
        <v>74</v>
      </c>
      <c r="E131" s="110" t="s">
        <v>30</v>
      </c>
      <c r="F131" s="6" t="s">
        <v>19</v>
      </c>
      <c r="G131" s="6" t="s">
        <v>976</v>
      </c>
      <c r="H131" s="6" t="s">
        <v>14</v>
      </c>
      <c r="I131" s="5">
        <v>2</v>
      </c>
      <c r="J131" s="67" t="s">
        <v>160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0</v>
      </c>
      <c r="AL131" s="46">
        <v>0</v>
      </c>
      <c r="AM131" s="46">
        <v>0</v>
      </c>
      <c r="AN131" s="46">
        <v>0</v>
      </c>
      <c r="AO131" s="46">
        <f>AVERAGE(K131:AN131)</f>
        <v>0</v>
      </c>
      <c r="AP131" s="7">
        <f>AO131/I131</f>
        <v>0</v>
      </c>
      <c r="AQ131" s="81">
        <f t="shared" ref="AQ131:AQ194" si="2">SUM(K131:AN131)</f>
        <v>0</v>
      </c>
    </row>
    <row r="132" spans="1:43" x14ac:dyDescent="0.3">
      <c r="A132" s="5">
        <v>3</v>
      </c>
      <c r="B132" s="107" t="s">
        <v>9</v>
      </c>
      <c r="C132" s="112" t="s">
        <v>602</v>
      </c>
      <c r="D132" s="112" t="s">
        <v>741</v>
      </c>
      <c r="E132" s="110" t="s">
        <v>11</v>
      </c>
      <c r="F132" s="6" t="s">
        <v>12</v>
      </c>
      <c r="G132" s="6" t="s">
        <v>976</v>
      </c>
      <c r="H132" s="6" t="s">
        <v>35</v>
      </c>
      <c r="I132" s="92">
        <v>3</v>
      </c>
      <c r="J132" s="67" t="s">
        <v>160</v>
      </c>
      <c r="K132" s="46">
        <v>0</v>
      </c>
      <c r="L132" s="46">
        <v>0</v>
      </c>
      <c r="M132" s="46">
        <v>0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0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f>AVERAGE(K132:AN132)</f>
        <v>0</v>
      </c>
      <c r="AP132" s="7">
        <f>AO132/I132</f>
        <v>0</v>
      </c>
      <c r="AQ132" s="81">
        <f t="shared" si="2"/>
        <v>0</v>
      </c>
    </row>
    <row r="133" spans="1:43" x14ac:dyDescent="0.3">
      <c r="A133" s="5">
        <v>7</v>
      </c>
      <c r="B133" s="6" t="s">
        <v>9</v>
      </c>
      <c r="C133" s="112" t="s">
        <v>606</v>
      </c>
      <c r="D133" s="112" t="s">
        <v>728</v>
      </c>
      <c r="E133" s="6" t="s">
        <v>30</v>
      </c>
      <c r="F133" s="6" t="s">
        <v>12</v>
      </c>
      <c r="G133" s="6" t="s">
        <v>976</v>
      </c>
      <c r="H133" s="6" t="s">
        <v>35</v>
      </c>
      <c r="I133" s="92">
        <v>3</v>
      </c>
      <c r="J133" s="94" t="s">
        <v>589</v>
      </c>
      <c r="K133" s="46">
        <v>67.426000000000002</v>
      </c>
      <c r="L133" s="46">
        <v>85.736000000000004</v>
      </c>
      <c r="M133" s="46">
        <v>85.144000000000005</v>
      </c>
      <c r="N133" s="46">
        <v>75.652000000000015</v>
      </c>
      <c r="O133" s="46">
        <v>80.740000000000009</v>
      </c>
      <c r="P133" s="46">
        <v>117.854</v>
      </c>
      <c r="Q133" s="46">
        <v>55.146000000000001</v>
      </c>
      <c r="R133" s="46">
        <v>101.601</v>
      </c>
      <c r="S133" s="46">
        <v>110.18</v>
      </c>
      <c r="T133" s="46">
        <v>114.825</v>
      </c>
      <c r="U133" s="46">
        <v>108.54700000000001</v>
      </c>
      <c r="V133" s="46">
        <v>105.38500000000001</v>
      </c>
      <c r="W133" s="46">
        <v>42.794000000000004</v>
      </c>
      <c r="X133" s="46">
        <v>82.355999999999995</v>
      </c>
      <c r="Y133" s="46">
        <v>102.221</v>
      </c>
      <c r="Z133" s="46">
        <v>97.345000000000013</v>
      </c>
      <c r="AA133" s="46">
        <v>72.734999999999999</v>
      </c>
      <c r="AB133" s="46">
        <v>82.474000000000018</v>
      </c>
      <c r="AC133" s="46">
        <v>87.460000000000008</v>
      </c>
      <c r="AD133" s="46">
        <v>115.33499999999999</v>
      </c>
      <c r="AE133" s="46">
        <v>97.818000000000012</v>
      </c>
      <c r="AF133" s="46">
        <v>97.899000000000001</v>
      </c>
      <c r="AG133" s="46">
        <v>60.726000000000006</v>
      </c>
      <c r="AH133" s="46">
        <v>61.154000000000003</v>
      </c>
      <c r="AI133" s="46">
        <v>91.472999999999999</v>
      </c>
      <c r="AJ133" s="46">
        <v>95.99799999999999</v>
      </c>
      <c r="AK133" s="46">
        <v>83.965000000000003</v>
      </c>
      <c r="AL133" s="46">
        <v>81</v>
      </c>
      <c r="AM133" s="46">
        <v>118.04400000000001</v>
      </c>
      <c r="AN133" s="46">
        <v>131.37400000000002</v>
      </c>
      <c r="AO133" s="46">
        <f>AVERAGE(K133:AN133)</f>
        <v>90.346900000000005</v>
      </c>
      <c r="AP133" s="7">
        <f>AO133/I133</f>
        <v>30.115633333333335</v>
      </c>
      <c r="AQ133" s="81">
        <f t="shared" si="2"/>
        <v>2710.4070000000002</v>
      </c>
    </row>
    <row r="134" spans="1:43" x14ac:dyDescent="0.3">
      <c r="A134" s="5">
        <v>28</v>
      </c>
      <c r="B134" s="107" t="s">
        <v>9</v>
      </c>
      <c r="C134" s="112" t="s">
        <v>613</v>
      </c>
      <c r="D134" s="112" t="s">
        <v>980</v>
      </c>
      <c r="E134" s="110" t="s">
        <v>128</v>
      </c>
      <c r="F134" s="6" t="s">
        <v>12</v>
      </c>
      <c r="G134" s="6" t="s">
        <v>971</v>
      </c>
      <c r="H134" s="6" t="s">
        <v>80</v>
      </c>
      <c r="I134" s="5">
        <v>3</v>
      </c>
      <c r="J134" s="67" t="s">
        <v>160</v>
      </c>
      <c r="K134" s="46">
        <v>46.669999999999995</v>
      </c>
      <c r="L134" s="46">
        <v>0</v>
      </c>
      <c r="M134" s="46">
        <v>0</v>
      </c>
      <c r="N134" s="46">
        <v>0.41000000000000003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8.32</v>
      </c>
      <c r="V134" s="46">
        <v>46.74</v>
      </c>
      <c r="W134" s="46">
        <v>33.869999999999997</v>
      </c>
      <c r="X134" s="46">
        <v>57.751000000000005</v>
      </c>
      <c r="Y134" s="46">
        <v>69.86</v>
      </c>
      <c r="Z134" s="46">
        <v>55.379999999999995</v>
      </c>
      <c r="AA134" s="46">
        <v>33.729999999999997</v>
      </c>
      <c r="AB134" s="46">
        <v>0</v>
      </c>
      <c r="AC134" s="46">
        <v>26.229999999999997</v>
      </c>
      <c r="AD134" s="46">
        <v>43.26</v>
      </c>
      <c r="AE134" s="46">
        <v>53.970000000000006</v>
      </c>
      <c r="AF134" s="46">
        <v>25.92</v>
      </c>
      <c r="AG134" s="46">
        <v>65.699000000000012</v>
      </c>
      <c r="AH134" s="46">
        <v>45.581000000000003</v>
      </c>
      <c r="AI134" s="46">
        <v>0.18000000000000005</v>
      </c>
      <c r="AJ134" s="46">
        <v>0</v>
      </c>
      <c r="AK134" s="46">
        <v>0</v>
      </c>
      <c r="AL134" s="46">
        <v>73.63000000000001</v>
      </c>
      <c r="AM134" s="46">
        <v>65.39</v>
      </c>
      <c r="AN134" s="46">
        <v>103.64</v>
      </c>
      <c r="AO134" s="46">
        <f>AVERAGE(K134:AN134)</f>
        <v>28.541033333333335</v>
      </c>
      <c r="AP134" s="7">
        <f>AO134/I134</f>
        <v>9.5136777777777777</v>
      </c>
      <c r="AQ134" s="81">
        <f t="shared" si="2"/>
        <v>856.23099999999999</v>
      </c>
    </row>
    <row r="135" spans="1:43" ht="13.5" customHeight="1" x14ac:dyDescent="0.3">
      <c r="A135" s="5">
        <v>84</v>
      </c>
      <c r="B135" s="107" t="s">
        <v>52</v>
      </c>
      <c r="C135" s="112" t="s">
        <v>642</v>
      </c>
      <c r="D135" s="112" t="s">
        <v>970</v>
      </c>
      <c r="E135" s="110" t="s">
        <v>128</v>
      </c>
      <c r="F135" s="6" t="s">
        <v>12</v>
      </c>
      <c r="G135" s="6" t="s">
        <v>976</v>
      </c>
      <c r="H135" s="6" t="s">
        <v>35</v>
      </c>
      <c r="I135" s="5">
        <v>3</v>
      </c>
      <c r="J135" s="12" t="s">
        <v>589</v>
      </c>
      <c r="K135" s="46">
        <v>0</v>
      </c>
      <c r="L135" s="46">
        <v>0</v>
      </c>
      <c r="M135" s="46">
        <v>0</v>
      </c>
      <c r="N135" s="46">
        <v>0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0</v>
      </c>
      <c r="AL135" s="46">
        <v>0</v>
      </c>
      <c r="AM135" s="46">
        <v>0</v>
      </c>
      <c r="AN135" s="46">
        <v>0</v>
      </c>
      <c r="AO135" s="46">
        <f>AVERAGE(K135:AN135)</f>
        <v>0</v>
      </c>
      <c r="AP135" s="7">
        <f>AO135/I135</f>
        <v>0</v>
      </c>
      <c r="AQ135" s="81">
        <f t="shared" si="2"/>
        <v>0</v>
      </c>
    </row>
    <row r="136" spans="1:43" x14ac:dyDescent="0.3">
      <c r="A136" s="5">
        <v>86</v>
      </c>
      <c r="B136" s="107" t="s">
        <v>52</v>
      </c>
      <c r="C136" s="112">
        <v>0</v>
      </c>
      <c r="D136" s="10" t="s">
        <v>1078</v>
      </c>
      <c r="E136" s="110" t="s">
        <v>128</v>
      </c>
      <c r="F136" s="6" t="s">
        <v>12</v>
      </c>
      <c r="G136" s="6" t="s">
        <v>976</v>
      </c>
      <c r="H136" s="6" t="s">
        <v>35</v>
      </c>
      <c r="I136" s="5">
        <v>3</v>
      </c>
      <c r="J136" s="12" t="s">
        <v>590</v>
      </c>
      <c r="K136" s="46">
        <v>0</v>
      </c>
      <c r="L136" s="46">
        <v>0</v>
      </c>
      <c r="M136" s="46">
        <v>0</v>
      </c>
      <c r="N136" s="46">
        <v>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0</v>
      </c>
      <c r="AL136" s="46">
        <v>0</v>
      </c>
      <c r="AM136" s="46">
        <v>0</v>
      </c>
      <c r="AN136" s="46">
        <v>0</v>
      </c>
      <c r="AO136" s="46">
        <f>AVERAGE(K136:AN136)</f>
        <v>0</v>
      </c>
      <c r="AP136" s="7">
        <f>AO136/I136</f>
        <v>0</v>
      </c>
      <c r="AQ136" s="81">
        <f t="shared" si="2"/>
        <v>0</v>
      </c>
    </row>
    <row r="137" spans="1:43" x14ac:dyDescent="0.3">
      <c r="A137" s="5">
        <v>114</v>
      </c>
      <c r="B137" s="107" t="s">
        <v>119</v>
      </c>
      <c r="C137" s="112" t="s">
        <v>655</v>
      </c>
      <c r="D137" s="112" t="s">
        <v>726</v>
      </c>
      <c r="E137" s="110" t="s">
        <v>30</v>
      </c>
      <c r="F137" s="6" t="s">
        <v>12</v>
      </c>
      <c r="G137" s="6" t="s">
        <v>976</v>
      </c>
      <c r="H137" s="6" t="s">
        <v>35</v>
      </c>
      <c r="I137" s="5">
        <v>3</v>
      </c>
      <c r="J137" s="12" t="s">
        <v>589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0</v>
      </c>
      <c r="AL137" s="46">
        <v>0</v>
      </c>
      <c r="AM137" s="46">
        <v>0</v>
      </c>
      <c r="AN137" s="46">
        <v>0</v>
      </c>
      <c r="AO137" s="46">
        <f>AVERAGE(K137:AN137)</f>
        <v>0</v>
      </c>
      <c r="AP137" s="7">
        <f>AO137/I137</f>
        <v>0</v>
      </c>
      <c r="AQ137" s="81">
        <f t="shared" si="2"/>
        <v>0</v>
      </c>
    </row>
    <row r="138" spans="1:43" x14ac:dyDescent="0.3">
      <c r="A138" s="5">
        <v>162</v>
      </c>
      <c r="B138" s="107" t="s">
        <v>65</v>
      </c>
      <c r="C138" s="10" t="s">
        <v>683</v>
      </c>
      <c r="D138" s="12" t="s">
        <v>927</v>
      </c>
      <c r="E138" s="110" t="s">
        <v>236</v>
      </c>
      <c r="F138" s="6" t="s">
        <v>12</v>
      </c>
      <c r="G138" s="6" t="s">
        <v>976</v>
      </c>
      <c r="H138" s="6" t="s">
        <v>35</v>
      </c>
      <c r="I138" s="5">
        <v>3</v>
      </c>
      <c r="J138" s="67" t="s">
        <v>160</v>
      </c>
      <c r="K138" s="46">
        <v>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0</v>
      </c>
      <c r="AL138" s="46">
        <v>0</v>
      </c>
      <c r="AM138" s="46">
        <v>0</v>
      </c>
      <c r="AN138" s="46">
        <v>0</v>
      </c>
      <c r="AO138" s="46">
        <f>AVERAGE(K138:AN138)</f>
        <v>0</v>
      </c>
      <c r="AP138" s="7">
        <f>AO138/I138</f>
        <v>0</v>
      </c>
      <c r="AQ138" s="81">
        <f t="shared" si="2"/>
        <v>0</v>
      </c>
    </row>
    <row r="139" spans="1:43" x14ac:dyDescent="0.3">
      <c r="A139" s="5">
        <v>163</v>
      </c>
      <c r="B139" s="107" t="s">
        <v>65</v>
      </c>
      <c r="C139" s="10" t="s">
        <v>684</v>
      </c>
      <c r="D139" s="12" t="s">
        <v>926</v>
      </c>
      <c r="E139" s="110" t="s">
        <v>236</v>
      </c>
      <c r="F139" s="6" t="s">
        <v>12</v>
      </c>
      <c r="G139" s="6" t="s">
        <v>976</v>
      </c>
      <c r="H139" s="6" t="s">
        <v>35</v>
      </c>
      <c r="I139" s="5">
        <v>3</v>
      </c>
      <c r="J139" s="67" t="s">
        <v>160</v>
      </c>
      <c r="K139" s="46">
        <v>0</v>
      </c>
      <c r="L139" s="46">
        <v>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0</v>
      </c>
      <c r="AL139" s="46">
        <v>0</v>
      </c>
      <c r="AM139" s="46">
        <v>0</v>
      </c>
      <c r="AN139" s="46">
        <v>0</v>
      </c>
      <c r="AO139" s="46">
        <f>AVERAGE(K139:AN139)</f>
        <v>0</v>
      </c>
      <c r="AP139" s="7">
        <f>AO139/I139</f>
        <v>0</v>
      </c>
      <c r="AQ139" s="81">
        <f t="shared" si="2"/>
        <v>0</v>
      </c>
    </row>
    <row r="140" spans="1:43" x14ac:dyDescent="0.3">
      <c r="A140" s="5">
        <v>165</v>
      </c>
      <c r="B140" s="107" t="s">
        <v>65</v>
      </c>
      <c r="C140" s="10" t="s">
        <v>685</v>
      </c>
      <c r="D140" s="12" t="s">
        <v>928</v>
      </c>
      <c r="E140" s="110" t="s">
        <v>236</v>
      </c>
      <c r="F140" s="6" t="s">
        <v>12</v>
      </c>
      <c r="G140" s="6" t="s">
        <v>976</v>
      </c>
      <c r="H140" s="6" t="s">
        <v>35</v>
      </c>
      <c r="I140" s="5">
        <v>3</v>
      </c>
      <c r="J140" s="67" t="s">
        <v>160</v>
      </c>
      <c r="K140" s="46">
        <v>0</v>
      </c>
      <c r="L140" s="46">
        <v>0</v>
      </c>
      <c r="M140" s="46">
        <v>0</v>
      </c>
      <c r="N140" s="46">
        <v>0</v>
      </c>
      <c r="O140" s="46">
        <v>0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0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0</v>
      </c>
      <c r="AL140" s="46">
        <v>0</v>
      </c>
      <c r="AM140" s="46">
        <v>0</v>
      </c>
      <c r="AN140" s="46">
        <v>0</v>
      </c>
      <c r="AO140" s="46">
        <f>AVERAGE(K140:AN140)</f>
        <v>0</v>
      </c>
      <c r="AP140" s="7">
        <f>AO140/I140</f>
        <v>0</v>
      </c>
      <c r="AQ140" s="81">
        <f t="shared" si="2"/>
        <v>0</v>
      </c>
    </row>
    <row r="141" spans="1:43" x14ac:dyDescent="0.3">
      <c r="A141" s="5">
        <v>166</v>
      </c>
      <c r="B141" s="107" t="s">
        <v>65</v>
      </c>
      <c r="C141" s="10" t="s">
        <v>686</v>
      </c>
      <c r="D141" s="12" t="s">
        <v>929</v>
      </c>
      <c r="E141" s="110" t="s">
        <v>236</v>
      </c>
      <c r="F141" s="6" t="s">
        <v>12</v>
      </c>
      <c r="G141" s="6" t="s">
        <v>976</v>
      </c>
      <c r="H141" s="6" t="s">
        <v>35</v>
      </c>
      <c r="I141" s="5">
        <v>3</v>
      </c>
      <c r="J141" s="67" t="s">
        <v>160</v>
      </c>
      <c r="K141" s="46">
        <v>7.5890000000000004</v>
      </c>
      <c r="L141" s="46">
        <v>14.161000000000001</v>
      </c>
      <c r="M141" s="46">
        <v>15.680999999999999</v>
      </c>
      <c r="N141" s="46">
        <v>20.341999999999999</v>
      </c>
      <c r="O141" s="46">
        <v>6.22</v>
      </c>
      <c r="P141" s="46">
        <v>21.122</v>
      </c>
      <c r="Q141" s="46">
        <v>9.7639999999999993</v>
      </c>
      <c r="R141" s="46">
        <v>17.279</v>
      </c>
      <c r="S141" s="46">
        <v>13.499000000000001</v>
      </c>
      <c r="T141" s="46">
        <v>11.587999999999999</v>
      </c>
      <c r="U141" s="46">
        <v>8.6280000000000001</v>
      </c>
      <c r="V141" s="46">
        <v>13.201000000000001</v>
      </c>
      <c r="W141" s="46">
        <v>7.8410000000000002</v>
      </c>
      <c r="X141" s="46">
        <v>2.8090000000000002</v>
      </c>
      <c r="Y141" s="46">
        <v>8.4920000000000009</v>
      </c>
      <c r="Z141" s="46">
        <v>16.074999999999999</v>
      </c>
      <c r="AA141" s="46">
        <v>6.2590000000000003</v>
      </c>
      <c r="AB141" s="46">
        <v>15.382</v>
      </c>
      <c r="AC141" s="46">
        <v>17.173999999999999</v>
      </c>
      <c r="AD141" s="46">
        <v>18.609000000000002</v>
      </c>
      <c r="AE141" s="46">
        <v>6.8079999999999998</v>
      </c>
      <c r="AF141" s="46">
        <v>12.015000000000001</v>
      </c>
      <c r="AG141" s="46">
        <v>4.8730000000000002</v>
      </c>
      <c r="AH141" s="46">
        <v>13.013999999999999</v>
      </c>
      <c r="AI141" s="46">
        <v>0</v>
      </c>
      <c r="AJ141" s="46">
        <v>25.297000000000001</v>
      </c>
      <c r="AK141" s="46">
        <v>19.374000000000002</v>
      </c>
      <c r="AL141" s="46">
        <v>7.7130000000000001</v>
      </c>
      <c r="AM141" s="46">
        <v>12.718</v>
      </c>
      <c r="AN141" s="46">
        <v>16.094999999999999</v>
      </c>
      <c r="AO141" s="46">
        <f>AVERAGE(K141:AN141)</f>
        <v>12.320733333333335</v>
      </c>
      <c r="AP141" s="7">
        <f>AO141/I141</f>
        <v>4.1069111111111116</v>
      </c>
      <c r="AQ141" s="81">
        <f t="shared" si="2"/>
        <v>369.62200000000007</v>
      </c>
    </row>
    <row r="142" spans="1:43" ht="14.25" customHeight="1" x14ac:dyDescent="0.3">
      <c r="A142" s="5">
        <v>167</v>
      </c>
      <c r="B142" s="107" t="s">
        <v>65</v>
      </c>
      <c r="C142" s="10" t="s">
        <v>687</v>
      </c>
      <c r="D142" s="12" t="s">
        <v>930</v>
      </c>
      <c r="E142" s="110" t="s">
        <v>236</v>
      </c>
      <c r="F142" s="6" t="s">
        <v>12</v>
      </c>
      <c r="G142" s="6" t="s">
        <v>976</v>
      </c>
      <c r="H142" s="6" t="s">
        <v>35</v>
      </c>
      <c r="I142" s="5">
        <v>3</v>
      </c>
      <c r="J142" s="67" t="s">
        <v>160</v>
      </c>
      <c r="K142" s="46">
        <v>0</v>
      </c>
      <c r="L142" s="46">
        <v>0</v>
      </c>
      <c r="M142" s="46">
        <v>0</v>
      </c>
      <c r="N142" s="46">
        <v>0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46">
        <v>0</v>
      </c>
      <c r="AA142" s="46">
        <v>0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</v>
      </c>
      <c r="AH142" s="46">
        <v>0</v>
      </c>
      <c r="AI142" s="46">
        <v>0</v>
      </c>
      <c r="AJ142" s="46">
        <v>0</v>
      </c>
      <c r="AK142" s="46">
        <v>0</v>
      </c>
      <c r="AL142" s="46">
        <v>0</v>
      </c>
      <c r="AM142" s="46">
        <v>0</v>
      </c>
      <c r="AN142" s="46">
        <v>0</v>
      </c>
      <c r="AO142" s="46">
        <f>AVERAGE(K142:AN142)</f>
        <v>0</v>
      </c>
      <c r="AP142" s="7">
        <f>AO142/I142</f>
        <v>0</v>
      </c>
      <c r="AQ142" s="81">
        <f t="shared" si="2"/>
        <v>0</v>
      </c>
    </row>
    <row r="143" spans="1:43" x14ac:dyDescent="0.3">
      <c r="A143" s="5">
        <v>168</v>
      </c>
      <c r="B143" s="107" t="s">
        <v>65</v>
      </c>
      <c r="C143" s="10" t="s">
        <v>688</v>
      </c>
      <c r="D143" s="12" t="s">
        <v>931</v>
      </c>
      <c r="E143" s="110" t="s">
        <v>236</v>
      </c>
      <c r="F143" s="6" t="s">
        <v>12</v>
      </c>
      <c r="G143" s="6" t="s">
        <v>976</v>
      </c>
      <c r="H143" s="6" t="s">
        <v>35</v>
      </c>
      <c r="I143" s="5">
        <v>3</v>
      </c>
      <c r="J143" s="67" t="s">
        <v>160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0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0</v>
      </c>
      <c r="AM143" s="46">
        <v>0</v>
      </c>
      <c r="AN143" s="46">
        <v>0</v>
      </c>
      <c r="AO143" s="46">
        <f>AVERAGE(K143:AN143)</f>
        <v>0</v>
      </c>
      <c r="AP143" s="7">
        <f>AO143/I143</f>
        <v>0</v>
      </c>
      <c r="AQ143" s="81">
        <f t="shared" si="2"/>
        <v>0</v>
      </c>
    </row>
    <row r="144" spans="1:43" x14ac:dyDescent="0.3">
      <c r="A144" s="5">
        <v>202</v>
      </c>
      <c r="B144" s="107" t="s">
        <v>65</v>
      </c>
      <c r="C144" s="5">
        <v>0</v>
      </c>
      <c r="D144" s="39" t="s">
        <v>122</v>
      </c>
      <c r="E144" s="110" t="s">
        <v>30</v>
      </c>
      <c r="F144" s="6" t="s">
        <v>19</v>
      </c>
      <c r="G144" s="6" t="s">
        <v>976</v>
      </c>
      <c r="H144" s="6" t="s">
        <v>14</v>
      </c>
      <c r="I144" s="5">
        <v>3</v>
      </c>
      <c r="J144" s="67" t="s">
        <v>160</v>
      </c>
      <c r="K144" s="46">
        <v>0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>
        <v>0</v>
      </c>
      <c r="AK144" s="46">
        <v>0</v>
      </c>
      <c r="AL144" s="46">
        <v>0</v>
      </c>
      <c r="AM144" s="46">
        <v>0</v>
      </c>
      <c r="AN144" s="46">
        <v>0</v>
      </c>
      <c r="AO144" s="46">
        <f>AVERAGE(K144:AN144)</f>
        <v>0</v>
      </c>
      <c r="AP144" s="7">
        <f>AO144/I144</f>
        <v>0</v>
      </c>
      <c r="AQ144" s="81">
        <f t="shared" si="2"/>
        <v>0</v>
      </c>
    </row>
    <row r="145" spans="1:43" x14ac:dyDescent="0.3">
      <c r="A145" s="5">
        <v>14</v>
      </c>
      <c r="B145" s="107" t="s">
        <v>9</v>
      </c>
      <c r="C145" s="112" t="s">
        <v>965</v>
      </c>
      <c r="D145" s="112" t="s">
        <v>914</v>
      </c>
      <c r="E145" s="110" t="s">
        <v>128</v>
      </c>
      <c r="F145" s="6" t="s">
        <v>12</v>
      </c>
      <c r="G145" s="6" t="s">
        <v>976</v>
      </c>
      <c r="H145" s="6" t="s">
        <v>35</v>
      </c>
      <c r="I145" s="5">
        <v>4</v>
      </c>
      <c r="J145" s="67" t="s">
        <v>160</v>
      </c>
      <c r="K145" s="46">
        <v>38.954999999999998</v>
      </c>
      <c r="L145" s="46">
        <v>31.943999999999996</v>
      </c>
      <c r="M145" s="46">
        <v>33.378</v>
      </c>
      <c r="N145" s="46">
        <v>36.385000000000005</v>
      </c>
      <c r="O145" s="46">
        <v>39.768000000000008</v>
      </c>
      <c r="P145" s="46">
        <v>33.594000000000001</v>
      </c>
      <c r="Q145" s="46">
        <v>35.006999999999998</v>
      </c>
      <c r="R145" s="46">
        <v>27.725000000000001</v>
      </c>
      <c r="S145" s="46">
        <v>43.137999999999998</v>
      </c>
      <c r="T145" s="46">
        <v>31.587</v>
      </c>
      <c r="U145" s="46">
        <v>48.410000000000004</v>
      </c>
      <c r="V145" s="46">
        <v>35.531999999999996</v>
      </c>
      <c r="W145" s="46">
        <v>3.8</v>
      </c>
      <c r="X145" s="46">
        <v>45.478999999999999</v>
      </c>
      <c r="Y145" s="46">
        <v>28.432000000000002</v>
      </c>
      <c r="Z145" s="46">
        <v>39.958999999999996</v>
      </c>
      <c r="AA145" s="46">
        <v>28.398000000000003</v>
      </c>
      <c r="AB145" s="46">
        <v>37.222000000000001</v>
      </c>
      <c r="AC145" s="46">
        <v>59.254999999999995</v>
      </c>
      <c r="AD145" s="46">
        <v>14.157</v>
      </c>
      <c r="AE145" s="46">
        <v>40.101999999999997</v>
      </c>
      <c r="AF145" s="46">
        <v>35.461999999999996</v>
      </c>
      <c r="AG145" s="46">
        <v>33.726000000000006</v>
      </c>
      <c r="AH145" s="46">
        <v>19.789000000000001</v>
      </c>
      <c r="AI145" s="46">
        <v>31.869</v>
      </c>
      <c r="AJ145" s="46">
        <v>23.853999999999999</v>
      </c>
      <c r="AK145" s="46">
        <v>37.167999999999999</v>
      </c>
      <c r="AL145" s="46">
        <v>32.723000000000006</v>
      </c>
      <c r="AM145" s="46">
        <v>31.056999999999999</v>
      </c>
      <c r="AN145" s="46">
        <v>34.718999999999994</v>
      </c>
      <c r="AO145" s="46">
        <f>AVERAGE(K145:AN145)</f>
        <v>33.753133333333338</v>
      </c>
      <c r="AP145" s="7">
        <f>AO145/I145</f>
        <v>8.4382833333333345</v>
      </c>
      <c r="AQ145" s="81">
        <f t="shared" si="2"/>
        <v>1012.5940000000001</v>
      </c>
    </row>
    <row r="146" spans="1:43" x14ac:dyDescent="0.3">
      <c r="A146" s="5">
        <v>72</v>
      </c>
      <c r="B146" s="107" t="s">
        <v>9</v>
      </c>
      <c r="C146" s="10">
        <v>0</v>
      </c>
      <c r="D146" s="10" t="s">
        <v>1061</v>
      </c>
      <c r="E146" s="110" t="s">
        <v>128</v>
      </c>
      <c r="F146" s="6" t="s">
        <v>12</v>
      </c>
      <c r="G146" s="6" t="s">
        <v>1023</v>
      </c>
      <c r="H146" s="6" t="s">
        <v>80</v>
      </c>
      <c r="I146" s="5">
        <v>4</v>
      </c>
      <c r="J146" s="67" t="s">
        <v>160</v>
      </c>
      <c r="K146" s="46">
        <v>245.41</v>
      </c>
      <c r="L146" s="46">
        <v>224.16</v>
      </c>
      <c r="M146" s="46">
        <v>331.20000000000005</v>
      </c>
      <c r="N146" s="46">
        <v>354.93999999999988</v>
      </c>
      <c r="O146" s="46">
        <v>251.39000000000001</v>
      </c>
      <c r="P146" s="46">
        <v>165.34</v>
      </c>
      <c r="Q146" s="46">
        <v>371.73</v>
      </c>
      <c r="R146" s="46">
        <v>439.48000000000008</v>
      </c>
      <c r="S146" s="46">
        <v>539.61</v>
      </c>
      <c r="T146" s="46">
        <v>372.59</v>
      </c>
      <c r="U146" s="46">
        <v>388.62000000000006</v>
      </c>
      <c r="V146" s="46">
        <v>318.75</v>
      </c>
      <c r="W146" s="46">
        <v>194.57999999999998</v>
      </c>
      <c r="X146" s="46">
        <v>457.00999999999993</v>
      </c>
      <c r="Y146" s="46">
        <v>648.27</v>
      </c>
      <c r="Z146" s="46">
        <v>606.66999999999985</v>
      </c>
      <c r="AA146" s="46">
        <v>416.3900000000001</v>
      </c>
      <c r="AB146" s="46">
        <v>298.42</v>
      </c>
      <c r="AC146" s="46">
        <v>369.31999999999994</v>
      </c>
      <c r="AD146" s="46">
        <v>247.36000000000004</v>
      </c>
      <c r="AE146" s="46">
        <v>655.83</v>
      </c>
      <c r="AF146" s="46">
        <v>446.36999999999995</v>
      </c>
      <c r="AG146" s="46">
        <v>561.84999999999991</v>
      </c>
      <c r="AH146" s="46">
        <v>463.10000000000008</v>
      </c>
      <c r="AI146" s="46">
        <v>472.42000000000019</v>
      </c>
      <c r="AJ146" s="46">
        <v>684.40000000000009</v>
      </c>
      <c r="AK146" s="46">
        <v>295.00000000000006</v>
      </c>
      <c r="AL146" s="46">
        <v>385.06999999999994</v>
      </c>
      <c r="AM146" s="46">
        <v>633.76999999999975</v>
      </c>
      <c r="AN146" s="46">
        <v>618.66000000000008</v>
      </c>
      <c r="AO146" s="46">
        <f>AVERAGE(K146:AN146)</f>
        <v>415.25700000000001</v>
      </c>
      <c r="AP146" s="7">
        <f>AO146/I146</f>
        <v>103.81425</v>
      </c>
      <c r="AQ146" s="81">
        <f t="shared" si="2"/>
        <v>12457.710000000001</v>
      </c>
    </row>
    <row r="147" spans="1:43" x14ac:dyDescent="0.3">
      <c r="A147" s="5">
        <v>79</v>
      </c>
      <c r="B147" s="107" t="s">
        <v>9</v>
      </c>
      <c r="C147" s="5">
        <v>0</v>
      </c>
      <c r="D147" s="6" t="s">
        <v>27</v>
      </c>
      <c r="E147" s="110" t="s">
        <v>28</v>
      </c>
      <c r="F147" s="6" t="s">
        <v>19</v>
      </c>
      <c r="G147" s="6" t="s">
        <v>976</v>
      </c>
      <c r="H147" s="6" t="s">
        <v>14</v>
      </c>
      <c r="I147" s="5">
        <v>4</v>
      </c>
      <c r="J147" s="67" t="s">
        <v>160</v>
      </c>
      <c r="K147" s="46">
        <v>0</v>
      </c>
      <c r="L147" s="46">
        <v>0</v>
      </c>
      <c r="M147" s="46">
        <v>0</v>
      </c>
      <c r="N147" s="46">
        <v>0</v>
      </c>
      <c r="O147" s="46">
        <v>0</v>
      </c>
      <c r="P147" s="46">
        <v>0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46">
        <v>0</v>
      </c>
      <c r="AA147" s="46">
        <v>0</v>
      </c>
      <c r="AB147" s="46">
        <v>0</v>
      </c>
      <c r="AC147" s="46">
        <v>0</v>
      </c>
      <c r="AD147" s="46">
        <v>0</v>
      </c>
      <c r="AE147" s="46">
        <v>0</v>
      </c>
      <c r="AF147" s="46">
        <v>0</v>
      </c>
      <c r="AG147" s="46">
        <v>0</v>
      </c>
      <c r="AH147" s="46">
        <v>0</v>
      </c>
      <c r="AI147" s="46">
        <v>0</v>
      </c>
      <c r="AJ147" s="46">
        <v>0</v>
      </c>
      <c r="AK147" s="46">
        <v>0</v>
      </c>
      <c r="AL147" s="46">
        <v>0</v>
      </c>
      <c r="AM147" s="46">
        <v>0</v>
      </c>
      <c r="AN147" s="46">
        <v>0</v>
      </c>
      <c r="AO147" s="46">
        <f>AVERAGE(K147:AN147)</f>
        <v>0</v>
      </c>
      <c r="AP147" s="7">
        <f>AO147/I147</f>
        <v>0</v>
      </c>
      <c r="AQ147" s="81">
        <f t="shared" si="2"/>
        <v>0</v>
      </c>
    </row>
    <row r="148" spans="1:43" x14ac:dyDescent="0.3">
      <c r="A148" s="5">
        <v>93</v>
      </c>
      <c r="B148" s="107" t="s">
        <v>58</v>
      </c>
      <c r="C148" s="112" t="s">
        <v>646</v>
      </c>
      <c r="D148" s="112" t="s">
        <v>724</v>
      </c>
      <c r="E148" s="110" t="s">
        <v>61</v>
      </c>
      <c r="F148" s="6" t="s">
        <v>12</v>
      </c>
      <c r="G148" s="6" t="s">
        <v>976</v>
      </c>
      <c r="H148" s="6" t="s">
        <v>35</v>
      </c>
      <c r="I148" s="5">
        <v>4</v>
      </c>
      <c r="J148" s="12" t="s">
        <v>589</v>
      </c>
      <c r="K148" s="46">
        <v>7.7040000000000006</v>
      </c>
      <c r="L148" s="46">
        <v>11.86</v>
      </c>
      <c r="M148" s="46">
        <v>12.452999999999999</v>
      </c>
      <c r="N148" s="46">
        <v>10.72</v>
      </c>
      <c r="O148" s="46">
        <v>10.074999999999999</v>
      </c>
      <c r="P148" s="46">
        <v>11.228999999999999</v>
      </c>
      <c r="Q148" s="46">
        <v>13.294</v>
      </c>
      <c r="R148" s="46">
        <v>11.898</v>
      </c>
      <c r="S148" s="46">
        <v>17.128</v>
      </c>
      <c r="T148" s="46">
        <v>22.638000000000002</v>
      </c>
      <c r="U148" s="46">
        <v>11.648</v>
      </c>
      <c r="V148" s="46">
        <v>12.283999999999999</v>
      </c>
      <c r="W148" s="46">
        <v>13.170999999999999</v>
      </c>
      <c r="X148" s="46">
        <v>19.143999999999998</v>
      </c>
      <c r="Y148" s="46">
        <v>9.722999999999999</v>
      </c>
      <c r="Z148" s="46">
        <v>10.039000000000001</v>
      </c>
      <c r="AA148" s="46">
        <v>8.3170000000000002</v>
      </c>
      <c r="AB148" s="46">
        <v>11.321000000000002</v>
      </c>
      <c r="AC148" s="46">
        <v>4.2830000000000004</v>
      </c>
      <c r="AD148" s="46">
        <v>0</v>
      </c>
      <c r="AE148" s="46">
        <v>14.536</v>
      </c>
      <c r="AF148" s="46">
        <v>4.569</v>
      </c>
      <c r="AG148" s="46">
        <v>13.666</v>
      </c>
      <c r="AH148" s="46">
        <v>10.269</v>
      </c>
      <c r="AI148" s="46">
        <v>11.436</v>
      </c>
      <c r="AJ148" s="46">
        <v>13.858999999999998</v>
      </c>
      <c r="AK148" s="46">
        <v>16.57</v>
      </c>
      <c r="AL148" s="46">
        <v>12.670000000000002</v>
      </c>
      <c r="AM148" s="46">
        <v>5.7240000000000002</v>
      </c>
      <c r="AN148" s="46">
        <v>7.6280000000000001</v>
      </c>
      <c r="AO148" s="46">
        <f>AVERAGE(K148:AN148)</f>
        <v>11.328533333333331</v>
      </c>
      <c r="AP148" s="7">
        <f>AO148/I148</f>
        <v>2.8321333333333327</v>
      </c>
      <c r="AQ148" s="81">
        <f t="shared" si="2"/>
        <v>339.85599999999994</v>
      </c>
    </row>
    <row r="149" spans="1:43" x14ac:dyDescent="0.3">
      <c r="A149" s="5">
        <v>159</v>
      </c>
      <c r="B149" s="107" t="s">
        <v>65</v>
      </c>
      <c r="C149" s="10" t="s">
        <v>682</v>
      </c>
      <c r="D149" s="12" t="s">
        <v>744</v>
      </c>
      <c r="E149" s="110" t="s">
        <v>128</v>
      </c>
      <c r="F149" s="6" t="s">
        <v>12</v>
      </c>
      <c r="G149" s="6" t="s">
        <v>976</v>
      </c>
      <c r="H149" s="6" t="s">
        <v>35</v>
      </c>
      <c r="I149" s="5">
        <v>4</v>
      </c>
      <c r="J149" s="12" t="s">
        <v>160</v>
      </c>
      <c r="K149" s="46">
        <v>0</v>
      </c>
      <c r="L149" s="46">
        <v>0</v>
      </c>
      <c r="M149" s="46">
        <v>0.87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1.3109999999999999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>
        <v>0</v>
      </c>
      <c r="AK149" s="46">
        <v>0</v>
      </c>
      <c r="AL149" s="46">
        <v>1.9E-2</v>
      </c>
      <c r="AM149" s="46">
        <v>0</v>
      </c>
      <c r="AN149" s="46">
        <v>0</v>
      </c>
      <c r="AO149" s="46">
        <f>AVERAGE(K149:AN149)</f>
        <v>7.3333333333333334E-2</v>
      </c>
      <c r="AP149" s="7">
        <f>AO149/I149</f>
        <v>1.8333333333333333E-2</v>
      </c>
      <c r="AQ149" s="81">
        <f t="shared" si="2"/>
        <v>2.2000000000000002</v>
      </c>
    </row>
    <row r="150" spans="1:43" x14ac:dyDescent="0.3">
      <c r="A150" s="5">
        <v>169</v>
      </c>
      <c r="B150" s="107" t="s">
        <v>65</v>
      </c>
      <c r="C150" s="10" t="s">
        <v>689</v>
      </c>
      <c r="D150" s="12" t="s">
        <v>811</v>
      </c>
      <c r="E150" s="110" t="s">
        <v>30</v>
      </c>
      <c r="F150" s="6" t="s">
        <v>12</v>
      </c>
      <c r="G150" s="6" t="s">
        <v>976</v>
      </c>
      <c r="H150" s="6" t="s">
        <v>35</v>
      </c>
      <c r="I150" s="5">
        <v>4</v>
      </c>
      <c r="J150" s="12" t="s">
        <v>590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1.6850000000000001</v>
      </c>
      <c r="R150" s="46">
        <v>10.789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7.5330000000000004</v>
      </c>
      <c r="AI150" s="46">
        <v>10.81</v>
      </c>
      <c r="AJ150" s="46">
        <v>0</v>
      </c>
      <c r="AK150" s="46">
        <v>0</v>
      </c>
      <c r="AL150" s="46">
        <v>0</v>
      </c>
      <c r="AM150" s="46">
        <v>0</v>
      </c>
      <c r="AN150" s="46">
        <v>0</v>
      </c>
      <c r="AO150" s="46">
        <f>AVERAGE(K150:AN150)</f>
        <v>1.0272333333333334</v>
      </c>
      <c r="AP150" s="7">
        <f>AO150/I150</f>
        <v>0.25680833333333336</v>
      </c>
      <c r="AQ150" s="81">
        <f t="shared" si="2"/>
        <v>30.817</v>
      </c>
    </row>
    <row r="151" spans="1:43" x14ac:dyDescent="0.3">
      <c r="A151" s="5">
        <v>42</v>
      </c>
      <c r="B151" s="107" t="s">
        <v>9</v>
      </c>
      <c r="C151" s="112" t="s">
        <v>623</v>
      </c>
      <c r="D151" s="112" t="s">
        <v>752</v>
      </c>
      <c r="E151" s="110" t="s">
        <v>128</v>
      </c>
      <c r="F151" s="6" t="s">
        <v>12</v>
      </c>
      <c r="G151" s="6" t="s">
        <v>976</v>
      </c>
      <c r="H151" s="6" t="s">
        <v>35</v>
      </c>
      <c r="I151" s="5">
        <v>5</v>
      </c>
      <c r="J151" s="94" t="s">
        <v>273</v>
      </c>
      <c r="K151" s="46">
        <v>12.459</v>
      </c>
      <c r="L151" s="46">
        <v>10.709</v>
      </c>
      <c r="M151" s="46">
        <v>7.7789999999999999</v>
      </c>
      <c r="N151" s="46">
        <v>10.292000000000002</v>
      </c>
      <c r="O151" s="46">
        <v>8.2789999999999999</v>
      </c>
      <c r="P151" s="46">
        <v>12.206</v>
      </c>
      <c r="Q151" s="46">
        <v>9.8000000000000007</v>
      </c>
      <c r="R151" s="46">
        <v>5.58</v>
      </c>
      <c r="S151" s="46">
        <v>11.704000000000001</v>
      </c>
      <c r="T151" s="46">
        <v>10.815000000000001</v>
      </c>
      <c r="U151" s="46">
        <v>8.7620000000000005</v>
      </c>
      <c r="V151" s="46">
        <v>9.0679999999999996</v>
      </c>
      <c r="W151" s="46">
        <v>9.4480000000000004</v>
      </c>
      <c r="X151" s="46">
        <v>14.530000000000001</v>
      </c>
      <c r="Y151" s="46">
        <v>4.3879999999999999</v>
      </c>
      <c r="Z151" s="46">
        <v>16.802</v>
      </c>
      <c r="AA151" s="46">
        <v>2.0529999999999999</v>
      </c>
      <c r="AB151" s="46">
        <v>8.738999999999999</v>
      </c>
      <c r="AC151" s="46">
        <v>9.0289999999999999</v>
      </c>
      <c r="AD151" s="46">
        <v>8.8000000000000007</v>
      </c>
      <c r="AE151" s="46">
        <v>11.396000000000001</v>
      </c>
      <c r="AF151" s="46">
        <v>8.0129999999999999</v>
      </c>
      <c r="AG151" s="46">
        <v>8.1270000000000007</v>
      </c>
      <c r="AH151" s="46">
        <v>11.515000000000001</v>
      </c>
      <c r="AI151" s="46">
        <v>7.7319999999999993</v>
      </c>
      <c r="AJ151" s="46">
        <v>3.6</v>
      </c>
      <c r="AK151" s="46">
        <v>3.7360000000000002</v>
      </c>
      <c r="AL151" s="46">
        <v>9.1280000000000001</v>
      </c>
      <c r="AM151" s="46">
        <v>4.8789999999999996</v>
      </c>
      <c r="AN151" s="46">
        <v>4.3620000000000001</v>
      </c>
      <c r="AO151" s="46">
        <f>AVERAGE(K151:AN151)</f>
        <v>8.7910000000000004</v>
      </c>
      <c r="AP151" s="7">
        <f>AO151/I151</f>
        <v>1.7582</v>
      </c>
      <c r="AQ151" s="81">
        <f t="shared" si="2"/>
        <v>263.73</v>
      </c>
    </row>
    <row r="152" spans="1:43" ht="15.75" customHeight="1" x14ac:dyDescent="0.3">
      <c r="A152" s="5">
        <v>48</v>
      </c>
      <c r="B152" s="107" t="s">
        <v>9</v>
      </c>
      <c r="C152" s="112" t="s">
        <v>629</v>
      </c>
      <c r="D152" s="112" t="s">
        <v>735</v>
      </c>
      <c r="E152" s="110" t="s">
        <v>128</v>
      </c>
      <c r="F152" s="6" t="s">
        <v>12</v>
      </c>
      <c r="G152" s="6" t="s">
        <v>976</v>
      </c>
      <c r="H152" s="6" t="s">
        <v>35</v>
      </c>
      <c r="I152" s="5">
        <v>5</v>
      </c>
      <c r="J152" s="12" t="s">
        <v>590</v>
      </c>
      <c r="K152" s="46">
        <v>8.3000000000000007</v>
      </c>
      <c r="L152" s="46">
        <v>14.366000000000001</v>
      </c>
      <c r="M152" s="46">
        <v>3.3019999999999996</v>
      </c>
      <c r="N152" s="46">
        <v>12.771000000000001</v>
      </c>
      <c r="O152" s="46">
        <v>8.94</v>
      </c>
      <c r="P152" s="46">
        <v>1.96</v>
      </c>
      <c r="Q152" s="46">
        <v>6.5449999999999999</v>
      </c>
      <c r="R152" s="46">
        <v>11.159999999999998</v>
      </c>
      <c r="S152" s="46">
        <v>21.954999999999998</v>
      </c>
      <c r="T152" s="46">
        <v>4.8920000000000003</v>
      </c>
      <c r="U152" s="46">
        <v>24.293000000000003</v>
      </c>
      <c r="V152" s="46">
        <v>7.6280000000000001</v>
      </c>
      <c r="W152" s="46">
        <v>9.9789999999999992</v>
      </c>
      <c r="X152" s="46">
        <v>11.57</v>
      </c>
      <c r="Y152" s="46">
        <v>2.456</v>
      </c>
      <c r="Z152" s="46">
        <v>5.4590000000000005</v>
      </c>
      <c r="AA152" s="46">
        <v>18.904</v>
      </c>
      <c r="AB152" s="46">
        <v>6.68</v>
      </c>
      <c r="AC152" s="46">
        <v>6.7919999999999998</v>
      </c>
      <c r="AD152" s="46">
        <v>7.2350000000000003</v>
      </c>
      <c r="AE152" s="46">
        <v>9.8480000000000008</v>
      </c>
      <c r="AF152" s="46">
        <v>22.663</v>
      </c>
      <c r="AG152" s="46">
        <v>9.1630000000000003</v>
      </c>
      <c r="AH152" s="46">
        <v>6.5839999999999996</v>
      </c>
      <c r="AI152" s="46">
        <v>20.825999999999997</v>
      </c>
      <c r="AJ152" s="46">
        <v>8.5850000000000009</v>
      </c>
      <c r="AK152" s="46">
        <v>4.46</v>
      </c>
      <c r="AL152" s="46">
        <v>11.522</v>
      </c>
      <c r="AM152" s="46">
        <v>6.8289999999999997</v>
      </c>
      <c r="AN152" s="46">
        <v>3.5960000000000001</v>
      </c>
      <c r="AO152" s="46">
        <f>AVERAGE(K152:AN152)</f>
        <v>9.9754333333333349</v>
      </c>
      <c r="AP152" s="7">
        <f>AO152/I152</f>
        <v>1.9950866666666669</v>
      </c>
      <c r="AQ152" s="81">
        <f t="shared" si="2"/>
        <v>299.26300000000003</v>
      </c>
    </row>
    <row r="153" spans="1:43" x14ac:dyDescent="0.3">
      <c r="A153" s="5">
        <v>70</v>
      </c>
      <c r="B153" s="107" t="s">
        <v>9</v>
      </c>
      <c r="C153" s="10">
        <v>0</v>
      </c>
      <c r="D153" s="10" t="s">
        <v>991</v>
      </c>
      <c r="E153" s="110" t="s">
        <v>128</v>
      </c>
      <c r="F153" s="6" t="s">
        <v>12</v>
      </c>
      <c r="G153" s="6" t="s">
        <v>40</v>
      </c>
      <c r="H153" s="6" t="s">
        <v>35</v>
      </c>
      <c r="I153" s="5">
        <v>5</v>
      </c>
      <c r="J153" s="94" t="s">
        <v>590</v>
      </c>
      <c r="K153" s="46">
        <v>5.3739999999999997</v>
      </c>
      <c r="L153" s="46">
        <v>4.867</v>
      </c>
      <c r="M153" s="46">
        <v>0</v>
      </c>
      <c r="N153" s="46">
        <v>0</v>
      </c>
      <c r="O153" s="46">
        <v>9.0050000000000008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8.0549999999999997</v>
      </c>
      <c r="X153" s="46">
        <v>0</v>
      </c>
      <c r="Y153" s="46">
        <v>0</v>
      </c>
      <c r="Z153" s="46">
        <v>7.7769999999999992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7.7850000000000001</v>
      </c>
      <c r="AI153" s="46">
        <v>0</v>
      </c>
      <c r="AJ153" s="46">
        <v>0</v>
      </c>
      <c r="AK153" s="46">
        <v>12</v>
      </c>
      <c r="AL153" s="46">
        <v>0</v>
      </c>
      <c r="AM153" s="46">
        <v>0</v>
      </c>
      <c r="AN153" s="46">
        <v>2.6259999999999999</v>
      </c>
      <c r="AO153" s="46">
        <f>AVERAGE(K153:AN153)</f>
        <v>1.9162999999999999</v>
      </c>
      <c r="AP153" s="7">
        <f>AO153/I153</f>
        <v>0.38325999999999999</v>
      </c>
      <c r="AQ153" s="81">
        <f t="shared" si="2"/>
        <v>57.488999999999997</v>
      </c>
    </row>
    <row r="154" spans="1:43" x14ac:dyDescent="0.3">
      <c r="A154" s="5">
        <v>82</v>
      </c>
      <c r="B154" s="107" t="s">
        <v>49</v>
      </c>
      <c r="C154" s="112" t="s">
        <v>640</v>
      </c>
      <c r="D154" s="112" t="s">
        <v>717</v>
      </c>
      <c r="E154" s="110" t="s">
        <v>128</v>
      </c>
      <c r="F154" s="6" t="s">
        <v>12</v>
      </c>
      <c r="G154" s="6" t="s">
        <v>976</v>
      </c>
      <c r="H154" s="6" t="s">
        <v>35</v>
      </c>
      <c r="I154" s="5">
        <v>5</v>
      </c>
      <c r="J154" s="12" t="s">
        <v>589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f>AVERAGE(K154:AN154)</f>
        <v>0</v>
      </c>
      <c r="AP154" s="7">
        <f>AO154/I154</f>
        <v>0</v>
      </c>
      <c r="AQ154" s="81">
        <f t="shared" si="2"/>
        <v>0</v>
      </c>
    </row>
    <row r="155" spans="1:43" x14ac:dyDescent="0.3">
      <c r="A155" s="5">
        <v>92</v>
      </c>
      <c r="B155" s="108" t="s">
        <v>246</v>
      </c>
      <c r="C155" s="112" t="s">
        <v>645</v>
      </c>
      <c r="D155" s="112" t="s">
        <v>765</v>
      </c>
      <c r="E155" s="110" t="s">
        <v>128</v>
      </c>
      <c r="F155" s="6" t="s">
        <v>12</v>
      </c>
      <c r="G155" s="6" t="s">
        <v>976</v>
      </c>
      <c r="H155" s="6" t="s">
        <v>35</v>
      </c>
      <c r="I155" s="5">
        <v>5</v>
      </c>
      <c r="J155" s="12" t="s">
        <v>273</v>
      </c>
      <c r="K155" s="46">
        <v>18.637999999999998</v>
      </c>
      <c r="L155" s="46">
        <v>21.225999999999999</v>
      </c>
      <c r="M155" s="46">
        <v>35.638999999999996</v>
      </c>
      <c r="N155" s="46">
        <v>5.3800000000000008</v>
      </c>
      <c r="O155" s="46">
        <v>53.031000000000006</v>
      </c>
      <c r="P155" s="46">
        <v>24.628</v>
      </c>
      <c r="Q155" s="46">
        <v>19.224</v>
      </c>
      <c r="R155" s="46">
        <v>19.738999999999997</v>
      </c>
      <c r="S155" s="46">
        <v>18.765000000000001</v>
      </c>
      <c r="T155" s="46">
        <v>41.887999999999998</v>
      </c>
      <c r="U155" s="46">
        <v>23.12</v>
      </c>
      <c r="V155" s="46">
        <v>13.725</v>
      </c>
      <c r="W155" s="46">
        <v>21.520000000000003</v>
      </c>
      <c r="X155" s="46">
        <v>47.936999999999998</v>
      </c>
      <c r="Y155" s="46">
        <v>28.282000000000004</v>
      </c>
      <c r="Z155" s="46">
        <v>20.712</v>
      </c>
      <c r="AA155" s="46">
        <v>28.696000000000002</v>
      </c>
      <c r="AB155" s="46">
        <v>22.875999999999998</v>
      </c>
      <c r="AC155" s="46">
        <v>35.242000000000004</v>
      </c>
      <c r="AD155" s="46">
        <v>8.8470000000000013</v>
      </c>
      <c r="AE155" s="46">
        <v>31.994</v>
      </c>
      <c r="AF155" s="46">
        <v>17.032</v>
      </c>
      <c r="AG155" s="46">
        <v>26.137</v>
      </c>
      <c r="AH155" s="46">
        <v>20.779</v>
      </c>
      <c r="AI155" s="46">
        <v>28.713000000000001</v>
      </c>
      <c r="AJ155" s="46">
        <v>26.898000000000003</v>
      </c>
      <c r="AK155" s="46">
        <v>17.349</v>
      </c>
      <c r="AL155" s="46">
        <v>39.757999999999996</v>
      </c>
      <c r="AM155" s="46">
        <v>10.683</v>
      </c>
      <c r="AN155" s="46">
        <v>23.844999999999999</v>
      </c>
      <c r="AO155" s="46">
        <f>AVERAGE(K155:AN155)</f>
        <v>25.076766666666671</v>
      </c>
      <c r="AP155" s="7">
        <f>AO155/I155</f>
        <v>5.0153533333333344</v>
      </c>
      <c r="AQ155" s="81">
        <f t="shared" si="2"/>
        <v>752.30300000000011</v>
      </c>
    </row>
    <row r="156" spans="1:43" x14ac:dyDescent="0.3">
      <c r="A156" s="5">
        <v>141</v>
      </c>
      <c r="B156" s="107" t="s">
        <v>65</v>
      </c>
      <c r="C156" s="10" t="s">
        <v>670</v>
      </c>
      <c r="D156" s="12" t="s">
        <v>732</v>
      </c>
      <c r="E156" s="110" t="s">
        <v>30</v>
      </c>
      <c r="F156" s="6" t="s">
        <v>12</v>
      </c>
      <c r="G156" s="6" t="s">
        <v>976</v>
      </c>
      <c r="H156" s="6" t="s">
        <v>35</v>
      </c>
      <c r="I156" s="5">
        <v>5</v>
      </c>
      <c r="J156" s="12" t="s">
        <v>589</v>
      </c>
      <c r="K156" s="46">
        <v>0</v>
      </c>
      <c r="L156" s="46">
        <v>0</v>
      </c>
      <c r="M156" s="46">
        <v>0</v>
      </c>
      <c r="N156" s="46">
        <v>0</v>
      </c>
      <c r="O156" s="46">
        <v>0.36199999999999999</v>
      </c>
      <c r="P156" s="46">
        <v>1.0999999999999999E-2</v>
      </c>
      <c r="Q156" s="46">
        <v>0.69099999999999995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3.1960000000000002</v>
      </c>
      <c r="X156" s="46">
        <v>0</v>
      </c>
      <c r="Y156" s="46">
        <v>0</v>
      </c>
      <c r="Z156" s="46">
        <v>2.7289999999999996</v>
      </c>
      <c r="AA156" s="46">
        <v>1.0900000000000001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0.90900000000000003</v>
      </c>
      <c r="AH156" s="46">
        <v>0</v>
      </c>
      <c r="AI156" s="59">
        <v>0</v>
      </c>
      <c r="AJ156" s="59">
        <v>0</v>
      </c>
      <c r="AK156" s="46">
        <v>0</v>
      </c>
      <c r="AL156" s="46">
        <v>0</v>
      </c>
      <c r="AM156" s="46">
        <v>0.20699999999999999</v>
      </c>
      <c r="AN156" s="46">
        <v>0</v>
      </c>
      <c r="AO156" s="46">
        <f>AVERAGE(K156:AN156)</f>
        <v>0.30649999999999999</v>
      </c>
      <c r="AP156" s="7">
        <f>AO156/I156</f>
        <v>6.13E-2</v>
      </c>
      <c r="AQ156" s="81">
        <f t="shared" si="2"/>
        <v>9.1950000000000003</v>
      </c>
    </row>
    <row r="157" spans="1:43" x14ac:dyDescent="0.3">
      <c r="A157" s="5">
        <v>156</v>
      </c>
      <c r="B157" s="107" t="s">
        <v>65</v>
      </c>
      <c r="C157" s="112" t="s">
        <v>701</v>
      </c>
      <c r="D157" s="112" t="s">
        <v>938</v>
      </c>
      <c r="E157" s="110" t="s">
        <v>128</v>
      </c>
      <c r="F157" s="6" t="s">
        <v>12</v>
      </c>
      <c r="G157" s="6" t="s">
        <v>976</v>
      </c>
      <c r="H157" s="6" t="s">
        <v>35</v>
      </c>
      <c r="I157" s="5">
        <v>5</v>
      </c>
      <c r="J157" s="12" t="s">
        <v>589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59">
        <v>0</v>
      </c>
      <c r="W157" s="59">
        <v>0</v>
      </c>
      <c r="X157" s="59">
        <v>0</v>
      </c>
      <c r="Y157" s="59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f>AVERAGE(K157:AN157)</f>
        <v>0</v>
      </c>
      <c r="AP157" s="7">
        <f>AO157/I157</f>
        <v>0</v>
      </c>
      <c r="AQ157" s="81">
        <f t="shared" si="2"/>
        <v>0</v>
      </c>
    </row>
    <row r="158" spans="1:43" x14ac:dyDescent="0.3">
      <c r="A158" s="5">
        <v>1</v>
      </c>
      <c r="B158" s="107" t="s">
        <v>9</v>
      </c>
      <c r="C158" s="112" t="s">
        <v>600</v>
      </c>
      <c r="D158" s="112" t="s">
        <v>739</v>
      </c>
      <c r="E158" s="110" t="s">
        <v>11</v>
      </c>
      <c r="F158" s="6" t="s">
        <v>12</v>
      </c>
      <c r="G158" s="6" t="s">
        <v>976</v>
      </c>
      <c r="H158" s="6" t="s">
        <v>35</v>
      </c>
      <c r="I158" s="5">
        <v>6</v>
      </c>
      <c r="J158" s="67" t="s">
        <v>160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f>AVERAGE(K158:AN158)</f>
        <v>0</v>
      </c>
      <c r="AP158" s="7">
        <f>AO158/I158</f>
        <v>0</v>
      </c>
      <c r="AQ158" s="81">
        <f t="shared" si="2"/>
        <v>0</v>
      </c>
    </row>
    <row r="159" spans="1:43" x14ac:dyDescent="0.3">
      <c r="A159" s="5">
        <v>6</v>
      </c>
      <c r="B159" s="107" t="s">
        <v>9</v>
      </c>
      <c r="C159" s="112" t="s">
        <v>605</v>
      </c>
      <c r="D159" s="112" t="s">
        <v>750</v>
      </c>
      <c r="E159" s="110" t="s">
        <v>128</v>
      </c>
      <c r="F159" s="6" t="s">
        <v>12</v>
      </c>
      <c r="G159" s="6" t="s">
        <v>976</v>
      </c>
      <c r="H159" s="6" t="s">
        <v>35</v>
      </c>
      <c r="I159" s="5">
        <v>6</v>
      </c>
      <c r="J159" s="94" t="s">
        <v>273</v>
      </c>
      <c r="K159" s="46">
        <v>36.277000000000001</v>
      </c>
      <c r="L159" s="46">
        <v>29.665000000000003</v>
      </c>
      <c r="M159" s="46">
        <v>41.283000000000001</v>
      </c>
      <c r="N159" s="46">
        <v>26.960999999999995</v>
      </c>
      <c r="O159" s="46">
        <v>35.912999999999997</v>
      </c>
      <c r="P159" s="46">
        <v>44.231999999999999</v>
      </c>
      <c r="Q159" s="46">
        <v>23.312999999999999</v>
      </c>
      <c r="R159" s="46">
        <v>39.429000000000002</v>
      </c>
      <c r="S159" s="46">
        <v>33.844999999999999</v>
      </c>
      <c r="T159" s="46">
        <v>39.152999999999999</v>
      </c>
      <c r="U159" s="46">
        <v>45.875</v>
      </c>
      <c r="V159" s="46">
        <v>30.721</v>
      </c>
      <c r="W159" s="46">
        <v>38.363</v>
      </c>
      <c r="X159" s="46">
        <v>39.785000000000004</v>
      </c>
      <c r="Y159" s="46">
        <v>35.070000000000007</v>
      </c>
      <c r="Z159" s="46">
        <v>38.073999999999998</v>
      </c>
      <c r="AA159" s="46">
        <v>31.655000000000001</v>
      </c>
      <c r="AB159" s="46">
        <v>29.602</v>
      </c>
      <c r="AC159" s="46">
        <v>35.900999999999996</v>
      </c>
      <c r="AD159" s="46">
        <v>30.862000000000002</v>
      </c>
      <c r="AE159" s="46">
        <v>32.36</v>
      </c>
      <c r="AF159" s="46">
        <v>28.347999999999999</v>
      </c>
      <c r="AG159" s="46">
        <v>25.579000000000001</v>
      </c>
      <c r="AH159" s="46">
        <v>34.886000000000003</v>
      </c>
      <c r="AI159" s="46">
        <v>30.308999999999997</v>
      </c>
      <c r="AJ159" s="46">
        <v>28.259999999999998</v>
      </c>
      <c r="AK159" s="46">
        <v>29.393999999999998</v>
      </c>
      <c r="AL159" s="46">
        <v>30.594000000000001</v>
      </c>
      <c r="AM159" s="46">
        <v>28.971999999999998</v>
      </c>
      <c r="AN159" s="46">
        <v>32.082000000000001</v>
      </c>
      <c r="AO159" s="46">
        <f>AVERAGE(K159:AN159)</f>
        <v>33.558766666666664</v>
      </c>
      <c r="AP159" s="7">
        <f>AO159/I159</f>
        <v>5.5931277777777773</v>
      </c>
      <c r="AQ159" s="81">
        <f t="shared" si="2"/>
        <v>1006.7629999999998</v>
      </c>
    </row>
    <row r="160" spans="1:43" x14ac:dyDescent="0.3">
      <c r="A160" s="5">
        <v>39</v>
      </c>
      <c r="B160" s="107" t="s">
        <v>9</v>
      </c>
      <c r="C160" s="112" t="s">
        <v>620</v>
      </c>
      <c r="D160" s="112" t="s">
        <v>768</v>
      </c>
      <c r="E160" s="110" t="s">
        <v>128</v>
      </c>
      <c r="F160" s="6" t="s">
        <v>12</v>
      </c>
      <c r="G160" s="6" t="s">
        <v>976</v>
      </c>
      <c r="H160" s="6" t="s">
        <v>35</v>
      </c>
      <c r="I160" s="5">
        <v>6</v>
      </c>
      <c r="J160" s="94" t="s">
        <v>273</v>
      </c>
      <c r="K160" s="46">
        <v>53.573000000000008</v>
      </c>
      <c r="L160" s="46">
        <v>73.298000000000002</v>
      </c>
      <c r="M160" s="46">
        <v>55.528999999999989</v>
      </c>
      <c r="N160" s="46">
        <v>68.119000000000014</v>
      </c>
      <c r="O160" s="46">
        <v>100.69799999999998</v>
      </c>
      <c r="P160" s="46">
        <v>75.176999999999992</v>
      </c>
      <c r="Q160" s="46">
        <v>64.853000000000009</v>
      </c>
      <c r="R160" s="46">
        <v>75.734000000000023</v>
      </c>
      <c r="S160" s="46">
        <v>86.142000000000024</v>
      </c>
      <c r="T160" s="46">
        <v>50.113999999999997</v>
      </c>
      <c r="U160" s="46">
        <v>129.10399999999998</v>
      </c>
      <c r="V160" s="46">
        <v>120.509</v>
      </c>
      <c r="W160" s="46">
        <v>93.447000000000003</v>
      </c>
      <c r="X160" s="46">
        <v>79.080000000000013</v>
      </c>
      <c r="Y160" s="46">
        <v>110.965</v>
      </c>
      <c r="Z160" s="46">
        <v>118.232</v>
      </c>
      <c r="AA160" s="46">
        <v>107.74000000000002</v>
      </c>
      <c r="AB160" s="46">
        <v>101.73399999999998</v>
      </c>
      <c r="AC160" s="46">
        <v>108.392</v>
      </c>
      <c r="AD160" s="46">
        <v>65.274999999999977</v>
      </c>
      <c r="AE160" s="46">
        <v>26.403999999999993</v>
      </c>
      <c r="AF160" s="46">
        <v>20.737000000000002</v>
      </c>
      <c r="AG160" s="46">
        <v>9.6039999999999992</v>
      </c>
      <c r="AH160" s="46">
        <v>5.9189999999999996</v>
      </c>
      <c r="AI160" s="46">
        <v>10.673999999999999</v>
      </c>
      <c r="AJ160" s="46">
        <v>9.4759999999999991</v>
      </c>
      <c r="AK160" s="46">
        <v>11.928000000000001</v>
      </c>
      <c r="AL160" s="46">
        <v>9.0779999999999994</v>
      </c>
      <c r="AM160" s="46">
        <v>16.908999999999999</v>
      </c>
      <c r="AN160" s="46">
        <v>12.896000000000001</v>
      </c>
      <c r="AO160" s="46">
        <f>AVERAGE(K160:AN160)</f>
        <v>62.378000000000007</v>
      </c>
      <c r="AP160" s="7">
        <f>AO160/I160</f>
        <v>10.396333333333335</v>
      </c>
      <c r="AQ160" s="81">
        <f t="shared" si="2"/>
        <v>1871.3400000000001</v>
      </c>
    </row>
    <row r="161" spans="1:43" x14ac:dyDescent="0.3">
      <c r="A161" s="5">
        <v>64</v>
      </c>
      <c r="B161" s="107" t="s">
        <v>9</v>
      </c>
      <c r="C161" s="112" t="s">
        <v>713</v>
      </c>
      <c r="D161" s="112" t="s">
        <v>714</v>
      </c>
      <c r="E161" s="110" t="s">
        <v>128</v>
      </c>
      <c r="F161" s="6" t="s">
        <v>12</v>
      </c>
      <c r="G161" s="6" t="s">
        <v>976</v>
      </c>
      <c r="H161" s="6" t="s">
        <v>35</v>
      </c>
      <c r="I161" s="5">
        <v>6</v>
      </c>
      <c r="J161" s="94" t="s">
        <v>273</v>
      </c>
      <c r="K161" s="46">
        <v>62.338000000000001</v>
      </c>
      <c r="L161" s="46">
        <v>82.742000000000019</v>
      </c>
      <c r="M161" s="46">
        <v>77.747</v>
      </c>
      <c r="N161" s="46">
        <v>63.896999999999991</v>
      </c>
      <c r="O161" s="46">
        <v>71.108999999999995</v>
      </c>
      <c r="P161" s="46">
        <v>79.149000000000015</v>
      </c>
      <c r="Q161" s="46">
        <v>54.949999999999996</v>
      </c>
      <c r="R161" s="46">
        <v>76.222999999999985</v>
      </c>
      <c r="S161" s="46">
        <v>71.871000000000009</v>
      </c>
      <c r="T161" s="46">
        <v>68.77000000000001</v>
      </c>
      <c r="U161" s="46">
        <v>54.67</v>
      </c>
      <c r="V161" s="46">
        <v>68.649000000000001</v>
      </c>
      <c r="W161" s="46">
        <v>48.543999999999997</v>
      </c>
      <c r="X161" s="46">
        <v>73.539000000000001</v>
      </c>
      <c r="Y161" s="46">
        <v>64.410000000000011</v>
      </c>
      <c r="Z161" s="46">
        <v>71.487000000000009</v>
      </c>
      <c r="AA161" s="46">
        <v>57.391999999999996</v>
      </c>
      <c r="AB161" s="46">
        <v>48.245000000000012</v>
      </c>
      <c r="AC161" s="46">
        <v>89.346999999999994</v>
      </c>
      <c r="AD161" s="46">
        <v>73.535000000000011</v>
      </c>
      <c r="AE161" s="46">
        <v>79.551999999999992</v>
      </c>
      <c r="AF161" s="46">
        <v>69.460000000000008</v>
      </c>
      <c r="AG161" s="46">
        <v>66.461999999999989</v>
      </c>
      <c r="AH161" s="46">
        <v>85.186999999999983</v>
      </c>
      <c r="AI161" s="46">
        <v>59.161999999999985</v>
      </c>
      <c r="AJ161" s="46">
        <v>64.215000000000003</v>
      </c>
      <c r="AK161" s="46">
        <v>61.640999999999991</v>
      </c>
      <c r="AL161" s="46">
        <v>77.428000000000011</v>
      </c>
      <c r="AM161" s="46">
        <v>75.833999999999989</v>
      </c>
      <c r="AN161" s="46">
        <v>47.027999999999999</v>
      </c>
      <c r="AO161" s="46">
        <f>AVERAGE(K161:AN161)</f>
        <v>68.152766666666665</v>
      </c>
      <c r="AP161" s="7">
        <f>AO161/I161</f>
        <v>11.358794444444444</v>
      </c>
      <c r="AQ161" s="81">
        <f t="shared" si="2"/>
        <v>2044.5830000000001</v>
      </c>
    </row>
    <row r="162" spans="1:43" x14ac:dyDescent="0.3">
      <c r="A162" s="5">
        <v>100</v>
      </c>
      <c r="B162" s="107" t="s">
        <v>58</v>
      </c>
      <c r="C162" s="112" t="s">
        <v>652</v>
      </c>
      <c r="D162" s="112" t="s">
        <v>786</v>
      </c>
      <c r="E162" s="110" t="s">
        <v>128</v>
      </c>
      <c r="F162" s="6" t="s">
        <v>12</v>
      </c>
      <c r="G162" s="6" t="s">
        <v>976</v>
      </c>
      <c r="H162" s="12" t="s">
        <v>35</v>
      </c>
      <c r="I162" s="5">
        <v>6</v>
      </c>
      <c r="J162" s="94" t="s">
        <v>273</v>
      </c>
      <c r="K162" s="46">
        <v>14.766</v>
      </c>
      <c r="L162" s="46">
        <v>17.902999999999999</v>
      </c>
      <c r="M162" s="46">
        <v>15.722000000000001</v>
      </c>
      <c r="N162" s="46">
        <v>17.631</v>
      </c>
      <c r="O162" s="46">
        <v>21.107999999999997</v>
      </c>
      <c r="P162" s="46">
        <v>30.613999999999997</v>
      </c>
      <c r="Q162" s="46">
        <v>11.004</v>
      </c>
      <c r="R162" s="46">
        <v>21.422000000000001</v>
      </c>
      <c r="S162" s="46">
        <v>28.113</v>
      </c>
      <c r="T162" s="46">
        <v>17.396000000000001</v>
      </c>
      <c r="U162" s="46">
        <v>9.8710000000000022</v>
      </c>
      <c r="V162" s="46">
        <v>26.986000000000001</v>
      </c>
      <c r="W162" s="46">
        <v>13.883999999999999</v>
      </c>
      <c r="X162" s="46">
        <v>13.416</v>
      </c>
      <c r="Y162" s="46">
        <v>26.467000000000006</v>
      </c>
      <c r="Z162" s="46">
        <v>6.9740000000000002</v>
      </c>
      <c r="AA162" s="46">
        <v>21.558</v>
      </c>
      <c r="AB162" s="46">
        <v>7.7410000000000005</v>
      </c>
      <c r="AC162" s="46">
        <v>9.3919999999999995</v>
      </c>
      <c r="AD162" s="46">
        <v>10.968000000000002</v>
      </c>
      <c r="AE162" s="46">
        <v>25.862000000000002</v>
      </c>
      <c r="AF162" s="46">
        <v>9.2470000000000017</v>
      </c>
      <c r="AG162" s="46">
        <v>21.669999999999998</v>
      </c>
      <c r="AH162" s="46">
        <v>11.367000000000001</v>
      </c>
      <c r="AI162" s="46">
        <v>4.4349999999999996</v>
      </c>
      <c r="AJ162" s="46">
        <v>0</v>
      </c>
      <c r="AK162" s="46">
        <v>13.85</v>
      </c>
      <c r="AL162" s="46">
        <v>9.5120000000000005</v>
      </c>
      <c r="AM162" s="46">
        <v>6.2190000000000003</v>
      </c>
      <c r="AN162" s="46">
        <v>17.498000000000001</v>
      </c>
      <c r="AO162" s="46">
        <f>AVERAGE(K162:AN162)</f>
        <v>15.419866666666667</v>
      </c>
      <c r="AP162" s="7">
        <f>AO162/I162</f>
        <v>2.5699777777777779</v>
      </c>
      <c r="AQ162" s="81">
        <f t="shared" si="2"/>
        <v>462.596</v>
      </c>
    </row>
    <row r="163" spans="1:43" x14ac:dyDescent="0.3">
      <c r="A163" s="5">
        <v>135</v>
      </c>
      <c r="B163" s="108" t="s">
        <v>175</v>
      </c>
      <c r="C163" s="112" t="s">
        <v>665</v>
      </c>
      <c r="D163" s="112" t="s">
        <v>718</v>
      </c>
      <c r="E163" s="110" t="s">
        <v>128</v>
      </c>
      <c r="F163" s="6" t="s">
        <v>12</v>
      </c>
      <c r="G163" s="6" t="s">
        <v>976</v>
      </c>
      <c r="H163" s="6" t="s">
        <v>35</v>
      </c>
      <c r="I163" s="5">
        <v>6</v>
      </c>
      <c r="J163" s="12" t="s">
        <v>589</v>
      </c>
      <c r="K163" s="46">
        <v>9.3979999999999997</v>
      </c>
      <c r="L163" s="46">
        <v>1.3199999999999998</v>
      </c>
      <c r="M163" s="46">
        <v>2.6389999999999998</v>
      </c>
      <c r="N163" s="46">
        <v>11.346</v>
      </c>
      <c r="O163" s="46">
        <v>21.590999999999998</v>
      </c>
      <c r="P163" s="46">
        <v>0</v>
      </c>
      <c r="Q163" s="46">
        <v>0</v>
      </c>
      <c r="R163" s="46">
        <v>0</v>
      </c>
      <c r="S163" s="46">
        <v>17.725000000000001</v>
      </c>
      <c r="T163" s="46">
        <v>6.9350000000000005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f>AVERAGE(K163:AN163)</f>
        <v>2.3651333333333335</v>
      </c>
      <c r="AP163" s="7">
        <f>AO163/I163</f>
        <v>0.39418888888888892</v>
      </c>
      <c r="AQ163" s="81">
        <f t="shared" si="2"/>
        <v>70.954000000000008</v>
      </c>
    </row>
    <row r="164" spans="1:43" x14ac:dyDescent="0.3">
      <c r="A164" s="5">
        <v>152</v>
      </c>
      <c r="B164" s="107" t="s">
        <v>65</v>
      </c>
      <c r="C164" s="10" t="s">
        <v>679</v>
      </c>
      <c r="D164" s="12" t="s">
        <v>737</v>
      </c>
      <c r="E164" s="110" t="s">
        <v>128</v>
      </c>
      <c r="F164" s="6" t="s">
        <v>19</v>
      </c>
      <c r="G164" s="6" t="s">
        <v>976</v>
      </c>
      <c r="H164" s="6" t="s">
        <v>35</v>
      </c>
      <c r="I164" s="5">
        <v>6</v>
      </c>
      <c r="J164" s="12" t="s">
        <v>590</v>
      </c>
      <c r="K164" s="46">
        <v>9.0690000000000008</v>
      </c>
      <c r="L164" s="46">
        <v>18.512</v>
      </c>
      <c r="M164" s="46">
        <v>5.8420000000000005</v>
      </c>
      <c r="N164" s="46">
        <v>20.588999999999999</v>
      </c>
      <c r="O164" s="46">
        <v>0</v>
      </c>
      <c r="P164" s="46">
        <v>0</v>
      </c>
      <c r="Q164" s="46">
        <v>11.225000000000001</v>
      </c>
      <c r="R164" s="46">
        <v>9.7539999999999996</v>
      </c>
      <c r="S164" s="46">
        <v>16.234000000000002</v>
      </c>
      <c r="T164" s="46">
        <v>4.3999999999999995</v>
      </c>
      <c r="U164" s="46">
        <v>33.603999999999999</v>
      </c>
      <c r="V164" s="46">
        <v>0</v>
      </c>
      <c r="W164" s="46">
        <v>0</v>
      </c>
      <c r="X164" s="46">
        <v>0</v>
      </c>
      <c r="Y164" s="46">
        <v>17.202000000000002</v>
      </c>
      <c r="Z164" s="46">
        <v>11.273</v>
      </c>
      <c r="AA164" s="46">
        <v>17.783000000000001</v>
      </c>
      <c r="AB164" s="46">
        <v>1.9E-2</v>
      </c>
      <c r="AC164" s="46">
        <v>0</v>
      </c>
      <c r="AD164" s="46">
        <v>0</v>
      </c>
      <c r="AE164" s="46">
        <v>11.594999999999999</v>
      </c>
      <c r="AF164" s="46">
        <v>15.035</v>
      </c>
      <c r="AG164" s="46">
        <v>14.728</v>
      </c>
      <c r="AH164" s="46">
        <v>17.832000000000001</v>
      </c>
      <c r="AI164" s="46">
        <v>24.239999999999995</v>
      </c>
      <c r="AJ164" s="46">
        <v>0</v>
      </c>
      <c r="AK164" s="46">
        <v>0</v>
      </c>
      <c r="AL164" s="46">
        <v>12.374000000000001</v>
      </c>
      <c r="AM164" s="46">
        <v>22.734999999999999</v>
      </c>
      <c r="AN164" s="46">
        <v>32.944000000000003</v>
      </c>
      <c r="AO164" s="46">
        <f>AVERAGE(K164:AN164)</f>
        <v>10.899633333333334</v>
      </c>
      <c r="AP164" s="7">
        <f>AO164/I164</f>
        <v>1.8166055555555556</v>
      </c>
      <c r="AQ164" s="81">
        <f t="shared" si="2"/>
        <v>326.98900000000003</v>
      </c>
    </row>
    <row r="165" spans="1:43" x14ac:dyDescent="0.3">
      <c r="A165" s="5">
        <v>12</v>
      </c>
      <c r="B165" s="107" t="s">
        <v>9</v>
      </c>
      <c r="C165" s="112" t="s">
        <v>609</v>
      </c>
      <c r="D165" s="112" t="s">
        <v>745</v>
      </c>
      <c r="E165" s="110" t="s">
        <v>128</v>
      </c>
      <c r="F165" s="6" t="s">
        <v>12</v>
      </c>
      <c r="G165" s="6" t="s">
        <v>976</v>
      </c>
      <c r="H165" s="6" t="s">
        <v>35</v>
      </c>
      <c r="I165" s="5">
        <v>7</v>
      </c>
      <c r="J165" s="94" t="s">
        <v>273</v>
      </c>
      <c r="K165" s="46">
        <v>61.942999999999991</v>
      </c>
      <c r="L165" s="46">
        <v>73.826000000000008</v>
      </c>
      <c r="M165" s="46">
        <v>73.966999999999999</v>
      </c>
      <c r="N165" s="46">
        <v>85.478000000000009</v>
      </c>
      <c r="O165" s="46">
        <v>57.399000000000001</v>
      </c>
      <c r="P165" s="46">
        <v>75.454999999999998</v>
      </c>
      <c r="Q165" s="46">
        <v>71.916000000000011</v>
      </c>
      <c r="R165" s="46">
        <v>52.654999999999994</v>
      </c>
      <c r="S165" s="46">
        <v>85.274000000000001</v>
      </c>
      <c r="T165" s="46">
        <v>73.721999999999994</v>
      </c>
      <c r="U165" s="46">
        <v>69.576999999999998</v>
      </c>
      <c r="V165" s="46">
        <v>47.757999999999996</v>
      </c>
      <c r="W165" s="46">
        <v>82.739000000000004</v>
      </c>
      <c r="X165" s="46">
        <v>61.548999999999992</v>
      </c>
      <c r="Y165" s="46">
        <v>77.947000000000003</v>
      </c>
      <c r="Z165" s="46">
        <v>70.915999999999997</v>
      </c>
      <c r="AA165" s="46">
        <v>63.878999999999998</v>
      </c>
      <c r="AB165" s="46">
        <v>58.533000000000001</v>
      </c>
      <c r="AC165" s="46">
        <v>87.503</v>
      </c>
      <c r="AD165" s="46">
        <v>72.554000000000002</v>
      </c>
      <c r="AE165" s="46">
        <v>65.363</v>
      </c>
      <c r="AF165" s="46">
        <v>89.185000000000016</v>
      </c>
      <c r="AG165" s="46">
        <v>67.406000000000006</v>
      </c>
      <c r="AH165" s="46">
        <v>70.167999999999992</v>
      </c>
      <c r="AI165" s="46">
        <v>74.596999999999994</v>
      </c>
      <c r="AJ165" s="46">
        <v>94.801000000000016</v>
      </c>
      <c r="AK165" s="46">
        <v>106.97499999999999</v>
      </c>
      <c r="AL165" s="46">
        <v>59.825000000000003</v>
      </c>
      <c r="AM165" s="46">
        <v>99.74199999999999</v>
      </c>
      <c r="AN165" s="46">
        <v>75.346999999999994</v>
      </c>
      <c r="AO165" s="46">
        <f>AVERAGE(K165:AN165)</f>
        <v>73.59996666666666</v>
      </c>
      <c r="AP165" s="7">
        <f>AO165/I165</f>
        <v>10.514280952380952</v>
      </c>
      <c r="AQ165" s="81">
        <f t="shared" si="2"/>
        <v>2207.9989999999998</v>
      </c>
    </row>
    <row r="166" spans="1:43" x14ac:dyDescent="0.3">
      <c r="A166" s="5">
        <v>25</v>
      </c>
      <c r="B166" s="107" t="s">
        <v>9</v>
      </c>
      <c r="C166" s="112" t="s">
        <v>614</v>
      </c>
      <c r="D166" s="112" t="s">
        <v>760</v>
      </c>
      <c r="E166" s="110" t="s">
        <v>128</v>
      </c>
      <c r="F166" s="6" t="s">
        <v>12</v>
      </c>
      <c r="G166" s="6" t="s">
        <v>976</v>
      </c>
      <c r="H166" s="6" t="s">
        <v>35</v>
      </c>
      <c r="I166" s="5">
        <v>7</v>
      </c>
      <c r="J166" s="94" t="s">
        <v>273</v>
      </c>
      <c r="K166" s="46">
        <v>189.61599999999999</v>
      </c>
      <c r="L166" s="46">
        <v>226.19200000000004</v>
      </c>
      <c r="M166" s="46">
        <v>227.24299999999999</v>
      </c>
      <c r="N166" s="46">
        <v>237.43800000000005</v>
      </c>
      <c r="O166" s="46">
        <v>208.37800000000004</v>
      </c>
      <c r="P166" s="46">
        <v>163.45599999999999</v>
      </c>
      <c r="Q166" s="46">
        <v>225.31</v>
      </c>
      <c r="R166" s="46">
        <v>242.22800000000007</v>
      </c>
      <c r="S166" s="46">
        <v>234.25799999999998</v>
      </c>
      <c r="T166" s="46">
        <v>197.19900000000001</v>
      </c>
      <c r="U166" s="46">
        <v>303.37499999999994</v>
      </c>
      <c r="V166" s="46">
        <v>186.75899999999999</v>
      </c>
      <c r="W166" s="46">
        <v>174.99800000000002</v>
      </c>
      <c r="X166" s="46">
        <v>185.42999999999998</v>
      </c>
      <c r="Y166" s="46">
        <v>249.09900000000016</v>
      </c>
      <c r="Z166" s="46">
        <v>223.75500000000008</v>
      </c>
      <c r="AA166" s="46">
        <v>203.25399999999996</v>
      </c>
      <c r="AB166" s="46">
        <v>198.91499999999999</v>
      </c>
      <c r="AC166" s="46">
        <v>186.53699999999998</v>
      </c>
      <c r="AD166" s="46">
        <v>187.44200000000001</v>
      </c>
      <c r="AE166" s="46">
        <v>214.25700000000006</v>
      </c>
      <c r="AF166" s="46">
        <v>179.90699999999998</v>
      </c>
      <c r="AG166" s="46">
        <v>182.91000000000003</v>
      </c>
      <c r="AH166" s="46">
        <v>209.928</v>
      </c>
      <c r="AI166" s="46">
        <v>272.06900000000002</v>
      </c>
      <c r="AJ166" s="46">
        <v>150.50899999999999</v>
      </c>
      <c r="AK166" s="46">
        <v>198.91700000000003</v>
      </c>
      <c r="AL166" s="46">
        <v>219.82300000000001</v>
      </c>
      <c r="AM166" s="46">
        <v>192.93300000000005</v>
      </c>
      <c r="AN166" s="46">
        <v>87.779999999999973</v>
      </c>
      <c r="AO166" s="46">
        <f>AVERAGE(K166:AN166)</f>
        <v>205.3305</v>
      </c>
      <c r="AP166" s="7">
        <f>AO166/I166</f>
        <v>29.332928571428571</v>
      </c>
      <c r="AQ166" s="81">
        <f t="shared" si="2"/>
        <v>6159.915</v>
      </c>
    </row>
    <row r="167" spans="1:43" x14ac:dyDescent="0.3">
      <c r="A167" s="5">
        <v>85</v>
      </c>
      <c r="B167" s="107" t="s">
        <v>52</v>
      </c>
      <c r="C167" s="112" t="s">
        <v>643</v>
      </c>
      <c r="D167" s="112" t="s">
        <v>749</v>
      </c>
      <c r="E167" s="110" t="s">
        <v>128</v>
      </c>
      <c r="F167" s="6" t="s">
        <v>12</v>
      </c>
      <c r="G167" s="6" t="s">
        <v>976</v>
      </c>
      <c r="H167" s="6" t="s">
        <v>35</v>
      </c>
      <c r="I167" s="5">
        <v>7</v>
      </c>
      <c r="J167" s="12" t="s">
        <v>273</v>
      </c>
      <c r="K167" s="46">
        <v>4.8019999999999987</v>
      </c>
      <c r="L167" s="46">
        <v>38.405000000000008</v>
      </c>
      <c r="M167" s="46">
        <v>8.4400000000000013</v>
      </c>
      <c r="N167" s="46">
        <v>27.838999999999999</v>
      </c>
      <c r="O167" s="46">
        <v>14.214</v>
      </c>
      <c r="P167" s="46">
        <v>14.909000000000001</v>
      </c>
      <c r="Q167" s="46">
        <v>23.709</v>
      </c>
      <c r="R167" s="46">
        <v>19.315999999999999</v>
      </c>
      <c r="S167" s="46">
        <v>15.827</v>
      </c>
      <c r="T167" s="46">
        <v>24.352</v>
      </c>
      <c r="U167" s="46">
        <v>22.810000000000006</v>
      </c>
      <c r="V167" s="46">
        <v>22.535</v>
      </c>
      <c r="W167" s="46">
        <v>17.603999999999999</v>
      </c>
      <c r="X167" s="46">
        <v>14.312999999999999</v>
      </c>
      <c r="Y167" s="46">
        <v>26.423999999999999</v>
      </c>
      <c r="Z167" s="46">
        <v>22.400999999999996</v>
      </c>
      <c r="AA167" s="46">
        <v>25.200000000000003</v>
      </c>
      <c r="AB167" s="46">
        <v>17.712</v>
      </c>
      <c r="AC167" s="46">
        <v>24.402999999999999</v>
      </c>
      <c r="AD167" s="46">
        <v>48.378</v>
      </c>
      <c r="AE167" s="46">
        <v>90.052999999999969</v>
      </c>
      <c r="AF167" s="46">
        <v>53.277000000000015</v>
      </c>
      <c r="AG167" s="46">
        <v>75.896000000000001</v>
      </c>
      <c r="AH167" s="46">
        <v>71.725999999999985</v>
      </c>
      <c r="AI167" s="46">
        <v>67.443999999999988</v>
      </c>
      <c r="AJ167" s="46">
        <v>80.047000000000011</v>
      </c>
      <c r="AK167" s="46">
        <v>56.856000000000009</v>
      </c>
      <c r="AL167" s="46">
        <v>66.600999999999999</v>
      </c>
      <c r="AM167" s="46">
        <v>91.586999999999989</v>
      </c>
      <c r="AN167" s="46">
        <v>80.25800000000001</v>
      </c>
      <c r="AO167" s="46">
        <f>AVERAGE(K167:AN167)</f>
        <v>38.911266666666663</v>
      </c>
      <c r="AP167" s="7">
        <f>AO167/I167</f>
        <v>5.55875238095238</v>
      </c>
      <c r="AQ167" s="81">
        <f t="shared" si="2"/>
        <v>1167.338</v>
      </c>
    </row>
    <row r="168" spans="1:43" x14ac:dyDescent="0.3">
      <c r="A168" s="5">
        <v>88</v>
      </c>
      <c r="B168" s="107" t="s">
        <v>134</v>
      </c>
      <c r="C168" s="112" t="s">
        <v>644</v>
      </c>
      <c r="D168" s="112" t="s">
        <v>754</v>
      </c>
      <c r="E168" s="110" t="s">
        <v>128</v>
      </c>
      <c r="F168" s="6" t="s">
        <v>12</v>
      </c>
      <c r="G168" s="6" t="s">
        <v>976</v>
      </c>
      <c r="H168" s="6" t="s">
        <v>35</v>
      </c>
      <c r="I168" s="5">
        <v>7</v>
      </c>
      <c r="J168" s="12" t="s">
        <v>273</v>
      </c>
      <c r="K168" s="46">
        <v>29.097000000000001</v>
      </c>
      <c r="L168" s="46">
        <v>61.619000000000007</v>
      </c>
      <c r="M168" s="46">
        <v>54.099999999999994</v>
      </c>
      <c r="N168" s="46">
        <v>30.980000000000004</v>
      </c>
      <c r="O168" s="46">
        <v>31.792000000000002</v>
      </c>
      <c r="P168" s="46">
        <v>56.954999999999998</v>
      </c>
      <c r="Q168" s="46">
        <v>43.356999999999992</v>
      </c>
      <c r="R168" s="46">
        <v>43.947999999999993</v>
      </c>
      <c r="S168" s="46">
        <v>33.384999999999998</v>
      </c>
      <c r="T168" s="46">
        <v>52.268000000000001</v>
      </c>
      <c r="U168" s="46">
        <v>43.29</v>
      </c>
      <c r="V168" s="46">
        <v>31.498000000000001</v>
      </c>
      <c r="W168" s="46">
        <v>51.766999999999996</v>
      </c>
      <c r="X168" s="46">
        <v>37.809000000000005</v>
      </c>
      <c r="Y168" s="46">
        <v>19.830000000000002</v>
      </c>
      <c r="Z168" s="46">
        <v>53.128000000000007</v>
      </c>
      <c r="AA168" s="46">
        <v>56.017999999999994</v>
      </c>
      <c r="AB168" s="46">
        <v>48.86999999999999</v>
      </c>
      <c r="AC168" s="46">
        <v>37.043999999999997</v>
      </c>
      <c r="AD168" s="46">
        <v>47.812999999999995</v>
      </c>
      <c r="AE168" s="46">
        <v>39.804000000000002</v>
      </c>
      <c r="AF168" s="46">
        <v>51.006</v>
      </c>
      <c r="AG168" s="46">
        <v>31.625</v>
      </c>
      <c r="AH168" s="46">
        <v>41.832999999999998</v>
      </c>
      <c r="AI168" s="46">
        <v>32.141000000000005</v>
      </c>
      <c r="AJ168" s="46">
        <v>41.772999999999996</v>
      </c>
      <c r="AK168" s="46">
        <v>46.682999999999993</v>
      </c>
      <c r="AL168" s="46">
        <v>39.629000000000005</v>
      </c>
      <c r="AM168" s="46">
        <v>45.692999999999998</v>
      </c>
      <c r="AN168" s="46">
        <v>39.573999999999998</v>
      </c>
      <c r="AO168" s="46">
        <f>AVERAGE(K168:AN168)</f>
        <v>42.47763333333333</v>
      </c>
      <c r="AP168" s="7">
        <f>AO168/I168</f>
        <v>6.0682333333333327</v>
      </c>
      <c r="AQ168" s="81">
        <f t="shared" si="2"/>
        <v>1274.329</v>
      </c>
    </row>
    <row r="169" spans="1:43" x14ac:dyDescent="0.3">
      <c r="A169" s="5">
        <v>97</v>
      </c>
      <c r="B169" s="107" t="s">
        <v>58</v>
      </c>
      <c r="C169" s="112" t="s">
        <v>649</v>
      </c>
      <c r="D169" s="112" t="s">
        <v>767</v>
      </c>
      <c r="E169" s="110" t="s">
        <v>128</v>
      </c>
      <c r="F169" s="6" t="s">
        <v>12</v>
      </c>
      <c r="G169" s="6" t="s">
        <v>976</v>
      </c>
      <c r="H169" s="12" t="s">
        <v>35</v>
      </c>
      <c r="I169" s="5">
        <v>7</v>
      </c>
      <c r="J169" s="94" t="s">
        <v>273</v>
      </c>
      <c r="K169" s="46">
        <v>100.012</v>
      </c>
      <c r="L169" s="46">
        <v>54.214999999999996</v>
      </c>
      <c r="M169" s="46">
        <v>120.01199999999996</v>
      </c>
      <c r="N169" s="46">
        <v>90.113</v>
      </c>
      <c r="O169" s="46">
        <v>63.14</v>
      </c>
      <c r="P169" s="46">
        <v>175.08999999999997</v>
      </c>
      <c r="Q169" s="46">
        <v>90.552999999999997</v>
      </c>
      <c r="R169" s="46">
        <v>159.62899999999999</v>
      </c>
      <c r="S169" s="46">
        <v>120.34000000000003</v>
      </c>
      <c r="T169" s="46">
        <v>133.434</v>
      </c>
      <c r="U169" s="46">
        <v>139.18500000000003</v>
      </c>
      <c r="V169" s="46">
        <v>102.24500000000003</v>
      </c>
      <c r="W169" s="46">
        <v>116.95699999999998</v>
      </c>
      <c r="X169" s="46">
        <v>125.25699999999998</v>
      </c>
      <c r="Y169" s="46">
        <v>107.03699999999999</v>
      </c>
      <c r="Z169" s="46">
        <v>66.037000000000006</v>
      </c>
      <c r="AA169" s="46">
        <v>129.27799999999999</v>
      </c>
      <c r="AB169" s="46">
        <v>92.834999999999994</v>
      </c>
      <c r="AC169" s="46">
        <v>108.94800000000001</v>
      </c>
      <c r="AD169" s="46">
        <v>109.67700000000001</v>
      </c>
      <c r="AE169" s="46">
        <v>111.529</v>
      </c>
      <c r="AF169" s="46">
        <v>90.57</v>
      </c>
      <c r="AG169" s="46">
        <v>111.51600000000001</v>
      </c>
      <c r="AH169" s="46">
        <v>85.390999999999991</v>
      </c>
      <c r="AI169" s="46">
        <v>87.716000000000008</v>
      </c>
      <c r="AJ169" s="46">
        <v>91.99</v>
      </c>
      <c r="AK169" s="46">
        <v>102.26299999999999</v>
      </c>
      <c r="AL169" s="46">
        <v>97.131</v>
      </c>
      <c r="AM169" s="46">
        <v>86.305999999999997</v>
      </c>
      <c r="AN169" s="46">
        <v>104.985</v>
      </c>
      <c r="AO169" s="46">
        <f>AVERAGE(K169:AN169)</f>
        <v>105.77970000000001</v>
      </c>
      <c r="AP169" s="7">
        <f>AO169/I169</f>
        <v>15.111385714285715</v>
      </c>
      <c r="AQ169" s="81">
        <f t="shared" si="2"/>
        <v>3173.3910000000001</v>
      </c>
    </row>
    <row r="170" spans="1:43" ht="15.6" x14ac:dyDescent="0.3">
      <c r="A170" s="5">
        <v>203</v>
      </c>
      <c r="B170" s="107" t="s">
        <v>572</v>
      </c>
      <c r="C170" s="5">
        <v>0</v>
      </c>
      <c r="D170" s="114" t="s">
        <v>950</v>
      </c>
      <c r="E170" s="110" t="s">
        <v>61</v>
      </c>
      <c r="F170" s="6" t="s">
        <v>12</v>
      </c>
      <c r="G170" s="6" t="s">
        <v>976</v>
      </c>
      <c r="H170" s="6" t="s">
        <v>35</v>
      </c>
      <c r="I170" s="5">
        <v>7</v>
      </c>
      <c r="J170" s="12" t="s">
        <v>160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f>AVERAGE(K170:AN170)</f>
        <v>0</v>
      </c>
      <c r="AP170" s="7">
        <f>AO170/I170</f>
        <v>0</v>
      </c>
      <c r="AQ170" s="81">
        <f t="shared" si="2"/>
        <v>0</v>
      </c>
    </row>
    <row r="171" spans="1:43" ht="15.75" customHeight="1" x14ac:dyDescent="0.3">
      <c r="A171" s="5">
        <v>5</v>
      </c>
      <c r="B171" s="107" t="s">
        <v>9</v>
      </c>
      <c r="C171" s="112" t="s">
        <v>961</v>
      </c>
      <c r="D171" s="112" t="s">
        <v>983</v>
      </c>
      <c r="E171" s="110" t="s">
        <v>128</v>
      </c>
      <c r="F171" s="6" t="s">
        <v>12</v>
      </c>
      <c r="G171" s="6" t="s">
        <v>971</v>
      </c>
      <c r="H171" s="6" t="s">
        <v>80</v>
      </c>
      <c r="I171" s="5">
        <v>8</v>
      </c>
      <c r="J171" s="94" t="s">
        <v>273</v>
      </c>
      <c r="K171" s="46">
        <v>209.07999999999998</v>
      </c>
      <c r="L171" s="46">
        <v>205.16</v>
      </c>
      <c r="M171" s="46">
        <v>132.27000000000001</v>
      </c>
      <c r="N171" s="46">
        <v>168.22</v>
      </c>
      <c r="O171" s="46">
        <v>123.97999999999999</v>
      </c>
      <c r="P171" s="46">
        <v>147.21999999999997</v>
      </c>
      <c r="Q171" s="46">
        <v>148.73000000000005</v>
      </c>
      <c r="R171" s="46">
        <v>172.80700000000002</v>
      </c>
      <c r="S171" s="46">
        <v>0</v>
      </c>
      <c r="T171" s="46">
        <v>190.83</v>
      </c>
      <c r="U171" s="46">
        <v>175.66000000000005</v>
      </c>
      <c r="V171" s="46">
        <v>240.38099999999997</v>
      </c>
      <c r="W171" s="46">
        <v>280.99</v>
      </c>
      <c r="X171" s="46">
        <v>209.82999999999998</v>
      </c>
      <c r="Y171" s="46">
        <v>215.89000000000004</v>
      </c>
      <c r="Z171" s="46">
        <v>172.1</v>
      </c>
      <c r="AA171" s="46">
        <v>179.88000000000002</v>
      </c>
      <c r="AB171" s="46">
        <v>214.91000000000005</v>
      </c>
      <c r="AC171" s="46">
        <v>253.34</v>
      </c>
      <c r="AD171" s="46">
        <v>218.05999999999992</v>
      </c>
      <c r="AE171" s="46">
        <v>239.27</v>
      </c>
      <c r="AF171" s="46">
        <v>201.91000000000003</v>
      </c>
      <c r="AG171" s="46">
        <v>202.76</v>
      </c>
      <c r="AH171" s="46">
        <v>160.72999999999999</v>
      </c>
      <c r="AI171" s="46">
        <v>128.50000000000003</v>
      </c>
      <c r="AJ171" s="46">
        <v>160.05999999999997</v>
      </c>
      <c r="AK171" s="46">
        <v>135.58999999999997</v>
      </c>
      <c r="AL171" s="46">
        <v>217.29</v>
      </c>
      <c r="AM171" s="46">
        <v>221.95000000000002</v>
      </c>
      <c r="AN171" s="46">
        <v>256.03999999999996</v>
      </c>
      <c r="AO171" s="46">
        <f>AVERAGE(K171:AN171)</f>
        <v>186.1146</v>
      </c>
      <c r="AP171" s="7">
        <f>AO171/I171</f>
        <v>23.264324999999999</v>
      </c>
      <c r="AQ171" s="81">
        <f t="shared" si="2"/>
        <v>5583.4380000000001</v>
      </c>
    </row>
    <row r="172" spans="1:43" ht="15.75" customHeight="1" x14ac:dyDescent="0.3">
      <c r="A172" s="5">
        <v>18</v>
      </c>
      <c r="B172" s="107" t="s">
        <v>9</v>
      </c>
      <c r="C172" s="112" t="s">
        <v>959</v>
      </c>
      <c r="D172" s="112" t="s">
        <v>755</v>
      </c>
      <c r="E172" s="110" t="s">
        <v>128</v>
      </c>
      <c r="F172" s="6" t="s">
        <v>12</v>
      </c>
      <c r="G172" s="6" t="s">
        <v>976</v>
      </c>
      <c r="H172" s="6" t="s">
        <v>35</v>
      </c>
      <c r="I172" s="5">
        <v>8</v>
      </c>
      <c r="J172" s="94" t="s">
        <v>273</v>
      </c>
      <c r="K172" s="46">
        <v>73.313999999999993</v>
      </c>
      <c r="L172" s="46">
        <v>88.98599999999999</v>
      </c>
      <c r="M172" s="46">
        <v>93.214999999999989</v>
      </c>
      <c r="N172" s="46">
        <v>108.41999999999999</v>
      </c>
      <c r="O172" s="46">
        <v>92.193000000000012</v>
      </c>
      <c r="P172" s="46">
        <v>72.640999999999991</v>
      </c>
      <c r="Q172" s="46">
        <v>110.149</v>
      </c>
      <c r="R172" s="46">
        <v>70.932000000000002</v>
      </c>
      <c r="S172" s="46">
        <v>78.595000000000013</v>
      </c>
      <c r="T172" s="46">
        <v>71.322999999999993</v>
      </c>
      <c r="U172" s="46">
        <v>76.402999999999992</v>
      </c>
      <c r="V172" s="46">
        <v>55.070999999999998</v>
      </c>
      <c r="W172" s="46">
        <v>47.388999999999996</v>
      </c>
      <c r="X172" s="46">
        <v>72.325999999999993</v>
      </c>
      <c r="Y172" s="46">
        <v>70.916000000000011</v>
      </c>
      <c r="Z172" s="46">
        <v>82.070000000000007</v>
      </c>
      <c r="AA172" s="46">
        <v>71.031999999999996</v>
      </c>
      <c r="AB172" s="46">
        <v>87.557000000000002</v>
      </c>
      <c r="AC172" s="46">
        <v>70.64500000000001</v>
      </c>
      <c r="AD172" s="46">
        <v>50.567999999999998</v>
      </c>
      <c r="AE172" s="46">
        <v>49.570999999999991</v>
      </c>
      <c r="AF172" s="46">
        <v>69.206000000000003</v>
      </c>
      <c r="AG172" s="46">
        <v>59.607999999999997</v>
      </c>
      <c r="AH172" s="46">
        <v>77.539999999999992</v>
      </c>
      <c r="AI172" s="46">
        <v>104.17399999999999</v>
      </c>
      <c r="AJ172" s="46">
        <v>71.11999999999999</v>
      </c>
      <c r="AK172" s="46">
        <v>108.52999999999999</v>
      </c>
      <c r="AL172" s="46">
        <v>57.247</v>
      </c>
      <c r="AM172" s="46">
        <v>63.505000000000003</v>
      </c>
      <c r="AN172" s="46">
        <v>76.452999999999989</v>
      </c>
      <c r="AO172" s="46">
        <f>AVERAGE(K172:AN172)</f>
        <v>76.023299999999978</v>
      </c>
      <c r="AP172" s="7">
        <f>AO172/I172</f>
        <v>9.5029124999999972</v>
      </c>
      <c r="AQ172" s="81">
        <f t="shared" si="2"/>
        <v>2280.6989999999992</v>
      </c>
    </row>
    <row r="173" spans="1:43" x14ac:dyDescent="0.3">
      <c r="A173" s="5">
        <v>33</v>
      </c>
      <c r="B173" s="107" t="s">
        <v>9</v>
      </c>
      <c r="C173" s="112" t="s">
        <v>616</v>
      </c>
      <c r="D173" s="112" t="s">
        <v>748</v>
      </c>
      <c r="E173" s="110" t="s">
        <v>128</v>
      </c>
      <c r="F173" s="6" t="s">
        <v>12</v>
      </c>
      <c r="G173" s="6" t="s">
        <v>976</v>
      </c>
      <c r="H173" s="6" t="s">
        <v>35</v>
      </c>
      <c r="I173" s="5">
        <v>8</v>
      </c>
      <c r="J173" s="94" t="s">
        <v>273</v>
      </c>
      <c r="K173" s="46">
        <v>63.131</v>
      </c>
      <c r="L173" s="46">
        <v>40.367000000000004</v>
      </c>
      <c r="M173" s="46">
        <v>67.59</v>
      </c>
      <c r="N173" s="46">
        <v>103.37599999999999</v>
      </c>
      <c r="O173" s="46">
        <v>63.619000000000007</v>
      </c>
      <c r="P173" s="46">
        <v>49.634000000000007</v>
      </c>
      <c r="Q173" s="46">
        <v>57.867000000000004</v>
      </c>
      <c r="R173" s="46">
        <v>81.816999999999979</v>
      </c>
      <c r="S173" s="46">
        <v>70.894999999999982</v>
      </c>
      <c r="T173" s="46">
        <v>84.478000000000009</v>
      </c>
      <c r="U173" s="46">
        <v>79.338000000000008</v>
      </c>
      <c r="V173" s="46">
        <v>62.38900000000001</v>
      </c>
      <c r="W173" s="46">
        <v>65.22699999999999</v>
      </c>
      <c r="X173" s="46">
        <v>76.823000000000008</v>
      </c>
      <c r="Y173" s="46">
        <v>84.911000000000001</v>
      </c>
      <c r="Z173" s="46">
        <v>51.121000000000002</v>
      </c>
      <c r="AA173" s="46">
        <v>78.295999999999978</v>
      </c>
      <c r="AB173" s="46">
        <v>63.146999999999998</v>
      </c>
      <c r="AC173" s="46">
        <v>81.085000000000008</v>
      </c>
      <c r="AD173" s="46">
        <v>88.328000000000003</v>
      </c>
      <c r="AE173" s="46">
        <v>87.812999999999974</v>
      </c>
      <c r="AF173" s="46">
        <v>53.357000000000006</v>
      </c>
      <c r="AG173" s="46">
        <v>33.916000000000004</v>
      </c>
      <c r="AH173" s="46">
        <v>122.807</v>
      </c>
      <c r="AI173" s="46">
        <v>73.152999999999992</v>
      </c>
      <c r="AJ173" s="46">
        <v>77.87</v>
      </c>
      <c r="AK173" s="46">
        <v>86.926999999999992</v>
      </c>
      <c r="AL173" s="46">
        <v>58.507000000000005</v>
      </c>
      <c r="AM173" s="46">
        <v>127.52400000000002</v>
      </c>
      <c r="AN173" s="46">
        <v>58.269999999999996</v>
      </c>
      <c r="AO173" s="46">
        <f>AVERAGE(K173:AN173)</f>
        <v>73.119433333333333</v>
      </c>
      <c r="AP173" s="7">
        <f>AO173/I173</f>
        <v>9.1399291666666667</v>
      </c>
      <c r="AQ173" s="81">
        <f t="shared" si="2"/>
        <v>2193.5830000000001</v>
      </c>
    </row>
    <row r="174" spans="1:43" x14ac:dyDescent="0.3">
      <c r="A174" s="5">
        <v>62</v>
      </c>
      <c r="B174" s="107" t="s">
        <v>9</v>
      </c>
      <c r="C174" s="112" t="s">
        <v>638</v>
      </c>
      <c r="D174" s="112" t="s">
        <v>759</v>
      </c>
      <c r="E174" s="110" t="s">
        <v>128</v>
      </c>
      <c r="F174" s="6" t="s">
        <v>12</v>
      </c>
      <c r="G174" s="6" t="s">
        <v>976</v>
      </c>
      <c r="H174" s="6" t="s">
        <v>35</v>
      </c>
      <c r="I174" s="5">
        <v>8</v>
      </c>
      <c r="J174" s="94" t="s">
        <v>273</v>
      </c>
      <c r="K174" s="46">
        <v>75.393000000000029</v>
      </c>
      <c r="L174" s="46">
        <v>112.47800000000001</v>
      </c>
      <c r="M174" s="46">
        <v>96.778000000000006</v>
      </c>
      <c r="N174" s="46">
        <v>86.084999999999994</v>
      </c>
      <c r="O174" s="46">
        <v>93.637999999999991</v>
      </c>
      <c r="P174" s="46">
        <v>76.472999999999999</v>
      </c>
      <c r="Q174" s="46">
        <v>74.163999999999987</v>
      </c>
      <c r="R174" s="46">
        <v>120.51099999999997</v>
      </c>
      <c r="S174" s="46">
        <v>83.935999999999993</v>
      </c>
      <c r="T174" s="46">
        <v>90.451000000000008</v>
      </c>
      <c r="U174" s="46">
        <v>104.39699999999999</v>
      </c>
      <c r="V174" s="46">
        <v>61.499999999999993</v>
      </c>
      <c r="W174" s="46">
        <v>80.180000000000007</v>
      </c>
      <c r="X174" s="46">
        <v>49.447000000000003</v>
      </c>
      <c r="Y174" s="46">
        <v>95.295000000000002</v>
      </c>
      <c r="Z174" s="46">
        <v>26.894000000000002</v>
      </c>
      <c r="AA174" s="46">
        <v>66.679000000000002</v>
      </c>
      <c r="AB174" s="46">
        <v>21.545999999999999</v>
      </c>
      <c r="AC174" s="46">
        <v>30.265000000000004</v>
      </c>
      <c r="AD174" s="46">
        <v>32.143999999999998</v>
      </c>
      <c r="AE174" s="46">
        <v>61.344999999999999</v>
      </c>
      <c r="AF174" s="46">
        <v>48.142000000000017</v>
      </c>
      <c r="AG174" s="46">
        <v>18.5</v>
      </c>
      <c r="AH174" s="46">
        <v>41.176000000000002</v>
      </c>
      <c r="AI174" s="46">
        <v>9.7129999999999992</v>
      </c>
      <c r="AJ174" s="46">
        <v>52.91</v>
      </c>
      <c r="AK174" s="46">
        <v>19.301000000000002</v>
      </c>
      <c r="AL174" s="46">
        <v>37.605999999999995</v>
      </c>
      <c r="AM174" s="46">
        <v>55.028999999999996</v>
      </c>
      <c r="AN174" s="46">
        <v>84.259999999999991</v>
      </c>
      <c r="AO174" s="46">
        <f>AVERAGE(K174:AN174)</f>
        <v>63.541200000000011</v>
      </c>
      <c r="AP174" s="7">
        <f>AO174/I174</f>
        <v>7.9426500000000013</v>
      </c>
      <c r="AQ174" s="81">
        <f t="shared" si="2"/>
        <v>1906.2360000000003</v>
      </c>
    </row>
    <row r="175" spans="1:43" x14ac:dyDescent="0.3">
      <c r="A175" s="5">
        <v>95</v>
      </c>
      <c r="B175" s="107" t="s">
        <v>58</v>
      </c>
      <c r="C175" s="112" t="s">
        <v>648</v>
      </c>
      <c r="D175" s="113" t="s">
        <v>763</v>
      </c>
      <c r="E175" s="110" t="s">
        <v>63</v>
      </c>
      <c r="F175" s="6" t="s">
        <v>19</v>
      </c>
      <c r="G175" s="6" t="s">
        <v>976</v>
      </c>
      <c r="H175" s="12" t="s">
        <v>35</v>
      </c>
      <c r="I175" s="5">
        <v>8</v>
      </c>
      <c r="J175" s="94" t="s">
        <v>273</v>
      </c>
      <c r="K175" s="46">
        <v>76.483000000000018</v>
      </c>
      <c r="L175" s="46">
        <v>111.28599999999999</v>
      </c>
      <c r="M175" s="46">
        <v>128.53899999999999</v>
      </c>
      <c r="N175" s="46">
        <v>109.91000000000001</v>
      </c>
      <c r="O175" s="46">
        <v>74.986000000000004</v>
      </c>
      <c r="P175" s="46">
        <v>106.49400000000003</v>
      </c>
      <c r="Q175" s="46">
        <v>80.936999999999983</v>
      </c>
      <c r="R175" s="46">
        <v>97.051999999999978</v>
      </c>
      <c r="S175" s="46">
        <v>105.39499999999998</v>
      </c>
      <c r="T175" s="46">
        <v>108.94000000000001</v>
      </c>
      <c r="U175" s="46">
        <v>98.47</v>
      </c>
      <c r="V175" s="46">
        <v>82.027000000000001</v>
      </c>
      <c r="W175" s="46">
        <v>105.67</v>
      </c>
      <c r="X175" s="46">
        <v>78.343000000000004</v>
      </c>
      <c r="Y175" s="46">
        <v>97.325000000000003</v>
      </c>
      <c r="Z175" s="46">
        <v>91.859000000000009</v>
      </c>
      <c r="AA175" s="46">
        <v>81.911000000000016</v>
      </c>
      <c r="AB175" s="46">
        <v>74.421000000000006</v>
      </c>
      <c r="AC175" s="46">
        <v>75.611999999999995</v>
      </c>
      <c r="AD175" s="46">
        <v>43.303000000000004</v>
      </c>
      <c r="AE175" s="46">
        <v>88.92</v>
      </c>
      <c r="AF175" s="46">
        <v>84.040999999999997</v>
      </c>
      <c r="AG175" s="46">
        <v>103.98500000000001</v>
      </c>
      <c r="AH175" s="46">
        <v>111.52799999999999</v>
      </c>
      <c r="AI175" s="46">
        <v>80.858999999999995</v>
      </c>
      <c r="AJ175" s="46">
        <v>103.45400000000002</v>
      </c>
      <c r="AK175" s="46">
        <v>85.725999999999985</v>
      </c>
      <c r="AL175" s="46">
        <v>79.369000000000014</v>
      </c>
      <c r="AM175" s="46">
        <v>107.15399999999998</v>
      </c>
      <c r="AN175" s="46">
        <v>106.84899999999999</v>
      </c>
      <c r="AO175" s="46">
        <f>AVERAGE(K175:AN175)</f>
        <v>92.694933333333367</v>
      </c>
      <c r="AP175" s="7">
        <f>AO175/I175</f>
        <v>11.586866666666671</v>
      </c>
      <c r="AQ175" s="81">
        <f t="shared" si="2"/>
        <v>2780.8480000000009</v>
      </c>
    </row>
    <row r="176" spans="1:43" x14ac:dyDescent="0.3">
      <c r="A176" s="5">
        <v>99</v>
      </c>
      <c r="B176" s="107" t="s">
        <v>58</v>
      </c>
      <c r="C176" s="112" t="s">
        <v>651</v>
      </c>
      <c r="D176" s="112" t="s">
        <v>756</v>
      </c>
      <c r="E176" s="110" t="s">
        <v>128</v>
      </c>
      <c r="F176" s="6" t="s">
        <v>12</v>
      </c>
      <c r="G176" s="6" t="s">
        <v>976</v>
      </c>
      <c r="H176" s="12" t="s">
        <v>35</v>
      </c>
      <c r="I176" s="5">
        <v>8</v>
      </c>
      <c r="J176" s="94" t="s">
        <v>273</v>
      </c>
      <c r="K176" s="46">
        <v>35.606000000000002</v>
      </c>
      <c r="L176" s="46">
        <v>33.299999999999997</v>
      </c>
      <c r="M176" s="46">
        <v>26.725000000000012</v>
      </c>
      <c r="N176" s="46">
        <v>41.063000000000002</v>
      </c>
      <c r="O176" s="46">
        <v>41.172999999999995</v>
      </c>
      <c r="P176" s="46">
        <v>19.789000000000001</v>
      </c>
      <c r="Q176" s="46">
        <v>50.867999999999995</v>
      </c>
      <c r="R176" s="46">
        <v>37.660999999999994</v>
      </c>
      <c r="S176" s="46">
        <v>27.631000000000004</v>
      </c>
      <c r="T176" s="46">
        <v>62.372999999999998</v>
      </c>
      <c r="U176" s="46">
        <v>31.622</v>
      </c>
      <c r="V176" s="46">
        <v>25.463999999999999</v>
      </c>
      <c r="W176" s="46">
        <v>51.387</v>
      </c>
      <c r="X176" s="46">
        <v>26.437000000000001</v>
      </c>
      <c r="Y176" s="46">
        <v>25.800999999999998</v>
      </c>
      <c r="Z176" s="46">
        <v>18.516999999999999</v>
      </c>
      <c r="AA176" s="46">
        <v>37.570999999999998</v>
      </c>
      <c r="AB176" s="46">
        <v>37.183</v>
      </c>
      <c r="AC176" s="46">
        <v>14.229000000000003</v>
      </c>
      <c r="AD176" s="46">
        <v>18.106000000000002</v>
      </c>
      <c r="AE176" s="46">
        <v>27.457999999999998</v>
      </c>
      <c r="AF176" s="46">
        <v>24.402000000000001</v>
      </c>
      <c r="AG176" s="46">
        <v>17.972999999999999</v>
      </c>
      <c r="AH176" s="46">
        <v>29.774999999999995</v>
      </c>
      <c r="AI176" s="46">
        <v>24.117000000000001</v>
      </c>
      <c r="AJ176" s="46">
        <v>11.738</v>
      </c>
      <c r="AK176" s="46">
        <v>30.558</v>
      </c>
      <c r="AL176" s="46">
        <v>7.109</v>
      </c>
      <c r="AM176" s="46">
        <v>36.548999999999992</v>
      </c>
      <c r="AN176" s="46">
        <v>13.1</v>
      </c>
      <c r="AO176" s="46">
        <f>AVERAGE(K176:AN176)</f>
        <v>29.509500000000003</v>
      </c>
      <c r="AP176" s="7">
        <f>AO176/I176</f>
        <v>3.6886875000000003</v>
      </c>
      <c r="AQ176" s="81">
        <f t="shared" si="2"/>
        <v>885.28500000000008</v>
      </c>
    </row>
    <row r="177" spans="1:43" x14ac:dyDescent="0.3">
      <c r="A177" s="5">
        <v>2</v>
      </c>
      <c r="B177" s="107" t="s">
        <v>9</v>
      </c>
      <c r="C177" s="112" t="s">
        <v>601</v>
      </c>
      <c r="D177" s="112" t="s">
        <v>740</v>
      </c>
      <c r="E177" s="110" t="s">
        <v>11</v>
      </c>
      <c r="F177" s="6" t="s">
        <v>12</v>
      </c>
      <c r="G177" s="6" t="s">
        <v>976</v>
      </c>
      <c r="H177" s="6" t="s">
        <v>35</v>
      </c>
      <c r="I177" s="5">
        <v>9</v>
      </c>
      <c r="J177" s="67" t="s">
        <v>160</v>
      </c>
      <c r="K177" s="46">
        <v>134.57100000000003</v>
      </c>
      <c r="L177" s="46">
        <v>137.62099999999998</v>
      </c>
      <c r="M177" s="46">
        <v>150.48400000000004</v>
      </c>
      <c r="N177" s="46">
        <v>174.55600000000004</v>
      </c>
      <c r="O177" s="46">
        <v>153.61800000000002</v>
      </c>
      <c r="P177" s="46">
        <v>146.42600000000002</v>
      </c>
      <c r="Q177" s="46">
        <v>124.15900000000002</v>
      </c>
      <c r="R177" s="46">
        <v>101.50800000000001</v>
      </c>
      <c r="S177" s="46">
        <v>189.24100000000013</v>
      </c>
      <c r="T177" s="46">
        <v>168.11299999999997</v>
      </c>
      <c r="U177" s="46">
        <v>198.87200000000007</v>
      </c>
      <c r="V177" s="46">
        <v>189.64699999999996</v>
      </c>
      <c r="W177" s="46">
        <v>151.68100000000001</v>
      </c>
      <c r="X177" s="46">
        <v>178.13200000000001</v>
      </c>
      <c r="Y177" s="46">
        <v>147.46599999999998</v>
      </c>
      <c r="Z177" s="46">
        <v>147.45500000000004</v>
      </c>
      <c r="AA177" s="46">
        <v>150.03299999999996</v>
      </c>
      <c r="AB177" s="46">
        <v>145.03300000000002</v>
      </c>
      <c r="AC177" s="46">
        <v>177.75699999999995</v>
      </c>
      <c r="AD177" s="46">
        <v>187.42699999999999</v>
      </c>
      <c r="AE177" s="46">
        <v>196.45099999999999</v>
      </c>
      <c r="AF177" s="46">
        <v>163.65600000000003</v>
      </c>
      <c r="AG177" s="46">
        <v>167.43499999999997</v>
      </c>
      <c r="AH177" s="46">
        <v>169.66599999999997</v>
      </c>
      <c r="AI177" s="46">
        <v>174.57899999999998</v>
      </c>
      <c r="AJ177" s="46">
        <v>185.28099999999998</v>
      </c>
      <c r="AK177" s="46">
        <v>168.00800000000001</v>
      </c>
      <c r="AL177" s="46">
        <v>152.96199999999999</v>
      </c>
      <c r="AM177" s="46">
        <v>180.65</v>
      </c>
      <c r="AN177" s="46">
        <v>170.26700000000002</v>
      </c>
      <c r="AO177" s="46">
        <f>AVERAGE(K177:AN177)</f>
        <v>162.75849999999997</v>
      </c>
      <c r="AP177" s="7">
        <f>AO177/I177</f>
        <v>18.084277777777775</v>
      </c>
      <c r="AQ177" s="81">
        <f t="shared" si="2"/>
        <v>4882.7549999999992</v>
      </c>
    </row>
    <row r="178" spans="1:43" x14ac:dyDescent="0.3">
      <c r="A178" s="5">
        <v>31</v>
      </c>
      <c r="B178" s="107" t="s">
        <v>9</v>
      </c>
      <c r="C178" s="112" t="s">
        <v>615</v>
      </c>
      <c r="D178" s="112" t="s">
        <v>770</v>
      </c>
      <c r="E178" s="110" t="s">
        <v>128</v>
      </c>
      <c r="F178" s="6" t="s">
        <v>12</v>
      </c>
      <c r="G178" s="6" t="s">
        <v>976</v>
      </c>
      <c r="H178" s="6" t="s">
        <v>35</v>
      </c>
      <c r="I178" s="5">
        <v>9</v>
      </c>
      <c r="J178" s="94" t="s">
        <v>273</v>
      </c>
      <c r="K178" s="46">
        <v>30.41</v>
      </c>
      <c r="L178" s="46">
        <v>63.247000000000007</v>
      </c>
      <c r="M178" s="46">
        <v>131.23399999999998</v>
      </c>
      <c r="N178" s="46">
        <v>146.17099999999999</v>
      </c>
      <c r="O178" s="46">
        <v>155.40799999999999</v>
      </c>
      <c r="P178" s="46">
        <v>143.47000000000003</v>
      </c>
      <c r="Q178" s="46">
        <v>183.61</v>
      </c>
      <c r="R178" s="46">
        <v>142.58400000000006</v>
      </c>
      <c r="S178" s="46">
        <v>125.19800000000001</v>
      </c>
      <c r="T178" s="46">
        <v>128.833</v>
      </c>
      <c r="U178" s="46">
        <v>136.53799999999998</v>
      </c>
      <c r="V178" s="46">
        <v>177.571</v>
      </c>
      <c r="W178" s="46">
        <v>144.464</v>
      </c>
      <c r="X178" s="46">
        <v>177.61199999999999</v>
      </c>
      <c r="Y178" s="46">
        <v>131.65600000000003</v>
      </c>
      <c r="Z178" s="46">
        <v>97.990000000000009</v>
      </c>
      <c r="AA178" s="46">
        <v>155.81700000000001</v>
      </c>
      <c r="AB178" s="46">
        <v>129.86000000000001</v>
      </c>
      <c r="AC178" s="46">
        <v>121.16000000000003</v>
      </c>
      <c r="AD178" s="46">
        <v>87.782000000000025</v>
      </c>
      <c r="AE178" s="46">
        <v>126.21</v>
      </c>
      <c r="AF178" s="46">
        <v>110.80199999999998</v>
      </c>
      <c r="AG178" s="46">
        <v>84.46899999999998</v>
      </c>
      <c r="AH178" s="46">
        <v>126.99400000000001</v>
      </c>
      <c r="AI178" s="46">
        <v>81.655000000000001</v>
      </c>
      <c r="AJ178" s="46">
        <v>95.313000000000002</v>
      </c>
      <c r="AK178" s="46">
        <v>210.96400000000006</v>
      </c>
      <c r="AL178" s="46">
        <v>106.83900000000001</v>
      </c>
      <c r="AM178" s="46">
        <v>155.94499999999999</v>
      </c>
      <c r="AN178" s="46">
        <v>95.268000000000015</v>
      </c>
      <c r="AO178" s="46">
        <f>AVERAGE(K178:AN178)</f>
        <v>126.83580000000003</v>
      </c>
      <c r="AP178" s="7">
        <f>AO178/I178</f>
        <v>14.092866666666671</v>
      </c>
      <c r="AQ178" s="81">
        <f t="shared" si="2"/>
        <v>3805.074000000001</v>
      </c>
    </row>
    <row r="179" spans="1:43" x14ac:dyDescent="0.3">
      <c r="A179" s="5">
        <v>54</v>
      </c>
      <c r="B179" s="107" t="s">
        <v>9</v>
      </c>
      <c r="C179" s="112" t="s">
        <v>632</v>
      </c>
      <c r="D179" s="112" t="s">
        <v>781</v>
      </c>
      <c r="E179" s="110" t="s">
        <v>128</v>
      </c>
      <c r="F179" s="6" t="s">
        <v>12</v>
      </c>
      <c r="G179" s="6" t="s">
        <v>976</v>
      </c>
      <c r="H179" s="6" t="s">
        <v>35</v>
      </c>
      <c r="I179" s="5">
        <v>9</v>
      </c>
      <c r="J179" s="12" t="s">
        <v>590</v>
      </c>
      <c r="K179" s="46">
        <v>0</v>
      </c>
      <c r="L179" s="46">
        <v>0</v>
      </c>
      <c r="M179" s="46">
        <v>0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0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>
        <v>0</v>
      </c>
      <c r="AL179" s="46">
        <v>0</v>
      </c>
      <c r="AM179" s="46">
        <v>0</v>
      </c>
      <c r="AN179" s="46">
        <v>0</v>
      </c>
      <c r="AO179" s="46">
        <f>AVERAGE(K179:AN179)</f>
        <v>0</v>
      </c>
      <c r="AP179" s="7">
        <f>AO179/I179</f>
        <v>0</v>
      </c>
      <c r="AQ179" s="81">
        <f t="shared" si="2"/>
        <v>0</v>
      </c>
    </row>
    <row r="180" spans="1:43" x14ac:dyDescent="0.3">
      <c r="A180" s="5">
        <v>94</v>
      </c>
      <c r="B180" s="107" t="s">
        <v>58</v>
      </c>
      <c r="C180" s="112" t="s">
        <v>647</v>
      </c>
      <c r="D180" s="112" t="s">
        <v>727</v>
      </c>
      <c r="E180" s="110" t="s">
        <v>61</v>
      </c>
      <c r="F180" s="6" t="s">
        <v>12</v>
      </c>
      <c r="G180" s="6" t="s">
        <v>976</v>
      </c>
      <c r="H180" s="6" t="s">
        <v>35</v>
      </c>
      <c r="I180" s="5">
        <v>9</v>
      </c>
      <c r="J180" s="12" t="s">
        <v>589</v>
      </c>
      <c r="K180" s="46">
        <v>13.707000000000001</v>
      </c>
      <c r="L180" s="46">
        <v>35.619</v>
      </c>
      <c r="M180" s="46">
        <v>47.527999999999992</v>
      </c>
      <c r="N180" s="46">
        <v>72.136999999999986</v>
      </c>
      <c r="O180" s="46">
        <v>38.225000000000001</v>
      </c>
      <c r="P180" s="46">
        <v>53.649000000000001</v>
      </c>
      <c r="Q180" s="46">
        <v>52.496000000000002</v>
      </c>
      <c r="R180" s="46">
        <v>46.296999999999997</v>
      </c>
      <c r="S180" s="46">
        <v>37.225000000000001</v>
      </c>
      <c r="T180" s="46">
        <v>41.542999999999992</v>
      </c>
      <c r="U180" s="46">
        <v>42.939000000000007</v>
      </c>
      <c r="V180" s="46">
        <v>33.891999999999996</v>
      </c>
      <c r="W180" s="46">
        <v>8.7620000000000005</v>
      </c>
      <c r="X180" s="46">
        <v>38.436</v>
      </c>
      <c r="Y180" s="46">
        <v>14.853</v>
      </c>
      <c r="Z180" s="46">
        <v>29.93</v>
      </c>
      <c r="AA180" s="46">
        <v>48.057999999999993</v>
      </c>
      <c r="AB180" s="46">
        <v>26.385000000000009</v>
      </c>
      <c r="AC180" s="46">
        <v>32.305</v>
      </c>
      <c r="AD180" s="46">
        <v>33.011000000000003</v>
      </c>
      <c r="AE180" s="46">
        <v>37.618999999999993</v>
      </c>
      <c r="AF180" s="46">
        <v>21.289000000000001</v>
      </c>
      <c r="AG180" s="46">
        <v>32.049999999999997</v>
      </c>
      <c r="AH180" s="46">
        <v>32.641000000000005</v>
      </c>
      <c r="AI180" s="46">
        <v>16.540999999999997</v>
      </c>
      <c r="AJ180" s="46">
        <v>25.031000000000002</v>
      </c>
      <c r="AK180" s="46">
        <v>6.9879999999999995</v>
      </c>
      <c r="AL180" s="46">
        <v>25.635000000000002</v>
      </c>
      <c r="AM180" s="46">
        <v>19.064</v>
      </c>
      <c r="AN180" s="46">
        <v>44.169000000000011</v>
      </c>
      <c r="AO180" s="46">
        <f>AVERAGE(K180:AN180)</f>
        <v>33.600799999999985</v>
      </c>
      <c r="AP180" s="7">
        <f>AO180/I180</f>
        <v>3.7334222222222206</v>
      </c>
      <c r="AQ180" s="81">
        <f t="shared" si="2"/>
        <v>1008.0239999999997</v>
      </c>
    </row>
    <row r="181" spans="1:43" x14ac:dyDescent="0.3">
      <c r="A181" s="5">
        <v>58</v>
      </c>
      <c r="B181" s="107" t="s">
        <v>9</v>
      </c>
      <c r="C181" s="112" t="s">
        <v>636</v>
      </c>
      <c r="D181" s="112" t="s">
        <v>753</v>
      </c>
      <c r="E181" s="6" t="s">
        <v>128</v>
      </c>
      <c r="F181" s="6" t="s">
        <v>12</v>
      </c>
      <c r="G181" s="6" t="s">
        <v>976</v>
      </c>
      <c r="H181" s="6" t="s">
        <v>35</v>
      </c>
      <c r="I181" s="92">
        <v>10</v>
      </c>
      <c r="J181" s="94" t="s">
        <v>273</v>
      </c>
      <c r="K181" s="46">
        <v>14.923</v>
      </c>
      <c r="L181" s="46">
        <v>24.762999999999998</v>
      </c>
      <c r="M181" s="46">
        <v>54.936000000000007</v>
      </c>
      <c r="N181" s="46">
        <v>4.9650000000000016</v>
      </c>
      <c r="O181" s="46">
        <v>30.710999999999999</v>
      </c>
      <c r="P181" s="46">
        <v>29.585999999999999</v>
      </c>
      <c r="Q181" s="46">
        <v>24.079000000000001</v>
      </c>
      <c r="R181" s="46">
        <v>34.192</v>
      </c>
      <c r="S181" s="46">
        <v>24.081</v>
      </c>
      <c r="T181" s="46">
        <v>43.225000000000001</v>
      </c>
      <c r="U181" s="46">
        <v>2.2960000000000003</v>
      </c>
      <c r="V181" s="46">
        <v>39.218000000000004</v>
      </c>
      <c r="W181" s="46">
        <v>10.207000000000001</v>
      </c>
      <c r="X181" s="46">
        <v>16.948</v>
      </c>
      <c r="Y181" s="46">
        <v>15.373999999999999</v>
      </c>
      <c r="Z181" s="46">
        <v>25.719000000000001</v>
      </c>
      <c r="AA181" s="46">
        <v>26.582000000000001</v>
      </c>
      <c r="AB181" s="46">
        <v>13.495999999999999</v>
      </c>
      <c r="AC181" s="46">
        <v>1E-3</v>
      </c>
      <c r="AD181" s="46">
        <v>31.89</v>
      </c>
      <c r="AE181" s="46">
        <v>19.370999999999999</v>
      </c>
      <c r="AF181" s="46">
        <v>37.862000000000009</v>
      </c>
      <c r="AG181" s="46">
        <v>23.558</v>
      </c>
      <c r="AH181" s="46">
        <v>53.019999999999996</v>
      </c>
      <c r="AI181" s="46">
        <v>27.173999999999996</v>
      </c>
      <c r="AJ181" s="46">
        <v>15.091000000000001</v>
      </c>
      <c r="AK181" s="46">
        <v>16.567</v>
      </c>
      <c r="AL181" s="46">
        <v>28.755000000000003</v>
      </c>
      <c r="AM181" s="46">
        <v>24.274000000000001</v>
      </c>
      <c r="AN181" s="46">
        <v>35.552999999999997</v>
      </c>
      <c r="AO181" s="46">
        <f>AVERAGE(K181:AN181)</f>
        <v>24.94723333333333</v>
      </c>
      <c r="AP181" s="7">
        <f>AO181/I181</f>
        <v>2.494723333333333</v>
      </c>
      <c r="AQ181" s="81">
        <f t="shared" si="2"/>
        <v>748.41699999999992</v>
      </c>
    </row>
    <row r="182" spans="1:43" x14ac:dyDescent="0.3">
      <c r="A182" s="5">
        <v>63</v>
      </c>
      <c r="B182" s="107" t="s">
        <v>9</v>
      </c>
      <c r="C182" s="112">
        <v>0</v>
      </c>
      <c r="D182" s="10" t="s">
        <v>1068</v>
      </c>
      <c r="E182" s="6" t="s">
        <v>128</v>
      </c>
      <c r="F182" s="6" t="s">
        <v>12</v>
      </c>
      <c r="G182" s="6" t="s">
        <v>976</v>
      </c>
      <c r="H182" s="6" t="s">
        <v>35</v>
      </c>
      <c r="I182" s="92">
        <v>10</v>
      </c>
      <c r="J182" s="94" t="s">
        <v>273</v>
      </c>
      <c r="K182" s="46">
        <v>0</v>
      </c>
      <c r="L182" s="46">
        <v>0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5.444</v>
      </c>
      <c r="V182" s="46">
        <v>19.125</v>
      </c>
      <c r="W182" s="46">
        <v>0</v>
      </c>
      <c r="X182" s="46">
        <v>43.570000000000007</v>
      </c>
      <c r="Y182" s="46">
        <v>67.989000000000004</v>
      </c>
      <c r="Z182" s="46">
        <v>34.762</v>
      </c>
      <c r="AA182" s="46">
        <v>39.594999999999999</v>
      </c>
      <c r="AB182" s="46">
        <v>42.195999999999998</v>
      </c>
      <c r="AC182" s="46">
        <v>29.790000000000003</v>
      </c>
      <c r="AD182" s="46">
        <v>20.375</v>
      </c>
      <c r="AE182" s="46">
        <v>18.214000000000002</v>
      </c>
      <c r="AF182" s="46">
        <v>35.478999999999999</v>
      </c>
      <c r="AG182" s="46">
        <v>51.954000000000001</v>
      </c>
      <c r="AH182" s="46">
        <v>40.947000000000003</v>
      </c>
      <c r="AI182" s="46">
        <v>32.701999999999998</v>
      </c>
      <c r="AJ182" s="46">
        <v>46.503</v>
      </c>
      <c r="AK182" s="46">
        <v>6.4180000000000001</v>
      </c>
      <c r="AL182" s="46">
        <v>31.060999999999993</v>
      </c>
      <c r="AM182" s="46">
        <v>39.405999999999999</v>
      </c>
      <c r="AN182" s="46">
        <v>46.048999999999992</v>
      </c>
      <c r="AO182" s="46">
        <f>AVERAGE(K182:AN182)</f>
        <v>21.719299999999997</v>
      </c>
      <c r="AP182" s="7">
        <f>AO182/I182</f>
        <v>2.1719299999999997</v>
      </c>
      <c r="AQ182" s="81">
        <f t="shared" si="2"/>
        <v>651.57899999999995</v>
      </c>
    </row>
    <row r="183" spans="1:43" x14ac:dyDescent="0.3">
      <c r="A183" s="5">
        <v>83</v>
      </c>
      <c r="B183" s="107" t="s">
        <v>49</v>
      </c>
      <c r="C183" s="112" t="s">
        <v>641</v>
      </c>
      <c r="D183" s="112" t="s">
        <v>725</v>
      </c>
      <c r="E183" s="6" t="s">
        <v>128</v>
      </c>
      <c r="F183" s="6" t="s">
        <v>12</v>
      </c>
      <c r="G183" s="6" t="s">
        <v>976</v>
      </c>
      <c r="H183" s="6" t="s">
        <v>35</v>
      </c>
      <c r="I183" s="92">
        <v>10</v>
      </c>
      <c r="J183" s="12" t="s">
        <v>589</v>
      </c>
      <c r="K183" s="46">
        <v>26.632000000000005</v>
      </c>
      <c r="L183" s="46">
        <v>5.0949999999999998</v>
      </c>
      <c r="M183" s="46">
        <v>22.042999999999999</v>
      </c>
      <c r="N183" s="46">
        <v>31.266000000000002</v>
      </c>
      <c r="O183" s="46">
        <v>51.784000000000006</v>
      </c>
      <c r="P183" s="46">
        <v>17.083000000000002</v>
      </c>
      <c r="Q183" s="46">
        <v>31.957999999999998</v>
      </c>
      <c r="R183" s="46">
        <v>51.180999999999997</v>
      </c>
      <c r="S183" s="46">
        <v>41.345999999999997</v>
      </c>
      <c r="T183" s="46">
        <v>28.409000000000002</v>
      </c>
      <c r="U183" s="46">
        <v>35.663000000000004</v>
      </c>
      <c r="V183" s="46">
        <v>40.197000000000003</v>
      </c>
      <c r="W183" s="46">
        <v>23.492000000000001</v>
      </c>
      <c r="X183" s="46">
        <v>25.244</v>
      </c>
      <c r="Y183" s="46">
        <v>49.391000000000005</v>
      </c>
      <c r="Z183" s="46">
        <v>31.224999999999998</v>
      </c>
      <c r="AA183" s="46">
        <v>23.485000000000003</v>
      </c>
      <c r="AB183" s="46">
        <v>31.782000000000004</v>
      </c>
      <c r="AC183" s="46">
        <v>52.405999999999999</v>
      </c>
      <c r="AD183" s="46">
        <v>32.197000000000003</v>
      </c>
      <c r="AE183" s="46">
        <v>39.902999999999999</v>
      </c>
      <c r="AF183" s="46">
        <v>29.328999999999997</v>
      </c>
      <c r="AG183" s="46">
        <v>26.009999999999998</v>
      </c>
      <c r="AH183" s="46">
        <v>46.795999999999999</v>
      </c>
      <c r="AI183" s="46">
        <v>41.669999999999995</v>
      </c>
      <c r="AJ183" s="46">
        <v>43.277000000000001</v>
      </c>
      <c r="AK183" s="46">
        <v>28.684999999999999</v>
      </c>
      <c r="AL183" s="46">
        <v>43.192999999999998</v>
      </c>
      <c r="AM183" s="46">
        <v>36.348999999999997</v>
      </c>
      <c r="AN183" s="46">
        <v>22.805</v>
      </c>
      <c r="AO183" s="46">
        <f>AVERAGE(K183:AN183)</f>
        <v>33.663199999999996</v>
      </c>
      <c r="AP183" s="7">
        <f>AO183/I183</f>
        <v>3.3663199999999995</v>
      </c>
      <c r="AQ183" s="81">
        <f t="shared" si="2"/>
        <v>1009.896</v>
      </c>
    </row>
    <row r="184" spans="1:43" x14ac:dyDescent="0.3">
      <c r="A184" s="5">
        <v>98</v>
      </c>
      <c r="B184" s="107" t="s">
        <v>58</v>
      </c>
      <c r="C184" s="112" t="s">
        <v>650</v>
      </c>
      <c r="D184" s="112" t="s">
        <v>758</v>
      </c>
      <c r="E184" s="6" t="s">
        <v>128</v>
      </c>
      <c r="F184" s="6" t="s">
        <v>12</v>
      </c>
      <c r="G184" s="6" t="s">
        <v>976</v>
      </c>
      <c r="H184" s="12" t="s">
        <v>35</v>
      </c>
      <c r="I184" s="92">
        <v>10</v>
      </c>
      <c r="J184" s="94" t="s">
        <v>273</v>
      </c>
      <c r="K184" s="46">
        <v>75.994999999999976</v>
      </c>
      <c r="L184" s="46">
        <v>107.61100000000003</v>
      </c>
      <c r="M184" s="46">
        <v>120.77699999999999</v>
      </c>
      <c r="N184" s="46">
        <v>154.756</v>
      </c>
      <c r="O184" s="46">
        <v>136.25700000000003</v>
      </c>
      <c r="P184" s="46">
        <v>119.84399999999999</v>
      </c>
      <c r="Q184" s="46">
        <v>136.63199999999998</v>
      </c>
      <c r="R184" s="46">
        <v>97.981999999999999</v>
      </c>
      <c r="S184" s="46">
        <v>121.068</v>
      </c>
      <c r="T184" s="46">
        <v>115.14299999999999</v>
      </c>
      <c r="U184" s="46">
        <v>91.075000000000003</v>
      </c>
      <c r="V184" s="46">
        <v>123.29900000000005</v>
      </c>
      <c r="W184" s="46">
        <v>97.129000000000005</v>
      </c>
      <c r="X184" s="46">
        <v>84.746000000000009</v>
      </c>
      <c r="Y184" s="46">
        <v>123.97600000000001</v>
      </c>
      <c r="Z184" s="46">
        <v>77.769000000000005</v>
      </c>
      <c r="AA184" s="46">
        <v>126.85600000000002</v>
      </c>
      <c r="AB184" s="46">
        <v>82.251000000000005</v>
      </c>
      <c r="AC184" s="46">
        <v>82.869</v>
      </c>
      <c r="AD184" s="46">
        <v>82.761999999999972</v>
      </c>
      <c r="AE184" s="46">
        <v>76.709000000000003</v>
      </c>
      <c r="AF184" s="46">
        <v>97.850000000000009</v>
      </c>
      <c r="AG184" s="46">
        <v>81.978999999999999</v>
      </c>
      <c r="AH184" s="46">
        <v>112.06500000000003</v>
      </c>
      <c r="AI184" s="46">
        <v>81.076000000000008</v>
      </c>
      <c r="AJ184" s="46">
        <v>94.004999999999995</v>
      </c>
      <c r="AK184" s="46">
        <v>70.85499999999999</v>
      </c>
      <c r="AL184" s="46">
        <v>101.777</v>
      </c>
      <c r="AM184" s="46">
        <v>90.905999999999992</v>
      </c>
      <c r="AN184" s="46">
        <v>84.512000000000015</v>
      </c>
      <c r="AO184" s="46">
        <f>AVERAGE(K184:AN184)</f>
        <v>101.68436666666668</v>
      </c>
      <c r="AP184" s="7">
        <f>AO184/I184</f>
        <v>10.168436666666668</v>
      </c>
      <c r="AQ184" s="81">
        <f t="shared" si="2"/>
        <v>3050.5310000000004</v>
      </c>
    </row>
    <row r="185" spans="1:43" x14ac:dyDescent="0.3">
      <c r="A185" s="5">
        <v>143</v>
      </c>
      <c r="B185" s="107" t="s">
        <v>65</v>
      </c>
      <c r="C185" s="10" t="s">
        <v>672</v>
      </c>
      <c r="D185" s="12" t="s">
        <v>818</v>
      </c>
      <c r="E185" s="6" t="s">
        <v>30</v>
      </c>
      <c r="F185" s="6" t="s">
        <v>12</v>
      </c>
      <c r="G185" s="6" t="s">
        <v>976</v>
      </c>
      <c r="H185" s="6" t="s">
        <v>35</v>
      </c>
      <c r="I185" s="92">
        <v>10</v>
      </c>
      <c r="J185" s="12" t="s">
        <v>589</v>
      </c>
      <c r="K185" s="46">
        <v>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0</v>
      </c>
      <c r="AL185" s="46">
        <v>0</v>
      </c>
      <c r="AM185" s="46">
        <v>0</v>
      </c>
      <c r="AN185" s="46">
        <v>0</v>
      </c>
      <c r="AO185" s="46">
        <f>AVERAGE(K185:AN185)</f>
        <v>0</v>
      </c>
      <c r="AP185" s="7">
        <f>AO185/I185</f>
        <v>0</v>
      </c>
      <c r="AQ185" s="81">
        <f t="shared" si="2"/>
        <v>0</v>
      </c>
    </row>
    <row r="186" spans="1:43" x14ac:dyDescent="0.3">
      <c r="A186" s="5">
        <v>36</v>
      </c>
      <c r="B186" s="107" t="s">
        <v>9</v>
      </c>
      <c r="C186" s="112" t="s">
        <v>618</v>
      </c>
      <c r="D186" s="112" t="s">
        <v>762</v>
      </c>
      <c r="E186" s="6" t="s">
        <v>128</v>
      </c>
      <c r="F186" s="6" t="s">
        <v>12</v>
      </c>
      <c r="G186" s="6" t="s">
        <v>976</v>
      </c>
      <c r="H186" s="6" t="s">
        <v>35</v>
      </c>
      <c r="I186" s="92">
        <v>11</v>
      </c>
      <c r="J186" s="94" t="s">
        <v>273</v>
      </c>
      <c r="K186" s="46">
        <v>198.13800000000001</v>
      </c>
      <c r="L186" s="46">
        <v>111.96</v>
      </c>
      <c r="M186" s="46">
        <v>173.01900000000003</v>
      </c>
      <c r="N186" s="46">
        <v>238.67399999999998</v>
      </c>
      <c r="O186" s="46">
        <v>222.29</v>
      </c>
      <c r="P186" s="46">
        <v>182.84699999999998</v>
      </c>
      <c r="Q186" s="46">
        <v>75.265999999999991</v>
      </c>
      <c r="R186" s="46">
        <v>125.53000000000002</v>
      </c>
      <c r="S186" s="46">
        <v>201.43499999999995</v>
      </c>
      <c r="T186" s="46">
        <v>165.333</v>
      </c>
      <c r="U186" s="46">
        <v>177.41899999999998</v>
      </c>
      <c r="V186" s="46">
        <v>183.14200000000002</v>
      </c>
      <c r="W186" s="46">
        <v>120.81500000000001</v>
      </c>
      <c r="X186" s="46">
        <v>63.942</v>
      </c>
      <c r="Y186" s="46">
        <v>115.44799999999998</v>
      </c>
      <c r="Z186" s="46">
        <v>124.88600000000001</v>
      </c>
      <c r="AA186" s="46">
        <v>91.234000000000009</v>
      </c>
      <c r="AB186" s="46">
        <v>91.241</v>
      </c>
      <c r="AC186" s="46">
        <v>69.745000000000005</v>
      </c>
      <c r="AD186" s="46">
        <v>49.690000000000005</v>
      </c>
      <c r="AE186" s="46">
        <v>52.825999999999993</v>
      </c>
      <c r="AF186" s="46">
        <v>41.279000000000003</v>
      </c>
      <c r="AG186" s="46">
        <v>69.903999999999996</v>
      </c>
      <c r="AH186" s="46">
        <v>183.71300000000002</v>
      </c>
      <c r="AI186" s="46">
        <v>145.01899999999998</v>
      </c>
      <c r="AJ186" s="46">
        <v>173.98599999999999</v>
      </c>
      <c r="AK186" s="46">
        <v>71.327999999999989</v>
      </c>
      <c r="AL186" s="46">
        <v>72.088999999999999</v>
      </c>
      <c r="AM186" s="46">
        <v>77.039000000000001</v>
      </c>
      <c r="AN186" s="46">
        <v>95.243000000000009</v>
      </c>
      <c r="AO186" s="46">
        <f>AVERAGE(K186:AN186)</f>
        <v>125.48266666666665</v>
      </c>
      <c r="AP186" s="7">
        <f>AO186/I186</f>
        <v>11.407515151515149</v>
      </c>
      <c r="AQ186" s="81">
        <f t="shared" si="2"/>
        <v>3764.4799999999996</v>
      </c>
    </row>
    <row r="187" spans="1:43" ht="15.6" x14ac:dyDescent="0.3">
      <c r="A187" s="5">
        <v>204</v>
      </c>
      <c r="B187" s="107" t="s">
        <v>572</v>
      </c>
      <c r="C187" s="112" t="s">
        <v>697</v>
      </c>
      <c r="D187" s="114" t="s">
        <v>810</v>
      </c>
      <c r="E187" s="6" t="s">
        <v>61</v>
      </c>
      <c r="F187" s="6" t="s">
        <v>12</v>
      </c>
      <c r="G187" s="6" t="s">
        <v>976</v>
      </c>
      <c r="H187" s="6" t="s">
        <v>35</v>
      </c>
      <c r="I187" s="92">
        <v>12</v>
      </c>
      <c r="J187" s="12" t="s">
        <v>160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f>AVERAGE(K187:AN187)</f>
        <v>0</v>
      </c>
      <c r="AP187" s="7">
        <f>AO187/I187</f>
        <v>0</v>
      </c>
      <c r="AQ187" s="81">
        <f t="shared" si="2"/>
        <v>0</v>
      </c>
    </row>
    <row r="188" spans="1:43" x14ac:dyDescent="0.3">
      <c r="A188" s="5">
        <v>40</v>
      </c>
      <c r="B188" s="107" t="s">
        <v>9</v>
      </c>
      <c r="C188" s="112" t="s">
        <v>621</v>
      </c>
      <c r="D188" s="112" t="s">
        <v>766</v>
      </c>
      <c r="E188" s="6" t="s">
        <v>128</v>
      </c>
      <c r="F188" s="6" t="s">
        <v>12</v>
      </c>
      <c r="G188" s="6" t="s">
        <v>976</v>
      </c>
      <c r="H188" s="6" t="s">
        <v>35</v>
      </c>
      <c r="I188" s="92">
        <v>13</v>
      </c>
      <c r="J188" s="94" t="s">
        <v>273</v>
      </c>
      <c r="K188" s="46">
        <v>51.688000000000002</v>
      </c>
      <c r="L188" s="46">
        <v>40.028000000000006</v>
      </c>
      <c r="M188" s="46">
        <v>54.95000000000001</v>
      </c>
      <c r="N188" s="46">
        <v>63.901999999999994</v>
      </c>
      <c r="O188" s="46">
        <v>47.635000000000005</v>
      </c>
      <c r="P188" s="46">
        <v>53.333000000000006</v>
      </c>
      <c r="Q188" s="46">
        <v>61.490000000000009</v>
      </c>
      <c r="R188" s="46">
        <v>85.596999999999994</v>
      </c>
      <c r="S188" s="46">
        <v>42.091000000000001</v>
      </c>
      <c r="T188" s="46">
        <v>46.840999999999994</v>
      </c>
      <c r="U188" s="46">
        <v>63.459999999999994</v>
      </c>
      <c r="V188" s="46">
        <v>45.731999999999999</v>
      </c>
      <c r="W188" s="46">
        <v>37.974000000000004</v>
      </c>
      <c r="X188" s="46">
        <v>55.852999999999994</v>
      </c>
      <c r="Y188" s="46">
        <v>74.762</v>
      </c>
      <c r="Z188" s="46">
        <v>65.143000000000001</v>
      </c>
      <c r="AA188" s="46">
        <v>96.343000000000004</v>
      </c>
      <c r="AB188" s="46">
        <v>47.945</v>
      </c>
      <c r="AC188" s="46">
        <v>49.414000000000001</v>
      </c>
      <c r="AD188" s="46">
        <v>69.915999999999997</v>
      </c>
      <c r="AE188" s="46">
        <v>43.399000000000001</v>
      </c>
      <c r="AF188" s="46">
        <v>93.168000000000006</v>
      </c>
      <c r="AG188" s="46">
        <v>75.432999999999993</v>
      </c>
      <c r="AH188" s="46">
        <v>64.62299999999999</v>
      </c>
      <c r="AI188" s="46">
        <v>85.73399999999998</v>
      </c>
      <c r="AJ188" s="46">
        <v>78.331000000000017</v>
      </c>
      <c r="AK188" s="46">
        <v>79.100000000000009</v>
      </c>
      <c r="AL188" s="46">
        <v>57.883999999999986</v>
      </c>
      <c r="AM188" s="46">
        <v>96.279999999999987</v>
      </c>
      <c r="AN188" s="46">
        <v>86.967999999999989</v>
      </c>
      <c r="AO188" s="46">
        <f>AVERAGE(K188:AN188)</f>
        <v>63.833900000000007</v>
      </c>
      <c r="AP188" s="7">
        <f>AO188/I188</f>
        <v>4.9103000000000003</v>
      </c>
      <c r="AQ188" s="81">
        <f t="shared" si="2"/>
        <v>1915.0170000000003</v>
      </c>
    </row>
    <row r="189" spans="1:43" x14ac:dyDescent="0.3">
      <c r="A189" s="5">
        <v>144</v>
      </c>
      <c r="B189" s="107" t="s">
        <v>65</v>
      </c>
      <c r="C189" s="10" t="s">
        <v>673</v>
      </c>
      <c r="D189" s="12" t="s">
        <v>719</v>
      </c>
      <c r="E189" s="6" t="s">
        <v>30</v>
      </c>
      <c r="F189" s="6" t="s">
        <v>12</v>
      </c>
      <c r="G189" s="6" t="s">
        <v>976</v>
      </c>
      <c r="H189" s="6" t="s">
        <v>35</v>
      </c>
      <c r="I189" s="92">
        <v>13</v>
      </c>
      <c r="J189" s="12" t="s">
        <v>589</v>
      </c>
      <c r="K189" s="46">
        <v>172.637</v>
      </c>
      <c r="L189" s="46">
        <v>149.06899999999999</v>
      </c>
      <c r="M189" s="46">
        <v>116.43199999999999</v>
      </c>
      <c r="N189" s="46">
        <v>125.26600000000001</v>
      </c>
      <c r="O189" s="46">
        <v>106.64099999999998</v>
      </c>
      <c r="P189" s="46">
        <v>111.76300000000001</v>
      </c>
      <c r="Q189" s="46">
        <v>114.22699999999999</v>
      </c>
      <c r="R189" s="46">
        <v>92.557000000000002</v>
      </c>
      <c r="S189" s="46">
        <v>118.94</v>
      </c>
      <c r="T189" s="46">
        <v>113.48099999999998</v>
      </c>
      <c r="U189" s="46">
        <v>98.018000000000001</v>
      </c>
      <c r="V189" s="46">
        <v>64.435999999999993</v>
      </c>
      <c r="W189" s="46">
        <v>74.833000000000013</v>
      </c>
      <c r="X189" s="46">
        <v>62.617999999999995</v>
      </c>
      <c r="Y189" s="46">
        <v>111.282</v>
      </c>
      <c r="Z189" s="46">
        <v>93.085999999999984</v>
      </c>
      <c r="AA189" s="46">
        <v>92.123000000000005</v>
      </c>
      <c r="AB189" s="46">
        <v>87.421999999999983</v>
      </c>
      <c r="AC189" s="46">
        <v>102.38900000000001</v>
      </c>
      <c r="AD189" s="46">
        <v>6.3410000000000002</v>
      </c>
      <c r="AE189" s="46">
        <v>0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0</v>
      </c>
      <c r="AL189" s="46">
        <v>0</v>
      </c>
      <c r="AM189" s="46">
        <v>0</v>
      </c>
      <c r="AN189" s="46">
        <v>0</v>
      </c>
      <c r="AO189" s="46">
        <f>AVERAGE(K189:AN189)</f>
        <v>67.11869999999999</v>
      </c>
      <c r="AP189" s="7">
        <f>AO189/I189</f>
        <v>5.162976923076922</v>
      </c>
      <c r="AQ189" s="81">
        <f t="shared" si="2"/>
        <v>2013.5609999999997</v>
      </c>
    </row>
    <row r="190" spans="1:43" ht="15.6" x14ac:dyDescent="0.3">
      <c r="A190" s="5">
        <v>105</v>
      </c>
      <c r="B190" s="107" t="s">
        <v>569</v>
      </c>
      <c r="C190" s="112" t="s">
        <v>656</v>
      </c>
      <c r="D190" s="114" t="s">
        <v>955</v>
      </c>
      <c r="E190" s="6" t="s">
        <v>61</v>
      </c>
      <c r="F190" s="6" t="s">
        <v>12</v>
      </c>
      <c r="G190" s="6" t="s">
        <v>976</v>
      </c>
      <c r="H190" s="12" t="s">
        <v>35</v>
      </c>
      <c r="I190" s="92">
        <v>14</v>
      </c>
      <c r="J190" s="67" t="s">
        <v>160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2.56</v>
      </c>
      <c r="T190" s="46">
        <v>0</v>
      </c>
      <c r="U190" s="46">
        <v>2.5409999999999999</v>
      </c>
      <c r="V190" s="46">
        <v>2.8769999999999998</v>
      </c>
      <c r="W190" s="46">
        <v>0</v>
      </c>
      <c r="X190" s="46">
        <v>0</v>
      </c>
      <c r="Y190" s="46">
        <v>0</v>
      </c>
      <c r="Z190" s="46">
        <v>0</v>
      </c>
      <c r="AA190" s="46">
        <v>2.129</v>
      </c>
      <c r="AB190" s="46">
        <v>2.7080000000000002</v>
      </c>
      <c r="AC190" s="46">
        <v>2.4510000000000001</v>
      </c>
      <c r="AD190" s="46">
        <v>0</v>
      </c>
      <c r="AE190" s="46">
        <v>2.4829999999999997</v>
      </c>
      <c r="AF190" s="46">
        <v>2.78</v>
      </c>
      <c r="AG190" s="46">
        <v>2.8119999999999998</v>
      </c>
      <c r="AH190" s="46">
        <v>0</v>
      </c>
      <c r="AI190" s="46">
        <v>2.8580000000000001</v>
      </c>
      <c r="AJ190" s="46">
        <v>0</v>
      </c>
      <c r="AK190" s="46">
        <v>0</v>
      </c>
      <c r="AL190" s="46">
        <v>2.782</v>
      </c>
      <c r="AM190" s="46">
        <v>2.5270000000000001</v>
      </c>
      <c r="AN190" s="46">
        <v>2.3479999999999999</v>
      </c>
      <c r="AO190" s="46">
        <f>AVERAGE(K190:AN190)</f>
        <v>1.1285333333333334</v>
      </c>
      <c r="AP190" s="7">
        <f>AO190/I190</f>
        <v>8.0609523809523811E-2</v>
      </c>
      <c r="AQ190" s="81">
        <f t="shared" si="2"/>
        <v>33.856000000000002</v>
      </c>
    </row>
    <row r="191" spans="1:43" x14ac:dyDescent="0.3">
      <c r="A191" s="5">
        <v>139</v>
      </c>
      <c r="B191" s="108" t="s">
        <v>565</v>
      </c>
      <c r="C191" s="10" t="s">
        <v>669</v>
      </c>
      <c r="D191" s="39" t="s">
        <v>764</v>
      </c>
      <c r="E191" s="6" t="s">
        <v>128</v>
      </c>
      <c r="F191" s="6" t="s">
        <v>12</v>
      </c>
      <c r="G191" s="6" t="s">
        <v>976</v>
      </c>
      <c r="H191" s="6" t="s">
        <v>35</v>
      </c>
      <c r="I191" s="92">
        <v>15</v>
      </c>
      <c r="J191" s="94" t="s">
        <v>273</v>
      </c>
      <c r="K191" s="46">
        <v>228.79099999999994</v>
      </c>
      <c r="L191" s="46">
        <v>284.23099999999999</v>
      </c>
      <c r="M191" s="46">
        <v>274.14200000000005</v>
      </c>
      <c r="N191" s="46">
        <v>217.61700000000005</v>
      </c>
      <c r="O191" s="46">
        <v>309.19599999999991</v>
      </c>
      <c r="P191" s="46">
        <v>246.34700000000004</v>
      </c>
      <c r="Q191" s="46">
        <v>329.66999999999996</v>
      </c>
      <c r="R191" s="46">
        <v>227.6279999999999</v>
      </c>
      <c r="S191" s="46">
        <v>222.35799999999992</v>
      </c>
      <c r="T191" s="46">
        <v>242.93599999999992</v>
      </c>
      <c r="U191" s="46">
        <v>197.70400000000004</v>
      </c>
      <c r="V191" s="46">
        <v>264.90799999999996</v>
      </c>
      <c r="W191" s="46">
        <v>266.4310000000001</v>
      </c>
      <c r="X191" s="46">
        <v>269.59399999999999</v>
      </c>
      <c r="Y191" s="46">
        <v>317.26100000000002</v>
      </c>
      <c r="Z191" s="46">
        <v>283.11999999999995</v>
      </c>
      <c r="AA191" s="46">
        <v>345.66899999999993</v>
      </c>
      <c r="AB191" s="46">
        <v>322.77000000000004</v>
      </c>
      <c r="AC191" s="46">
        <v>316.726</v>
      </c>
      <c r="AD191" s="46">
        <v>322.16600000000011</v>
      </c>
      <c r="AE191" s="46">
        <v>279.08900000000017</v>
      </c>
      <c r="AF191" s="46">
        <v>317.45300000000009</v>
      </c>
      <c r="AG191" s="46">
        <v>328.25500000000005</v>
      </c>
      <c r="AH191" s="46">
        <v>291.62800000000004</v>
      </c>
      <c r="AI191" s="46">
        <v>355.46600000000012</v>
      </c>
      <c r="AJ191" s="46">
        <v>322.46299999999991</v>
      </c>
      <c r="AK191" s="46">
        <v>312.82000000000011</v>
      </c>
      <c r="AL191" s="46">
        <v>336.87099999999998</v>
      </c>
      <c r="AM191" s="46">
        <v>364.1520000000001</v>
      </c>
      <c r="AN191" s="46">
        <v>308.53099999999995</v>
      </c>
      <c r="AO191" s="46">
        <f>AVERAGE(K191:AN191)</f>
        <v>290.19976666666662</v>
      </c>
      <c r="AP191" s="7">
        <f>AO191/I191</f>
        <v>19.346651111111107</v>
      </c>
      <c r="AQ191" s="81">
        <f t="shared" si="2"/>
        <v>8705.9929999999986</v>
      </c>
    </row>
    <row r="192" spans="1:43" x14ac:dyDescent="0.3">
      <c r="A192" s="5">
        <v>145</v>
      </c>
      <c r="B192" s="107" t="s">
        <v>65</v>
      </c>
      <c r="C192" s="112" t="s">
        <v>941</v>
      </c>
      <c r="D192" s="112" t="s">
        <v>904</v>
      </c>
      <c r="E192" s="6" t="s">
        <v>128</v>
      </c>
      <c r="F192" s="6" t="s">
        <v>12</v>
      </c>
      <c r="G192" s="6" t="s">
        <v>976</v>
      </c>
      <c r="H192" s="6" t="s">
        <v>35</v>
      </c>
      <c r="I192" s="92">
        <v>15</v>
      </c>
      <c r="J192" s="94" t="s">
        <v>273</v>
      </c>
      <c r="K192" s="46">
        <v>394.48400000000004</v>
      </c>
      <c r="L192" s="46">
        <v>379.51999999999992</v>
      </c>
      <c r="M192" s="46">
        <v>357.47899999999998</v>
      </c>
      <c r="N192" s="46">
        <v>395.11400000000003</v>
      </c>
      <c r="O192" s="46">
        <v>334.02299999999997</v>
      </c>
      <c r="P192" s="46">
        <v>342.99599999999998</v>
      </c>
      <c r="Q192" s="46">
        <v>227.85400000000004</v>
      </c>
      <c r="R192" s="46">
        <v>424.02100000000002</v>
      </c>
      <c r="S192" s="46">
        <v>381.92300000000006</v>
      </c>
      <c r="T192" s="46">
        <v>362.0870000000001</v>
      </c>
      <c r="U192" s="46">
        <v>384.28199999999993</v>
      </c>
      <c r="V192" s="46">
        <v>499.12300000000016</v>
      </c>
      <c r="W192" s="46">
        <v>367.83800000000002</v>
      </c>
      <c r="X192" s="46">
        <v>416.505</v>
      </c>
      <c r="Y192" s="46">
        <v>381.18500000000012</v>
      </c>
      <c r="Z192" s="46">
        <v>361.98300000000006</v>
      </c>
      <c r="AA192" s="46">
        <v>380.37</v>
      </c>
      <c r="AB192" s="46">
        <v>428.23199999999974</v>
      </c>
      <c r="AC192" s="46">
        <v>354.08800000000002</v>
      </c>
      <c r="AD192" s="46">
        <v>317.01400000000007</v>
      </c>
      <c r="AE192" s="46">
        <v>321.51700000000011</v>
      </c>
      <c r="AF192" s="46">
        <v>318.53200000000004</v>
      </c>
      <c r="AG192" s="46">
        <v>395.23700000000002</v>
      </c>
      <c r="AH192" s="46">
        <v>332.74400000000014</v>
      </c>
      <c r="AI192" s="46">
        <v>307.02199999999999</v>
      </c>
      <c r="AJ192" s="46">
        <v>269.26700000000011</v>
      </c>
      <c r="AK192" s="46">
        <v>293.01299999999998</v>
      </c>
      <c r="AL192" s="46">
        <v>298.61999999999995</v>
      </c>
      <c r="AM192" s="46">
        <v>319.21100000000001</v>
      </c>
      <c r="AN192" s="46">
        <v>418.59200000000016</v>
      </c>
      <c r="AO192" s="46">
        <f>AVERAGE(K192:AN192)</f>
        <v>358.79586666666677</v>
      </c>
      <c r="AP192" s="7">
        <f>AO192/I192</f>
        <v>23.919724444444451</v>
      </c>
      <c r="AQ192" s="81">
        <f t="shared" si="2"/>
        <v>10763.876000000004</v>
      </c>
    </row>
    <row r="193" spans="1:43" x14ac:dyDescent="0.3">
      <c r="A193" s="5">
        <v>157</v>
      </c>
      <c r="B193" s="107" t="s">
        <v>65</v>
      </c>
      <c r="C193" s="10" t="s">
        <v>681</v>
      </c>
      <c r="D193" s="12" t="s">
        <v>757</v>
      </c>
      <c r="E193" s="6" t="s">
        <v>128</v>
      </c>
      <c r="F193" s="6" t="s">
        <v>12</v>
      </c>
      <c r="G193" s="6" t="s">
        <v>976</v>
      </c>
      <c r="H193" s="6" t="s">
        <v>35</v>
      </c>
      <c r="I193" s="92">
        <v>15</v>
      </c>
      <c r="J193" s="94" t="s">
        <v>273</v>
      </c>
      <c r="K193" s="46">
        <v>176.90200000000002</v>
      </c>
      <c r="L193" s="46">
        <v>196.88200000000001</v>
      </c>
      <c r="M193" s="46">
        <v>237.86900000000003</v>
      </c>
      <c r="N193" s="46">
        <v>199.04599999999996</v>
      </c>
      <c r="O193" s="46">
        <v>200.78</v>
      </c>
      <c r="P193" s="46">
        <v>196.81299999999999</v>
      </c>
      <c r="Q193" s="46">
        <v>191.751</v>
      </c>
      <c r="R193" s="46">
        <v>181.04500000000002</v>
      </c>
      <c r="S193" s="46">
        <v>181.5</v>
      </c>
      <c r="T193" s="46">
        <v>216.33300000000003</v>
      </c>
      <c r="U193" s="46">
        <v>240.48800000000003</v>
      </c>
      <c r="V193" s="46">
        <v>281.21799999999996</v>
      </c>
      <c r="W193" s="46">
        <v>256.88100000000009</v>
      </c>
      <c r="X193" s="46">
        <v>234.57200000000009</v>
      </c>
      <c r="Y193" s="46">
        <v>261.27799999999991</v>
      </c>
      <c r="Z193" s="46">
        <v>227.66700000000003</v>
      </c>
      <c r="AA193" s="46">
        <v>252.999</v>
      </c>
      <c r="AB193" s="46">
        <v>217.67499999999995</v>
      </c>
      <c r="AC193" s="46">
        <v>255.97800000000007</v>
      </c>
      <c r="AD193" s="46">
        <v>298.25099999999998</v>
      </c>
      <c r="AE193" s="46">
        <v>277.85099999999994</v>
      </c>
      <c r="AF193" s="46">
        <v>253.85300000000001</v>
      </c>
      <c r="AG193" s="46">
        <v>252.46199999999999</v>
      </c>
      <c r="AH193" s="46">
        <v>238.50300000000004</v>
      </c>
      <c r="AI193" s="46">
        <v>226.32300000000001</v>
      </c>
      <c r="AJ193" s="46">
        <v>229.59900000000007</v>
      </c>
      <c r="AK193" s="46">
        <v>275.24300000000005</v>
      </c>
      <c r="AL193" s="46">
        <v>255.96899999999999</v>
      </c>
      <c r="AM193" s="46">
        <v>250.08999999999997</v>
      </c>
      <c r="AN193" s="46">
        <v>245.79900000000006</v>
      </c>
      <c r="AO193" s="46">
        <f>AVERAGE(K193:AN193)</f>
        <v>233.72066666666666</v>
      </c>
      <c r="AP193" s="7">
        <f>AO193/I193</f>
        <v>15.581377777777778</v>
      </c>
      <c r="AQ193" s="81">
        <f t="shared" si="2"/>
        <v>7011.62</v>
      </c>
    </row>
    <row r="194" spans="1:43" x14ac:dyDescent="0.3">
      <c r="A194" s="5">
        <v>170</v>
      </c>
      <c r="B194" s="107" t="s">
        <v>65</v>
      </c>
      <c r="C194" s="10" t="s">
        <v>690</v>
      </c>
      <c r="D194" s="12" t="s">
        <v>769</v>
      </c>
      <c r="E194" s="6" t="s">
        <v>128</v>
      </c>
      <c r="F194" s="6" t="s">
        <v>12</v>
      </c>
      <c r="G194" s="6" t="s">
        <v>976</v>
      </c>
      <c r="H194" s="6" t="s">
        <v>35</v>
      </c>
      <c r="I194" s="92">
        <v>15</v>
      </c>
      <c r="J194" s="94" t="s">
        <v>273</v>
      </c>
      <c r="K194" s="46">
        <v>114.03500000000001</v>
      </c>
      <c r="L194" s="46">
        <v>110.99499999999999</v>
      </c>
      <c r="M194" s="46">
        <v>96.491000000000028</v>
      </c>
      <c r="N194" s="46">
        <v>109.28499999999998</v>
      </c>
      <c r="O194" s="46">
        <v>102.51500000000001</v>
      </c>
      <c r="P194" s="46">
        <v>100.54299999999998</v>
      </c>
      <c r="Q194" s="46">
        <v>126.00499999999998</v>
      </c>
      <c r="R194" s="46">
        <v>94.406999999999996</v>
      </c>
      <c r="S194" s="46">
        <v>99.879000000000005</v>
      </c>
      <c r="T194" s="46">
        <v>109.23100000000001</v>
      </c>
      <c r="U194" s="46">
        <v>114.51800000000001</v>
      </c>
      <c r="V194" s="46">
        <v>104.26600000000001</v>
      </c>
      <c r="W194" s="46">
        <v>98.683999999999997</v>
      </c>
      <c r="X194" s="46">
        <v>104.95700000000001</v>
      </c>
      <c r="Y194" s="46">
        <v>110.32199999999999</v>
      </c>
      <c r="Z194" s="46">
        <v>59.489999999999995</v>
      </c>
      <c r="AA194" s="46">
        <v>110.89300000000001</v>
      </c>
      <c r="AB194" s="46">
        <v>92.971000000000004</v>
      </c>
      <c r="AC194" s="46">
        <v>110.25899999999999</v>
      </c>
      <c r="AD194" s="46">
        <v>89.823000000000008</v>
      </c>
      <c r="AE194" s="46">
        <v>71.994</v>
      </c>
      <c r="AF194" s="46">
        <v>93.571999999999989</v>
      </c>
      <c r="AG194" s="46">
        <v>82.802000000000007</v>
      </c>
      <c r="AH194" s="46">
        <v>101.95800000000001</v>
      </c>
      <c r="AI194" s="46">
        <v>95.444000000000003</v>
      </c>
      <c r="AJ194" s="46">
        <v>100.76900000000001</v>
      </c>
      <c r="AK194" s="46">
        <v>78.077999999999989</v>
      </c>
      <c r="AL194" s="46">
        <v>80.414000000000001</v>
      </c>
      <c r="AM194" s="46">
        <v>60.113</v>
      </c>
      <c r="AN194" s="46">
        <v>57.802999999999997</v>
      </c>
      <c r="AO194" s="46">
        <f>AVERAGE(K194:AN194)</f>
        <v>96.083866666666694</v>
      </c>
      <c r="AP194" s="7">
        <f>AO194/I194</f>
        <v>6.4055911111111126</v>
      </c>
      <c r="AQ194" s="81">
        <f t="shared" si="2"/>
        <v>2882.516000000001</v>
      </c>
    </row>
    <row r="195" spans="1:43" x14ac:dyDescent="0.3">
      <c r="A195" s="5">
        <v>178</v>
      </c>
      <c r="B195" s="107" t="s">
        <v>65</v>
      </c>
      <c r="C195" s="112" t="s">
        <v>696</v>
      </c>
      <c r="D195" s="112" t="s">
        <v>937</v>
      </c>
      <c r="E195" s="6" t="s">
        <v>128</v>
      </c>
      <c r="F195" s="6" t="s">
        <v>12</v>
      </c>
      <c r="G195" s="6" t="s">
        <v>976</v>
      </c>
      <c r="H195" s="6" t="s">
        <v>35</v>
      </c>
      <c r="I195" s="92">
        <v>15</v>
      </c>
      <c r="J195" s="94" t="s">
        <v>273</v>
      </c>
      <c r="K195" s="46">
        <v>165.23099999999999</v>
      </c>
      <c r="L195" s="46">
        <v>151.96799999999999</v>
      </c>
      <c r="M195" s="46">
        <v>196.09700000000001</v>
      </c>
      <c r="N195" s="46">
        <v>196.08799999999999</v>
      </c>
      <c r="O195" s="46">
        <v>174.239</v>
      </c>
      <c r="P195" s="46">
        <v>162.44499999999999</v>
      </c>
      <c r="Q195" s="46">
        <v>159.59900000000002</v>
      </c>
      <c r="R195" s="46">
        <v>191.065</v>
      </c>
      <c r="S195" s="46">
        <v>186.14300000000003</v>
      </c>
      <c r="T195" s="46">
        <v>218.57000000000005</v>
      </c>
      <c r="U195" s="46">
        <v>208.345</v>
      </c>
      <c r="V195" s="46">
        <v>179.27799999999999</v>
      </c>
      <c r="W195" s="46">
        <v>182.459</v>
      </c>
      <c r="X195" s="46">
        <v>156.608</v>
      </c>
      <c r="Y195" s="46">
        <v>161.679</v>
      </c>
      <c r="Z195" s="46">
        <v>65.411999999999992</v>
      </c>
      <c r="AA195" s="46">
        <v>83.463000000000008</v>
      </c>
      <c r="AB195" s="46">
        <v>88.679000000000002</v>
      </c>
      <c r="AC195" s="46">
        <v>95.580999999999989</v>
      </c>
      <c r="AD195" s="46">
        <v>118.866</v>
      </c>
      <c r="AE195" s="46">
        <v>100.56399999999999</v>
      </c>
      <c r="AF195" s="46">
        <v>110.577</v>
      </c>
      <c r="AG195" s="46">
        <v>132.90400000000002</v>
      </c>
      <c r="AH195" s="46">
        <v>106.80500000000002</v>
      </c>
      <c r="AI195" s="46">
        <v>98.146000000000015</v>
      </c>
      <c r="AJ195" s="46">
        <v>105.84</v>
      </c>
      <c r="AK195" s="46">
        <v>66.230999999999995</v>
      </c>
      <c r="AL195" s="46">
        <v>54.22</v>
      </c>
      <c r="AM195" s="46">
        <v>56.042000000000002</v>
      </c>
      <c r="AN195" s="46">
        <v>66.611000000000004</v>
      </c>
      <c r="AO195" s="46">
        <f>AVERAGE(K195:AN195)</f>
        <v>134.6585</v>
      </c>
      <c r="AP195" s="7">
        <f>AO195/I195</f>
        <v>8.9772333333333343</v>
      </c>
      <c r="AQ195" s="81">
        <f t="shared" ref="AQ195:AQ205" si="3">SUM(K195:AN195)</f>
        <v>4039.7550000000001</v>
      </c>
    </row>
    <row r="196" spans="1:43" x14ac:dyDescent="0.3">
      <c r="A196" s="5">
        <v>142</v>
      </c>
      <c r="B196" s="107" t="s">
        <v>65</v>
      </c>
      <c r="C196" s="10" t="s">
        <v>671</v>
      </c>
      <c r="D196" s="12" t="s">
        <v>723</v>
      </c>
      <c r="E196" s="6" t="s">
        <v>30</v>
      </c>
      <c r="F196" s="6" t="s">
        <v>12</v>
      </c>
      <c r="G196" s="6" t="s">
        <v>976</v>
      </c>
      <c r="H196" s="6" t="s">
        <v>35</v>
      </c>
      <c r="I196" s="92">
        <v>16</v>
      </c>
      <c r="J196" s="12" t="s">
        <v>589</v>
      </c>
      <c r="K196" s="46">
        <v>121.51899999999999</v>
      </c>
      <c r="L196" s="46">
        <v>154.39699999999999</v>
      </c>
      <c r="M196" s="46">
        <v>100.68299999999998</v>
      </c>
      <c r="N196" s="46">
        <v>116.806</v>
      </c>
      <c r="O196" s="46">
        <v>118.56300000000002</v>
      </c>
      <c r="P196" s="46">
        <v>116.68700000000001</v>
      </c>
      <c r="Q196" s="46">
        <v>89.564000000000007</v>
      </c>
      <c r="R196" s="46">
        <v>125.11499999999998</v>
      </c>
      <c r="S196" s="46">
        <v>49.148000000000003</v>
      </c>
      <c r="T196" s="46">
        <v>76.048000000000002</v>
      </c>
      <c r="U196" s="46">
        <v>74.073999999999998</v>
      </c>
      <c r="V196" s="46">
        <v>38.878</v>
      </c>
      <c r="W196" s="46">
        <v>47.150999999999996</v>
      </c>
      <c r="X196" s="46">
        <v>64.430000000000007</v>
      </c>
      <c r="Y196" s="46">
        <v>70.998000000000005</v>
      </c>
      <c r="Z196" s="46">
        <v>49.981999999999999</v>
      </c>
      <c r="AA196" s="46">
        <v>8.0869999999999997</v>
      </c>
      <c r="AB196" s="46">
        <v>6.976</v>
      </c>
      <c r="AC196" s="46">
        <v>13.328000000000001</v>
      </c>
      <c r="AD196" s="46">
        <v>32.82</v>
      </c>
      <c r="AE196" s="46">
        <v>29.742000000000001</v>
      </c>
      <c r="AF196" s="46">
        <v>42.3</v>
      </c>
      <c r="AG196" s="46">
        <v>41.987000000000002</v>
      </c>
      <c r="AH196" s="46">
        <v>21.179000000000002</v>
      </c>
      <c r="AI196" s="46">
        <v>31.100999999999999</v>
      </c>
      <c r="AJ196" s="46">
        <v>20.544</v>
      </c>
      <c r="AK196" s="46">
        <v>21.561</v>
      </c>
      <c r="AL196" s="46">
        <v>54.972999999999999</v>
      </c>
      <c r="AM196" s="46">
        <v>38.513000000000005</v>
      </c>
      <c r="AN196" s="46">
        <v>97.986999999999995</v>
      </c>
      <c r="AO196" s="46">
        <f>AVERAGE(K196:AN196)</f>
        <v>62.5047</v>
      </c>
      <c r="AP196" s="7">
        <f>AO196/I196</f>
        <v>3.90654375</v>
      </c>
      <c r="AQ196" s="81">
        <f>SUM(K196:AN196)</f>
        <v>1875.1410000000001</v>
      </c>
    </row>
    <row r="197" spans="1:43" x14ac:dyDescent="0.3">
      <c r="A197" s="5">
        <v>15</v>
      </c>
      <c r="B197" s="107" t="s">
        <v>9</v>
      </c>
      <c r="C197" s="112" t="s">
        <v>611</v>
      </c>
      <c r="D197" s="112" t="s">
        <v>747</v>
      </c>
      <c r="E197" s="6" t="s">
        <v>128</v>
      </c>
      <c r="F197" s="6" t="s">
        <v>12</v>
      </c>
      <c r="G197" s="6" t="s">
        <v>976</v>
      </c>
      <c r="H197" s="6" t="s">
        <v>35</v>
      </c>
      <c r="I197" s="92">
        <v>19</v>
      </c>
      <c r="J197" s="94" t="s">
        <v>273</v>
      </c>
      <c r="K197" s="46">
        <v>138.54600000000002</v>
      </c>
      <c r="L197" s="46">
        <v>126.61600000000001</v>
      </c>
      <c r="M197" s="46">
        <v>203.46300000000008</v>
      </c>
      <c r="N197" s="46">
        <v>283.89800000000002</v>
      </c>
      <c r="O197" s="46">
        <v>267.20100000000002</v>
      </c>
      <c r="P197" s="46">
        <v>283.18099999999993</v>
      </c>
      <c r="Q197" s="46">
        <v>232.41000000000005</v>
      </c>
      <c r="R197" s="46">
        <v>225.249</v>
      </c>
      <c r="S197" s="46">
        <v>237.77700000000002</v>
      </c>
      <c r="T197" s="46">
        <v>314.44400000000002</v>
      </c>
      <c r="U197" s="46">
        <v>273.37299999999999</v>
      </c>
      <c r="V197" s="46">
        <v>201.06699999999998</v>
      </c>
      <c r="W197" s="46">
        <v>198.45599999999996</v>
      </c>
      <c r="X197" s="46">
        <v>193.74200000000002</v>
      </c>
      <c r="Y197" s="46">
        <v>160.35099999999997</v>
      </c>
      <c r="Z197" s="46">
        <v>158.39400000000001</v>
      </c>
      <c r="AA197" s="46">
        <v>165.27799999999999</v>
      </c>
      <c r="AB197" s="46">
        <v>173.65899999999991</v>
      </c>
      <c r="AC197" s="46">
        <v>199.56099999999998</v>
      </c>
      <c r="AD197" s="46">
        <v>199.75200000000007</v>
      </c>
      <c r="AE197" s="46">
        <v>204.79</v>
      </c>
      <c r="AF197" s="46">
        <v>171.51199999999997</v>
      </c>
      <c r="AG197" s="46">
        <v>175.39800000000002</v>
      </c>
      <c r="AH197" s="46">
        <v>225.14300000000003</v>
      </c>
      <c r="AI197" s="46">
        <v>163.12700000000001</v>
      </c>
      <c r="AJ197" s="46">
        <v>148.25900000000004</v>
      </c>
      <c r="AK197" s="46">
        <v>183.417</v>
      </c>
      <c r="AL197" s="46">
        <v>215.26400000000004</v>
      </c>
      <c r="AM197" s="46">
        <v>205.02100000000002</v>
      </c>
      <c r="AN197" s="46">
        <v>150.52500000000001</v>
      </c>
      <c r="AO197" s="46">
        <f>AVERAGE(K197:AN197)</f>
        <v>202.62913333333336</v>
      </c>
      <c r="AP197" s="7">
        <f>AO197/I197</f>
        <v>10.664691228070177</v>
      </c>
      <c r="AQ197" s="81">
        <f t="shared" si="3"/>
        <v>6078.8740000000007</v>
      </c>
    </row>
    <row r="198" spans="1:43" x14ac:dyDescent="0.3">
      <c r="A198" s="5">
        <v>133</v>
      </c>
      <c r="B198" s="108" t="s">
        <v>221</v>
      </c>
      <c r="C198" s="112" t="s">
        <v>664</v>
      </c>
      <c r="D198" s="112" t="s">
        <v>795</v>
      </c>
      <c r="E198" s="110" t="s">
        <v>30</v>
      </c>
      <c r="F198" s="6" t="s">
        <v>12</v>
      </c>
      <c r="G198" s="6" t="s">
        <v>976</v>
      </c>
      <c r="H198" s="6" t="s">
        <v>35</v>
      </c>
      <c r="I198" s="5">
        <v>19</v>
      </c>
      <c r="J198" s="12" t="s">
        <v>589</v>
      </c>
      <c r="K198" s="46">
        <v>0.35499999999999998</v>
      </c>
      <c r="L198" s="46">
        <v>1.121</v>
      </c>
      <c r="M198" s="46">
        <v>1.222</v>
      </c>
      <c r="N198" s="46">
        <v>1.419</v>
      </c>
      <c r="O198" s="46">
        <v>1.304</v>
      </c>
      <c r="P198" s="46">
        <v>2.069</v>
      </c>
      <c r="Q198" s="46">
        <v>1.1870000000000001</v>
      </c>
      <c r="R198" s="46">
        <v>2.2709999999999999</v>
      </c>
      <c r="S198" s="46">
        <v>3.593</v>
      </c>
      <c r="T198" s="46">
        <v>2.4910000000000001</v>
      </c>
      <c r="U198" s="46">
        <v>1.8740000000000001</v>
      </c>
      <c r="V198" s="46">
        <v>0.48299999999999998</v>
      </c>
      <c r="W198" s="46">
        <v>2.4950000000000001</v>
      </c>
      <c r="X198" s="46">
        <v>3.6229999999999998</v>
      </c>
      <c r="Y198" s="46">
        <v>3.5650000000000004</v>
      </c>
      <c r="Z198" s="46">
        <v>3.9609999999999999</v>
      </c>
      <c r="AA198" s="46">
        <v>3.52</v>
      </c>
      <c r="AB198" s="46">
        <v>4.0540000000000003</v>
      </c>
      <c r="AC198" s="46">
        <v>3.2279999999999998</v>
      </c>
      <c r="AD198" s="46">
        <v>3.5430000000000001</v>
      </c>
      <c r="AE198" s="46">
        <v>4.2590000000000003</v>
      </c>
      <c r="AF198" s="46">
        <v>3.0819999999999999</v>
      </c>
      <c r="AG198" s="46">
        <v>3.5679999999999996</v>
      </c>
      <c r="AH198" s="46">
        <v>4.0350000000000001</v>
      </c>
      <c r="AI198" s="46">
        <v>3.8499999999999996</v>
      </c>
      <c r="AJ198" s="46">
        <v>4.7590000000000003</v>
      </c>
      <c r="AK198" s="46">
        <v>3.589</v>
      </c>
      <c r="AL198" s="46">
        <v>2.8</v>
      </c>
      <c r="AM198" s="46">
        <v>2.6920000000000002</v>
      </c>
      <c r="AN198" s="46">
        <v>6.7110000000000003</v>
      </c>
      <c r="AO198" s="46">
        <f>AVERAGE(K198:AN198)</f>
        <v>2.8907666666666665</v>
      </c>
      <c r="AP198" s="7">
        <f>AO198/I198</f>
        <v>0.15214561403508772</v>
      </c>
      <c r="AQ198" s="81">
        <f t="shared" si="3"/>
        <v>86.722999999999999</v>
      </c>
    </row>
    <row r="199" spans="1:43" x14ac:dyDescent="0.3">
      <c r="A199" s="5">
        <v>113</v>
      </c>
      <c r="B199" s="107" t="s">
        <v>119</v>
      </c>
      <c r="C199" s="112" t="s">
        <v>654</v>
      </c>
      <c r="D199" s="112" t="s">
        <v>716</v>
      </c>
      <c r="E199" s="110" t="s">
        <v>30</v>
      </c>
      <c r="F199" s="6" t="s">
        <v>12</v>
      </c>
      <c r="G199" s="6" t="s">
        <v>976</v>
      </c>
      <c r="H199" s="6" t="s">
        <v>35</v>
      </c>
      <c r="I199" s="5">
        <v>20</v>
      </c>
      <c r="J199" s="12" t="s">
        <v>589</v>
      </c>
      <c r="K199" s="46">
        <v>22.611000000000001</v>
      </c>
      <c r="L199" s="46">
        <v>10.054</v>
      </c>
      <c r="M199" s="46">
        <v>9.9239999999999995</v>
      </c>
      <c r="N199" s="46">
        <v>10.103</v>
      </c>
      <c r="O199" s="46">
        <v>72.596000000000004</v>
      </c>
      <c r="P199" s="46">
        <v>26.667000000000002</v>
      </c>
      <c r="Q199" s="46">
        <v>0</v>
      </c>
      <c r="R199" s="46">
        <v>12.425000000000001</v>
      </c>
      <c r="S199" s="46">
        <v>9.9779999999999998</v>
      </c>
      <c r="T199" s="46">
        <v>27.860999999999997</v>
      </c>
      <c r="U199" s="46">
        <v>19.035</v>
      </c>
      <c r="V199" s="46">
        <v>11.132999999999999</v>
      </c>
      <c r="W199" s="46">
        <v>13.315</v>
      </c>
      <c r="X199" s="46">
        <v>1E-3</v>
      </c>
      <c r="Y199" s="46">
        <v>25.984000000000002</v>
      </c>
      <c r="Z199" s="46">
        <v>0.90700000000000003</v>
      </c>
      <c r="AA199" s="46">
        <v>0</v>
      </c>
      <c r="AB199" s="46">
        <v>0</v>
      </c>
      <c r="AC199" s="46">
        <v>119.74</v>
      </c>
      <c r="AD199" s="46">
        <v>13.337999999999999</v>
      </c>
      <c r="AE199" s="46">
        <v>0</v>
      </c>
      <c r="AF199" s="46">
        <v>1.2040000000000002</v>
      </c>
      <c r="AG199" s="46">
        <v>231.35300000000001</v>
      </c>
      <c r="AH199" s="46">
        <v>0</v>
      </c>
      <c r="AI199" s="46">
        <v>6.4450000000000003</v>
      </c>
      <c r="AJ199" s="46">
        <v>0</v>
      </c>
      <c r="AK199" s="46">
        <v>0</v>
      </c>
      <c r="AL199" s="46">
        <v>0.38800000000000001</v>
      </c>
      <c r="AM199" s="46">
        <v>0</v>
      </c>
      <c r="AN199" s="46">
        <v>0</v>
      </c>
      <c r="AO199" s="46">
        <f>AVERAGE(K199:AN199)</f>
        <v>21.502066666666671</v>
      </c>
      <c r="AP199" s="7">
        <f>AO199/I199</f>
        <v>1.0751033333333335</v>
      </c>
      <c r="AQ199" s="81">
        <f t="shared" si="3"/>
        <v>645.06200000000013</v>
      </c>
    </row>
    <row r="200" spans="1:43" x14ac:dyDescent="0.3">
      <c r="A200" s="5">
        <v>146</v>
      </c>
      <c r="B200" s="107" t="s">
        <v>65</v>
      </c>
      <c r="C200" s="10" t="s">
        <v>674</v>
      </c>
      <c r="D200" s="12" t="s">
        <v>730</v>
      </c>
      <c r="E200" s="110" t="s">
        <v>30</v>
      </c>
      <c r="F200" s="6" t="s">
        <v>12</v>
      </c>
      <c r="G200" s="6" t="s">
        <v>976</v>
      </c>
      <c r="H200" s="6" t="s">
        <v>35</v>
      </c>
      <c r="I200" s="5">
        <v>20</v>
      </c>
      <c r="J200" s="12" t="s">
        <v>589</v>
      </c>
      <c r="K200" s="46">
        <v>269.38600000000002</v>
      </c>
      <c r="L200" s="46">
        <v>394.97499999999997</v>
      </c>
      <c r="M200" s="46">
        <v>268.99899999999991</v>
      </c>
      <c r="N200" s="46">
        <v>230.83699999999999</v>
      </c>
      <c r="O200" s="46">
        <v>259.76900000000001</v>
      </c>
      <c r="P200" s="46">
        <v>218.85</v>
      </c>
      <c r="Q200" s="46">
        <v>250.98500000000004</v>
      </c>
      <c r="R200" s="46">
        <v>261.90400000000011</v>
      </c>
      <c r="S200" s="46">
        <v>255.04700000000003</v>
      </c>
      <c r="T200" s="46">
        <v>291.11700000000008</v>
      </c>
      <c r="U200" s="46">
        <v>267.20899999999995</v>
      </c>
      <c r="V200" s="46">
        <v>379.952</v>
      </c>
      <c r="W200" s="46">
        <v>257.40800000000002</v>
      </c>
      <c r="X200" s="46">
        <v>306.26100000000002</v>
      </c>
      <c r="Y200" s="46">
        <v>239.80899999999997</v>
      </c>
      <c r="Z200" s="46">
        <v>292.584</v>
      </c>
      <c r="AA200" s="46">
        <v>313.12199999999996</v>
      </c>
      <c r="AB200" s="46">
        <v>322.62100000000009</v>
      </c>
      <c r="AC200" s="46">
        <v>304.78400000000005</v>
      </c>
      <c r="AD200" s="46">
        <v>255.99800000000002</v>
      </c>
      <c r="AE200" s="46">
        <v>326.38899999999995</v>
      </c>
      <c r="AF200" s="46">
        <v>319.44599999999991</v>
      </c>
      <c r="AG200" s="46">
        <v>325.39199999999994</v>
      </c>
      <c r="AH200" s="46">
        <v>318.45500000000004</v>
      </c>
      <c r="AI200" s="46">
        <v>248.48499999999996</v>
      </c>
      <c r="AJ200" s="46">
        <v>300.30799999999999</v>
      </c>
      <c r="AK200" s="46">
        <v>275.95</v>
      </c>
      <c r="AL200" s="46">
        <v>292.92</v>
      </c>
      <c r="AM200" s="46">
        <v>315.67500000000001</v>
      </c>
      <c r="AN200" s="46">
        <v>293.90999999999991</v>
      </c>
      <c r="AO200" s="46">
        <f>AVERAGE(K200:AN200)</f>
        <v>288.61823333333331</v>
      </c>
      <c r="AP200" s="7">
        <f>AO200/I200</f>
        <v>14.430911666666665</v>
      </c>
      <c r="AQ200" s="81">
        <f t="shared" si="3"/>
        <v>8658.5469999999987</v>
      </c>
    </row>
    <row r="201" spans="1:43" x14ac:dyDescent="0.3">
      <c r="A201" s="5">
        <v>153</v>
      </c>
      <c r="B201" s="107" t="s">
        <v>65</v>
      </c>
      <c r="C201" s="10" t="s">
        <v>680</v>
      </c>
      <c r="D201" s="12" t="s">
        <v>751</v>
      </c>
      <c r="E201" s="110" t="s">
        <v>128</v>
      </c>
      <c r="F201" s="6" t="s">
        <v>12</v>
      </c>
      <c r="G201" s="6" t="s">
        <v>976</v>
      </c>
      <c r="H201" s="6" t="s">
        <v>35</v>
      </c>
      <c r="I201" s="5">
        <v>20</v>
      </c>
      <c r="J201" s="94" t="s">
        <v>273</v>
      </c>
      <c r="K201" s="46">
        <v>204.916</v>
      </c>
      <c r="L201" s="46">
        <v>195.91099999999997</v>
      </c>
      <c r="M201" s="46">
        <v>185.24199999999999</v>
      </c>
      <c r="N201" s="46">
        <v>181.31900000000005</v>
      </c>
      <c r="O201" s="46">
        <v>217.59699999999995</v>
      </c>
      <c r="P201" s="46">
        <v>172.61600000000004</v>
      </c>
      <c r="Q201" s="46">
        <v>206.01499999999996</v>
      </c>
      <c r="R201" s="46">
        <v>189.81299999999999</v>
      </c>
      <c r="S201" s="46">
        <v>180.95299999999995</v>
      </c>
      <c r="T201" s="46">
        <v>219.51</v>
      </c>
      <c r="U201" s="46">
        <v>192.108</v>
      </c>
      <c r="V201" s="46">
        <v>165.99799999999996</v>
      </c>
      <c r="W201" s="46">
        <v>232.52499999999995</v>
      </c>
      <c r="X201" s="46">
        <v>221.51500000000001</v>
      </c>
      <c r="Y201" s="46">
        <v>39.695</v>
      </c>
      <c r="Z201" s="46">
        <v>110.75399999999999</v>
      </c>
      <c r="AA201" s="46">
        <v>161.48700000000002</v>
      </c>
      <c r="AB201" s="46">
        <v>175.48699999999999</v>
      </c>
      <c r="AC201" s="46">
        <v>209.18600000000004</v>
      </c>
      <c r="AD201" s="46">
        <v>155.64699999999999</v>
      </c>
      <c r="AE201" s="46">
        <v>193.62499999999997</v>
      </c>
      <c r="AF201" s="46">
        <v>197.37299999999999</v>
      </c>
      <c r="AG201" s="46">
        <v>161.351</v>
      </c>
      <c r="AH201" s="46">
        <v>180.37599999999998</v>
      </c>
      <c r="AI201" s="46">
        <v>169.13800000000001</v>
      </c>
      <c r="AJ201" s="46">
        <v>115.66700000000003</v>
      </c>
      <c r="AK201" s="46">
        <v>156.87299999999996</v>
      </c>
      <c r="AL201" s="46">
        <v>133.67799999999997</v>
      </c>
      <c r="AM201" s="46">
        <v>161.38800000000001</v>
      </c>
      <c r="AN201" s="46">
        <v>93.832999999999984</v>
      </c>
      <c r="AO201" s="46">
        <f>AVERAGE(K201:AN201)</f>
        <v>172.71986666666666</v>
      </c>
      <c r="AP201" s="7">
        <f>AO201/I201</f>
        <v>8.6359933333333334</v>
      </c>
      <c r="AQ201" s="81">
        <f t="shared" si="3"/>
        <v>5181.5959999999995</v>
      </c>
    </row>
    <row r="202" spans="1:43" x14ac:dyDescent="0.3">
      <c r="A202" s="5">
        <v>4</v>
      </c>
      <c r="B202" s="107" t="s">
        <v>9</v>
      </c>
      <c r="C202" s="112" t="s">
        <v>604</v>
      </c>
      <c r="D202" s="112" t="s">
        <v>761</v>
      </c>
      <c r="E202" s="110" t="s">
        <v>128</v>
      </c>
      <c r="F202" s="6" t="s">
        <v>12</v>
      </c>
      <c r="G202" s="6" t="s">
        <v>976</v>
      </c>
      <c r="H202" s="6" t="s">
        <v>35</v>
      </c>
      <c r="I202" s="5">
        <v>29</v>
      </c>
      <c r="J202" s="94" t="s">
        <v>273</v>
      </c>
      <c r="K202" s="46">
        <v>588.21100000000013</v>
      </c>
      <c r="L202" s="46">
        <v>536.23199999999986</v>
      </c>
      <c r="M202" s="46">
        <v>462.42000000000007</v>
      </c>
      <c r="N202" s="46">
        <v>546.18799999999999</v>
      </c>
      <c r="O202" s="46">
        <v>527.5680000000001</v>
      </c>
      <c r="P202" s="46">
        <v>514.01200000000006</v>
      </c>
      <c r="Q202" s="46">
        <v>626.87499999999989</v>
      </c>
      <c r="R202" s="46">
        <v>596.87800000000016</v>
      </c>
      <c r="S202" s="46">
        <v>578.58199999999977</v>
      </c>
      <c r="T202" s="46">
        <v>664.21699999999987</v>
      </c>
      <c r="U202" s="46">
        <v>606.70299999999997</v>
      </c>
      <c r="V202" s="46">
        <v>556.18500000000006</v>
      </c>
      <c r="W202" s="46">
        <v>583.971</v>
      </c>
      <c r="X202" s="46">
        <v>532.08600000000001</v>
      </c>
      <c r="Y202" s="46">
        <v>517.12800000000004</v>
      </c>
      <c r="Z202" s="46">
        <v>535.56000000000006</v>
      </c>
      <c r="AA202" s="46">
        <v>566.59</v>
      </c>
      <c r="AB202" s="46">
        <v>441.54399999999987</v>
      </c>
      <c r="AC202" s="46">
        <v>524.74299999999994</v>
      </c>
      <c r="AD202" s="46">
        <v>499.42800000000005</v>
      </c>
      <c r="AE202" s="46">
        <v>463.67699999999985</v>
      </c>
      <c r="AF202" s="46">
        <v>617.95699999999988</v>
      </c>
      <c r="AG202" s="46">
        <v>454.73299999999995</v>
      </c>
      <c r="AH202" s="46">
        <v>605.97299999999996</v>
      </c>
      <c r="AI202" s="46">
        <v>499.63299999999981</v>
      </c>
      <c r="AJ202" s="46">
        <v>597.10099999999989</v>
      </c>
      <c r="AK202" s="46">
        <v>532.8610000000001</v>
      </c>
      <c r="AL202" s="46">
        <v>439.86199999999985</v>
      </c>
      <c r="AM202" s="46">
        <v>553.37199999999996</v>
      </c>
      <c r="AN202" s="46">
        <v>446.03100000000012</v>
      </c>
      <c r="AO202" s="46">
        <f>AVERAGE(K202:AN202)</f>
        <v>540.54403333333335</v>
      </c>
      <c r="AP202" s="7">
        <f>AO202/I202</f>
        <v>18.639449425287356</v>
      </c>
      <c r="AQ202" s="81">
        <f t="shared" si="3"/>
        <v>16216.321</v>
      </c>
    </row>
    <row r="203" spans="1:43" x14ac:dyDescent="0.3">
      <c r="A203" s="5">
        <v>130</v>
      </c>
      <c r="B203" s="107" t="s">
        <v>55</v>
      </c>
      <c r="C203" s="112" t="s">
        <v>662</v>
      </c>
      <c r="D203" s="112" t="s">
        <v>731</v>
      </c>
      <c r="E203" s="110" t="s">
        <v>57</v>
      </c>
      <c r="F203" s="6" t="s">
        <v>12</v>
      </c>
      <c r="G203" s="6" t="s">
        <v>976</v>
      </c>
      <c r="H203" s="6" t="s">
        <v>35</v>
      </c>
      <c r="I203" s="5">
        <v>40</v>
      </c>
      <c r="J203" s="12" t="s">
        <v>589</v>
      </c>
      <c r="K203" s="46">
        <v>100.134</v>
      </c>
      <c r="L203" s="46">
        <v>378.54199999999992</v>
      </c>
      <c r="M203" s="46">
        <v>343.09200000000004</v>
      </c>
      <c r="N203" s="46">
        <v>252.97400000000005</v>
      </c>
      <c r="O203" s="46">
        <v>259.21699999999993</v>
      </c>
      <c r="P203" s="46">
        <v>298.38799999999998</v>
      </c>
      <c r="Q203" s="46">
        <v>274.27399999999994</v>
      </c>
      <c r="R203" s="46">
        <v>85.541999999999973</v>
      </c>
      <c r="S203" s="46">
        <v>249.876</v>
      </c>
      <c r="T203" s="46">
        <v>314.57999999999993</v>
      </c>
      <c r="U203" s="46">
        <v>332.45</v>
      </c>
      <c r="V203" s="46">
        <v>418.33200000000005</v>
      </c>
      <c r="W203" s="46">
        <v>522.94100000000003</v>
      </c>
      <c r="X203" s="46">
        <v>485.52200000000005</v>
      </c>
      <c r="Y203" s="46">
        <v>194.71599999999995</v>
      </c>
      <c r="Z203" s="46">
        <v>86.335999999999999</v>
      </c>
      <c r="AA203" s="46">
        <v>289.24900000000008</v>
      </c>
      <c r="AB203" s="46">
        <v>275.24299999999994</v>
      </c>
      <c r="AC203" s="46">
        <v>387.38499999999999</v>
      </c>
      <c r="AD203" s="46">
        <v>334.26900000000006</v>
      </c>
      <c r="AE203" s="46">
        <v>122.53000000000003</v>
      </c>
      <c r="AF203" s="46">
        <v>367.57899999999995</v>
      </c>
      <c r="AG203" s="46">
        <v>237.62299999999999</v>
      </c>
      <c r="AH203" s="46">
        <v>251.68799999999999</v>
      </c>
      <c r="AI203" s="46">
        <v>237.02800000000013</v>
      </c>
      <c r="AJ203" s="46">
        <v>332.29</v>
      </c>
      <c r="AK203" s="46">
        <v>423.93900000000002</v>
      </c>
      <c r="AL203" s="46">
        <v>369.94700000000006</v>
      </c>
      <c r="AM203" s="46">
        <v>168.98300000000003</v>
      </c>
      <c r="AN203" s="46">
        <v>232.51499999999999</v>
      </c>
      <c r="AO203" s="46">
        <f>AVERAGE(K203:AN203)</f>
        <v>287.57279999999997</v>
      </c>
      <c r="AP203" s="7">
        <f>AO203/I203</f>
        <v>7.1893199999999995</v>
      </c>
      <c r="AQ203" s="81">
        <f t="shared" si="3"/>
        <v>8627.1839999999993</v>
      </c>
    </row>
    <row r="204" spans="1:43" x14ac:dyDescent="0.3">
      <c r="A204" s="5">
        <v>200</v>
      </c>
      <c r="B204" s="107" t="s">
        <v>65</v>
      </c>
      <c r="C204" s="5">
        <v>0</v>
      </c>
      <c r="D204" s="6" t="s">
        <v>70</v>
      </c>
      <c r="E204" s="110">
        <v>0</v>
      </c>
      <c r="F204" s="6" t="s">
        <v>12</v>
      </c>
      <c r="G204" s="6" t="s">
        <v>976</v>
      </c>
      <c r="H204" s="6" t="s">
        <v>14</v>
      </c>
      <c r="I204" s="5">
        <v>82</v>
      </c>
      <c r="J204" s="67" t="s">
        <v>160</v>
      </c>
      <c r="K204" s="46">
        <v>0</v>
      </c>
      <c r="L204" s="46">
        <v>0</v>
      </c>
      <c r="M204" s="46">
        <v>0</v>
      </c>
      <c r="N204" s="46">
        <v>0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0</v>
      </c>
      <c r="AK204" s="46">
        <v>0</v>
      </c>
      <c r="AL204" s="46">
        <v>0</v>
      </c>
      <c r="AM204" s="46">
        <v>0</v>
      </c>
      <c r="AN204" s="46">
        <v>0</v>
      </c>
      <c r="AO204" s="46">
        <f>AVERAGE(K204:AN204)</f>
        <v>0</v>
      </c>
      <c r="AP204" s="7">
        <f>AO204/I204</f>
        <v>0</v>
      </c>
      <c r="AQ204" s="81">
        <f t="shared" si="3"/>
        <v>0</v>
      </c>
    </row>
    <row r="205" spans="1:43" x14ac:dyDescent="0.3">
      <c r="A205" s="5">
        <v>199</v>
      </c>
      <c r="B205" s="107" t="s">
        <v>65</v>
      </c>
      <c r="C205" s="5">
        <v>0</v>
      </c>
      <c r="D205" s="6" t="s">
        <v>66</v>
      </c>
      <c r="E205" s="110" t="s">
        <v>67</v>
      </c>
      <c r="F205" s="6" t="s">
        <v>12</v>
      </c>
      <c r="G205" s="6" t="s">
        <v>976</v>
      </c>
      <c r="H205" s="6" t="s">
        <v>14</v>
      </c>
      <c r="I205" s="5">
        <v>87</v>
      </c>
      <c r="J205" s="67" t="s">
        <v>160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f>AVERAGE(K205:AN205)</f>
        <v>0</v>
      </c>
      <c r="AP205" s="7">
        <f>AO205/I205</f>
        <v>0</v>
      </c>
      <c r="AQ205" s="81">
        <f t="shared" si="3"/>
        <v>0</v>
      </c>
    </row>
    <row r="206" spans="1:43" x14ac:dyDescent="0.3">
      <c r="C206" s="112" t="s">
        <v>949</v>
      </c>
      <c r="H206" s="89" t="s">
        <v>79</v>
      </c>
      <c r="I206" s="90">
        <f>SUM(I2:I205)</f>
        <v>967</v>
      </c>
      <c r="J206" s="90"/>
      <c r="K206" s="91">
        <f>SUM(K2:K203)</f>
        <v>6092.2780000000002</v>
      </c>
      <c r="L206" s="91">
        <f>SUM(L2:L203)</f>
        <v>6812.878999999999</v>
      </c>
      <c r="M206" s="91">
        <f>SUM(M2:M203)</f>
        <v>6750.1519999999991</v>
      </c>
      <c r="N206" s="91">
        <f>SUM(N2:N203)</f>
        <v>6934.7010000000018</v>
      </c>
      <c r="O206" s="91">
        <f>SUM(O2:O203)</f>
        <v>6335.9429999999993</v>
      </c>
      <c r="P206" s="91">
        <f>SUM(P2:P203)</f>
        <v>5776.8700000000008</v>
      </c>
      <c r="Q206" s="91">
        <f>SUM(Q2:Q203)</f>
        <v>6752.2200000000012</v>
      </c>
      <c r="R206" s="91">
        <f>SUM(R2:R203)</f>
        <v>6779.6139999999987</v>
      </c>
      <c r="S206" s="91">
        <f>SUM(S2:S203)</f>
        <v>7548.8269999999984</v>
      </c>
      <c r="T206" s="91">
        <f>SUM(T2:T203)</f>
        <v>7567.7949999999992</v>
      </c>
      <c r="U206" s="91">
        <f>SUM(U2:U203)</f>
        <v>8103.177999999999</v>
      </c>
      <c r="V206" s="91">
        <f>SUM(V2:V203)</f>
        <v>6877.2759999999989</v>
      </c>
      <c r="W206" s="91">
        <f>SUM(W2:W203)</f>
        <v>6448.1390000000001</v>
      </c>
      <c r="X206" s="91">
        <f>SUM(X2:X203)</f>
        <v>7062.6340000000018</v>
      </c>
      <c r="Y206" s="91">
        <f>SUM(Y2:Y203)</f>
        <v>7369.3189999999995</v>
      </c>
      <c r="Z206" s="91">
        <f>SUM(Z2:Z203)</f>
        <v>7098.8730000000023</v>
      </c>
      <c r="AA206" s="91">
        <f>SUM(AA2:AA203)</f>
        <v>7769.0300000000007</v>
      </c>
      <c r="AB206" s="91">
        <f>SUM(AB2:AB203)</f>
        <v>6325.1809999999987</v>
      </c>
      <c r="AC206" s="91">
        <f>SUM(AC2:AC203)</f>
        <v>6896.3209999999981</v>
      </c>
      <c r="AD206" s="91">
        <f>SUM(AD2:AD203)</f>
        <v>7172.7500000000018</v>
      </c>
      <c r="AE206" s="91">
        <f>SUM(AE2:AE203)</f>
        <v>8244.4080000000013</v>
      </c>
      <c r="AF206" s="91">
        <f>SUM(AF2:AF203)</f>
        <v>8090.4819999999982</v>
      </c>
      <c r="AG206" s="91">
        <f>SUM(AG2:AG203)</f>
        <v>8342.9050000000025</v>
      </c>
      <c r="AH206" s="91">
        <f>SUM(AH2:AH203)</f>
        <v>8252.8709999999974</v>
      </c>
      <c r="AI206" s="91">
        <f>SUM(AI2:AI204)</f>
        <v>8081.1230000000023</v>
      </c>
      <c r="AJ206" s="91">
        <f>SUM(AJ2:AJ204)</f>
        <v>7831.7330000000002</v>
      </c>
      <c r="AK206" s="91">
        <f>SUM(AK2:AK204)</f>
        <v>7174.3190000000004</v>
      </c>
      <c r="AL206" s="91">
        <f>SUM(AL2:AL204)</f>
        <v>7873.8390000000018</v>
      </c>
      <c r="AM206" s="91">
        <f>SUM(AM2:AM204)</f>
        <v>8815.6739999999972</v>
      </c>
      <c r="AN206" s="91">
        <f>SUM(AN2:AN204)</f>
        <v>8233.8999999999978</v>
      </c>
      <c r="AO206" s="46">
        <f>AVERAGE(K206:AN206)</f>
        <v>7313.8411333333324</v>
      </c>
      <c r="AP206" s="7">
        <f>AO206/I206</f>
        <v>7.563434470872112</v>
      </c>
      <c r="AQ206" s="81">
        <f>SUM(AQ2:AQ203)</f>
        <v>219415.23400000003</v>
      </c>
    </row>
    <row r="207" spans="1:43" x14ac:dyDescent="0.3">
      <c r="AK207" s="81"/>
      <c r="AO207" s="50"/>
    </row>
    <row r="210" spans="23:32" x14ac:dyDescent="0.3">
      <c r="AC210" s="88"/>
    </row>
    <row r="211" spans="23:32" x14ac:dyDescent="0.3">
      <c r="W211" s="88"/>
    </row>
    <row r="212" spans="23:32" x14ac:dyDescent="0.3">
      <c r="AB212" s="88"/>
      <c r="AE212" s="88"/>
      <c r="AF212" s="88"/>
    </row>
  </sheetData>
  <autoFilter ref="A1:AP206" xr:uid="{00000000-0009-0000-0000-00003F000000}">
    <sortState xmlns:xlrd2="http://schemas.microsoft.com/office/spreadsheetml/2017/richdata2" ref="A2:AP206">
      <sortCondition ref="I1:I206"/>
    </sortState>
  </autoFilter>
  <pageMargins left="0.7" right="0.7" top="0.75" bottom="0.75" header="0.3" footer="0.3"/>
  <pageSetup scale="1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U2"/>
  <sheetViews>
    <sheetView topLeftCell="A13" workbookViewId="0">
      <selection activeCell="O23" sqref="O23"/>
    </sheetView>
  </sheetViews>
  <sheetFormatPr defaultRowHeight="14.4" x14ac:dyDescent="0.3"/>
  <cols>
    <col min="1" max="46" width="15.5546875" bestFit="1" customWidth="1"/>
    <col min="47" max="47" width="10.77734375" bestFit="1" customWidth="1"/>
    <col min="48" max="48" width="11.33203125" bestFit="1" customWidth="1"/>
    <col min="49" max="88" width="18.6640625" bestFit="1" customWidth="1"/>
    <col min="89" max="89" width="22.33203125" bestFit="1" customWidth="1"/>
    <col min="90" max="90" width="23.6640625" bestFit="1" customWidth="1"/>
  </cols>
  <sheetData>
    <row r="1" spans="1:47" x14ac:dyDescent="0.3">
      <c r="A1" s="29" t="s">
        <v>144</v>
      </c>
    </row>
    <row r="2" spans="1:47" x14ac:dyDescent="0.3">
      <c r="A2" t="s">
        <v>708</v>
      </c>
      <c r="B2" t="s">
        <v>576</v>
      </c>
      <c r="C2" t="s">
        <v>578</v>
      </c>
      <c r="D2" t="s">
        <v>832</v>
      </c>
      <c r="E2" t="s">
        <v>905</v>
      </c>
      <c r="F2" t="s">
        <v>1014</v>
      </c>
      <c r="G2" t="s">
        <v>175</v>
      </c>
      <c r="H2" t="s">
        <v>58</v>
      </c>
      <c r="I2" t="s">
        <v>885</v>
      </c>
      <c r="J2" t="s">
        <v>844</v>
      </c>
      <c r="K2" t="s">
        <v>569</v>
      </c>
      <c r="L2" t="s">
        <v>476</v>
      </c>
      <c r="M2" t="s">
        <v>65</v>
      </c>
      <c r="N2" t="s">
        <v>919</v>
      </c>
      <c r="O2" t="s">
        <v>892</v>
      </c>
      <c r="P2" t="s">
        <v>222</v>
      </c>
      <c r="Q2" t="s">
        <v>862</v>
      </c>
      <c r="R2" t="s">
        <v>134</v>
      </c>
      <c r="S2" t="s">
        <v>9</v>
      </c>
      <c r="T2" t="s">
        <v>1047</v>
      </c>
      <c r="U2" t="s">
        <v>822</v>
      </c>
      <c r="V2" t="s">
        <v>866</v>
      </c>
      <c r="W2" t="s">
        <v>536</v>
      </c>
      <c r="X2" t="s">
        <v>55</v>
      </c>
      <c r="Y2" t="s">
        <v>499</v>
      </c>
      <c r="Z2" t="s">
        <v>563</v>
      </c>
      <c r="AA2" t="s">
        <v>119</v>
      </c>
      <c r="AB2" t="s">
        <v>560</v>
      </c>
      <c r="AC2" t="s">
        <v>221</v>
      </c>
      <c r="AD2" t="s">
        <v>1048</v>
      </c>
      <c r="AE2" t="s">
        <v>1008</v>
      </c>
      <c r="AF2" t="s">
        <v>572</v>
      </c>
      <c r="AG2" t="s">
        <v>895</v>
      </c>
      <c r="AH2" t="s">
        <v>565</v>
      </c>
      <c r="AI2" t="s">
        <v>882</v>
      </c>
      <c r="AJ2" t="s">
        <v>246</v>
      </c>
      <c r="AK2" t="s">
        <v>1024</v>
      </c>
      <c r="AL2" t="s">
        <v>829</v>
      </c>
      <c r="AM2" t="s">
        <v>1050</v>
      </c>
      <c r="AN2" t="s">
        <v>598</v>
      </c>
      <c r="AO2" t="s">
        <v>597</v>
      </c>
      <c r="AP2" t="s">
        <v>49</v>
      </c>
      <c r="AQ2" t="s">
        <v>52</v>
      </c>
      <c r="AR2" t="s">
        <v>498</v>
      </c>
      <c r="AS2" t="s">
        <v>1077</v>
      </c>
      <c r="AT2" t="s">
        <v>1080</v>
      </c>
      <c r="AU2" t="s">
        <v>83</v>
      </c>
    </row>
  </sheetData>
  <pageMargins left="0.7" right="0.7" top="0.75" bottom="0.75" header="0.3" footer="0.3"/>
  <pageSetup orientation="portrait" r:id="rId2"/>
  <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Y213"/>
  <sheetViews>
    <sheetView topLeftCell="R1" workbookViewId="0">
      <selection activeCell="V13" sqref="V13"/>
    </sheetView>
  </sheetViews>
  <sheetFormatPr defaultRowHeight="14.4" x14ac:dyDescent="0.3"/>
  <cols>
    <col min="1" max="1" width="70.6640625" bestFit="1" customWidth="1"/>
    <col min="2" max="25" width="16.88671875" bestFit="1" customWidth="1"/>
  </cols>
  <sheetData>
    <row r="1" spans="1:25" x14ac:dyDescent="0.3">
      <c r="A1" s="29" t="s">
        <v>1</v>
      </c>
      <c r="B1" t="s">
        <v>82</v>
      </c>
    </row>
    <row r="2" spans="1:25" x14ac:dyDescent="0.3">
      <c r="A2" s="29" t="s">
        <v>158</v>
      </c>
      <c r="B2" t="s">
        <v>82</v>
      </c>
    </row>
    <row r="4" spans="1:25" x14ac:dyDescent="0.3">
      <c r="A4" s="29" t="s">
        <v>542</v>
      </c>
      <c r="B4" t="s">
        <v>1091</v>
      </c>
      <c r="C4" t="s">
        <v>1092</v>
      </c>
      <c r="D4" t="s">
        <v>1093</v>
      </c>
      <c r="E4" t="s">
        <v>1094</v>
      </c>
      <c r="F4" t="s">
        <v>1095</v>
      </c>
      <c r="G4" t="s">
        <v>1096</v>
      </c>
      <c r="H4" t="s">
        <v>1097</v>
      </c>
      <c r="I4" t="s">
        <v>1098</v>
      </c>
      <c r="J4" t="s">
        <v>1099</v>
      </c>
      <c r="K4" t="s">
        <v>1100</v>
      </c>
      <c r="L4" t="s">
        <v>1101</v>
      </c>
      <c r="M4" t="s">
        <v>1102</v>
      </c>
      <c r="N4" t="s">
        <v>1103</v>
      </c>
      <c r="O4" t="s">
        <v>1104</v>
      </c>
      <c r="P4" t="s">
        <v>1105</v>
      </c>
      <c r="Q4" t="s">
        <v>1106</v>
      </c>
      <c r="R4" t="s">
        <v>1107</v>
      </c>
      <c r="S4" t="s">
        <v>1108</v>
      </c>
      <c r="T4" t="s">
        <v>1109</v>
      </c>
      <c r="U4" t="s">
        <v>1315</v>
      </c>
      <c r="V4" t="s">
        <v>1316</v>
      </c>
      <c r="W4" t="s">
        <v>1317</v>
      </c>
      <c r="X4" t="s">
        <v>1318</v>
      </c>
      <c r="Y4" t="s">
        <v>1319</v>
      </c>
    </row>
    <row r="5" spans="1:25" x14ac:dyDescent="0.3">
      <c r="A5" s="10" t="s">
        <v>987</v>
      </c>
      <c r="B5" s="117">
        <v>0</v>
      </c>
      <c r="C5" s="117">
        <v>0</v>
      </c>
      <c r="D5" s="117">
        <v>2.5940000000000003</v>
      </c>
      <c r="E5" s="117">
        <v>0</v>
      </c>
      <c r="F5" s="117">
        <v>0</v>
      </c>
      <c r="G5" s="117">
        <v>0</v>
      </c>
      <c r="H5" s="117">
        <v>14.423999999999999</v>
      </c>
      <c r="I5" s="117">
        <v>0</v>
      </c>
      <c r="J5" s="117">
        <v>0</v>
      </c>
      <c r="K5" s="117">
        <v>0</v>
      </c>
      <c r="L5" s="117">
        <v>0</v>
      </c>
      <c r="M5" s="117">
        <v>0</v>
      </c>
      <c r="N5" s="117">
        <v>0</v>
      </c>
      <c r="O5" s="117">
        <v>0</v>
      </c>
      <c r="P5" s="117">
        <v>0</v>
      </c>
      <c r="Q5" s="117">
        <v>0</v>
      </c>
      <c r="R5" s="117">
        <v>0</v>
      </c>
      <c r="S5" s="117">
        <v>0</v>
      </c>
      <c r="T5" s="117">
        <v>0</v>
      </c>
      <c r="U5" s="117">
        <v>0</v>
      </c>
      <c r="V5" s="117">
        <v>0</v>
      </c>
      <c r="W5" s="117">
        <v>0</v>
      </c>
      <c r="X5" s="117">
        <v>0</v>
      </c>
      <c r="Y5" s="117">
        <v>0</v>
      </c>
    </row>
    <row r="6" spans="1:25" x14ac:dyDescent="0.3">
      <c r="A6" s="10" t="s">
        <v>989</v>
      </c>
      <c r="B6" s="117">
        <v>3.33</v>
      </c>
      <c r="C6" s="117">
        <v>16.100000000000001</v>
      </c>
      <c r="D6" s="117">
        <v>21.07</v>
      </c>
      <c r="E6" s="117">
        <v>23.14</v>
      </c>
      <c r="F6" s="117">
        <v>54.3</v>
      </c>
      <c r="G6" s="117">
        <v>42.68</v>
      </c>
      <c r="H6" s="117">
        <v>54.519999999999996</v>
      </c>
      <c r="I6" s="117">
        <v>31.870000000000005</v>
      </c>
      <c r="J6" s="117">
        <v>1.44</v>
      </c>
      <c r="K6" s="117">
        <v>50.92</v>
      </c>
      <c r="L6" s="117">
        <v>41.6</v>
      </c>
      <c r="M6" s="117">
        <v>21.720000000000002</v>
      </c>
      <c r="N6" s="117">
        <v>51.09</v>
      </c>
      <c r="O6" s="117">
        <v>46.46</v>
      </c>
      <c r="P6" s="117">
        <v>43.16</v>
      </c>
      <c r="Q6" s="117">
        <v>0</v>
      </c>
      <c r="R6" s="117">
        <v>28.669999999999998</v>
      </c>
      <c r="S6" s="117">
        <v>28.540000000000003</v>
      </c>
      <c r="T6" s="117">
        <v>43.510000000000005</v>
      </c>
      <c r="U6" s="117">
        <v>28.28</v>
      </c>
      <c r="V6" s="117">
        <v>24.32</v>
      </c>
      <c r="W6" s="117">
        <v>27.92</v>
      </c>
      <c r="X6" s="117">
        <v>6.3500000000000005</v>
      </c>
      <c r="Y6" s="117">
        <v>63.519999999999996</v>
      </c>
    </row>
    <row r="7" spans="1:25" x14ac:dyDescent="0.3">
      <c r="A7" s="10" t="s">
        <v>982</v>
      </c>
      <c r="B7" s="117">
        <v>65.510000000000005</v>
      </c>
      <c r="C7" s="117">
        <v>36.989000000000004</v>
      </c>
      <c r="D7" s="117">
        <v>0.25100000000000006</v>
      </c>
      <c r="E7" s="117">
        <v>8.9999999999999993E-3</v>
      </c>
      <c r="F7" s="117">
        <v>0.01</v>
      </c>
      <c r="G7" s="117">
        <v>5.59</v>
      </c>
      <c r="H7" s="117">
        <v>14.7</v>
      </c>
      <c r="I7" s="117">
        <v>8.18</v>
      </c>
      <c r="J7" s="117">
        <v>15.04</v>
      </c>
      <c r="K7" s="117">
        <v>8.43</v>
      </c>
      <c r="L7" s="117">
        <v>0.01</v>
      </c>
      <c r="M7" s="117">
        <v>0</v>
      </c>
      <c r="N7" s="117">
        <v>6.96</v>
      </c>
      <c r="O7" s="117">
        <v>0</v>
      </c>
      <c r="P7" s="117">
        <v>13.54</v>
      </c>
      <c r="Q7" s="117">
        <v>18.009999999999998</v>
      </c>
      <c r="R7" s="117">
        <v>30.910999999999998</v>
      </c>
      <c r="S7" s="117">
        <v>22.28</v>
      </c>
      <c r="T7" s="117">
        <v>41.430000000000007</v>
      </c>
      <c r="U7" s="117">
        <v>41.800000000000004</v>
      </c>
      <c r="V7" s="117">
        <v>23.079000000000001</v>
      </c>
      <c r="W7" s="117">
        <v>29.861000000000001</v>
      </c>
      <c r="X7" s="117">
        <v>50.7</v>
      </c>
      <c r="Y7" s="117">
        <v>44.22</v>
      </c>
    </row>
    <row r="8" spans="1:25" x14ac:dyDescent="0.3">
      <c r="A8" s="10" t="s">
        <v>981</v>
      </c>
      <c r="B8" s="117">
        <v>201.626</v>
      </c>
      <c r="C8" s="117">
        <v>410.12599999999998</v>
      </c>
      <c r="D8" s="117">
        <v>228.72199999999998</v>
      </c>
      <c r="E8" s="117">
        <v>220.608</v>
      </c>
      <c r="F8" s="117">
        <v>367.75000000000011</v>
      </c>
      <c r="G8" s="117">
        <v>463.98200000000008</v>
      </c>
      <c r="H8" s="117">
        <v>565.49199999999985</v>
      </c>
      <c r="I8" s="117">
        <v>397.59399999999982</v>
      </c>
      <c r="J8" s="117">
        <v>390.5019999999999</v>
      </c>
      <c r="K8" s="117">
        <v>228.62000000000006</v>
      </c>
      <c r="L8" s="117">
        <v>94.256</v>
      </c>
      <c r="M8" s="117">
        <v>408.69200000000001</v>
      </c>
      <c r="N8" s="117">
        <v>404.77199999999999</v>
      </c>
      <c r="O8" s="117">
        <v>515.80400000000009</v>
      </c>
      <c r="P8" s="117">
        <v>276.77999999999997</v>
      </c>
      <c r="Q8" s="117">
        <v>419.596</v>
      </c>
      <c r="R8" s="117">
        <v>410.80400000000003</v>
      </c>
      <c r="S8" s="117">
        <v>165.94400000000002</v>
      </c>
      <c r="T8" s="117">
        <v>503.87599999999981</v>
      </c>
      <c r="U8" s="117">
        <v>512.95600000000002</v>
      </c>
      <c r="V8" s="117">
        <v>535.4799999999999</v>
      </c>
      <c r="W8" s="117">
        <v>390.22</v>
      </c>
      <c r="X8" s="117">
        <v>463.40400000000005</v>
      </c>
      <c r="Y8" s="117">
        <v>503.43200000000007</v>
      </c>
    </row>
    <row r="9" spans="1:25" x14ac:dyDescent="0.3">
      <c r="A9" s="10" t="s">
        <v>988</v>
      </c>
      <c r="B9" s="117">
        <v>246.86600000000004</v>
      </c>
      <c r="C9" s="117">
        <v>206.87200000000001</v>
      </c>
      <c r="D9" s="117">
        <v>183.74099999999999</v>
      </c>
      <c r="E9" s="117">
        <v>125.30499999999999</v>
      </c>
      <c r="F9" s="117">
        <v>254.91900000000004</v>
      </c>
      <c r="G9" s="117">
        <v>312.28599999999989</v>
      </c>
      <c r="H9" s="117">
        <v>329.358</v>
      </c>
      <c r="I9" s="117">
        <v>294.28900000000004</v>
      </c>
      <c r="J9" s="117">
        <v>291.63000000000005</v>
      </c>
      <c r="K9" s="117">
        <v>152.25300000000001</v>
      </c>
      <c r="L9" s="117">
        <v>112.83900000000003</v>
      </c>
      <c r="M9" s="117">
        <v>179.02099999999999</v>
      </c>
      <c r="N9" s="117">
        <v>217.95000000000002</v>
      </c>
      <c r="O9" s="117">
        <v>361.11799999999999</v>
      </c>
      <c r="P9" s="117">
        <v>314.44700000000006</v>
      </c>
      <c r="Q9" s="117">
        <v>303.58799999999997</v>
      </c>
      <c r="R9" s="117">
        <v>191.57300000000001</v>
      </c>
      <c r="S9" s="117">
        <v>52.358999999999995</v>
      </c>
      <c r="T9" s="117">
        <v>187.68200000000002</v>
      </c>
      <c r="U9" s="117">
        <v>341.67100000000011</v>
      </c>
      <c r="V9" s="117">
        <v>325.15500000000003</v>
      </c>
      <c r="W9" s="117">
        <v>239.79499999999996</v>
      </c>
      <c r="X9" s="117">
        <v>298.40099999999995</v>
      </c>
      <c r="Y9" s="117">
        <v>240.773</v>
      </c>
    </row>
    <row r="10" spans="1:25" x14ac:dyDescent="0.3">
      <c r="A10" s="10" t="s">
        <v>980</v>
      </c>
      <c r="B10" s="117">
        <v>81.97</v>
      </c>
      <c r="C10" s="117">
        <v>163.82</v>
      </c>
      <c r="D10" s="117">
        <v>182.9</v>
      </c>
      <c r="E10" s="117">
        <v>206.51</v>
      </c>
      <c r="F10" s="117">
        <v>160.98000000000002</v>
      </c>
      <c r="G10" s="117">
        <v>176.73</v>
      </c>
      <c r="H10" s="117">
        <v>151.46</v>
      </c>
      <c r="I10" s="117">
        <v>126.43</v>
      </c>
      <c r="J10" s="117">
        <v>210.51</v>
      </c>
      <c r="K10" s="117">
        <v>143.38999999999999</v>
      </c>
      <c r="L10" s="117">
        <v>143.65</v>
      </c>
      <c r="M10" s="117">
        <v>168.45000000000002</v>
      </c>
      <c r="N10" s="117">
        <v>153.5</v>
      </c>
      <c r="O10" s="117">
        <v>191.58000000000004</v>
      </c>
      <c r="P10" s="117">
        <v>145.63999999999999</v>
      </c>
      <c r="Q10" s="117">
        <v>166.65</v>
      </c>
      <c r="R10" s="117">
        <v>146.49</v>
      </c>
      <c r="S10" s="117">
        <v>146.84</v>
      </c>
      <c r="T10" s="117">
        <v>88.82</v>
      </c>
      <c r="U10" s="117">
        <v>210.57</v>
      </c>
      <c r="V10" s="117">
        <v>90.259999999999991</v>
      </c>
      <c r="W10" s="117">
        <v>166.90000000000003</v>
      </c>
      <c r="X10" s="117">
        <v>155.94</v>
      </c>
      <c r="Y10" s="117">
        <v>315.69</v>
      </c>
    </row>
    <row r="11" spans="1:25" x14ac:dyDescent="0.3">
      <c r="A11" s="10" t="s">
        <v>983</v>
      </c>
      <c r="B11" s="117">
        <v>233.71999999999994</v>
      </c>
      <c r="C11" s="117">
        <v>204.51999999999992</v>
      </c>
      <c r="D11" s="117">
        <v>250.64999999999992</v>
      </c>
      <c r="E11" s="117">
        <v>217.79999999999998</v>
      </c>
      <c r="F11" s="117">
        <v>235.02</v>
      </c>
      <c r="G11" s="117">
        <v>239.23000000000002</v>
      </c>
      <c r="H11" s="117">
        <v>287.95000000000005</v>
      </c>
      <c r="I11" s="117">
        <v>203.47100000000003</v>
      </c>
      <c r="J11" s="117">
        <v>160.88999999999996</v>
      </c>
      <c r="K11" s="117">
        <v>247.54</v>
      </c>
      <c r="L11" s="117">
        <v>177.23</v>
      </c>
      <c r="M11" s="117">
        <v>167.12900000000002</v>
      </c>
      <c r="N11" s="117">
        <v>250.49899999999997</v>
      </c>
      <c r="O11" s="117">
        <v>231.62999999999997</v>
      </c>
      <c r="P11" s="117">
        <v>263.68999999999994</v>
      </c>
      <c r="Q11" s="117">
        <v>261.93</v>
      </c>
      <c r="R11" s="117">
        <v>319.12099999999987</v>
      </c>
      <c r="S11" s="117">
        <v>350.09</v>
      </c>
      <c r="T11" s="117">
        <v>338.28999999999996</v>
      </c>
      <c r="U11" s="117">
        <v>258.87000000000006</v>
      </c>
      <c r="V11" s="117">
        <v>294.57000000000005</v>
      </c>
      <c r="W11" s="117">
        <v>315.64999999999998</v>
      </c>
      <c r="X11" s="117">
        <v>206.00000000000006</v>
      </c>
      <c r="Y11" s="117">
        <v>443.56099999999986</v>
      </c>
    </row>
    <row r="12" spans="1:25" x14ac:dyDescent="0.3">
      <c r="A12" s="10" t="s">
        <v>985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  <c r="O12" s="117">
        <v>0</v>
      </c>
      <c r="P12" s="117">
        <v>0</v>
      </c>
      <c r="Q12" s="117">
        <v>0</v>
      </c>
      <c r="R12" s="117">
        <v>0</v>
      </c>
      <c r="S12" s="117">
        <v>0</v>
      </c>
      <c r="T12" s="117">
        <v>0</v>
      </c>
      <c r="U12" s="117">
        <v>0</v>
      </c>
      <c r="V12" s="117">
        <v>0</v>
      </c>
      <c r="W12" s="117">
        <v>0</v>
      </c>
      <c r="X12" s="117">
        <v>0</v>
      </c>
      <c r="Y12" s="117">
        <v>0</v>
      </c>
    </row>
    <row r="13" spans="1:25" x14ac:dyDescent="0.3">
      <c r="A13" s="10" t="s">
        <v>990</v>
      </c>
      <c r="B13" s="117">
        <v>0</v>
      </c>
      <c r="C13" s="117">
        <v>0</v>
      </c>
      <c r="D13" s="117">
        <v>0</v>
      </c>
      <c r="E13" s="117">
        <v>23.433</v>
      </c>
      <c r="F13" s="117">
        <v>0</v>
      </c>
      <c r="G13" s="117">
        <v>0</v>
      </c>
      <c r="H13" s="117">
        <v>27.010999999999999</v>
      </c>
      <c r="I13" s="117">
        <v>40.580999999999996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29.139000000000003</v>
      </c>
      <c r="S13" s="117">
        <v>0</v>
      </c>
      <c r="T13" s="117">
        <v>0</v>
      </c>
      <c r="U13" s="117">
        <v>0</v>
      </c>
      <c r="V13" s="117">
        <v>0</v>
      </c>
      <c r="W13" s="117">
        <v>0</v>
      </c>
      <c r="X13" s="117">
        <v>0</v>
      </c>
      <c r="Y13" s="117">
        <v>60.103999999999999</v>
      </c>
    </row>
    <row r="14" spans="1:25" x14ac:dyDescent="0.3">
      <c r="A14" s="10" t="s">
        <v>984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  <c r="O14" s="117">
        <v>0</v>
      </c>
      <c r="P14" s="117">
        <v>0</v>
      </c>
      <c r="Q14" s="117">
        <v>0</v>
      </c>
      <c r="R14" s="117">
        <v>0</v>
      </c>
      <c r="S14" s="117">
        <v>0</v>
      </c>
      <c r="T14" s="117">
        <v>0</v>
      </c>
      <c r="U14" s="117">
        <v>0</v>
      </c>
      <c r="V14" s="117">
        <v>0</v>
      </c>
      <c r="W14" s="117">
        <v>0</v>
      </c>
      <c r="X14" s="117">
        <v>0</v>
      </c>
      <c r="Y14" s="117">
        <v>0</v>
      </c>
    </row>
    <row r="15" spans="1:25" x14ac:dyDescent="0.3">
      <c r="A15" s="10" t="s">
        <v>1046</v>
      </c>
      <c r="B15" s="117">
        <v>0</v>
      </c>
      <c r="C15" s="117">
        <v>25.82</v>
      </c>
      <c r="D15" s="117">
        <v>0</v>
      </c>
      <c r="E15" s="117">
        <v>0</v>
      </c>
      <c r="F15" s="117">
        <v>0</v>
      </c>
      <c r="G15" s="117">
        <v>0</v>
      </c>
      <c r="H15" s="117">
        <v>21.26</v>
      </c>
      <c r="I15" s="117">
        <v>10.69</v>
      </c>
      <c r="J15" s="117">
        <v>0</v>
      </c>
      <c r="K15" s="117">
        <v>0</v>
      </c>
      <c r="L15" s="117">
        <v>0</v>
      </c>
      <c r="M15" s="117">
        <v>0</v>
      </c>
      <c r="N15" s="117">
        <v>19.13</v>
      </c>
      <c r="O15" s="117">
        <v>0</v>
      </c>
      <c r="P15" s="117">
        <v>16.190000000000001</v>
      </c>
      <c r="Q15" s="117">
        <v>0</v>
      </c>
      <c r="R15" s="117">
        <v>0</v>
      </c>
      <c r="S15" s="117">
        <v>0</v>
      </c>
      <c r="T15" s="117">
        <v>0</v>
      </c>
      <c r="U15" s="117">
        <v>20.25</v>
      </c>
      <c r="V15" s="117">
        <v>0</v>
      </c>
      <c r="W15" s="117">
        <v>0</v>
      </c>
      <c r="X15" s="117">
        <v>0</v>
      </c>
      <c r="Y15" s="117">
        <v>9.7899999999999991</v>
      </c>
    </row>
    <row r="16" spans="1:25" x14ac:dyDescent="0.3">
      <c r="A16" s="10" t="s">
        <v>70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  <c r="O16" s="117">
        <v>0</v>
      </c>
      <c r="P16" s="117">
        <v>0</v>
      </c>
      <c r="Q16" s="117">
        <v>0</v>
      </c>
      <c r="R16" s="117">
        <v>0</v>
      </c>
      <c r="S16" s="117">
        <v>0</v>
      </c>
      <c r="T16" s="117">
        <v>0</v>
      </c>
      <c r="U16" s="117">
        <v>0</v>
      </c>
      <c r="V16" s="117">
        <v>0</v>
      </c>
      <c r="W16" s="117">
        <v>0</v>
      </c>
      <c r="X16" s="117">
        <v>0</v>
      </c>
      <c r="Y16" s="117">
        <v>0</v>
      </c>
    </row>
    <row r="17" spans="1:25" x14ac:dyDescent="0.3">
      <c r="A17" s="10" t="s">
        <v>93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  <c r="O17" s="117">
        <v>0</v>
      </c>
      <c r="P17" s="117">
        <v>0</v>
      </c>
      <c r="Q17" s="117">
        <v>0</v>
      </c>
      <c r="R17" s="117">
        <v>0</v>
      </c>
      <c r="S17" s="117">
        <v>0</v>
      </c>
      <c r="T17" s="117">
        <v>0</v>
      </c>
      <c r="U17" s="117">
        <v>0</v>
      </c>
      <c r="V17" s="117">
        <v>0</v>
      </c>
      <c r="W17" s="117">
        <v>0</v>
      </c>
      <c r="X17" s="117">
        <v>0</v>
      </c>
      <c r="Y17" s="117">
        <v>0</v>
      </c>
    </row>
    <row r="18" spans="1:25" x14ac:dyDescent="0.3">
      <c r="A18" s="10" t="s">
        <v>66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0</v>
      </c>
      <c r="U18" s="117">
        <v>0</v>
      </c>
      <c r="V18" s="117">
        <v>0</v>
      </c>
      <c r="W18" s="117">
        <v>0</v>
      </c>
      <c r="X18" s="117">
        <v>0</v>
      </c>
      <c r="Y18" s="117">
        <v>0</v>
      </c>
    </row>
    <row r="19" spans="1:25" x14ac:dyDescent="0.3">
      <c r="A19" s="10" t="s">
        <v>74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</row>
    <row r="20" spans="1:25" x14ac:dyDescent="0.3">
      <c r="A20" s="10" t="s">
        <v>27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  <c r="O20" s="117">
        <v>0</v>
      </c>
      <c r="P20" s="117">
        <v>0</v>
      </c>
      <c r="Q20" s="117">
        <v>0</v>
      </c>
      <c r="R20" s="117">
        <v>0</v>
      </c>
      <c r="S20" s="117">
        <v>0</v>
      </c>
      <c r="T20" s="117">
        <v>0</v>
      </c>
      <c r="U20" s="117">
        <v>0</v>
      </c>
      <c r="V20" s="117">
        <v>0</v>
      </c>
      <c r="W20" s="117">
        <v>0</v>
      </c>
      <c r="X20" s="117">
        <v>0</v>
      </c>
      <c r="Y20" s="117">
        <v>0</v>
      </c>
    </row>
    <row r="21" spans="1:25" x14ac:dyDescent="0.3">
      <c r="A21" s="10" t="s">
        <v>716</v>
      </c>
      <c r="B21" s="117">
        <v>0</v>
      </c>
      <c r="C21" s="117">
        <v>0</v>
      </c>
      <c r="D21" s="117">
        <v>54.965000000000003</v>
      </c>
      <c r="E21" s="117">
        <v>114.94200000000002</v>
      </c>
      <c r="F21" s="117">
        <v>106.97500000000001</v>
      </c>
      <c r="G21" s="117">
        <v>155.28800000000001</v>
      </c>
      <c r="H21" s="117">
        <v>199.95300000000003</v>
      </c>
      <c r="I21" s="117">
        <v>200.79599999999996</v>
      </c>
      <c r="J21" s="117">
        <v>170.54799999999997</v>
      </c>
      <c r="K21" s="117">
        <v>150.58900000000003</v>
      </c>
      <c r="L21" s="117">
        <v>157.434</v>
      </c>
      <c r="M21" s="117">
        <v>115.09200000000001</v>
      </c>
      <c r="N21" s="117">
        <v>158.173</v>
      </c>
      <c r="O21" s="117">
        <v>147.714</v>
      </c>
      <c r="P21" s="117">
        <v>285.39099999999996</v>
      </c>
      <c r="Q21" s="117">
        <v>173.12</v>
      </c>
      <c r="R21" s="117">
        <v>125.20200000000001</v>
      </c>
      <c r="S21" s="117">
        <v>146.90099999999998</v>
      </c>
      <c r="T21" s="117">
        <v>104.87700000000001</v>
      </c>
      <c r="U21" s="117">
        <v>139.13000000000002</v>
      </c>
      <c r="V21" s="117">
        <v>128.06799999999998</v>
      </c>
      <c r="W21" s="117">
        <v>180.98499999999996</v>
      </c>
      <c r="X21" s="117">
        <v>152.79899999999998</v>
      </c>
      <c r="Y21" s="117">
        <v>374.7170000000001</v>
      </c>
    </row>
    <row r="22" spans="1:25" x14ac:dyDescent="0.3">
      <c r="A22" s="10" t="s">
        <v>717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</v>
      </c>
      <c r="Q22" s="117">
        <v>0</v>
      </c>
      <c r="R22" s="117">
        <v>0</v>
      </c>
      <c r="S22" s="117">
        <v>0</v>
      </c>
      <c r="T22" s="117">
        <v>0</v>
      </c>
      <c r="U22" s="117">
        <v>0</v>
      </c>
      <c r="V22" s="117">
        <v>0</v>
      </c>
      <c r="W22" s="117">
        <v>0</v>
      </c>
      <c r="X22" s="117">
        <v>0</v>
      </c>
      <c r="Y22" s="117">
        <v>0</v>
      </c>
    </row>
    <row r="23" spans="1:25" x14ac:dyDescent="0.3">
      <c r="A23" s="10" t="s">
        <v>718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  <c r="O23" s="117">
        <v>0</v>
      </c>
      <c r="P23" s="117">
        <v>0</v>
      </c>
      <c r="Q23" s="117">
        <v>0</v>
      </c>
      <c r="R23" s="117">
        <v>0</v>
      </c>
      <c r="S23" s="117">
        <v>0</v>
      </c>
      <c r="T23" s="117">
        <v>0</v>
      </c>
      <c r="U23" s="117">
        <v>0</v>
      </c>
      <c r="V23" s="117">
        <v>0</v>
      </c>
      <c r="W23" s="117">
        <v>0</v>
      </c>
      <c r="X23" s="117">
        <v>0</v>
      </c>
      <c r="Y23" s="117">
        <v>0</v>
      </c>
    </row>
    <row r="24" spans="1:25" x14ac:dyDescent="0.3">
      <c r="A24" s="10" t="s">
        <v>719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</row>
    <row r="25" spans="1:25" x14ac:dyDescent="0.3">
      <c r="A25" s="10" t="s">
        <v>776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  <c r="O25" s="117">
        <v>0</v>
      </c>
      <c r="P25" s="117">
        <v>0</v>
      </c>
      <c r="Q25" s="117">
        <v>0</v>
      </c>
      <c r="R25" s="117">
        <v>0</v>
      </c>
      <c r="S25" s="117">
        <v>0</v>
      </c>
      <c r="T25" s="117">
        <v>0</v>
      </c>
      <c r="U25" s="117">
        <v>0</v>
      </c>
      <c r="V25" s="117">
        <v>0</v>
      </c>
      <c r="W25" s="117">
        <v>0</v>
      </c>
      <c r="X25" s="117">
        <v>0</v>
      </c>
      <c r="Y25" s="117">
        <v>0</v>
      </c>
    </row>
    <row r="26" spans="1:25" x14ac:dyDescent="0.3">
      <c r="A26" s="10" t="s">
        <v>720</v>
      </c>
      <c r="B26" s="117">
        <v>11.690000000000001</v>
      </c>
      <c r="C26" s="117">
        <v>4.6980000000000004</v>
      </c>
      <c r="D26" s="117">
        <v>7.0000000000000001E-3</v>
      </c>
      <c r="E26" s="117">
        <v>0</v>
      </c>
      <c r="F26" s="117">
        <v>10.132000000000001</v>
      </c>
      <c r="G26" s="117">
        <v>5.8719999999999999</v>
      </c>
      <c r="H26" s="117">
        <v>6.8000000000000005E-2</v>
      </c>
      <c r="I26" s="117">
        <v>5.4179999999999993</v>
      </c>
      <c r="J26" s="117">
        <v>1.3479999999999999</v>
      </c>
      <c r="K26" s="117">
        <v>1.629</v>
      </c>
      <c r="L26" s="117">
        <v>6.6890000000000001</v>
      </c>
      <c r="M26" s="117">
        <v>1.6379999999999999</v>
      </c>
      <c r="N26" s="117">
        <v>4.5350000000000001</v>
      </c>
      <c r="O26" s="117">
        <v>7.1909999999999998</v>
      </c>
      <c r="P26" s="117">
        <v>2.488</v>
      </c>
      <c r="Q26" s="117">
        <v>4.7720000000000002</v>
      </c>
      <c r="R26" s="117">
        <v>2.7920000000000003</v>
      </c>
      <c r="S26" s="117">
        <v>0</v>
      </c>
      <c r="T26" s="117">
        <v>2.6970000000000001</v>
      </c>
      <c r="U26" s="117">
        <v>6.7130000000000001</v>
      </c>
      <c r="V26" s="117">
        <v>0</v>
      </c>
      <c r="W26" s="117">
        <v>0</v>
      </c>
      <c r="X26" s="117">
        <v>3.798</v>
      </c>
      <c r="Y26" s="117">
        <v>6.5629999999999997</v>
      </c>
    </row>
    <row r="27" spans="1:25" x14ac:dyDescent="0.3">
      <c r="A27" s="10" t="s">
        <v>722</v>
      </c>
      <c r="B27" s="117">
        <v>15.823</v>
      </c>
      <c r="C27" s="117">
        <v>18.181999999999999</v>
      </c>
      <c r="D27" s="117">
        <v>21.396000000000001</v>
      </c>
      <c r="E27" s="117">
        <v>15.186999999999999</v>
      </c>
      <c r="F27" s="117">
        <v>18.813000000000002</v>
      </c>
      <c r="G27" s="117">
        <v>18.48</v>
      </c>
      <c r="H27" s="117">
        <v>26.350999999999999</v>
      </c>
      <c r="I27" s="117">
        <v>31.092999999999996</v>
      </c>
      <c r="J27" s="117">
        <v>25.127000000000002</v>
      </c>
      <c r="K27" s="117">
        <v>20.369</v>
      </c>
      <c r="L27" s="117">
        <v>22.472999999999999</v>
      </c>
      <c r="M27" s="117">
        <v>17.749000000000002</v>
      </c>
      <c r="N27" s="117">
        <v>17.674999999999997</v>
      </c>
      <c r="O27" s="117">
        <v>15.745000000000001</v>
      </c>
      <c r="P27" s="117">
        <v>21.763999999999999</v>
      </c>
      <c r="Q27" s="117">
        <v>14.608999999999998</v>
      </c>
      <c r="R27" s="117">
        <v>33.152000000000001</v>
      </c>
      <c r="S27" s="117">
        <v>10.481</v>
      </c>
      <c r="T27" s="117">
        <v>18.841000000000001</v>
      </c>
      <c r="U27" s="117">
        <v>23.429000000000002</v>
      </c>
      <c r="V27" s="117">
        <v>29.195</v>
      </c>
      <c r="W27" s="117">
        <v>16.771000000000001</v>
      </c>
      <c r="X27" s="117">
        <v>28.873999999999999</v>
      </c>
      <c r="Y27" s="117">
        <v>29.884</v>
      </c>
    </row>
    <row r="28" spans="1:25" x14ac:dyDescent="0.3">
      <c r="A28" s="10" t="s">
        <v>721</v>
      </c>
      <c r="B28" s="117">
        <v>15.155000000000001</v>
      </c>
      <c r="C28" s="117">
        <v>14.427000000000001</v>
      </c>
      <c r="D28" s="117">
        <v>11.126000000000001</v>
      </c>
      <c r="E28" s="117">
        <v>13.708</v>
      </c>
      <c r="F28" s="117">
        <v>7.831999999999999</v>
      </c>
      <c r="G28" s="117">
        <v>12.976000000000001</v>
      </c>
      <c r="H28" s="117">
        <v>12.315000000000001</v>
      </c>
      <c r="I28" s="117">
        <v>18.710999999999999</v>
      </c>
      <c r="J28" s="117">
        <v>21.201000000000001</v>
      </c>
      <c r="K28" s="117">
        <v>9.4520000000000017</v>
      </c>
      <c r="L28" s="117">
        <v>15.863000000000003</v>
      </c>
      <c r="M28" s="117">
        <v>4.05</v>
      </c>
      <c r="N28" s="117">
        <v>16.21</v>
      </c>
      <c r="O28" s="117">
        <v>7.9319999999999995</v>
      </c>
      <c r="P28" s="117">
        <v>16.227</v>
      </c>
      <c r="Q28" s="117">
        <v>8.8780000000000001</v>
      </c>
      <c r="R28" s="117">
        <v>13.848000000000001</v>
      </c>
      <c r="S28" s="117">
        <v>7.0839999999999996</v>
      </c>
      <c r="T28" s="117">
        <v>8.84</v>
      </c>
      <c r="U28" s="117">
        <v>13.189</v>
      </c>
      <c r="V28" s="117">
        <v>16.616</v>
      </c>
      <c r="W28" s="117">
        <v>16.288</v>
      </c>
      <c r="X28" s="117">
        <v>14.255000000000001</v>
      </c>
      <c r="Y28" s="117">
        <v>27.966999999999999</v>
      </c>
    </row>
    <row r="29" spans="1:25" x14ac:dyDescent="0.3">
      <c r="A29" s="10" t="s">
        <v>723</v>
      </c>
      <c r="B29" s="117">
        <v>61.612000000000002</v>
      </c>
      <c r="C29" s="117">
        <v>22.332000000000001</v>
      </c>
      <c r="D29" s="117">
        <v>34.400999999999996</v>
      </c>
      <c r="E29" s="117">
        <v>56.187999999999995</v>
      </c>
      <c r="F29" s="117">
        <v>17.283000000000001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</row>
    <row r="30" spans="1:25" x14ac:dyDescent="0.3">
      <c r="A30" s="10" t="s">
        <v>795</v>
      </c>
      <c r="B30" s="117">
        <v>5.6690000000000005</v>
      </c>
      <c r="C30" s="117">
        <v>2.3409999999999997</v>
      </c>
      <c r="D30" s="117">
        <v>2.9039999999999999</v>
      </c>
      <c r="E30" s="117">
        <v>3.3449999999999998</v>
      </c>
      <c r="F30" s="117">
        <v>1.643</v>
      </c>
      <c r="G30" s="117">
        <v>2.9969999999999999</v>
      </c>
      <c r="H30" s="117">
        <v>2.0869999999999997</v>
      </c>
      <c r="I30" s="117">
        <v>3.2279999999999998</v>
      </c>
      <c r="J30" s="117">
        <v>4.8829999999999991</v>
      </c>
      <c r="K30" s="117">
        <v>3.391</v>
      </c>
      <c r="L30" s="117">
        <v>2.657</v>
      </c>
      <c r="M30" s="117">
        <v>1.8979999999999999</v>
      </c>
      <c r="N30" s="117">
        <v>2.6269999999999998</v>
      </c>
      <c r="O30" s="117">
        <v>2.6070000000000002</v>
      </c>
      <c r="P30" s="117">
        <v>2.476</v>
      </c>
      <c r="Q30" s="117">
        <v>5.4409999999999998</v>
      </c>
      <c r="R30" s="117">
        <v>3.6219999999999999</v>
      </c>
      <c r="S30" s="117">
        <v>3.71</v>
      </c>
      <c r="T30" s="117">
        <v>3.4790000000000001</v>
      </c>
      <c r="U30" s="117">
        <v>4.5920000000000005</v>
      </c>
      <c r="V30" s="117">
        <v>4.1159999999999997</v>
      </c>
      <c r="W30" s="117">
        <v>2.9989999999999997</v>
      </c>
      <c r="X30" s="117">
        <v>3.665</v>
      </c>
      <c r="Y30" s="117">
        <v>5.9189999999999996</v>
      </c>
    </row>
    <row r="31" spans="1:25" x14ac:dyDescent="0.3">
      <c r="A31" s="10" t="s">
        <v>724</v>
      </c>
      <c r="B31" s="117">
        <v>20.678999999999998</v>
      </c>
      <c r="C31" s="117">
        <v>7.3199999999999994</v>
      </c>
      <c r="D31" s="117">
        <v>12.481999999999999</v>
      </c>
      <c r="E31" s="117">
        <v>3.9</v>
      </c>
      <c r="F31" s="117">
        <v>15.417999999999999</v>
      </c>
      <c r="G31" s="117">
        <v>3.9060000000000001</v>
      </c>
      <c r="H31" s="117">
        <v>11.289</v>
      </c>
      <c r="I31" s="117">
        <v>30.318999999999999</v>
      </c>
      <c r="J31" s="117">
        <v>76.795999999999992</v>
      </c>
      <c r="K31" s="117">
        <v>45.026000000000003</v>
      </c>
      <c r="L31" s="117">
        <v>31.538999999999998</v>
      </c>
      <c r="M31" s="117">
        <v>53.699999999999989</v>
      </c>
      <c r="N31" s="117">
        <v>51.59</v>
      </c>
      <c r="O31" s="117">
        <v>49.432000000000002</v>
      </c>
      <c r="P31" s="117">
        <v>44.763999999999989</v>
      </c>
      <c r="Q31" s="117">
        <v>45.693000000000005</v>
      </c>
      <c r="R31" s="117">
        <v>46.506000000000007</v>
      </c>
      <c r="S31" s="117">
        <v>48.570999999999991</v>
      </c>
      <c r="T31" s="117">
        <v>46.103999999999992</v>
      </c>
      <c r="U31" s="117">
        <v>50.025999999999996</v>
      </c>
      <c r="V31" s="117">
        <v>45.015999999999991</v>
      </c>
      <c r="W31" s="117">
        <v>46.905000000000001</v>
      </c>
      <c r="X31" s="117">
        <v>50.404999999999994</v>
      </c>
      <c r="Y31" s="117">
        <v>94.14200000000001</v>
      </c>
    </row>
    <row r="32" spans="1:25" x14ac:dyDescent="0.3">
      <c r="A32" s="10" t="s">
        <v>725</v>
      </c>
      <c r="B32" s="117">
        <v>46.422999999999995</v>
      </c>
      <c r="C32" s="117">
        <v>32.833999999999996</v>
      </c>
      <c r="D32" s="117">
        <v>117.49999999999997</v>
      </c>
      <c r="E32" s="117">
        <v>49.515999999999998</v>
      </c>
      <c r="F32" s="117">
        <v>51.004000000000005</v>
      </c>
      <c r="G32" s="117">
        <v>86.572999999999993</v>
      </c>
      <c r="H32" s="117">
        <v>67.697000000000003</v>
      </c>
      <c r="I32" s="117">
        <v>82.97</v>
      </c>
      <c r="J32" s="117">
        <v>60.427</v>
      </c>
      <c r="K32" s="117">
        <v>76.762</v>
      </c>
      <c r="L32" s="117">
        <v>46.81600000000001</v>
      </c>
      <c r="M32" s="117">
        <v>61.890999999999998</v>
      </c>
      <c r="N32" s="117">
        <v>45.745000000000005</v>
      </c>
      <c r="O32" s="117">
        <v>41.182000000000009</v>
      </c>
      <c r="P32" s="117">
        <v>44.097999999999999</v>
      </c>
      <c r="Q32" s="117">
        <v>70.87</v>
      </c>
      <c r="R32" s="117">
        <v>49.802000000000014</v>
      </c>
      <c r="S32" s="117">
        <v>40.807000000000002</v>
      </c>
      <c r="T32" s="117">
        <v>60.812000000000012</v>
      </c>
      <c r="U32" s="117">
        <v>46.697000000000003</v>
      </c>
      <c r="V32" s="117">
        <v>43.885999999999996</v>
      </c>
      <c r="W32" s="117">
        <v>19.596</v>
      </c>
      <c r="X32" s="117">
        <v>48.856999999999999</v>
      </c>
      <c r="Y32" s="117">
        <v>112.01299999999998</v>
      </c>
    </row>
    <row r="33" spans="1:25" x14ac:dyDescent="0.3">
      <c r="A33" s="10" t="s">
        <v>726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</v>
      </c>
      <c r="O33" s="117">
        <v>0</v>
      </c>
      <c r="P33" s="117">
        <v>0</v>
      </c>
      <c r="Q33" s="117">
        <v>0</v>
      </c>
      <c r="R33" s="117">
        <v>0</v>
      </c>
      <c r="S33" s="117">
        <v>0</v>
      </c>
      <c r="T33" s="117">
        <v>0</v>
      </c>
      <c r="U33" s="117">
        <v>0</v>
      </c>
      <c r="V33" s="117">
        <v>0</v>
      </c>
      <c r="W33" s="117">
        <v>0</v>
      </c>
      <c r="X33" s="117">
        <v>0</v>
      </c>
      <c r="Y33" s="117">
        <v>0</v>
      </c>
    </row>
    <row r="34" spans="1:25" x14ac:dyDescent="0.3">
      <c r="A34" s="10" t="s">
        <v>727</v>
      </c>
      <c r="B34" s="117">
        <v>36.022000000000006</v>
      </c>
      <c r="C34" s="117">
        <v>26.727</v>
      </c>
      <c r="D34" s="117">
        <v>48.33</v>
      </c>
      <c r="E34" s="117">
        <v>41.588000000000001</v>
      </c>
      <c r="F34" s="117">
        <v>23.310999999999996</v>
      </c>
      <c r="G34" s="117">
        <v>25.597999999999999</v>
      </c>
      <c r="H34" s="117">
        <v>59.944999999999993</v>
      </c>
      <c r="I34" s="117">
        <v>48.712000000000003</v>
      </c>
      <c r="J34" s="117">
        <v>39.314</v>
      </c>
      <c r="K34" s="117">
        <v>34.762</v>
      </c>
      <c r="L34" s="117">
        <v>34.126999999999995</v>
      </c>
      <c r="M34" s="117">
        <v>33.573</v>
      </c>
      <c r="N34" s="117">
        <v>37.332999999999998</v>
      </c>
      <c r="O34" s="117">
        <v>28.621999999999996</v>
      </c>
      <c r="P34" s="117">
        <v>23.549999999999997</v>
      </c>
      <c r="Q34" s="117">
        <v>25.279</v>
      </c>
      <c r="R34" s="117">
        <v>9.484</v>
      </c>
      <c r="S34" s="117">
        <v>36.746000000000002</v>
      </c>
      <c r="T34" s="117">
        <v>29.32</v>
      </c>
      <c r="U34" s="117">
        <v>34.965999999999994</v>
      </c>
      <c r="V34" s="117">
        <v>13.518000000000001</v>
      </c>
      <c r="W34" s="117">
        <v>26.596</v>
      </c>
      <c r="X34" s="117">
        <v>30.978999999999999</v>
      </c>
      <c r="Y34" s="117">
        <v>62.531999999999989</v>
      </c>
    </row>
    <row r="35" spans="1:25" x14ac:dyDescent="0.3">
      <c r="A35" s="10" t="s">
        <v>970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</v>
      </c>
      <c r="K35" s="117">
        <v>0</v>
      </c>
      <c r="L35" s="117">
        <v>0</v>
      </c>
      <c r="M35" s="117">
        <v>0</v>
      </c>
      <c r="N35" s="117">
        <v>0</v>
      </c>
      <c r="O35" s="117">
        <v>0</v>
      </c>
      <c r="P35" s="117">
        <v>0</v>
      </c>
      <c r="Q35" s="117">
        <v>0</v>
      </c>
      <c r="R35" s="117">
        <v>0</v>
      </c>
      <c r="S35" s="117">
        <v>0</v>
      </c>
      <c r="T35" s="117">
        <v>0</v>
      </c>
      <c r="U35" s="117">
        <v>0</v>
      </c>
      <c r="V35" s="117">
        <v>0</v>
      </c>
      <c r="W35" s="117">
        <v>0</v>
      </c>
      <c r="X35" s="117">
        <v>0</v>
      </c>
      <c r="Y35" s="117">
        <v>0</v>
      </c>
    </row>
    <row r="36" spans="1:25" x14ac:dyDescent="0.3">
      <c r="A36" s="10" t="s">
        <v>728</v>
      </c>
      <c r="B36" s="117">
        <v>102.813</v>
      </c>
      <c r="C36" s="117">
        <v>92.927999999999997</v>
      </c>
      <c r="D36" s="117">
        <v>101.19799999999999</v>
      </c>
      <c r="E36" s="117">
        <v>87.283000000000001</v>
      </c>
      <c r="F36" s="117">
        <v>97.306999999999988</v>
      </c>
      <c r="G36" s="117">
        <v>73.877999999999986</v>
      </c>
      <c r="H36" s="117">
        <v>108.88400000000001</v>
      </c>
      <c r="I36" s="117">
        <v>101.25800000000002</v>
      </c>
      <c r="J36" s="117">
        <v>102.70899999999999</v>
      </c>
      <c r="K36" s="117">
        <v>83.364000000000004</v>
      </c>
      <c r="L36" s="117">
        <v>104.78699999999999</v>
      </c>
      <c r="M36" s="117">
        <v>85.287999999999997</v>
      </c>
      <c r="N36" s="117">
        <v>84.036000000000001</v>
      </c>
      <c r="O36" s="117">
        <v>97.614000000000004</v>
      </c>
      <c r="P36" s="117">
        <v>91.867999999999995</v>
      </c>
      <c r="Q36" s="117">
        <v>107.90600000000001</v>
      </c>
      <c r="R36" s="117">
        <v>107.06700000000001</v>
      </c>
      <c r="S36" s="117">
        <v>92.7</v>
      </c>
      <c r="T36" s="117">
        <v>96.405999999999992</v>
      </c>
      <c r="U36" s="117">
        <v>119.02099999999999</v>
      </c>
      <c r="V36" s="117">
        <v>99.840999999999994</v>
      </c>
      <c r="W36" s="117">
        <v>93.913999999999987</v>
      </c>
      <c r="X36" s="117">
        <v>92.799000000000007</v>
      </c>
      <c r="Y36" s="117">
        <v>213.10699999999997</v>
      </c>
    </row>
    <row r="37" spans="1:25" x14ac:dyDescent="0.3">
      <c r="A37" s="10" t="s">
        <v>779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0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0</v>
      </c>
      <c r="O37" s="117">
        <v>0</v>
      </c>
      <c r="P37" s="117">
        <v>0</v>
      </c>
      <c r="Q37" s="117">
        <v>0</v>
      </c>
      <c r="R37" s="117">
        <v>0</v>
      </c>
      <c r="S37" s="117">
        <v>0</v>
      </c>
      <c r="T37" s="117">
        <v>0</v>
      </c>
      <c r="U37" s="117">
        <v>0</v>
      </c>
      <c r="V37" s="117">
        <v>0</v>
      </c>
      <c r="W37" s="117">
        <v>0</v>
      </c>
      <c r="X37" s="117">
        <v>0</v>
      </c>
      <c r="Y37" s="117">
        <v>0</v>
      </c>
    </row>
    <row r="38" spans="1:25" x14ac:dyDescent="0.3">
      <c r="A38" s="10" t="s">
        <v>730</v>
      </c>
      <c r="B38" s="117">
        <v>282.64800000000002</v>
      </c>
      <c r="C38" s="117">
        <v>178.09800000000001</v>
      </c>
      <c r="D38" s="117">
        <v>235.63200000000003</v>
      </c>
      <c r="E38" s="117">
        <v>264.64099999999991</v>
      </c>
      <c r="F38" s="117">
        <v>239.58600000000004</v>
      </c>
      <c r="G38" s="117">
        <v>261.86</v>
      </c>
      <c r="H38" s="117">
        <v>265.31700000000006</v>
      </c>
      <c r="I38" s="117">
        <v>248.83600000000001</v>
      </c>
      <c r="J38" s="117">
        <v>198.221</v>
      </c>
      <c r="K38" s="117">
        <v>186.15299999999999</v>
      </c>
      <c r="L38" s="117">
        <v>202.035</v>
      </c>
      <c r="M38" s="117">
        <v>311.58299999999997</v>
      </c>
      <c r="N38" s="117">
        <v>285.27</v>
      </c>
      <c r="O38" s="117">
        <v>283.39400000000006</v>
      </c>
      <c r="P38" s="117">
        <v>302.94900000000001</v>
      </c>
      <c r="Q38" s="117">
        <v>331.46100000000007</v>
      </c>
      <c r="R38" s="117">
        <v>369.08500000000015</v>
      </c>
      <c r="S38" s="117">
        <v>291.22899999999998</v>
      </c>
      <c r="T38" s="117">
        <v>327.65300000000008</v>
      </c>
      <c r="U38" s="117">
        <v>321.01</v>
      </c>
      <c r="V38" s="117">
        <v>340.17099999999999</v>
      </c>
      <c r="W38" s="117">
        <v>239.34700000000009</v>
      </c>
      <c r="X38" s="117">
        <v>298.8540000000001</v>
      </c>
      <c r="Y38" s="117">
        <v>621.22299999999984</v>
      </c>
    </row>
    <row r="39" spans="1:25" x14ac:dyDescent="0.3">
      <c r="A39" s="10" t="s">
        <v>731</v>
      </c>
      <c r="B39" s="117">
        <v>99.204999999999998</v>
      </c>
      <c r="C39" s="117">
        <v>308.28800000000012</v>
      </c>
      <c r="D39" s="117">
        <v>341.62699999999995</v>
      </c>
      <c r="E39" s="117">
        <v>397.43799999999987</v>
      </c>
      <c r="F39" s="117">
        <v>338.09999999999991</v>
      </c>
      <c r="G39" s="117">
        <v>136.00200000000004</v>
      </c>
      <c r="H39" s="117">
        <v>280.72300000000007</v>
      </c>
      <c r="I39" s="117">
        <v>219.42100000000002</v>
      </c>
      <c r="J39" s="117">
        <v>306.27299999999991</v>
      </c>
      <c r="K39" s="117">
        <v>284.50400000000002</v>
      </c>
      <c r="L39" s="117">
        <v>440.23899999999992</v>
      </c>
      <c r="M39" s="117">
        <v>371.45800000000008</v>
      </c>
      <c r="N39" s="117">
        <v>88.626000000000005</v>
      </c>
      <c r="O39" s="117">
        <v>266.91099999999994</v>
      </c>
      <c r="P39" s="117">
        <v>89.506000000000014</v>
      </c>
      <c r="Q39" s="117">
        <v>343.87199999999996</v>
      </c>
      <c r="R39" s="117">
        <v>326.30099999999999</v>
      </c>
      <c r="S39" s="117">
        <v>563.02399999999977</v>
      </c>
      <c r="T39" s="117">
        <v>470.29</v>
      </c>
      <c r="U39" s="117">
        <v>66.8</v>
      </c>
      <c r="V39" s="117">
        <v>423.68599999999992</v>
      </c>
      <c r="W39" s="117">
        <v>249.05600000000001</v>
      </c>
      <c r="X39" s="117">
        <v>153.24799999999996</v>
      </c>
      <c r="Y39" s="117">
        <v>1028.1249999999998</v>
      </c>
    </row>
    <row r="40" spans="1:25" x14ac:dyDescent="0.3">
      <c r="A40" s="10" t="s">
        <v>778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5.3920000000000003</v>
      </c>
      <c r="H40" s="117">
        <v>0</v>
      </c>
      <c r="I40" s="117">
        <v>0</v>
      </c>
      <c r="J40" s="117">
        <v>0</v>
      </c>
      <c r="K40" s="117">
        <v>0</v>
      </c>
      <c r="L40" s="117">
        <v>0</v>
      </c>
      <c r="M40" s="117">
        <v>0</v>
      </c>
      <c r="N40" s="117">
        <v>0</v>
      </c>
      <c r="O40" s="117">
        <v>0</v>
      </c>
      <c r="P40" s="117">
        <v>0</v>
      </c>
      <c r="Q40" s="117">
        <v>0</v>
      </c>
      <c r="R40" s="117">
        <v>0</v>
      </c>
      <c r="S40" s="117">
        <v>0</v>
      </c>
      <c r="T40" s="117">
        <v>0</v>
      </c>
      <c r="U40" s="117">
        <v>0</v>
      </c>
      <c r="V40" s="117">
        <v>0</v>
      </c>
      <c r="W40" s="117">
        <v>0</v>
      </c>
      <c r="X40" s="117">
        <v>0</v>
      </c>
      <c r="Y40" s="117">
        <v>0</v>
      </c>
    </row>
    <row r="41" spans="1:25" x14ac:dyDescent="0.3">
      <c r="A41" s="10" t="s">
        <v>938</v>
      </c>
      <c r="B41" s="117">
        <v>0</v>
      </c>
      <c r="C41" s="117">
        <v>0</v>
      </c>
      <c r="D41" s="117">
        <v>0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17">
        <v>0</v>
      </c>
      <c r="K41" s="117">
        <v>0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0</v>
      </c>
      <c r="Y41" s="117">
        <v>0</v>
      </c>
    </row>
    <row r="42" spans="1:25" x14ac:dyDescent="0.3">
      <c r="A42" s="10" t="s">
        <v>1012</v>
      </c>
      <c r="B42" s="117">
        <v>6.6080000000000005</v>
      </c>
      <c r="C42" s="117">
        <v>0</v>
      </c>
      <c r="D42" s="117">
        <v>3.48</v>
      </c>
      <c r="E42" s="117">
        <v>0</v>
      </c>
      <c r="F42" s="117">
        <v>0</v>
      </c>
      <c r="G42" s="117">
        <v>0</v>
      </c>
      <c r="H42" s="117">
        <v>2.1989999999999998</v>
      </c>
      <c r="I42" s="117">
        <v>4.5110000000000001</v>
      </c>
      <c r="J42" s="117">
        <v>0</v>
      </c>
      <c r="K42" s="117">
        <v>0</v>
      </c>
      <c r="L42" s="117">
        <v>0</v>
      </c>
      <c r="M42" s="117">
        <v>4.3579999999999997</v>
      </c>
      <c r="N42" s="117">
        <v>0</v>
      </c>
      <c r="O42" s="117">
        <v>0</v>
      </c>
      <c r="P42" s="117">
        <v>11.027999999999999</v>
      </c>
      <c r="Q42" s="117">
        <v>0</v>
      </c>
      <c r="R42" s="117">
        <v>24.581000000000003</v>
      </c>
      <c r="S42" s="117">
        <v>0</v>
      </c>
      <c r="T42" s="117">
        <v>16.501999999999999</v>
      </c>
      <c r="U42" s="117">
        <v>9.4469999999999992</v>
      </c>
      <c r="V42" s="117">
        <v>0</v>
      </c>
      <c r="W42" s="117">
        <v>7.52</v>
      </c>
      <c r="X42" s="117">
        <v>0</v>
      </c>
      <c r="Y42" s="117">
        <v>12.155000000000001</v>
      </c>
    </row>
    <row r="43" spans="1:25" x14ac:dyDescent="0.3">
      <c r="A43" s="10" t="s">
        <v>732</v>
      </c>
      <c r="B43" s="117">
        <v>0</v>
      </c>
      <c r="C43" s="117">
        <v>0</v>
      </c>
      <c r="D43" s="117">
        <v>2.91</v>
      </c>
      <c r="E43" s="117">
        <v>0</v>
      </c>
      <c r="F43" s="117">
        <v>0</v>
      </c>
      <c r="G43" s="117">
        <v>0</v>
      </c>
      <c r="H43" s="117">
        <v>0</v>
      </c>
      <c r="I43" s="117">
        <v>0</v>
      </c>
      <c r="J43" s="117">
        <v>0</v>
      </c>
      <c r="K43" s="117">
        <v>0</v>
      </c>
      <c r="L43" s="117">
        <v>0</v>
      </c>
      <c r="M43" s="117">
        <v>0</v>
      </c>
      <c r="N43" s="117">
        <v>0</v>
      </c>
      <c r="O43" s="117">
        <v>0</v>
      </c>
      <c r="P43" s="117">
        <v>0</v>
      </c>
      <c r="Q43" s="117">
        <v>0</v>
      </c>
      <c r="R43" s="117">
        <v>0</v>
      </c>
      <c r="S43" s="117">
        <v>0</v>
      </c>
      <c r="T43" s="117">
        <v>0</v>
      </c>
      <c r="U43" s="117">
        <v>0</v>
      </c>
      <c r="V43" s="117">
        <v>0</v>
      </c>
      <c r="W43" s="117">
        <v>0</v>
      </c>
      <c r="X43" s="117">
        <v>0</v>
      </c>
      <c r="Y43" s="117">
        <v>0</v>
      </c>
    </row>
    <row r="44" spans="1:25" x14ac:dyDescent="0.3">
      <c r="A44" s="10" t="s">
        <v>818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</v>
      </c>
      <c r="O44" s="117">
        <v>0</v>
      </c>
      <c r="P44" s="117">
        <v>0</v>
      </c>
      <c r="Q44" s="117">
        <v>0</v>
      </c>
      <c r="R44" s="117">
        <v>0</v>
      </c>
      <c r="S44" s="117">
        <v>0</v>
      </c>
      <c r="T44" s="117">
        <v>0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</row>
    <row r="45" spans="1:25" x14ac:dyDescent="0.3">
      <c r="A45" s="10" t="s">
        <v>969</v>
      </c>
      <c r="B45" s="117">
        <v>0</v>
      </c>
      <c r="C45" s="117">
        <v>0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</v>
      </c>
      <c r="L45" s="117">
        <v>19.673999999999999</v>
      </c>
      <c r="M45" s="117">
        <v>0</v>
      </c>
      <c r="N45" s="117">
        <v>0</v>
      </c>
      <c r="O45" s="117">
        <v>0</v>
      </c>
      <c r="P45" s="117">
        <v>0</v>
      </c>
      <c r="Q45" s="117">
        <v>0</v>
      </c>
      <c r="R45" s="117">
        <v>0</v>
      </c>
      <c r="S45" s="117">
        <v>0</v>
      </c>
      <c r="T45" s="117">
        <v>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</row>
    <row r="46" spans="1:25" x14ac:dyDescent="0.3">
      <c r="A46" s="10" t="s">
        <v>906</v>
      </c>
      <c r="B46" s="117">
        <v>0</v>
      </c>
      <c r="C46" s="117">
        <v>0</v>
      </c>
      <c r="D46" s="117">
        <v>0</v>
      </c>
      <c r="E46" s="117">
        <v>0</v>
      </c>
      <c r="F46" s="117">
        <v>14.18</v>
      </c>
      <c r="G46" s="117">
        <v>19.02</v>
      </c>
      <c r="H46" s="117">
        <v>0.67</v>
      </c>
      <c r="I46" s="117">
        <v>32.83</v>
      </c>
      <c r="J46" s="117">
        <v>19.13</v>
      </c>
      <c r="K46" s="117">
        <v>0</v>
      </c>
      <c r="L46" s="117">
        <v>0</v>
      </c>
      <c r="M46" s="117">
        <v>0</v>
      </c>
      <c r="N46" s="117">
        <v>0</v>
      </c>
      <c r="O46" s="117">
        <v>0</v>
      </c>
      <c r="P46" s="117">
        <v>0</v>
      </c>
      <c r="Q46" s="117">
        <v>0</v>
      </c>
      <c r="R46" s="117">
        <v>19.63</v>
      </c>
      <c r="S46" s="117">
        <v>0</v>
      </c>
      <c r="T46" s="117">
        <v>0.52</v>
      </c>
      <c r="U46" s="117">
        <v>8.27</v>
      </c>
      <c r="V46" s="117">
        <v>27.46</v>
      </c>
      <c r="W46" s="117">
        <v>28.830000000000002</v>
      </c>
      <c r="X46" s="117">
        <v>1.52</v>
      </c>
      <c r="Y46" s="117">
        <v>26.97</v>
      </c>
    </row>
    <row r="47" spans="1:25" x14ac:dyDescent="0.3">
      <c r="A47" s="10" t="s">
        <v>934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</row>
    <row r="48" spans="1:25" x14ac:dyDescent="0.3">
      <c r="A48" s="10" t="s">
        <v>932</v>
      </c>
      <c r="B48" s="117">
        <v>9.7099999999999991</v>
      </c>
      <c r="C48" s="117">
        <v>0</v>
      </c>
      <c r="D48" s="117">
        <v>0</v>
      </c>
      <c r="E48" s="117">
        <v>0</v>
      </c>
      <c r="F48" s="117">
        <v>0</v>
      </c>
      <c r="G48" s="117">
        <v>8.6940000000000008</v>
      </c>
      <c r="H48" s="117">
        <v>8.0470000000000006</v>
      </c>
      <c r="I48" s="117">
        <v>0</v>
      </c>
      <c r="J48" s="117">
        <v>7.7320000000000002</v>
      </c>
      <c r="K48" s="117">
        <v>0</v>
      </c>
      <c r="L48" s="117">
        <v>0</v>
      </c>
      <c r="M48" s="117">
        <v>0</v>
      </c>
      <c r="N48" s="117">
        <v>5.9450000000000003</v>
      </c>
      <c r="O48" s="117">
        <v>4.7379999999999995</v>
      </c>
      <c r="P48" s="117">
        <v>0</v>
      </c>
      <c r="Q48" s="117">
        <v>10.606999999999999</v>
      </c>
      <c r="R48" s="117">
        <v>0</v>
      </c>
      <c r="S48" s="117">
        <v>0</v>
      </c>
      <c r="T48" s="117">
        <v>0</v>
      </c>
      <c r="U48" s="117">
        <v>5.28</v>
      </c>
      <c r="V48" s="117">
        <v>3.2810000000000001</v>
      </c>
      <c r="W48" s="117">
        <v>7.6669999999999998</v>
      </c>
      <c r="X48" s="117">
        <v>0</v>
      </c>
      <c r="Y48" s="117">
        <v>0</v>
      </c>
    </row>
    <row r="49" spans="1:25" x14ac:dyDescent="0.3">
      <c r="A49" s="10" t="s">
        <v>841</v>
      </c>
      <c r="B49" s="117">
        <v>11.935</v>
      </c>
      <c r="C49" s="117">
        <v>6.577</v>
      </c>
      <c r="D49" s="117">
        <v>0</v>
      </c>
      <c r="E49" s="117">
        <v>0</v>
      </c>
      <c r="F49" s="117">
        <v>11.24</v>
      </c>
      <c r="G49" s="117">
        <v>11.189</v>
      </c>
      <c r="H49" s="117">
        <v>10.561</v>
      </c>
      <c r="I49" s="117">
        <v>8.1940000000000008</v>
      </c>
      <c r="J49" s="117">
        <v>7.6470000000000002</v>
      </c>
      <c r="K49" s="117">
        <v>0</v>
      </c>
      <c r="L49" s="117">
        <v>0</v>
      </c>
      <c r="M49" s="117">
        <v>0</v>
      </c>
      <c r="N49" s="117">
        <v>10.748000000000001</v>
      </c>
      <c r="O49" s="117">
        <v>6.9909999999999997</v>
      </c>
      <c r="P49" s="117">
        <v>8.7919999999999998</v>
      </c>
      <c r="Q49" s="117">
        <v>8.0730000000000004</v>
      </c>
      <c r="R49" s="117">
        <v>0</v>
      </c>
      <c r="S49" s="117">
        <v>0</v>
      </c>
      <c r="T49" s="117">
        <v>11.449000000000002</v>
      </c>
      <c r="U49" s="117">
        <v>8.3859999999999992</v>
      </c>
      <c r="V49" s="117">
        <v>0</v>
      </c>
      <c r="W49" s="117">
        <v>15.753</v>
      </c>
      <c r="X49" s="117">
        <v>8.9570000000000007</v>
      </c>
      <c r="Y49" s="117">
        <v>0</v>
      </c>
    </row>
    <row r="50" spans="1:25" x14ac:dyDescent="0.3">
      <c r="A50" s="10" t="s">
        <v>936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  <c r="O50" s="117">
        <v>0</v>
      </c>
      <c r="P50" s="117">
        <v>0</v>
      </c>
      <c r="Q50" s="117">
        <v>0</v>
      </c>
      <c r="R50" s="117">
        <v>0</v>
      </c>
      <c r="S50" s="117">
        <v>0</v>
      </c>
      <c r="T50" s="117">
        <v>0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</row>
    <row r="51" spans="1:25" x14ac:dyDescent="0.3">
      <c r="A51" s="10" t="s">
        <v>930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  <c r="O51" s="117">
        <v>0</v>
      </c>
      <c r="P51" s="117">
        <v>0</v>
      </c>
      <c r="Q51" s="117">
        <v>0</v>
      </c>
      <c r="R51" s="117">
        <v>0</v>
      </c>
      <c r="S51" s="117">
        <v>0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</row>
    <row r="52" spans="1:25" x14ac:dyDescent="0.3">
      <c r="A52" s="10" t="s">
        <v>929</v>
      </c>
      <c r="B52" s="117">
        <v>20.669</v>
      </c>
      <c r="C52" s="117">
        <v>4.2190000000000003</v>
      </c>
      <c r="D52" s="117">
        <v>13.279</v>
      </c>
      <c r="E52" s="117">
        <v>22.811</v>
      </c>
      <c r="F52" s="117">
        <v>6.6529999999999996</v>
      </c>
      <c r="G52" s="117">
        <v>18.937000000000001</v>
      </c>
      <c r="H52" s="117">
        <v>25.786999999999999</v>
      </c>
      <c r="I52" s="117">
        <v>5.0190000000000001</v>
      </c>
      <c r="J52" s="117">
        <v>11.16</v>
      </c>
      <c r="K52" s="117">
        <v>15.416</v>
      </c>
      <c r="L52" s="117">
        <v>10.832000000000001</v>
      </c>
      <c r="M52" s="117">
        <v>0.16300000000000001</v>
      </c>
      <c r="N52" s="117">
        <v>13.494</v>
      </c>
      <c r="O52" s="117">
        <v>19.715</v>
      </c>
      <c r="P52" s="117">
        <v>4.8689999999999998</v>
      </c>
      <c r="Q52" s="117">
        <v>18.231000000000002</v>
      </c>
      <c r="R52" s="117">
        <v>10.89</v>
      </c>
      <c r="S52" s="117">
        <v>21.749000000000002</v>
      </c>
      <c r="T52" s="117">
        <v>3.681</v>
      </c>
      <c r="U52" s="117">
        <v>7.7510000000000003</v>
      </c>
      <c r="V52" s="117">
        <v>15.457000000000001</v>
      </c>
      <c r="W52" s="117">
        <v>11.811999999999999</v>
      </c>
      <c r="X52" s="117">
        <v>24.514000000000003</v>
      </c>
      <c r="Y52" s="117">
        <v>22.335000000000001</v>
      </c>
    </row>
    <row r="53" spans="1:25" x14ac:dyDescent="0.3">
      <c r="A53" s="10" t="s">
        <v>931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0</v>
      </c>
      <c r="Q53" s="117">
        <v>0</v>
      </c>
      <c r="R53" s="117">
        <v>0</v>
      </c>
      <c r="S53" s="117">
        <v>0</v>
      </c>
      <c r="T53" s="117">
        <v>0</v>
      </c>
      <c r="U53" s="117">
        <v>0</v>
      </c>
      <c r="V53" s="117">
        <v>0</v>
      </c>
      <c r="W53" s="117">
        <v>0</v>
      </c>
      <c r="X53" s="117">
        <v>0</v>
      </c>
      <c r="Y53" s="117">
        <v>0</v>
      </c>
    </row>
    <row r="54" spans="1:25" x14ac:dyDescent="0.3">
      <c r="A54" s="10" t="s">
        <v>928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  <c r="O54" s="117">
        <v>0</v>
      </c>
      <c r="P54" s="117">
        <v>0</v>
      </c>
      <c r="Q54" s="117">
        <v>0</v>
      </c>
      <c r="R54" s="117">
        <v>0</v>
      </c>
      <c r="S54" s="117">
        <v>0</v>
      </c>
      <c r="T54" s="117">
        <v>0</v>
      </c>
      <c r="U54" s="117">
        <v>0</v>
      </c>
      <c r="V54" s="117">
        <v>0</v>
      </c>
      <c r="W54" s="117">
        <v>0</v>
      </c>
      <c r="X54" s="117">
        <v>0</v>
      </c>
      <c r="Y54" s="117">
        <v>0</v>
      </c>
    </row>
    <row r="55" spans="1:25" x14ac:dyDescent="0.3">
      <c r="A55" s="10" t="s">
        <v>927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</row>
    <row r="56" spans="1:25" x14ac:dyDescent="0.3">
      <c r="A56" s="10" t="s">
        <v>926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  <c r="O56" s="117">
        <v>0</v>
      </c>
      <c r="P56" s="117">
        <v>0</v>
      </c>
      <c r="Q56" s="117">
        <v>0</v>
      </c>
      <c r="R56" s="117">
        <v>0</v>
      </c>
      <c r="S56" s="117">
        <v>0</v>
      </c>
      <c r="T56" s="117">
        <v>0</v>
      </c>
      <c r="U56" s="117">
        <v>0</v>
      </c>
      <c r="V56" s="117">
        <v>0</v>
      </c>
      <c r="W56" s="117">
        <v>0</v>
      </c>
      <c r="X56" s="117">
        <v>0</v>
      </c>
      <c r="Y56" s="117">
        <v>0</v>
      </c>
    </row>
    <row r="57" spans="1:25" x14ac:dyDescent="0.3">
      <c r="A57" s="10" t="s">
        <v>734</v>
      </c>
      <c r="B57" s="117">
        <v>8.6170000000000009</v>
      </c>
      <c r="C57" s="117">
        <v>16.578999999999997</v>
      </c>
      <c r="D57" s="117">
        <v>9.2099999999999991</v>
      </c>
      <c r="E57" s="117">
        <v>4.2759999999999998</v>
      </c>
      <c r="F57" s="117">
        <v>0</v>
      </c>
      <c r="G57" s="117">
        <v>7.25</v>
      </c>
      <c r="H57" s="117">
        <v>7.2190000000000003</v>
      </c>
      <c r="I57" s="117">
        <v>6.8890000000000002</v>
      </c>
      <c r="J57" s="117">
        <v>0</v>
      </c>
      <c r="K57" s="117">
        <v>8.6790000000000003</v>
      </c>
      <c r="L57" s="117">
        <v>1.762</v>
      </c>
      <c r="M57" s="117">
        <v>1.095</v>
      </c>
      <c r="N57" s="117">
        <v>7.59</v>
      </c>
      <c r="O57" s="117">
        <v>10.353</v>
      </c>
      <c r="P57" s="117">
        <v>0</v>
      </c>
      <c r="Q57" s="117">
        <v>5.375</v>
      </c>
      <c r="R57" s="117">
        <v>9.9480000000000004</v>
      </c>
      <c r="S57" s="117">
        <v>18.094000000000001</v>
      </c>
      <c r="T57" s="117">
        <v>13.718000000000002</v>
      </c>
      <c r="U57" s="117">
        <v>3.5049999999999999</v>
      </c>
      <c r="V57" s="117">
        <v>8.8840000000000003</v>
      </c>
      <c r="W57" s="117">
        <v>15.300000000000002</v>
      </c>
      <c r="X57" s="117">
        <v>11.243</v>
      </c>
      <c r="Y57" s="117">
        <v>29.156999999999996</v>
      </c>
    </row>
    <row r="58" spans="1:25" x14ac:dyDescent="0.3">
      <c r="A58" s="10" t="s">
        <v>917</v>
      </c>
      <c r="B58" s="117">
        <v>0</v>
      </c>
      <c r="C58" s="117">
        <v>2.11</v>
      </c>
      <c r="D58" s="117">
        <v>3.9499999999999997</v>
      </c>
      <c r="E58" s="117">
        <v>0</v>
      </c>
      <c r="F58" s="117">
        <v>16.45</v>
      </c>
      <c r="G58" s="117">
        <v>14.01</v>
      </c>
      <c r="H58" s="117">
        <v>0.26</v>
      </c>
      <c r="I58" s="117">
        <v>20.059999999999999</v>
      </c>
      <c r="J58" s="117">
        <v>0</v>
      </c>
      <c r="K58" s="117">
        <v>14.34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</v>
      </c>
      <c r="S58" s="117">
        <v>17.899999999999999</v>
      </c>
      <c r="T58" s="117">
        <v>0</v>
      </c>
      <c r="U58" s="117">
        <v>0</v>
      </c>
      <c r="V58" s="117">
        <v>0</v>
      </c>
      <c r="W58" s="117">
        <v>15.459999999999999</v>
      </c>
      <c r="X58" s="117">
        <v>15.92</v>
      </c>
      <c r="Y58" s="117">
        <v>0.15</v>
      </c>
    </row>
    <row r="59" spans="1:25" x14ac:dyDescent="0.3">
      <c r="A59" s="10" t="s">
        <v>958</v>
      </c>
      <c r="B59" s="117">
        <v>0</v>
      </c>
      <c r="C59" s="117">
        <v>0</v>
      </c>
      <c r="D59" s="117">
        <v>8.9529999999999994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2.8279999999999998</v>
      </c>
      <c r="O59" s="117">
        <v>0</v>
      </c>
      <c r="P59" s="117">
        <v>0</v>
      </c>
      <c r="Q59" s="117">
        <v>0</v>
      </c>
      <c r="R59" s="117">
        <v>0</v>
      </c>
      <c r="S59" s="117">
        <v>0</v>
      </c>
      <c r="T59" s="117">
        <v>0</v>
      </c>
      <c r="U59" s="117">
        <v>0</v>
      </c>
      <c r="V59" s="117">
        <v>3.367</v>
      </c>
      <c r="W59" s="117">
        <v>0</v>
      </c>
      <c r="X59" s="117">
        <v>0</v>
      </c>
      <c r="Y59" s="117">
        <v>0</v>
      </c>
    </row>
    <row r="60" spans="1:25" x14ac:dyDescent="0.3">
      <c r="A60" s="10" t="s">
        <v>811</v>
      </c>
      <c r="B60" s="117">
        <v>5.9980000000000002</v>
      </c>
      <c r="C60" s="117">
        <v>0</v>
      </c>
      <c r="D60" s="117">
        <v>1.45</v>
      </c>
      <c r="E60" s="117">
        <v>0</v>
      </c>
      <c r="F60" s="117">
        <v>0</v>
      </c>
      <c r="G60" s="117">
        <v>0</v>
      </c>
      <c r="H60" s="117">
        <v>2.4849999999999999</v>
      </c>
      <c r="I60" s="117">
        <v>1.2270000000000001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  <c r="O60" s="117">
        <v>0</v>
      </c>
      <c r="P60" s="117">
        <v>0</v>
      </c>
      <c r="Q60" s="117">
        <v>0</v>
      </c>
      <c r="R60" s="117">
        <v>1.2729999999999999</v>
      </c>
      <c r="S60" s="117">
        <v>0</v>
      </c>
      <c r="T60" s="117">
        <v>0</v>
      </c>
      <c r="U60" s="117">
        <v>0</v>
      </c>
      <c r="V60" s="117">
        <v>6.2759999999999998</v>
      </c>
      <c r="W60" s="117">
        <v>0</v>
      </c>
      <c r="X60" s="117">
        <v>7.2030000000000003</v>
      </c>
      <c r="Y60" s="117">
        <v>0</v>
      </c>
    </row>
    <row r="61" spans="1:25" x14ac:dyDescent="0.3">
      <c r="A61" s="10" t="s">
        <v>1078</v>
      </c>
      <c r="B61" s="117">
        <v>1.6759999999999999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0</v>
      </c>
      <c r="Q61" s="117">
        <v>0</v>
      </c>
      <c r="R61" s="117">
        <v>0</v>
      </c>
      <c r="S61" s="117">
        <v>0</v>
      </c>
      <c r="T61" s="117">
        <v>0</v>
      </c>
      <c r="U61" s="117">
        <v>0</v>
      </c>
      <c r="V61" s="117">
        <v>0</v>
      </c>
      <c r="W61" s="117">
        <v>0</v>
      </c>
      <c r="X61" s="117">
        <v>0</v>
      </c>
      <c r="Y61" s="117">
        <v>0</v>
      </c>
    </row>
    <row r="62" spans="1:25" x14ac:dyDescent="0.3">
      <c r="A62" s="10" t="s">
        <v>735</v>
      </c>
      <c r="B62" s="117">
        <v>5.5750000000000002</v>
      </c>
      <c r="C62" s="117">
        <v>9.8760000000000012</v>
      </c>
      <c r="D62" s="117">
        <v>11.091999999999999</v>
      </c>
      <c r="E62" s="117">
        <v>2.8849999999999998</v>
      </c>
      <c r="F62" s="117">
        <v>14.342000000000001</v>
      </c>
      <c r="G62" s="117">
        <v>7.2829999999999995</v>
      </c>
      <c r="H62" s="117">
        <v>20.771999999999998</v>
      </c>
      <c r="I62" s="117">
        <v>3.601</v>
      </c>
      <c r="J62" s="117">
        <v>7.7940000000000005</v>
      </c>
      <c r="K62" s="117">
        <v>8.3669999999999991</v>
      </c>
      <c r="L62" s="117">
        <v>21.282000000000004</v>
      </c>
      <c r="M62" s="117">
        <v>0</v>
      </c>
      <c r="N62" s="117">
        <v>21.052</v>
      </c>
      <c r="O62" s="117">
        <v>9.577</v>
      </c>
      <c r="P62" s="117">
        <v>3.5990000000000002</v>
      </c>
      <c r="Q62" s="117">
        <v>6.0329999999999995</v>
      </c>
      <c r="R62" s="117">
        <v>10.651</v>
      </c>
      <c r="S62" s="117">
        <v>21.378999999999998</v>
      </c>
      <c r="T62" s="117">
        <v>10.494</v>
      </c>
      <c r="U62" s="117">
        <v>3.794</v>
      </c>
      <c r="V62" s="117">
        <v>3.5950000000000002</v>
      </c>
      <c r="W62" s="117">
        <v>6.2439999999999998</v>
      </c>
      <c r="X62" s="117">
        <v>15.163</v>
      </c>
      <c r="Y62" s="117">
        <v>38.507000000000005</v>
      </c>
    </row>
    <row r="63" spans="1:25" x14ac:dyDescent="0.3">
      <c r="A63" s="10" t="s">
        <v>918</v>
      </c>
      <c r="B63" s="117">
        <v>0</v>
      </c>
      <c r="C63" s="117">
        <v>1.766</v>
      </c>
      <c r="D63" s="117">
        <v>0</v>
      </c>
      <c r="E63" s="117">
        <v>36.822000000000003</v>
      </c>
      <c r="F63" s="117">
        <v>27.204000000000001</v>
      </c>
      <c r="G63" s="117">
        <v>0</v>
      </c>
      <c r="H63" s="117">
        <v>2.2719999999999998</v>
      </c>
      <c r="I63" s="117">
        <v>30.192</v>
      </c>
      <c r="J63" s="117">
        <v>5.4860000000000007</v>
      </c>
      <c r="K63" s="117">
        <v>12.234999999999999</v>
      </c>
      <c r="L63" s="117">
        <v>8.0259999999999998</v>
      </c>
      <c r="M63" s="117">
        <v>49.497</v>
      </c>
      <c r="N63" s="117">
        <v>68.977000000000004</v>
      </c>
      <c r="O63" s="117">
        <v>57.442</v>
      </c>
      <c r="P63" s="117">
        <v>10.865</v>
      </c>
      <c r="Q63" s="117">
        <v>29.280999999999999</v>
      </c>
      <c r="R63" s="117">
        <v>38.025999999999996</v>
      </c>
      <c r="S63" s="117">
        <v>32.265999999999998</v>
      </c>
      <c r="T63" s="117">
        <v>4.9210000000000003</v>
      </c>
      <c r="U63" s="117">
        <v>44.475000000000001</v>
      </c>
      <c r="V63" s="117">
        <v>0</v>
      </c>
      <c r="W63" s="117">
        <v>9.4429999999999996</v>
      </c>
      <c r="X63" s="117">
        <v>10.345000000000001</v>
      </c>
      <c r="Y63" s="117">
        <v>30.281999999999996</v>
      </c>
    </row>
    <row r="64" spans="1:25" x14ac:dyDescent="0.3">
      <c r="A64" s="10" t="s">
        <v>736</v>
      </c>
      <c r="B64" s="117">
        <v>0</v>
      </c>
      <c r="C64" s="117">
        <v>0.88700000000000001</v>
      </c>
      <c r="D64" s="117">
        <v>0</v>
      </c>
      <c r="E64" s="117">
        <v>0</v>
      </c>
      <c r="F64" s="117">
        <v>0</v>
      </c>
      <c r="G64" s="117">
        <v>0</v>
      </c>
      <c r="H64" s="117">
        <v>2.673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2.6190000000000002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2.4140000000000001</v>
      </c>
      <c r="X64" s="117">
        <v>0</v>
      </c>
      <c r="Y64" s="117">
        <v>0</v>
      </c>
    </row>
    <row r="65" spans="1:25" x14ac:dyDescent="0.3">
      <c r="A65" s="10" t="s">
        <v>780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</row>
    <row r="66" spans="1:25" x14ac:dyDescent="0.3">
      <c r="A66" s="10" t="s">
        <v>856</v>
      </c>
      <c r="B66" s="117">
        <v>0</v>
      </c>
      <c r="C66" s="117">
        <v>0</v>
      </c>
      <c r="D66" s="117">
        <v>0</v>
      </c>
      <c r="E66" s="117">
        <v>0</v>
      </c>
      <c r="F66" s="117">
        <v>0</v>
      </c>
      <c r="G66" s="117">
        <v>0</v>
      </c>
      <c r="H66" s="117">
        <v>0</v>
      </c>
      <c r="I66" s="117">
        <v>0</v>
      </c>
      <c r="J66" s="117">
        <v>0</v>
      </c>
      <c r="K66" s="117">
        <v>0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0</v>
      </c>
      <c r="W66" s="117">
        <v>0</v>
      </c>
      <c r="X66" s="117">
        <v>0</v>
      </c>
      <c r="Y66" s="117">
        <v>0</v>
      </c>
    </row>
    <row r="67" spans="1:25" x14ac:dyDescent="0.3">
      <c r="A67" s="10" t="s">
        <v>933</v>
      </c>
      <c r="B67" s="117">
        <v>0</v>
      </c>
      <c r="C67" s="117">
        <v>0</v>
      </c>
      <c r="D67" s="117">
        <v>0</v>
      </c>
      <c r="E67" s="117">
        <v>0</v>
      </c>
      <c r="F67" s="117">
        <v>0</v>
      </c>
      <c r="G67" s="117">
        <v>0</v>
      </c>
      <c r="H67" s="117">
        <v>0</v>
      </c>
      <c r="I67" s="117">
        <v>0</v>
      </c>
      <c r="J67" s="117">
        <v>0</v>
      </c>
      <c r="K67" s="117">
        <v>0</v>
      </c>
      <c r="L67" s="117">
        <v>0</v>
      </c>
      <c r="M67" s="117">
        <v>0</v>
      </c>
      <c r="N67" s="117">
        <v>0</v>
      </c>
      <c r="O67" s="117">
        <v>0</v>
      </c>
      <c r="P67" s="117">
        <v>0</v>
      </c>
      <c r="Q67" s="117">
        <v>0</v>
      </c>
      <c r="R67" s="117">
        <v>0</v>
      </c>
      <c r="S67" s="117">
        <v>0</v>
      </c>
      <c r="T67" s="117">
        <v>0</v>
      </c>
      <c r="U67" s="117">
        <v>0</v>
      </c>
      <c r="V67" s="117">
        <v>0</v>
      </c>
      <c r="W67" s="117">
        <v>0</v>
      </c>
      <c r="X67" s="117">
        <v>0</v>
      </c>
      <c r="Y67" s="117">
        <v>0</v>
      </c>
    </row>
    <row r="68" spans="1:25" x14ac:dyDescent="0.3">
      <c r="A68" s="10" t="s">
        <v>991</v>
      </c>
      <c r="B68" s="117">
        <v>0</v>
      </c>
      <c r="C68" s="117">
        <v>2.2839999999999998</v>
      </c>
      <c r="D68" s="117">
        <v>5.4770000000000003</v>
      </c>
      <c r="E68" s="117">
        <v>0</v>
      </c>
      <c r="F68" s="117">
        <v>0</v>
      </c>
      <c r="G68" s="117">
        <v>0</v>
      </c>
      <c r="H68" s="117">
        <v>0</v>
      </c>
      <c r="I68" s="117">
        <v>0</v>
      </c>
      <c r="J68" s="117">
        <v>0</v>
      </c>
      <c r="K68" s="117">
        <v>0</v>
      </c>
      <c r="L68" s="117">
        <v>5.2839999999999998</v>
      </c>
      <c r="M68" s="117">
        <v>0</v>
      </c>
      <c r="N68" s="117">
        <v>3.63</v>
      </c>
      <c r="O68" s="117">
        <v>0</v>
      </c>
      <c r="P68" s="117">
        <v>1.8160000000000001</v>
      </c>
      <c r="Q68" s="117">
        <v>7.6920000000000002</v>
      </c>
      <c r="R68" s="117">
        <v>0</v>
      </c>
      <c r="S68" s="117">
        <v>6.1199999999999992</v>
      </c>
      <c r="T68" s="117">
        <v>13.552</v>
      </c>
      <c r="U68" s="117">
        <v>5.8360000000000003</v>
      </c>
      <c r="V68" s="117">
        <v>4.3319999999999999</v>
      </c>
      <c r="W68" s="117">
        <v>0</v>
      </c>
      <c r="X68" s="117">
        <v>21.71</v>
      </c>
      <c r="Y68" s="117">
        <v>1.19</v>
      </c>
    </row>
    <row r="69" spans="1:25" x14ac:dyDescent="0.3">
      <c r="A69" s="10" t="s">
        <v>935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</row>
    <row r="70" spans="1:25" x14ac:dyDescent="0.3">
      <c r="A70" s="10" t="s">
        <v>1037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0</v>
      </c>
      <c r="K70" s="117">
        <v>0</v>
      </c>
      <c r="L70" s="117">
        <v>0</v>
      </c>
      <c r="M70" s="117">
        <v>0</v>
      </c>
      <c r="N70" s="117">
        <v>0</v>
      </c>
      <c r="O70" s="117">
        <v>0</v>
      </c>
      <c r="P70" s="117">
        <v>0</v>
      </c>
      <c r="Q70" s="117">
        <v>0</v>
      </c>
      <c r="R70" s="117">
        <v>0</v>
      </c>
      <c r="S70" s="117">
        <v>0</v>
      </c>
      <c r="T70" s="117">
        <v>0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</row>
    <row r="71" spans="1:25" x14ac:dyDescent="0.3">
      <c r="A71" s="10" t="s">
        <v>1049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0</v>
      </c>
      <c r="O71" s="117">
        <v>0</v>
      </c>
      <c r="P71" s="117">
        <v>0</v>
      </c>
      <c r="Q71" s="117">
        <v>0</v>
      </c>
      <c r="R71" s="117">
        <v>0</v>
      </c>
      <c r="S71" s="117">
        <v>0</v>
      </c>
      <c r="T71" s="117">
        <v>51.559999999999995</v>
      </c>
      <c r="U71" s="117">
        <v>30.509</v>
      </c>
      <c r="V71" s="117">
        <v>13.573</v>
      </c>
      <c r="W71" s="117">
        <v>18.465</v>
      </c>
      <c r="X71" s="117">
        <v>35.891999999999996</v>
      </c>
      <c r="Y71" s="117">
        <v>0</v>
      </c>
    </row>
    <row r="72" spans="1:25" x14ac:dyDescent="0.3">
      <c r="A72" s="10" t="s">
        <v>1045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</row>
    <row r="73" spans="1:25" x14ac:dyDescent="0.3">
      <c r="A73" s="10" t="s">
        <v>777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</v>
      </c>
      <c r="P73" s="117">
        <v>0</v>
      </c>
      <c r="Q73" s="117">
        <v>0</v>
      </c>
      <c r="R73" s="117">
        <v>0</v>
      </c>
      <c r="S73" s="117">
        <v>0</v>
      </c>
      <c r="T73" s="117">
        <v>0</v>
      </c>
      <c r="U73" s="117">
        <v>0</v>
      </c>
      <c r="V73" s="117">
        <v>0</v>
      </c>
      <c r="W73" s="117">
        <v>0</v>
      </c>
      <c r="X73" s="117">
        <v>0</v>
      </c>
      <c r="Y73" s="117">
        <v>0</v>
      </c>
    </row>
    <row r="74" spans="1:25" x14ac:dyDescent="0.3">
      <c r="A74" s="10" t="s">
        <v>956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0</v>
      </c>
      <c r="X74" s="117">
        <v>0</v>
      </c>
      <c r="Y74" s="117">
        <v>0</v>
      </c>
    </row>
    <row r="75" spans="1:25" x14ac:dyDescent="0.3">
      <c r="A75" s="10" t="s">
        <v>782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2.359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2.9750000000000001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0</v>
      </c>
    </row>
    <row r="76" spans="1:25" x14ac:dyDescent="0.3">
      <c r="A76" s="10" t="s">
        <v>803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</v>
      </c>
      <c r="Q76" s="117">
        <v>0</v>
      </c>
      <c r="R76" s="117">
        <v>0</v>
      </c>
      <c r="S76" s="117">
        <v>0</v>
      </c>
      <c r="T76" s="117">
        <v>0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</row>
    <row r="77" spans="1:25" x14ac:dyDescent="0.3">
      <c r="A77" s="10" t="s">
        <v>737</v>
      </c>
      <c r="B77" s="117">
        <v>14.356000000000002</v>
      </c>
      <c r="C77" s="117">
        <v>19.671000000000003</v>
      </c>
      <c r="D77" s="117">
        <v>0</v>
      </c>
      <c r="E77" s="117">
        <v>0</v>
      </c>
      <c r="F77" s="117">
        <v>16.201000000000001</v>
      </c>
      <c r="G77" s="117">
        <v>12.122</v>
      </c>
      <c r="H77" s="117">
        <v>19.182999999999996</v>
      </c>
      <c r="I77" s="117">
        <v>15.911999999999999</v>
      </c>
      <c r="J77" s="117">
        <v>25.684999999999999</v>
      </c>
      <c r="K77" s="117">
        <v>0.02</v>
      </c>
      <c r="L77" s="117">
        <v>0</v>
      </c>
      <c r="M77" s="117">
        <v>0</v>
      </c>
      <c r="N77" s="117">
        <v>26.119999999999997</v>
      </c>
      <c r="O77" s="117">
        <v>1.4159999999999999</v>
      </c>
      <c r="P77" s="117">
        <v>6.1660000000000004</v>
      </c>
      <c r="Q77" s="117">
        <v>11.032</v>
      </c>
      <c r="R77" s="117">
        <v>0</v>
      </c>
      <c r="S77" s="117">
        <v>0</v>
      </c>
      <c r="T77" s="117">
        <v>3.8849999999999998</v>
      </c>
      <c r="U77" s="117">
        <v>15.521999999999998</v>
      </c>
      <c r="V77" s="117">
        <v>34.828000000000003</v>
      </c>
      <c r="W77" s="117">
        <v>4.125</v>
      </c>
      <c r="X77" s="117">
        <v>15.279</v>
      </c>
      <c r="Y77" s="117">
        <v>0</v>
      </c>
    </row>
    <row r="78" spans="1:25" x14ac:dyDescent="0.3">
      <c r="A78" s="10" t="s">
        <v>1007</v>
      </c>
      <c r="B78" s="117">
        <v>0</v>
      </c>
      <c r="C78" s="117">
        <v>0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</row>
    <row r="79" spans="1:25" x14ac:dyDescent="0.3">
      <c r="A79" s="10" t="s">
        <v>781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</v>
      </c>
      <c r="X79" s="117">
        <v>0</v>
      </c>
      <c r="Y79" s="117">
        <v>0</v>
      </c>
    </row>
    <row r="80" spans="1:25" x14ac:dyDescent="0.3">
      <c r="A80" s="10" t="s">
        <v>94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  <c r="O80" s="117">
        <v>0</v>
      </c>
      <c r="P80" s="117">
        <v>0</v>
      </c>
      <c r="Q80" s="117">
        <v>0</v>
      </c>
      <c r="R80" s="117">
        <v>0</v>
      </c>
      <c r="S80" s="117">
        <v>0</v>
      </c>
      <c r="T80" s="117">
        <v>0</v>
      </c>
      <c r="U80" s="117">
        <v>0</v>
      </c>
      <c r="V80" s="117">
        <v>0</v>
      </c>
      <c r="W80" s="117">
        <v>0</v>
      </c>
      <c r="X80" s="117">
        <v>0</v>
      </c>
      <c r="Y80" s="117">
        <v>0</v>
      </c>
    </row>
    <row r="81" spans="1:25" x14ac:dyDescent="0.3">
      <c r="A81" s="10" t="s">
        <v>117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  <c r="O81" s="117">
        <v>0</v>
      </c>
      <c r="P81" s="117">
        <v>0</v>
      </c>
      <c r="Q81" s="117">
        <v>0</v>
      </c>
      <c r="R81" s="117">
        <v>0</v>
      </c>
      <c r="S81" s="117">
        <v>0</v>
      </c>
      <c r="T81" s="117">
        <v>0</v>
      </c>
      <c r="U81" s="117">
        <v>0</v>
      </c>
      <c r="V81" s="117">
        <v>0</v>
      </c>
      <c r="W81" s="117">
        <v>0</v>
      </c>
      <c r="X81" s="117">
        <v>0</v>
      </c>
      <c r="Y81" s="117">
        <v>0</v>
      </c>
    </row>
    <row r="82" spans="1:25" x14ac:dyDescent="0.3">
      <c r="A82" s="10" t="s">
        <v>115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  <c r="O82" s="117">
        <v>0</v>
      </c>
      <c r="P82" s="117">
        <v>0</v>
      </c>
      <c r="Q82" s="117">
        <v>0</v>
      </c>
      <c r="R82" s="117">
        <v>0</v>
      </c>
      <c r="S82" s="117">
        <v>0</v>
      </c>
      <c r="T82" s="117">
        <v>0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</row>
    <row r="83" spans="1:25" x14ac:dyDescent="0.3">
      <c r="A83" s="10" t="s">
        <v>122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  <c r="O83" s="117">
        <v>0</v>
      </c>
      <c r="P83" s="117">
        <v>0</v>
      </c>
      <c r="Q83" s="117">
        <v>0</v>
      </c>
      <c r="R83" s="117">
        <v>0</v>
      </c>
      <c r="S83" s="117">
        <v>0</v>
      </c>
      <c r="T83" s="117">
        <v>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</row>
    <row r="84" spans="1:25" x14ac:dyDescent="0.3">
      <c r="A84" s="10" t="s">
        <v>1070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  <c r="O84" s="117">
        <v>0</v>
      </c>
      <c r="P84" s="117">
        <v>0</v>
      </c>
      <c r="Q84" s="117">
        <v>0</v>
      </c>
      <c r="R84" s="117">
        <v>0</v>
      </c>
      <c r="S84" s="117">
        <v>0</v>
      </c>
      <c r="T84" s="117">
        <v>1.24</v>
      </c>
      <c r="U84" s="117">
        <v>0</v>
      </c>
      <c r="V84" s="117">
        <v>0</v>
      </c>
      <c r="W84" s="117">
        <v>5.2690000000000001</v>
      </c>
      <c r="X84" s="117">
        <v>0</v>
      </c>
      <c r="Y84" s="117">
        <v>4.63</v>
      </c>
    </row>
    <row r="85" spans="1:25" x14ac:dyDescent="0.3">
      <c r="A85" s="10" t="s">
        <v>739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  <c r="O85" s="117">
        <v>0</v>
      </c>
      <c r="P85" s="117">
        <v>0</v>
      </c>
      <c r="Q85" s="117">
        <v>0</v>
      </c>
      <c r="R85" s="117">
        <v>0</v>
      </c>
      <c r="S85" s="117">
        <v>0</v>
      </c>
      <c r="T85" s="117">
        <v>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</row>
    <row r="86" spans="1:25" x14ac:dyDescent="0.3">
      <c r="A86" s="10" t="s">
        <v>740</v>
      </c>
      <c r="B86" s="117">
        <v>133.92000000000004</v>
      </c>
      <c r="C86" s="117">
        <v>178.86799999999997</v>
      </c>
      <c r="D86" s="117">
        <v>209.69400000000005</v>
      </c>
      <c r="E86" s="117">
        <v>123.57900000000001</v>
      </c>
      <c r="F86" s="117">
        <v>203.26199999999997</v>
      </c>
      <c r="G86" s="117">
        <v>181.24100000000007</v>
      </c>
      <c r="H86" s="117">
        <v>183.39600000000002</v>
      </c>
      <c r="I86" s="117">
        <v>199.73500000000001</v>
      </c>
      <c r="J86" s="117">
        <v>148.768</v>
      </c>
      <c r="K86" s="117">
        <v>159.077</v>
      </c>
      <c r="L86" s="117">
        <v>138.22199999999998</v>
      </c>
      <c r="M86" s="117">
        <v>136.76400000000001</v>
      </c>
      <c r="N86" s="117">
        <v>157.767</v>
      </c>
      <c r="O86" s="117">
        <v>141.465</v>
      </c>
      <c r="P86" s="117">
        <v>139.14600000000002</v>
      </c>
      <c r="Q86" s="117">
        <v>138.89600000000004</v>
      </c>
      <c r="R86" s="117">
        <v>168.435</v>
      </c>
      <c r="S86" s="117">
        <v>142.66</v>
      </c>
      <c r="T86" s="117">
        <v>111.50699999999999</v>
      </c>
      <c r="U86" s="117">
        <v>137.60100000000003</v>
      </c>
      <c r="V86" s="117">
        <v>126.154</v>
      </c>
      <c r="W86" s="117">
        <v>125.074</v>
      </c>
      <c r="X86" s="117">
        <v>132.33599999999998</v>
      </c>
      <c r="Y86" s="117">
        <v>352.34299999999973</v>
      </c>
    </row>
    <row r="87" spans="1:25" x14ac:dyDescent="0.3">
      <c r="A87" s="10" t="s">
        <v>741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  <c r="O87" s="117">
        <v>0</v>
      </c>
      <c r="P87" s="117">
        <v>0</v>
      </c>
      <c r="Q87" s="117">
        <v>0</v>
      </c>
      <c r="R87" s="117">
        <v>0</v>
      </c>
      <c r="S87" s="117">
        <v>0</v>
      </c>
      <c r="T87" s="117">
        <v>0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</row>
    <row r="88" spans="1:25" x14ac:dyDescent="0.3">
      <c r="A88" s="10" t="s">
        <v>1072</v>
      </c>
      <c r="B88" s="117">
        <v>0</v>
      </c>
      <c r="C88" s="117">
        <v>0.11899999999999999</v>
      </c>
      <c r="D88" s="117">
        <v>0</v>
      </c>
      <c r="E88" s="117">
        <v>0.996</v>
      </c>
      <c r="F88" s="117">
        <v>5.6550000000000002</v>
      </c>
      <c r="G88" s="117">
        <v>0</v>
      </c>
      <c r="H88" s="117">
        <v>0</v>
      </c>
      <c r="I88" s="117">
        <v>1.3029999999999999</v>
      </c>
      <c r="J88" s="117">
        <v>0</v>
      </c>
      <c r="K88" s="117">
        <v>0</v>
      </c>
      <c r="L88" s="117">
        <v>0</v>
      </c>
      <c r="M88" s="117">
        <v>4.9359999999999999</v>
      </c>
      <c r="N88" s="117">
        <v>1.226</v>
      </c>
      <c r="O88" s="117">
        <v>2.6909999999999998</v>
      </c>
      <c r="P88" s="117">
        <v>0</v>
      </c>
      <c r="Q88" s="117">
        <v>4.194</v>
      </c>
      <c r="R88" s="117">
        <v>14.737</v>
      </c>
      <c r="S88" s="117">
        <v>0</v>
      </c>
      <c r="T88" s="117">
        <v>2.0070000000000001</v>
      </c>
      <c r="U88" s="117">
        <v>3.7750000000000004</v>
      </c>
      <c r="V88" s="117">
        <v>0</v>
      </c>
      <c r="W88" s="117">
        <v>0</v>
      </c>
      <c r="X88" s="117">
        <v>0</v>
      </c>
      <c r="Y88" s="117">
        <v>8.0670000000000002</v>
      </c>
    </row>
    <row r="89" spans="1:25" x14ac:dyDescent="0.3">
      <c r="A89" s="10" t="s">
        <v>1063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2.9779999999999998</v>
      </c>
      <c r="H89" s="117">
        <v>0</v>
      </c>
      <c r="I89" s="117">
        <v>0</v>
      </c>
      <c r="J89" s="117">
        <v>0.156</v>
      </c>
      <c r="K89" s="117">
        <v>0</v>
      </c>
      <c r="L89" s="117">
        <v>0</v>
      </c>
      <c r="M89" s="117">
        <v>0</v>
      </c>
      <c r="N89" s="117">
        <v>0</v>
      </c>
      <c r="O89" s="117">
        <v>8.7999999999999995E-2</v>
      </c>
      <c r="P89" s="117">
        <v>0</v>
      </c>
      <c r="Q89" s="117">
        <v>0</v>
      </c>
      <c r="R89" s="117">
        <v>0</v>
      </c>
      <c r="S89" s="117">
        <v>0</v>
      </c>
      <c r="T89" s="117">
        <v>0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</row>
    <row r="90" spans="1:25" x14ac:dyDescent="0.3">
      <c r="A90" s="10" t="s">
        <v>797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  <c r="O90" s="117">
        <v>0</v>
      </c>
      <c r="P90" s="117">
        <v>0</v>
      </c>
      <c r="Q90" s="117">
        <v>0</v>
      </c>
      <c r="R90" s="117">
        <v>0</v>
      </c>
      <c r="S90" s="117">
        <v>0</v>
      </c>
      <c r="T90" s="117">
        <v>0</v>
      </c>
      <c r="U90" s="117">
        <v>0</v>
      </c>
      <c r="V90" s="117">
        <v>0</v>
      </c>
      <c r="W90" s="117">
        <v>0</v>
      </c>
      <c r="X90" s="117">
        <v>0</v>
      </c>
      <c r="Y90" s="117">
        <v>0</v>
      </c>
    </row>
    <row r="91" spans="1:25" x14ac:dyDescent="0.3">
      <c r="A91" s="10" t="s">
        <v>799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  <c r="O91" s="117">
        <v>0</v>
      </c>
      <c r="P91" s="117">
        <v>0</v>
      </c>
      <c r="Q91" s="117">
        <v>0</v>
      </c>
      <c r="R91" s="117">
        <v>0</v>
      </c>
      <c r="S91" s="117">
        <v>0</v>
      </c>
      <c r="T91" s="117">
        <v>0</v>
      </c>
      <c r="U91" s="117">
        <v>0</v>
      </c>
      <c r="V91" s="117">
        <v>0</v>
      </c>
      <c r="W91" s="117">
        <v>0</v>
      </c>
      <c r="X91" s="117">
        <v>0</v>
      </c>
      <c r="Y91" s="117">
        <v>0</v>
      </c>
    </row>
    <row r="92" spans="1:25" x14ac:dyDescent="0.3">
      <c r="A92" s="10" t="s">
        <v>798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  <c r="O92" s="117">
        <v>0</v>
      </c>
      <c r="P92" s="117">
        <v>0</v>
      </c>
      <c r="Q92" s="117">
        <v>0</v>
      </c>
      <c r="R92" s="117">
        <v>0</v>
      </c>
      <c r="S92" s="117">
        <v>0</v>
      </c>
      <c r="T92" s="117">
        <v>0</v>
      </c>
      <c r="U92" s="117">
        <v>0</v>
      </c>
      <c r="V92" s="117">
        <v>0</v>
      </c>
      <c r="W92" s="117">
        <v>0</v>
      </c>
      <c r="X92" s="117">
        <v>0</v>
      </c>
      <c r="Y92" s="117">
        <v>0</v>
      </c>
    </row>
    <row r="93" spans="1:25" x14ac:dyDescent="0.3">
      <c r="A93" s="10" t="s">
        <v>1076</v>
      </c>
      <c r="B93" s="117">
        <v>0</v>
      </c>
      <c r="C93" s="117">
        <v>5.52</v>
      </c>
      <c r="D93" s="117">
        <v>0</v>
      </c>
      <c r="E93" s="117">
        <v>0</v>
      </c>
      <c r="F93" s="117">
        <v>16.169999999999998</v>
      </c>
      <c r="G93" s="117">
        <v>0</v>
      </c>
      <c r="H93" s="117">
        <v>0</v>
      </c>
      <c r="I93" s="117">
        <v>2.2200000000000002</v>
      </c>
      <c r="J93" s="117">
        <v>12.76</v>
      </c>
      <c r="K93" s="117">
        <v>0</v>
      </c>
      <c r="L93" s="117">
        <v>0</v>
      </c>
      <c r="M93" s="117">
        <v>3.77</v>
      </c>
      <c r="N93" s="117">
        <v>25.5</v>
      </c>
      <c r="O93" s="117">
        <v>3.94</v>
      </c>
      <c r="P93" s="117">
        <v>0</v>
      </c>
      <c r="Q93" s="117">
        <v>0</v>
      </c>
      <c r="R93" s="117">
        <v>0</v>
      </c>
      <c r="S93" s="117">
        <v>3.8</v>
      </c>
      <c r="T93" s="117">
        <v>5.48</v>
      </c>
      <c r="U93" s="117">
        <v>0</v>
      </c>
      <c r="V93" s="117">
        <v>0</v>
      </c>
      <c r="W93" s="117">
        <v>0</v>
      </c>
      <c r="X93" s="117">
        <v>12.55</v>
      </c>
      <c r="Y93" s="117">
        <v>11.12</v>
      </c>
    </row>
    <row r="94" spans="1:25" x14ac:dyDescent="0.3">
      <c r="A94" s="10" t="s">
        <v>1073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8.7620000000000005</v>
      </c>
      <c r="J94" s="117">
        <v>2.044</v>
      </c>
      <c r="K94" s="117">
        <v>0</v>
      </c>
      <c r="L94" s="117">
        <v>0</v>
      </c>
      <c r="M94" s="117">
        <v>0</v>
      </c>
      <c r="N94" s="117">
        <v>0</v>
      </c>
      <c r="O94" s="117">
        <v>0</v>
      </c>
      <c r="P94" s="117">
        <v>0</v>
      </c>
      <c r="Q94" s="117">
        <v>0</v>
      </c>
      <c r="R94" s="117">
        <v>0</v>
      </c>
      <c r="S94" s="117">
        <v>0</v>
      </c>
      <c r="T94" s="117">
        <v>0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</row>
    <row r="95" spans="1:25" x14ac:dyDescent="0.3">
      <c r="A95" s="10" t="s">
        <v>1081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18.018000000000001</v>
      </c>
      <c r="O95" s="117">
        <v>0</v>
      </c>
      <c r="P95" s="117">
        <v>0</v>
      </c>
      <c r="Q95" s="117">
        <v>0</v>
      </c>
      <c r="R95" s="117">
        <v>0</v>
      </c>
      <c r="S95" s="117">
        <v>0</v>
      </c>
      <c r="T95" s="117">
        <v>0</v>
      </c>
      <c r="U95" s="117">
        <v>0</v>
      </c>
      <c r="V95" s="117">
        <v>30.242999999999999</v>
      </c>
      <c r="W95" s="117">
        <v>0.66200000000000003</v>
      </c>
      <c r="X95" s="117">
        <v>0</v>
      </c>
      <c r="Y95" s="117">
        <v>0</v>
      </c>
    </row>
    <row r="96" spans="1:25" x14ac:dyDescent="0.3">
      <c r="A96" s="10" t="s">
        <v>1074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  <c r="O96" s="117">
        <v>0</v>
      </c>
      <c r="P96" s="117">
        <v>0</v>
      </c>
      <c r="Q96" s="117">
        <v>0</v>
      </c>
      <c r="R96" s="117">
        <v>0</v>
      </c>
      <c r="S96" s="117">
        <v>0</v>
      </c>
      <c r="T96" s="117">
        <v>0</v>
      </c>
      <c r="U96" s="117">
        <v>0</v>
      </c>
      <c r="V96" s="117">
        <v>16.093</v>
      </c>
      <c r="W96" s="117">
        <v>0</v>
      </c>
      <c r="X96" s="117">
        <v>0</v>
      </c>
      <c r="Y96" s="117">
        <v>0</v>
      </c>
    </row>
    <row r="97" spans="1:25" x14ac:dyDescent="0.3">
      <c r="A97" s="10" t="s">
        <v>1079</v>
      </c>
      <c r="B97" s="117">
        <v>0</v>
      </c>
      <c r="C97" s="117">
        <v>7.05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  <c r="O97" s="117">
        <v>0</v>
      </c>
      <c r="P97" s="117">
        <v>0</v>
      </c>
      <c r="Q97" s="117">
        <v>0</v>
      </c>
      <c r="R97" s="117">
        <v>0</v>
      </c>
      <c r="S97" s="117">
        <v>0</v>
      </c>
      <c r="T97" s="117">
        <v>0</v>
      </c>
      <c r="U97" s="117">
        <v>0</v>
      </c>
      <c r="V97" s="117">
        <v>0</v>
      </c>
      <c r="W97" s="117">
        <v>0</v>
      </c>
      <c r="X97" s="117">
        <v>0</v>
      </c>
      <c r="Y97" s="117">
        <v>0</v>
      </c>
    </row>
    <row r="98" spans="1:25" x14ac:dyDescent="0.3">
      <c r="A98" s="10" t="s">
        <v>1075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2E-3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</row>
    <row r="99" spans="1:25" x14ac:dyDescent="0.3">
      <c r="A99" s="10" t="s">
        <v>946</v>
      </c>
      <c r="B99" s="117">
        <v>29.380000000000003</v>
      </c>
      <c r="C99" s="117">
        <v>18.003</v>
      </c>
      <c r="D99" s="117">
        <v>22.5</v>
      </c>
      <c r="E99" s="117">
        <v>18.047000000000001</v>
      </c>
      <c r="F99" s="117">
        <v>15.484000000000002</v>
      </c>
      <c r="G99" s="117">
        <v>21.963000000000001</v>
      </c>
      <c r="H99" s="117">
        <v>21.437999999999999</v>
      </c>
      <c r="I99" s="117">
        <v>14.328000000000001</v>
      </c>
      <c r="J99" s="117">
        <v>22.972999999999999</v>
      </c>
      <c r="K99" s="117">
        <v>7.9980000000000002</v>
      </c>
      <c r="L99" s="117">
        <v>39.129000000000005</v>
      </c>
      <c r="M99" s="117">
        <v>19.146999999999998</v>
      </c>
      <c r="N99" s="117">
        <v>36.042999999999999</v>
      </c>
      <c r="O99" s="117">
        <v>32.071999999999996</v>
      </c>
      <c r="P99" s="117">
        <v>14.173</v>
      </c>
      <c r="Q99" s="117">
        <v>0</v>
      </c>
      <c r="R99" s="117">
        <v>38.369</v>
      </c>
      <c r="S99" s="117">
        <v>18.972999999999999</v>
      </c>
      <c r="T99" s="117">
        <v>28.716999999999999</v>
      </c>
      <c r="U99" s="117">
        <v>16.721</v>
      </c>
      <c r="V99" s="117">
        <v>7.843</v>
      </c>
      <c r="W99" s="117">
        <v>17.707999999999998</v>
      </c>
      <c r="X99" s="117">
        <v>29.712000000000003</v>
      </c>
      <c r="Y99" s="117">
        <v>32.118000000000002</v>
      </c>
    </row>
    <row r="100" spans="1:25" x14ac:dyDescent="0.3">
      <c r="A100" s="10" t="s">
        <v>950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</v>
      </c>
      <c r="K100" s="117">
        <v>0</v>
      </c>
      <c r="L100" s="117">
        <v>0</v>
      </c>
      <c r="M100" s="117">
        <v>0</v>
      </c>
      <c r="N100" s="117">
        <v>0</v>
      </c>
      <c r="O100" s="117">
        <v>0</v>
      </c>
      <c r="P100" s="117">
        <v>0</v>
      </c>
      <c r="Q100" s="117">
        <v>0</v>
      </c>
      <c r="R100" s="117">
        <v>0</v>
      </c>
      <c r="S100" s="117">
        <v>0</v>
      </c>
      <c r="T100" s="117">
        <v>0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</row>
    <row r="101" spans="1:25" x14ac:dyDescent="0.3">
      <c r="A101" s="10" t="s">
        <v>810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0</v>
      </c>
      <c r="O101" s="117">
        <v>0</v>
      </c>
      <c r="P101" s="117">
        <v>0</v>
      </c>
      <c r="Q101" s="117">
        <v>0</v>
      </c>
      <c r="R101" s="117">
        <v>0</v>
      </c>
      <c r="S101" s="117">
        <v>0</v>
      </c>
      <c r="T101" s="117">
        <v>0</v>
      </c>
      <c r="U101" s="117">
        <v>0</v>
      </c>
      <c r="V101" s="117">
        <v>0</v>
      </c>
      <c r="W101" s="117">
        <v>0</v>
      </c>
      <c r="X101" s="117">
        <v>0</v>
      </c>
      <c r="Y101" s="117">
        <v>0</v>
      </c>
    </row>
    <row r="102" spans="1:25" x14ac:dyDescent="0.3">
      <c r="A102" s="10" t="s">
        <v>955</v>
      </c>
      <c r="B102" s="117">
        <v>0</v>
      </c>
      <c r="C102" s="117">
        <v>0</v>
      </c>
      <c r="D102" s="117">
        <v>0</v>
      </c>
      <c r="E102" s="117">
        <v>0</v>
      </c>
      <c r="F102" s="117">
        <v>2.6480000000000001</v>
      </c>
      <c r="G102" s="117">
        <v>2.3289999999999997</v>
      </c>
      <c r="H102" s="117">
        <v>0</v>
      </c>
      <c r="I102" s="117">
        <v>1.141</v>
      </c>
      <c r="J102" s="117">
        <v>2.3109999999999999</v>
      </c>
      <c r="K102" s="117">
        <v>1.286</v>
      </c>
      <c r="L102" s="117">
        <v>2.8940000000000001</v>
      </c>
      <c r="M102" s="117">
        <v>0</v>
      </c>
      <c r="N102" s="117">
        <v>0</v>
      </c>
      <c r="O102" s="117">
        <v>0</v>
      </c>
      <c r="P102" s="117">
        <v>0</v>
      </c>
      <c r="Q102" s="117">
        <v>0</v>
      </c>
      <c r="R102" s="117">
        <v>0</v>
      </c>
      <c r="S102" s="117">
        <v>0</v>
      </c>
      <c r="T102" s="117">
        <v>0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</row>
    <row r="103" spans="1:25" x14ac:dyDescent="0.3">
      <c r="A103" s="10" t="s">
        <v>800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</v>
      </c>
      <c r="J103" s="117">
        <v>0</v>
      </c>
      <c r="K103" s="117">
        <v>0</v>
      </c>
      <c r="L103" s="117">
        <v>0</v>
      </c>
      <c r="M103" s="117">
        <v>0</v>
      </c>
      <c r="N103" s="117">
        <v>0</v>
      </c>
      <c r="O103" s="117">
        <v>0</v>
      </c>
      <c r="P103" s="117">
        <v>0</v>
      </c>
      <c r="Q103" s="117">
        <v>0</v>
      </c>
      <c r="R103" s="117">
        <v>0</v>
      </c>
      <c r="S103" s="117">
        <v>0</v>
      </c>
      <c r="T103" s="117">
        <v>0</v>
      </c>
      <c r="U103" s="117">
        <v>0</v>
      </c>
      <c r="V103" s="117">
        <v>0</v>
      </c>
      <c r="W103" s="117">
        <v>0</v>
      </c>
      <c r="X103" s="117">
        <v>0</v>
      </c>
      <c r="Y103" s="117">
        <v>0</v>
      </c>
    </row>
    <row r="104" spans="1:25" x14ac:dyDescent="0.3">
      <c r="A104" s="10" t="s">
        <v>771</v>
      </c>
      <c r="B104" s="117">
        <v>951.43</v>
      </c>
      <c r="C104" s="117">
        <v>835.36500000000001</v>
      </c>
      <c r="D104" s="117">
        <v>959.60500000000002</v>
      </c>
      <c r="E104" s="117">
        <v>925.44499999999994</v>
      </c>
      <c r="F104" s="117">
        <v>920.68000000000006</v>
      </c>
      <c r="G104" s="117">
        <v>1070.6730000000002</v>
      </c>
      <c r="H104" s="117">
        <v>1072.8109999999999</v>
      </c>
      <c r="I104" s="117">
        <v>1052.4349999999999</v>
      </c>
      <c r="J104" s="117">
        <v>1181.0299999999997</v>
      </c>
      <c r="K104" s="117">
        <v>439.23</v>
      </c>
      <c r="L104" s="117">
        <v>752.77399999999989</v>
      </c>
      <c r="M104" s="117">
        <v>1120.4449999999999</v>
      </c>
      <c r="N104" s="117">
        <v>894.34499999999991</v>
      </c>
      <c r="O104" s="117">
        <v>1246.7389999999998</v>
      </c>
      <c r="P104" s="117">
        <v>1257.9749999999999</v>
      </c>
      <c r="Q104" s="117">
        <v>1471.1349999999998</v>
      </c>
      <c r="R104" s="117">
        <v>1299.71</v>
      </c>
      <c r="S104" s="117">
        <v>1238.04</v>
      </c>
      <c r="T104" s="117">
        <v>1501.15</v>
      </c>
      <c r="U104" s="117">
        <v>1255.0650000000001</v>
      </c>
      <c r="V104" s="117">
        <v>1138.905</v>
      </c>
      <c r="W104" s="117">
        <v>1373.075</v>
      </c>
      <c r="X104" s="117">
        <v>1450.6549999999997</v>
      </c>
      <c r="Y104" s="117">
        <v>2187.183</v>
      </c>
    </row>
    <row r="105" spans="1:25" x14ac:dyDescent="0.3">
      <c r="A105" s="10" t="s">
        <v>1061</v>
      </c>
      <c r="B105" s="117">
        <v>392.74100000000004</v>
      </c>
      <c r="C105" s="117">
        <v>397.51100000000002</v>
      </c>
      <c r="D105" s="117">
        <v>733.58699999999999</v>
      </c>
      <c r="E105" s="117">
        <v>343.31900000000007</v>
      </c>
      <c r="F105" s="117">
        <v>505.09699999999998</v>
      </c>
      <c r="G105" s="117">
        <v>627.48800000000006</v>
      </c>
      <c r="H105" s="117">
        <v>620.0680000000001</v>
      </c>
      <c r="I105" s="117">
        <v>479.61099999999999</v>
      </c>
      <c r="J105" s="117">
        <v>623.34499999999991</v>
      </c>
      <c r="K105" s="117">
        <v>1101.46</v>
      </c>
      <c r="L105" s="117">
        <v>354.97600000000006</v>
      </c>
      <c r="M105" s="117">
        <v>630.70600000000002</v>
      </c>
      <c r="N105" s="117">
        <v>907.72899999999981</v>
      </c>
      <c r="O105" s="117">
        <v>1018.078</v>
      </c>
      <c r="P105" s="117">
        <v>743.54499999999985</v>
      </c>
      <c r="Q105" s="117">
        <v>813.30400000000009</v>
      </c>
      <c r="R105" s="117">
        <v>708.41800000000001</v>
      </c>
      <c r="S105" s="117">
        <v>228.00199999999995</v>
      </c>
      <c r="T105" s="117">
        <v>601.19999999999982</v>
      </c>
      <c r="U105" s="117">
        <v>819.97100000000023</v>
      </c>
      <c r="V105" s="117">
        <v>661.82699999999988</v>
      </c>
      <c r="W105" s="117">
        <v>723.03399999999988</v>
      </c>
      <c r="X105" s="117">
        <v>606.43300000000022</v>
      </c>
      <c r="Y105" s="117">
        <v>1032.8969999999999</v>
      </c>
    </row>
    <row r="106" spans="1:25" x14ac:dyDescent="0.3">
      <c r="A106" s="10" t="s">
        <v>944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0</v>
      </c>
      <c r="O106" s="117">
        <v>0</v>
      </c>
      <c r="P106" s="117">
        <v>0</v>
      </c>
      <c r="Q106" s="117">
        <v>0</v>
      </c>
      <c r="R106" s="117">
        <v>0</v>
      </c>
      <c r="S106" s="117">
        <v>0</v>
      </c>
      <c r="T106" s="117">
        <v>0</v>
      </c>
      <c r="U106" s="117">
        <v>0</v>
      </c>
      <c r="V106" s="117">
        <v>0</v>
      </c>
      <c r="W106" s="117">
        <v>0</v>
      </c>
      <c r="X106" s="117">
        <v>0</v>
      </c>
      <c r="Y106" s="117">
        <v>0</v>
      </c>
    </row>
    <row r="107" spans="1:25" x14ac:dyDescent="0.3">
      <c r="A107" s="10" t="s">
        <v>1071</v>
      </c>
      <c r="B107" s="117">
        <v>0</v>
      </c>
      <c r="C107" s="117">
        <v>0</v>
      </c>
      <c r="D107" s="117">
        <v>37.675000000000004</v>
      </c>
      <c r="E107" s="117">
        <v>15.183999999999999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</v>
      </c>
      <c r="O107" s="117">
        <v>0</v>
      </c>
      <c r="P107" s="117">
        <v>0</v>
      </c>
      <c r="Q107" s="117">
        <v>0</v>
      </c>
      <c r="R107" s="117">
        <v>3.0510000000000002</v>
      </c>
      <c r="S107" s="117">
        <v>9.2360000000000007</v>
      </c>
      <c r="T107" s="117">
        <v>0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</row>
    <row r="108" spans="1:25" x14ac:dyDescent="0.3">
      <c r="A108" s="10" t="s">
        <v>1062</v>
      </c>
      <c r="B108" s="117">
        <v>6.5299999999999994</v>
      </c>
      <c r="C108" s="117">
        <v>0</v>
      </c>
      <c r="D108" s="117">
        <v>0</v>
      </c>
      <c r="E108" s="117">
        <v>0</v>
      </c>
      <c r="F108" s="117">
        <v>0</v>
      </c>
      <c r="G108" s="117">
        <v>0</v>
      </c>
      <c r="H108" s="117">
        <v>0</v>
      </c>
      <c r="I108" s="117">
        <v>0</v>
      </c>
      <c r="J108" s="117">
        <v>0</v>
      </c>
      <c r="K108" s="117">
        <v>0</v>
      </c>
      <c r="L108" s="117">
        <v>0</v>
      </c>
      <c r="M108" s="117">
        <v>0</v>
      </c>
      <c r="N108" s="117">
        <v>0</v>
      </c>
      <c r="O108" s="117">
        <v>0</v>
      </c>
      <c r="P108" s="117">
        <v>0</v>
      </c>
      <c r="Q108" s="117">
        <v>0</v>
      </c>
      <c r="R108" s="117">
        <v>0</v>
      </c>
      <c r="S108" s="117">
        <v>0</v>
      </c>
      <c r="T108" s="117">
        <v>0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</row>
    <row r="109" spans="1:25" x14ac:dyDescent="0.3">
      <c r="A109" s="10" t="s">
        <v>922</v>
      </c>
      <c r="B109" s="117">
        <v>25.999999999999996</v>
      </c>
      <c r="C109" s="117">
        <v>32.910000000000004</v>
      </c>
      <c r="D109" s="117">
        <v>33.24</v>
      </c>
      <c r="E109" s="117">
        <v>15.02</v>
      </c>
      <c r="F109" s="117">
        <v>0.23</v>
      </c>
      <c r="G109" s="117">
        <v>23.57</v>
      </c>
      <c r="H109" s="117">
        <v>11.37</v>
      </c>
      <c r="I109" s="117">
        <v>26.04</v>
      </c>
      <c r="J109" s="117">
        <v>35.9</v>
      </c>
      <c r="K109" s="117">
        <v>37.129999999999995</v>
      </c>
      <c r="L109" s="117">
        <v>20.12</v>
      </c>
      <c r="M109" s="117">
        <v>8.1999999999999993</v>
      </c>
      <c r="N109" s="117">
        <v>18.350000000000001</v>
      </c>
      <c r="O109" s="117">
        <v>0</v>
      </c>
      <c r="P109" s="117">
        <v>9.1199999999999992</v>
      </c>
      <c r="Q109" s="117">
        <v>3.2099999999999995</v>
      </c>
      <c r="R109" s="117">
        <v>225.73500000000001</v>
      </c>
      <c r="S109" s="117">
        <v>274.71600000000001</v>
      </c>
      <c r="T109" s="117">
        <v>0</v>
      </c>
      <c r="U109" s="117">
        <v>0</v>
      </c>
      <c r="V109" s="117">
        <v>0</v>
      </c>
      <c r="W109" s="117">
        <v>0</v>
      </c>
      <c r="X109" s="117">
        <v>0</v>
      </c>
      <c r="Y109" s="117">
        <v>6.89</v>
      </c>
    </row>
    <row r="110" spans="1:25" x14ac:dyDescent="0.3">
      <c r="A110" s="10" t="s">
        <v>1064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0</v>
      </c>
      <c r="K110" s="117">
        <v>0</v>
      </c>
      <c r="L110" s="117">
        <v>0</v>
      </c>
      <c r="M110" s="117">
        <v>0</v>
      </c>
      <c r="N110" s="117">
        <v>0</v>
      </c>
      <c r="O110" s="117">
        <v>0</v>
      </c>
      <c r="P110" s="117">
        <v>0</v>
      </c>
      <c r="Q110" s="117">
        <v>0</v>
      </c>
      <c r="R110" s="117">
        <v>0</v>
      </c>
      <c r="S110" s="117">
        <v>0</v>
      </c>
      <c r="T110" s="117">
        <v>0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</row>
    <row r="111" spans="1:25" x14ac:dyDescent="0.3">
      <c r="A111" s="10" t="s">
        <v>796</v>
      </c>
      <c r="B111" s="117">
        <v>0</v>
      </c>
      <c r="C111" s="117">
        <v>0</v>
      </c>
      <c r="D111" s="117">
        <v>26.183</v>
      </c>
      <c r="E111" s="117">
        <v>0</v>
      </c>
      <c r="F111" s="117">
        <v>0</v>
      </c>
      <c r="G111" s="117">
        <v>0</v>
      </c>
      <c r="H111" s="117">
        <v>6.8879999999999999</v>
      </c>
      <c r="I111" s="117">
        <v>0</v>
      </c>
      <c r="J111" s="117">
        <v>0</v>
      </c>
      <c r="K111" s="117">
        <v>0</v>
      </c>
      <c r="L111" s="117">
        <v>0</v>
      </c>
      <c r="M111" s="117">
        <v>17.199000000000002</v>
      </c>
      <c r="N111" s="117">
        <v>0</v>
      </c>
      <c r="O111" s="117">
        <v>0</v>
      </c>
      <c r="P111" s="117">
        <v>0</v>
      </c>
      <c r="Q111" s="117">
        <v>0</v>
      </c>
      <c r="R111" s="117">
        <v>0</v>
      </c>
      <c r="S111" s="117">
        <v>0</v>
      </c>
      <c r="T111" s="117">
        <v>0</v>
      </c>
      <c r="U111" s="117">
        <v>0</v>
      </c>
      <c r="V111" s="117">
        <v>0</v>
      </c>
      <c r="W111" s="117">
        <v>31.931999999999999</v>
      </c>
      <c r="X111" s="117">
        <v>0</v>
      </c>
      <c r="Y111" s="117">
        <v>19.55</v>
      </c>
    </row>
    <row r="112" spans="1:25" x14ac:dyDescent="0.3">
      <c r="A112" s="10" t="s">
        <v>742</v>
      </c>
      <c r="B112" s="117">
        <v>7.101</v>
      </c>
      <c r="C112" s="117">
        <v>12.803999999999998</v>
      </c>
      <c r="D112" s="117">
        <v>2.778</v>
      </c>
      <c r="E112" s="117">
        <v>199.62800000000004</v>
      </c>
      <c r="F112" s="117">
        <v>134.29499999999996</v>
      </c>
      <c r="G112" s="117">
        <v>130.89899999999997</v>
      </c>
      <c r="H112" s="117">
        <v>207.91300000000001</v>
      </c>
      <c r="I112" s="117">
        <v>8.0240000000000009</v>
      </c>
      <c r="J112" s="117">
        <v>10.638</v>
      </c>
      <c r="K112" s="117">
        <v>0.94800000000000006</v>
      </c>
      <c r="L112" s="117">
        <v>2E-3</v>
      </c>
      <c r="M112" s="117">
        <v>0</v>
      </c>
      <c r="N112" s="117">
        <v>3.6319999999999997</v>
      </c>
      <c r="O112" s="117">
        <v>7.3039999999999994</v>
      </c>
      <c r="P112" s="117">
        <v>1E-3</v>
      </c>
      <c r="Q112" s="117">
        <v>4.83</v>
      </c>
      <c r="R112" s="117">
        <v>0</v>
      </c>
      <c r="S112" s="117">
        <v>22.298999999999999</v>
      </c>
      <c r="T112" s="117">
        <v>5.7759999999999998</v>
      </c>
      <c r="U112" s="117">
        <v>5.6479999999999997</v>
      </c>
      <c r="V112" s="117">
        <v>7.5949999999999998</v>
      </c>
      <c r="W112" s="117">
        <v>0.93600000000000005</v>
      </c>
      <c r="X112" s="117">
        <v>2.722</v>
      </c>
      <c r="Y112" s="117">
        <v>47.730999999999995</v>
      </c>
    </row>
    <row r="113" spans="1:25" x14ac:dyDescent="0.3">
      <c r="A113" s="10" t="s">
        <v>1066</v>
      </c>
      <c r="B113" s="117">
        <v>0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</v>
      </c>
      <c r="S113" s="117">
        <v>0</v>
      </c>
      <c r="T113" s="117">
        <v>0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</row>
    <row r="114" spans="1:25" x14ac:dyDescent="0.3">
      <c r="A114" s="10" t="s">
        <v>963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  <c r="O114" s="117">
        <v>0</v>
      </c>
      <c r="P114" s="117">
        <v>0</v>
      </c>
      <c r="Q114" s="117">
        <v>0</v>
      </c>
      <c r="R114" s="117">
        <v>0</v>
      </c>
      <c r="S114" s="117">
        <v>0</v>
      </c>
      <c r="T114" s="117">
        <v>0</v>
      </c>
      <c r="U114" s="117">
        <v>0</v>
      </c>
      <c r="V114" s="117">
        <v>0</v>
      </c>
      <c r="W114" s="117">
        <v>0</v>
      </c>
      <c r="X114" s="117">
        <v>0</v>
      </c>
      <c r="Y114" s="117">
        <v>0</v>
      </c>
    </row>
    <row r="115" spans="1:25" x14ac:dyDescent="0.3">
      <c r="A115" s="10" t="s">
        <v>1067</v>
      </c>
      <c r="B115" s="117">
        <v>0</v>
      </c>
      <c r="C115" s="117">
        <v>0.997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2.7330000000000001</v>
      </c>
      <c r="M115" s="117">
        <v>0</v>
      </c>
      <c r="N115" s="117">
        <v>0</v>
      </c>
      <c r="O115" s="117">
        <v>0</v>
      </c>
      <c r="P115" s="117">
        <v>0</v>
      </c>
      <c r="Q115" s="117">
        <v>1.2610000000000001</v>
      </c>
      <c r="R115" s="117">
        <v>0</v>
      </c>
      <c r="S115" s="117">
        <v>0</v>
      </c>
      <c r="T115" s="117">
        <v>0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</row>
    <row r="116" spans="1:25" x14ac:dyDescent="0.3">
      <c r="A116" s="10" t="s">
        <v>940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  <c r="O116" s="117">
        <v>0</v>
      </c>
      <c r="P116" s="117">
        <v>0</v>
      </c>
      <c r="Q116" s="117">
        <v>0</v>
      </c>
      <c r="R116" s="117">
        <v>0</v>
      </c>
      <c r="S116" s="117">
        <v>0</v>
      </c>
      <c r="T116" s="117">
        <v>0</v>
      </c>
      <c r="U116" s="117">
        <v>0</v>
      </c>
      <c r="V116" s="117">
        <v>0</v>
      </c>
      <c r="W116" s="117">
        <v>0</v>
      </c>
      <c r="X116" s="117">
        <v>0</v>
      </c>
      <c r="Y116" s="117">
        <v>0</v>
      </c>
    </row>
    <row r="117" spans="1:25" x14ac:dyDescent="0.3">
      <c r="A117" s="10" t="s">
        <v>743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  <c r="O117" s="117">
        <v>0</v>
      </c>
      <c r="P117" s="117">
        <v>0</v>
      </c>
      <c r="Q117" s="117">
        <v>0</v>
      </c>
      <c r="R117" s="117">
        <v>0</v>
      </c>
      <c r="S117" s="117">
        <v>0</v>
      </c>
      <c r="T117" s="117">
        <v>0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</row>
    <row r="118" spans="1:25" x14ac:dyDescent="0.3">
      <c r="A118" s="10" t="s">
        <v>912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  <c r="O118" s="117">
        <v>0</v>
      </c>
      <c r="P118" s="117">
        <v>1.87</v>
      </c>
      <c r="Q118" s="117">
        <v>0</v>
      </c>
      <c r="R118" s="117">
        <v>0</v>
      </c>
      <c r="S118" s="117">
        <v>0</v>
      </c>
      <c r="T118" s="117">
        <v>4.37</v>
      </c>
      <c r="U118" s="117">
        <v>3.06</v>
      </c>
      <c r="V118" s="117">
        <v>7.3999999999999995</v>
      </c>
      <c r="W118" s="117">
        <v>0</v>
      </c>
      <c r="X118" s="117">
        <v>0</v>
      </c>
      <c r="Y118" s="117">
        <v>0</v>
      </c>
    </row>
    <row r="119" spans="1:25" x14ac:dyDescent="0.3">
      <c r="A119" s="10" t="s">
        <v>744</v>
      </c>
      <c r="B119" s="117">
        <v>0</v>
      </c>
      <c r="C119" s="117">
        <v>0</v>
      </c>
      <c r="D119" s="117">
        <v>0.219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0.39100000000000001</v>
      </c>
      <c r="N119" s="117">
        <v>0</v>
      </c>
      <c r="O119" s="117">
        <v>0</v>
      </c>
      <c r="P119" s="117">
        <v>0</v>
      </c>
      <c r="Q119" s="117">
        <v>0</v>
      </c>
      <c r="R119" s="117">
        <v>0</v>
      </c>
      <c r="S119" s="117">
        <v>0</v>
      </c>
      <c r="T119" s="117">
        <v>0</v>
      </c>
      <c r="U119" s="117">
        <v>0</v>
      </c>
      <c r="V119" s="117">
        <v>2.2370000000000001</v>
      </c>
      <c r="W119" s="117">
        <v>0</v>
      </c>
      <c r="X119" s="117">
        <v>0</v>
      </c>
      <c r="Y119" s="117">
        <v>0</v>
      </c>
    </row>
    <row r="120" spans="1:25" x14ac:dyDescent="0.3">
      <c r="A120" s="10" t="s">
        <v>1069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</row>
    <row r="121" spans="1:25" x14ac:dyDescent="0.3">
      <c r="A121" s="10" t="s">
        <v>1022</v>
      </c>
      <c r="B121" s="117">
        <v>785.17499999999995</v>
      </c>
      <c r="C121" s="117">
        <v>597.77499999999998</v>
      </c>
      <c r="D121" s="117">
        <v>671.92499999999995</v>
      </c>
      <c r="E121" s="117">
        <v>762.77500000000009</v>
      </c>
      <c r="F121" s="117">
        <v>727.64899999999989</v>
      </c>
      <c r="G121" s="117">
        <v>433.702</v>
      </c>
      <c r="H121" s="117">
        <v>458.82600000000002</v>
      </c>
      <c r="I121" s="117">
        <v>661.3</v>
      </c>
      <c r="J121" s="117">
        <v>830.50099999999986</v>
      </c>
      <c r="K121" s="117">
        <v>581.375</v>
      </c>
      <c r="L121" s="117">
        <v>1064.7760000000001</v>
      </c>
      <c r="M121" s="117">
        <v>801.1</v>
      </c>
      <c r="N121" s="117">
        <v>544.52499999999998</v>
      </c>
      <c r="O121" s="117">
        <v>619.02499999999998</v>
      </c>
      <c r="P121" s="117">
        <v>907.00000000000023</v>
      </c>
      <c r="Q121" s="117">
        <v>662.94999999999993</v>
      </c>
      <c r="R121" s="117">
        <v>1013.075</v>
      </c>
      <c r="S121" s="117">
        <v>1132.3999999999996</v>
      </c>
      <c r="T121" s="117">
        <v>1103.3</v>
      </c>
      <c r="U121" s="117">
        <v>661.52499999999998</v>
      </c>
      <c r="V121" s="117">
        <v>777.7</v>
      </c>
      <c r="W121" s="117">
        <v>428.22499999999997</v>
      </c>
      <c r="X121" s="117">
        <v>1014.6469999999999</v>
      </c>
      <c r="Y121" s="117">
        <v>1717.2009999999993</v>
      </c>
    </row>
    <row r="122" spans="1:25" x14ac:dyDescent="0.3">
      <c r="A122" s="10" t="s">
        <v>913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</row>
    <row r="123" spans="1:25" x14ac:dyDescent="0.3">
      <c r="A123" s="10" t="s">
        <v>789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9.3800000000000008</v>
      </c>
      <c r="W123" s="117">
        <v>0</v>
      </c>
      <c r="X123" s="117">
        <v>0</v>
      </c>
      <c r="Y123" s="117">
        <v>0</v>
      </c>
    </row>
    <row r="124" spans="1:25" x14ac:dyDescent="0.3">
      <c r="A124" s="10" t="s">
        <v>843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</v>
      </c>
      <c r="T124" s="117">
        <v>0</v>
      </c>
      <c r="U124" s="117">
        <v>0</v>
      </c>
      <c r="V124" s="117">
        <v>0</v>
      </c>
      <c r="W124" s="117">
        <v>0</v>
      </c>
      <c r="X124" s="117">
        <v>0</v>
      </c>
      <c r="Y124" s="117">
        <v>0</v>
      </c>
    </row>
    <row r="125" spans="1:25" x14ac:dyDescent="0.3">
      <c r="A125" s="10" t="s">
        <v>783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  <c r="O125" s="117">
        <v>0</v>
      </c>
      <c r="P125" s="117">
        <v>0</v>
      </c>
      <c r="Q125" s="117">
        <v>0</v>
      </c>
      <c r="R125" s="117">
        <v>0</v>
      </c>
      <c r="S125" s="117">
        <v>0</v>
      </c>
      <c r="T125" s="117">
        <v>0</v>
      </c>
      <c r="U125" s="117">
        <v>0</v>
      </c>
      <c r="V125" s="117">
        <v>0</v>
      </c>
      <c r="W125" s="117">
        <v>0</v>
      </c>
      <c r="X125" s="117">
        <v>0</v>
      </c>
      <c r="Y125" s="117">
        <v>0</v>
      </c>
    </row>
    <row r="126" spans="1:25" x14ac:dyDescent="0.3">
      <c r="A126" s="10" t="s">
        <v>883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  <c r="O126" s="117">
        <v>0</v>
      </c>
      <c r="P126" s="117">
        <v>0</v>
      </c>
      <c r="Q126" s="117">
        <v>0</v>
      </c>
      <c r="R126" s="117">
        <v>0</v>
      </c>
      <c r="S126" s="117">
        <v>0</v>
      </c>
      <c r="T126" s="117">
        <v>0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</row>
    <row r="127" spans="1:25" x14ac:dyDescent="0.3">
      <c r="A127" s="10" t="s">
        <v>788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1.81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  <c r="O127" s="117">
        <v>11.479999999999999</v>
      </c>
      <c r="P127" s="117">
        <v>0</v>
      </c>
      <c r="Q127" s="117">
        <v>0</v>
      </c>
      <c r="R127" s="117">
        <v>0</v>
      </c>
      <c r="S127" s="117">
        <v>0</v>
      </c>
      <c r="T127" s="117">
        <v>0</v>
      </c>
      <c r="U127" s="117">
        <v>0</v>
      </c>
      <c r="V127" s="117">
        <v>0</v>
      </c>
      <c r="W127" s="117">
        <v>0</v>
      </c>
      <c r="X127" s="117">
        <v>0.92999999999999994</v>
      </c>
      <c r="Y127" s="117">
        <v>0</v>
      </c>
    </row>
    <row r="128" spans="1:25" x14ac:dyDescent="0.3">
      <c r="A128" s="10" t="s">
        <v>792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  <c r="O128" s="117">
        <v>0</v>
      </c>
      <c r="P128" s="117">
        <v>0</v>
      </c>
      <c r="Q128" s="117">
        <v>0</v>
      </c>
      <c r="R128" s="117">
        <v>0</v>
      </c>
      <c r="S128" s="117">
        <v>0</v>
      </c>
      <c r="T128" s="117">
        <v>0</v>
      </c>
      <c r="U128" s="117">
        <v>0</v>
      </c>
      <c r="V128" s="117">
        <v>0</v>
      </c>
      <c r="W128" s="117">
        <v>0</v>
      </c>
      <c r="X128" s="117">
        <v>0</v>
      </c>
      <c r="Y128" s="117">
        <v>0</v>
      </c>
    </row>
    <row r="129" spans="1:25" x14ac:dyDescent="0.3">
      <c r="A129" s="10" t="s">
        <v>824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  <c r="O129" s="117">
        <v>0</v>
      </c>
      <c r="P129" s="117">
        <v>0</v>
      </c>
      <c r="Q129" s="117">
        <v>0</v>
      </c>
      <c r="R129" s="117">
        <v>0</v>
      </c>
      <c r="S129" s="117">
        <v>0</v>
      </c>
      <c r="T129" s="117">
        <v>0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</row>
    <row r="130" spans="1:25" x14ac:dyDescent="0.3">
      <c r="A130" s="10" t="s">
        <v>784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  <c r="O130" s="117">
        <v>0</v>
      </c>
      <c r="P130" s="117">
        <v>0</v>
      </c>
      <c r="Q130" s="117">
        <v>0</v>
      </c>
      <c r="R130" s="117">
        <v>0</v>
      </c>
      <c r="S130" s="117">
        <v>0</v>
      </c>
      <c r="T130" s="117">
        <v>0</v>
      </c>
      <c r="U130" s="117">
        <v>0</v>
      </c>
      <c r="V130" s="117">
        <v>0</v>
      </c>
      <c r="W130" s="117">
        <v>0</v>
      </c>
      <c r="X130" s="117">
        <v>0</v>
      </c>
      <c r="Y130" s="117">
        <v>16.559000000000001</v>
      </c>
    </row>
    <row r="131" spans="1:25" x14ac:dyDescent="0.3">
      <c r="A131" s="10" t="s">
        <v>951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0</v>
      </c>
    </row>
    <row r="132" spans="1:25" x14ac:dyDescent="0.3">
      <c r="A132" s="10" t="s">
        <v>886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12.558999999999999</v>
      </c>
      <c r="N132" s="117">
        <v>0</v>
      </c>
      <c r="O132" s="117">
        <v>0</v>
      </c>
      <c r="P132" s="117">
        <v>0</v>
      </c>
      <c r="Q132" s="117">
        <v>0</v>
      </c>
      <c r="R132" s="117">
        <v>0</v>
      </c>
      <c r="S132" s="117">
        <v>0</v>
      </c>
      <c r="T132" s="117">
        <v>0</v>
      </c>
      <c r="U132" s="117">
        <v>0</v>
      </c>
      <c r="V132" s="117">
        <v>0</v>
      </c>
      <c r="W132" s="117">
        <v>0</v>
      </c>
      <c r="X132" s="117">
        <v>0</v>
      </c>
      <c r="Y132" s="117">
        <v>0</v>
      </c>
    </row>
    <row r="133" spans="1:25" x14ac:dyDescent="0.3">
      <c r="A133" s="10" t="s">
        <v>893</v>
      </c>
      <c r="B133" s="117">
        <v>10.210000000000001</v>
      </c>
      <c r="C133" s="117">
        <v>6.41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  <c r="O133" s="117">
        <v>0</v>
      </c>
      <c r="P133" s="117">
        <v>0</v>
      </c>
      <c r="Q133" s="117">
        <v>0</v>
      </c>
      <c r="R133" s="117">
        <v>0</v>
      </c>
      <c r="S133" s="117">
        <v>0</v>
      </c>
      <c r="T133" s="117">
        <v>5.43</v>
      </c>
      <c r="U133" s="117">
        <v>1.94</v>
      </c>
      <c r="V133" s="117">
        <v>5.01</v>
      </c>
      <c r="W133" s="117">
        <v>14.84</v>
      </c>
      <c r="X133" s="117">
        <v>0</v>
      </c>
      <c r="Y133" s="117">
        <v>0</v>
      </c>
    </row>
    <row r="134" spans="1:25" x14ac:dyDescent="0.3">
      <c r="A134" s="10" t="s">
        <v>867</v>
      </c>
      <c r="B134" s="117">
        <v>0</v>
      </c>
      <c r="C134" s="117">
        <v>2.5</v>
      </c>
      <c r="D134" s="117">
        <v>5.43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</v>
      </c>
      <c r="K134" s="117">
        <v>0</v>
      </c>
      <c r="L134" s="117">
        <v>0</v>
      </c>
      <c r="M134" s="117">
        <v>0</v>
      </c>
      <c r="N134" s="117">
        <v>0</v>
      </c>
      <c r="O134" s="117">
        <v>0</v>
      </c>
      <c r="P134" s="117">
        <v>0</v>
      </c>
      <c r="Q134" s="117">
        <v>0</v>
      </c>
      <c r="R134" s="117">
        <v>0</v>
      </c>
      <c r="S134" s="117">
        <v>0</v>
      </c>
      <c r="T134" s="117">
        <v>0</v>
      </c>
      <c r="U134" s="117">
        <v>0</v>
      </c>
      <c r="V134" s="117">
        <v>0</v>
      </c>
      <c r="W134" s="117">
        <v>0</v>
      </c>
      <c r="X134" s="117">
        <v>0</v>
      </c>
      <c r="Y134" s="117">
        <v>0</v>
      </c>
    </row>
    <row r="135" spans="1:25" x14ac:dyDescent="0.3">
      <c r="A135" s="10" t="s">
        <v>1013</v>
      </c>
      <c r="B135" s="117">
        <v>0</v>
      </c>
      <c r="C135" s="117">
        <v>0</v>
      </c>
      <c r="D135" s="117">
        <v>0</v>
      </c>
      <c r="E135" s="117">
        <v>0</v>
      </c>
      <c r="F135" s="117">
        <v>0</v>
      </c>
      <c r="G135" s="117">
        <v>6.42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0</v>
      </c>
      <c r="S135" s="117">
        <v>0</v>
      </c>
      <c r="T135" s="117">
        <v>0</v>
      </c>
      <c r="U135" s="117">
        <v>0.84</v>
      </c>
      <c r="V135" s="117">
        <v>0</v>
      </c>
      <c r="W135" s="117">
        <v>0</v>
      </c>
      <c r="X135" s="117">
        <v>0</v>
      </c>
      <c r="Y135" s="117">
        <v>0</v>
      </c>
    </row>
    <row r="136" spans="1:25" x14ac:dyDescent="0.3">
      <c r="A136" s="10" t="s">
        <v>1009</v>
      </c>
      <c r="B136" s="117">
        <v>0</v>
      </c>
      <c r="C136" s="117">
        <v>0</v>
      </c>
      <c r="D136" s="117">
        <v>0</v>
      </c>
      <c r="E136" s="117">
        <v>0</v>
      </c>
      <c r="F136" s="117">
        <v>0</v>
      </c>
      <c r="G136" s="117">
        <v>0</v>
      </c>
      <c r="H136" s="117">
        <v>0</v>
      </c>
      <c r="I136" s="117">
        <v>0</v>
      </c>
      <c r="J136" s="117">
        <v>0</v>
      </c>
      <c r="K136" s="117">
        <v>0</v>
      </c>
      <c r="L136" s="117">
        <v>0</v>
      </c>
      <c r="M136" s="117">
        <v>0</v>
      </c>
      <c r="N136" s="117">
        <v>0</v>
      </c>
      <c r="O136" s="117">
        <v>0</v>
      </c>
      <c r="P136" s="117">
        <v>0</v>
      </c>
      <c r="Q136" s="117">
        <v>3.26</v>
      </c>
      <c r="R136" s="117">
        <v>0</v>
      </c>
      <c r="S136" s="117">
        <v>0</v>
      </c>
      <c r="T136" s="117">
        <v>0</v>
      </c>
      <c r="U136" s="117">
        <v>0</v>
      </c>
      <c r="V136" s="117">
        <v>0</v>
      </c>
      <c r="W136" s="117">
        <v>0</v>
      </c>
      <c r="X136" s="117">
        <v>14.51</v>
      </c>
      <c r="Y136" s="117">
        <v>9.64</v>
      </c>
    </row>
    <row r="137" spans="1:25" x14ac:dyDescent="0.3">
      <c r="A137" s="10" t="s">
        <v>830</v>
      </c>
      <c r="B137" s="117">
        <v>0</v>
      </c>
      <c r="C137" s="117">
        <v>0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</v>
      </c>
      <c r="L137" s="117">
        <v>0</v>
      </c>
      <c r="M137" s="117">
        <v>0</v>
      </c>
      <c r="N137" s="117">
        <v>0</v>
      </c>
      <c r="O137" s="117">
        <v>0</v>
      </c>
      <c r="P137" s="117">
        <v>0</v>
      </c>
      <c r="Q137" s="117">
        <v>0</v>
      </c>
      <c r="R137" s="117">
        <v>0</v>
      </c>
      <c r="S137" s="117">
        <v>0</v>
      </c>
      <c r="T137" s="117">
        <v>0</v>
      </c>
      <c r="U137" s="117">
        <v>0</v>
      </c>
      <c r="V137" s="117">
        <v>0</v>
      </c>
      <c r="W137" s="117">
        <v>0</v>
      </c>
      <c r="X137" s="117">
        <v>0</v>
      </c>
      <c r="Y137" s="117">
        <v>0</v>
      </c>
    </row>
    <row r="138" spans="1:25" x14ac:dyDescent="0.3">
      <c r="A138" s="10" t="s">
        <v>952</v>
      </c>
      <c r="B138" s="117">
        <v>0</v>
      </c>
      <c r="C138" s="117">
        <v>0</v>
      </c>
      <c r="D138" s="117">
        <v>0</v>
      </c>
      <c r="E138" s="117">
        <v>0</v>
      </c>
      <c r="F138" s="117">
        <v>0</v>
      </c>
      <c r="G138" s="117">
        <v>0</v>
      </c>
      <c r="H138" s="117">
        <v>0</v>
      </c>
      <c r="I138" s="117">
        <v>0</v>
      </c>
      <c r="J138" s="117">
        <v>0</v>
      </c>
      <c r="K138" s="117">
        <v>0</v>
      </c>
      <c r="L138" s="117">
        <v>0</v>
      </c>
      <c r="M138" s="117">
        <v>0</v>
      </c>
      <c r="N138" s="117">
        <v>0</v>
      </c>
      <c r="O138" s="117">
        <v>0</v>
      </c>
      <c r="P138" s="117">
        <v>0</v>
      </c>
      <c r="Q138" s="117">
        <v>0</v>
      </c>
      <c r="R138" s="117">
        <v>0</v>
      </c>
      <c r="S138" s="117">
        <v>0</v>
      </c>
      <c r="T138" s="117">
        <v>0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</row>
    <row r="139" spans="1:25" x14ac:dyDescent="0.3">
      <c r="A139" s="10" t="s">
        <v>896</v>
      </c>
      <c r="B139" s="117">
        <v>0</v>
      </c>
      <c r="C139" s="117">
        <v>0</v>
      </c>
      <c r="D139" s="117">
        <v>0</v>
      </c>
      <c r="E139" s="117">
        <v>0</v>
      </c>
      <c r="F139" s="117">
        <v>0</v>
      </c>
      <c r="G139" s="117">
        <v>0</v>
      </c>
      <c r="H139" s="117">
        <v>0</v>
      </c>
      <c r="I139" s="117">
        <v>0</v>
      </c>
      <c r="J139" s="117">
        <v>0</v>
      </c>
      <c r="K139" s="117">
        <v>0</v>
      </c>
      <c r="L139" s="117">
        <v>0</v>
      </c>
      <c r="M139" s="117">
        <v>0</v>
      </c>
      <c r="N139" s="117">
        <v>0</v>
      </c>
      <c r="O139" s="117">
        <v>0</v>
      </c>
      <c r="P139" s="117">
        <v>0</v>
      </c>
      <c r="Q139" s="117">
        <v>0</v>
      </c>
      <c r="R139" s="117">
        <v>0</v>
      </c>
      <c r="S139" s="117">
        <v>0</v>
      </c>
      <c r="T139" s="117">
        <v>0</v>
      </c>
      <c r="U139" s="117">
        <v>0</v>
      </c>
      <c r="V139" s="117">
        <v>0</v>
      </c>
      <c r="W139" s="117">
        <v>0</v>
      </c>
      <c r="X139" s="117">
        <v>0</v>
      </c>
      <c r="Y139" s="117">
        <v>0</v>
      </c>
    </row>
    <row r="140" spans="1:25" x14ac:dyDescent="0.3">
      <c r="A140" s="10" t="s">
        <v>772</v>
      </c>
      <c r="B140" s="117">
        <v>27.92</v>
      </c>
      <c r="C140" s="117">
        <v>50.85</v>
      </c>
      <c r="D140" s="117">
        <v>38.650000000000006</v>
      </c>
      <c r="E140" s="117">
        <v>0</v>
      </c>
      <c r="F140" s="117">
        <v>0</v>
      </c>
      <c r="G140" s="117">
        <v>4.13</v>
      </c>
      <c r="H140" s="117">
        <v>0</v>
      </c>
      <c r="I140" s="117">
        <v>28.909999999999997</v>
      </c>
      <c r="J140" s="117">
        <v>0</v>
      </c>
      <c r="K140" s="117">
        <v>56.25</v>
      </c>
      <c r="L140" s="117">
        <v>17.04</v>
      </c>
      <c r="M140" s="117">
        <v>18.21</v>
      </c>
      <c r="N140" s="117">
        <v>52.550000000000004</v>
      </c>
      <c r="O140" s="117">
        <v>28.48</v>
      </c>
      <c r="P140" s="117">
        <v>0</v>
      </c>
      <c r="Q140" s="117">
        <v>31.8</v>
      </c>
      <c r="R140" s="117">
        <v>30.060000000000002</v>
      </c>
      <c r="S140" s="117">
        <v>0</v>
      </c>
      <c r="T140" s="117">
        <v>7.89</v>
      </c>
      <c r="U140" s="117">
        <v>0</v>
      </c>
      <c r="V140" s="117">
        <v>19.98</v>
      </c>
      <c r="W140" s="117">
        <v>24.37</v>
      </c>
      <c r="X140" s="117">
        <v>9.16</v>
      </c>
      <c r="Y140" s="117">
        <v>0</v>
      </c>
    </row>
    <row r="141" spans="1:25" x14ac:dyDescent="0.3">
      <c r="A141" s="10" t="s">
        <v>801</v>
      </c>
      <c r="B141" s="117">
        <v>0</v>
      </c>
      <c r="C141" s="117">
        <v>0</v>
      </c>
      <c r="D141" s="117">
        <v>0</v>
      </c>
      <c r="E141" s="117">
        <v>0</v>
      </c>
      <c r="F141" s="117">
        <v>0</v>
      </c>
      <c r="G141" s="117">
        <v>0</v>
      </c>
      <c r="H141" s="117">
        <v>0</v>
      </c>
      <c r="I141" s="117">
        <v>0</v>
      </c>
      <c r="J141" s="117">
        <v>0</v>
      </c>
      <c r="K141" s="117">
        <v>0</v>
      </c>
      <c r="L141" s="117">
        <v>0</v>
      </c>
      <c r="M141" s="117">
        <v>0</v>
      </c>
      <c r="N141" s="117">
        <v>0</v>
      </c>
      <c r="O141" s="117">
        <v>0</v>
      </c>
      <c r="P141" s="117">
        <v>0</v>
      </c>
      <c r="Q141" s="117">
        <v>0</v>
      </c>
      <c r="R141" s="117">
        <v>0</v>
      </c>
      <c r="S141" s="117">
        <v>0</v>
      </c>
      <c r="T141" s="117">
        <v>0</v>
      </c>
      <c r="U141" s="117">
        <v>0</v>
      </c>
      <c r="V141" s="117">
        <v>0</v>
      </c>
      <c r="W141" s="117">
        <v>0</v>
      </c>
      <c r="X141" s="117">
        <v>0</v>
      </c>
      <c r="Y141" s="117">
        <v>0</v>
      </c>
    </row>
    <row r="142" spans="1:25" x14ac:dyDescent="0.3">
      <c r="A142" s="10" t="s">
        <v>948</v>
      </c>
      <c r="B142" s="117">
        <v>0</v>
      </c>
      <c r="C142" s="117">
        <v>0</v>
      </c>
      <c r="D142" s="117">
        <v>0</v>
      </c>
      <c r="E142" s="117">
        <v>0</v>
      </c>
      <c r="F142" s="117">
        <v>0</v>
      </c>
      <c r="G142" s="117">
        <v>0</v>
      </c>
      <c r="H142" s="117">
        <v>0</v>
      </c>
      <c r="I142" s="117">
        <v>0</v>
      </c>
      <c r="J142" s="117">
        <v>0</v>
      </c>
      <c r="K142" s="117">
        <v>0</v>
      </c>
      <c r="L142" s="117">
        <v>0</v>
      </c>
      <c r="M142" s="117">
        <v>0</v>
      </c>
      <c r="N142" s="117">
        <v>0</v>
      </c>
      <c r="O142" s="117">
        <v>0</v>
      </c>
      <c r="P142" s="117">
        <v>0</v>
      </c>
      <c r="Q142" s="117">
        <v>0</v>
      </c>
      <c r="R142" s="117">
        <v>0</v>
      </c>
      <c r="S142" s="117">
        <v>0</v>
      </c>
      <c r="T142" s="117">
        <v>0</v>
      </c>
      <c r="U142" s="117">
        <v>0</v>
      </c>
      <c r="V142" s="117">
        <v>0</v>
      </c>
      <c r="W142" s="117">
        <v>0</v>
      </c>
      <c r="X142" s="117">
        <v>0</v>
      </c>
      <c r="Y142" s="117">
        <v>9.4400000000000013</v>
      </c>
    </row>
    <row r="143" spans="1:25" x14ac:dyDescent="0.3">
      <c r="A143" s="10" t="s">
        <v>1065</v>
      </c>
      <c r="B143" s="117">
        <v>0</v>
      </c>
      <c r="C143" s="117">
        <v>3</v>
      </c>
      <c r="D143" s="117">
        <v>0</v>
      </c>
      <c r="E143" s="117">
        <v>0.48799999999999999</v>
      </c>
      <c r="F143" s="117">
        <v>0</v>
      </c>
      <c r="G143" s="117">
        <v>0</v>
      </c>
      <c r="H143" s="117">
        <v>0</v>
      </c>
      <c r="I143" s="117">
        <v>2.036</v>
      </c>
      <c r="J143" s="117">
        <v>0</v>
      </c>
      <c r="K143" s="117">
        <v>0</v>
      </c>
      <c r="L143" s="117">
        <v>0</v>
      </c>
      <c r="M143" s="117">
        <v>0</v>
      </c>
      <c r="N143" s="117">
        <v>0</v>
      </c>
      <c r="O143" s="117">
        <v>3.234</v>
      </c>
      <c r="P143" s="117">
        <v>0</v>
      </c>
      <c r="Q143" s="117">
        <v>0</v>
      </c>
      <c r="R143" s="117">
        <v>0</v>
      </c>
      <c r="S143" s="117">
        <v>0</v>
      </c>
      <c r="T143" s="117">
        <v>0.59099999999999997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</row>
    <row r="144" spans="1:25" x14ac:dyDescent="0.3">
      <c r="A144" s="10" t="s">
        <v>1056</v>
      </c>
      <c r="B144" s="117">
        <v>554.15</v>
      </c>
      <c r="C144" s="117">
        <v>461.9</v>
      </c>
      <c r="D144" s="117">
        <v>427.65000000000003</v>
      </c>
      <c r="E144" s="117">
        <v>397.875</v>
      </c>
      <c r="F144" s="117">
        <v>451.85</v>
      </c>
      <c r="G144" s="117">
        <v>358.55</v>
      </c>
      <c r="H144" s="117">
        <v>309.09999999999997</v>
      </c>
      <c r="I144" s="117">
        <v>525.42500000000007</v>
      </c>
      <c r="J144" s="117">
        <v>426.07500000000005</v>
      </c>
      <c r="K144" s="117">
        <v>453.8</v>
      </c>
      <c r="L144" s="117">
        <v>422.54999999999995</v>
      </c>
      <c r="M144" s="117">
        <v>430.125</v>
      </c>
      <c r="N144" s="117">
        <v>236.05</v>
      </c>
      <c r="O144" s="117">
        <v>608.625</v>
      </c>
      <c r="P144" s="117">
        <v>684.94999999999993</v>
      </c>
      <c r="Q144" s="117">
        <v>812.64899999999989</v>
      </c>
      <c r="R144" s="117">
        <v>837.09999999999991</v>
      </c>
      <c r="S144" s="117">
        <v>828.173</v>
      </c>
      <c r="T144" s="117">
        <v>774.1</v>
      </c>
      <c r="U144" s="117">
        <v>449.07400000000001</v>
      </c>
      <c r="V144" s="117">
        <v>654.70199999999988</v>
      </c>
      <c r="W144" s="117">
        <v>755.09999999999991</v>
      </c>
      <c r="X144" s="117">
        <v>876.37500000000011</v>
      </c>
      <c r="Y144" s="117">
        <v>1549.95</v>
      </c>
    </row>
    <row r="145" spans="1:25" x14ac:dyDescent="0.3">
      <c r="A145" s="10" t="s">
        <v>967</v>
      </c>
      <c r="B145" s="117">
        <v>0</v>
      </c>
      <c r="C145" s="117">
        <v>0</v>
      </c>
      <c r="D145" s="117">
        <v>0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17">
        <v>0</v>
      </c>
      <c r="K145" s="117">
        <v>4.9800000000000004</v>
      </c>
      <c r="L145" s="117">
        <v>0</v>
      </c>
      <c r="M145" s="117">
        <v>0</v>
      </c>
      <c r="N145" s="117">
        <v>3.02</v>
      </c>
      <c r="O145" s="117">
        <v>0</v>
      </c>
      <c r="P145" s="117">
        <v>0</v>
      </c>
      <c r="Q145" s="117">
        <v>20.419999999999998</v>
      </c>
      <c r="R145" s="117">
        <v>8.98</v>
      </c>
      <c r="S145" s="117">
        <v>7.63</v>
      </c>
      <c r="T145" s="117">
        <v>9.7200000000000006</v>
      </c>
      <c r="U145" s="117">
        <v>3.91</v>
      </c>
      <c r="V145" s="117">
        <v>4.46</v>
      </c>
      <c r="W145" s="117">
        <v>5.22</v>
      </c>
      <c r="X145" s="117">
        <v>3.85</v>
      </c>
      <c r="Y145" s="117">
        <v>0</v>
      </c>
    </row>
    <row r="146" spans="1:25" x14ac:dyDescent="0.3">
      <c r="A146" s="10" t="s">
        <v>834</v>
      </c>
      <c r="B146" s="117">
        <v>0</v>
      </c>
      <c r="C146" s="117">
        <v>0</v>
      </c>
      <c r="D146" s="117">
        <v>0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17">
        <v>0</v>
      </c>
      <c r="K146" s="117">
        <v>0</v>
      </c>
      <c r="L146" s="117">
        <v>0</v>
      </c>
      <c r="M146" s="117">
        <v>0</v>
      </c>
      <c r="N146" s="117">
        <v>0</v>
      </c>
      <c r="O146" s="117">
        <v>0</v>
      </c>
      <c r="P146" s="117">
        <v>0</v>
      </c>
      <c r="Q146" s="117">
        <v>0</v>
      </c>
      <c r="R146" s="117">
        <v>0</v>
      </c>
      <c r="S146" s="117">
        <v>0</v>
      </c>
      <c r="T146" s="117">
        <v>0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</row>
    <row r="147" spans="1:25" x14ac:dyDescent="0.3">
      <c r="A147" s="10" t="s">
        <v>794</v>
      </c>
      <c r="B147" s="117">
        <v>0</v>
      </c>
      <c r="C147" s="117">
        <v>0</v>
      </c>
      <c r="D147" s="117">
        <v>0</v>
      </c>
      <c r="E147" s="117">
        <v>0</v>
      </c>
      <c r="F147" s="117">
        <v>0</v>
      </c>
      <c r="G147" s="117">
        <v>0</v>
      </c>
      <c r="H147" s="117">
        <v>0</v>
      </c>
      <c r="I147" s="117">
        <v>0</v>
      </c>
      <c r="J147" s="117">
        <v>0</v>
      </c>
      <c r="K147" s="117">
        <v>0</v>
      </c>
      <c r="L147" s="117">
        <v>0</v>
      </c>
      <c r="M147" s="117">
        <v>0</v>
      </c>
      <c r="N147" s="117">
        <v>0</v>
      </c>
      <c r="O147" s="117">
        <v>0</v>
      </c>
      <c r="P147" s="117">
        <v>0</v>
      </c>
      <c r="Q147" s="117">
        <v>0</v>
      </c>
      <c r="R147" s="117">
        <v>0</v>
      </c>
      <c r="S147" s="117">
        <v>0</v>
      </c>
      <c r="T147" s="117">
        <v>0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</row>
    <row r="148" spans="1:25" x14ac:dyDescent="0.3">
      <c r="A148" s="10" t="s">
        <v>791</v>
      </c>
      <c r="B148" s="117">
        <v>0</v>
      </c>
      <c r="C148" s="117">
        <v>0</v>
      </c>
      <c r="D148" s="117">
        <v>0</v>
      </c>
      <c r="E148" s="117">
        <v>0</v>
      </c>
      <c r="F148" s="117">
        <v>0</v>
      </c>
      <c r="G148" s="117">
        <v>0</v>
      </c>
      <c r="H148" s="117">
        <v>0</v>
      </c>
      <c r="I148" s="117">
        <v>0</v>
      </c>
      <c r="J148" s="117">
        <v>0</v>
      </c>
      <c r="K148" s="117">
        <v>0</v>
      </c>
      <c r="L148" s="117">
        <v>0</v>
      </c>
      <c r="M148" s="117">
        <v>0</v>
      </c>
      <c r="N148" s="117">
        <v>0</v>
      </c>
      <c r="O148" s="117">
        <v>0</v>
      </c>
      <c r="P148" s="117">
        <v>0</v>
      </c>
      <c r="Q148" s="117">
        <v>0</v>
      </c>
      <c r="R148" s="117">
        <v>0</v>
      </c>
      <c r="S148" s="117">
        <v>0</v>
      </c>
      <c r="T148" s="117">
        <v>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</row>
    <row r="149" spans="1:25" x14ac:dyDescent="0.3">
      <c r="A149" s="10" t="s">
        <v>793</v>
      </c>
      <c r="B149" s="117">
        <v>0</v>
      </c>
      <c r="C149" s="117">
        <v>0</v>
      </c>
      <c r="D149" s="117">
        <v>0</v>
      </c>
      <c r="E149" s="117">
        <v>0</v>
      </c>
      <c r="F149" s="117">
        <v>0</v>
      </c>
      <c r="G149" s="117">
        <v>0</v>
      </c>
      <c r="H149" s="117">
        <v>0</v>
      </c>
      <c r="I149" s="117">
        <v>0</v>
      </c>
      <c r="J149" s="117">
        <v>0</v>
      </c>
      <c r="K149" s="117">
        <v>0</v>
      </c>
      <c r="L149" s="117">
        <v>0</v>
      </c>
      <c r="M149" s="117">
        <v>0</v>
      </c>
      <c r="N149" s="117">
        <v>0</v>
      </c>
      <c r="O149" s="117">
        <v>0</v>
      </c>
      <c r="P149" s="117">
        <v>0</v>
      </c>
      <c r="Q149" s="117">
        <v>0</v>
      </c>
      <c r="R149" s="117">
        <v>0</v>
      </c>
      <c r="S149" s="117">
        <v>0</v>
      </c>
      <c r="T149" s="117">
        <v>0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</row>
    <row r="150" spans="1:25" x14ac:dyDescent="0.3">
      <c r="A150" s="10" t="s">
        <v>914</v>
      </c>
      <c r="B150" s="117">
        <v>24.115000000000002</v>
      </c>
      <c r="C150" s="117">
        <v>38.244999999999997</v>
      </c>
      <c r="D150" s="117">
        <v>40.633999999999993</v>
      </c>
      <c r="E150" s="117">
        <v>14.577999999999999</v>
      </c>
      <c r="F150" s="117">
        <v>27.003999999999998</v>
      </c>
      <c r="G150" s="117">
        <v>32.616999999999997</v>
      </c>
      <c r="H150" s="117">
        <v>27.678999999999998</v>
      </c>
      <c r="I150" s="117">
        <v>24.962</v>
      </c>
      <c r="J150" s="117">
        <v>34.71</v>
      </c>
      <c r="K150" s="117">
        <v>46.043000000000006</v>
      </c>
      <c r="L150" s="117">
        <v>30.095999999999997</v>
      </c>
      <c r="M150" s="117">
        <v>26.033999999999999</v>
      </c>
      <c r="N150" s="117">
        <v>34.338000000000001</v>
      </c>
      <c r="O150" s="117">
        <v>32.480000000000004</v>
      </c>
      <c r="P150" s="117">
        <v>32.512</v>
      </c>
      <c r="Q150" s="117">
        <v>27.947000000000003</v>
      </c>
      <c r="R150" s="117">
        <v>62.057000000000009</v>
      </c>
      <c r="S150" s="117">
        <v>26.627000000000002</v>
      </c>
      <c r="T150" s="117">
        <v>28.594000000000001</v>
      </c>
      <c r="U150" s="117">
        <v>26.539000000000001</v>
      </c>
      <c r="V150" s="117">
        <v>16.480999999999998</v>
      </c>
      <c r="W150" s="117">
        <v>37.692</v>
      </c>
      <c r="X150" s="117">
        <v>24.962000000000003</v>
      </c>
      <c r="Y150" s="117">
        <v>82.925000000000011</v>
      </c>
    </row>
    <row r="151" spans="1:25" x14ac:dyDescent="0.3">
      <c r="A151" s="10" t="s">
        <v>745</v>
      </c>
      <c r="B151" s="117">
        <v>70.794999999999987</v>
      </c>
      <c r="C151" s="117">
        <v>71.934999999999988</v>
      </c>
      <c r="D151" s="117">
        <v>109.248</v>
      </c>
      <c r="E151" s="117">
        <v>42.365000000000002</v>
      </c>
      <c r="F151" s="117">
        <v>93.997</v>
      </c>
      <c r="G151" s="117">
        <v>90.942000000000007</v>
      </c>
      <c r="H151" s="117">
        <v>91.218000000000004</v>
      </c>
      <c r="I151" s="117">
        <v>80.132999999999996</v>
      </c>
      <c r="J151" s="117">
        <v>87.073999999999998</v>
      </c>
      <c r="K151" s="117">
        <v>85.397000000000006</v>
      </c>
      <c r="L151" s="117">
        <v>33.931000000000004</v>
      </c>
      <c r="M151" s="117">
        <v>30.551000000000002</v>
      </c>
      <c r="N151" s="117">
        <v>54.533000000000008</v>
      </c>
      <c r="O151" s="117">
        <v>44.853000000000009</v>
      </c>
      <c r="P151" s="117">
        <v>77.743999999999986</v>
      </c>
      <c r="Q151" s="117">
        <v>50.341000000000001</v>
      </c>
      <c r="R151" s="117">
        <v>69.710999999999999</v>
      </c>
      <c r="S151" s="117">
        <v>30.297999999999998</v>
      </c>
      <c r="T151" s="117">
        <v>63.50200000000001</v>
      </c>
      <c r="U151" s="117">
        <v>90.77600000000001</v>
      </c>
      <c r="V151" s="117">
        <v>54.966999999999999</v>
      </c>
      <c r="W151" s="117">
        <v>51.454000000000008</v>
      </c>
      <c r="X151" s="117">
        <v>72.596000000000004</v>
      </c>
      <c r="Y151" s="117">
        <v>105.84500000000001</v>
      </c>
    </row>
    <row r="152" spans="1:25" x14ac:dyDescent="0.3">
      <c r="A152" s="10" t="s">
        <v>786</v>
      </c>
      <c r="B152" s="117">
        <v>7.6049999999999995</v>
      </c>
      <c r="C152" s="117">
        <v>13.784000000000001</v>
      </c>
      <c r="D152" s="117">
        <v>12.944000000000001</v>
      </c>
      <c r="E152" s="117">
        <v>16.881</v>
      </c>
      <c r="F152" s="117">
        <v>19.856999999999999</v>
      </c>
      <c r="G152" s="117">
        <v>23.169999999999998</v>
      </c>
      <c r="H152" s="117">
        <v>20.499000000000002</v>
      </c>
      <c r="I152" s="117">
        <v>20.189999999999998</v>
      </c>
      <c r="J152" s="117">
        <v>31.067999999999998</v>
      </c>
      <c r="K152" s="117">
        <v>14.373999999999999</v>
      </c>
      <c r="L152" s="117">
        <v>21.8</v>
      </c>
      <c r="M152" s="117">
        <v>16.257000000000001</v>
      </c>
      <c r="N152" s="117">
        <v>14.709</v>
      </c>
      <c r="O152" s="117">
        <v>23.262</v>
      </c>
      <c r="P152" s="117">
        <v>3.7080000000000002</v>
      </c>
      <c r="Q152" s="117">
        <v>18.329999999999998</v>
      </c>
      <c r="R152" s="117">
        <v>7.1840000000000002</v>
      </c>
      <c r="S152" s="117">
        <v>15.696000000000002</v>
      </c>
      <c r="T152" s="117">
        <v>14.268999999999998</v>
      </c>
      <c r="U152" s="117">
        <v>14.318</v>
      </c>
      <c r="V152" s="117">
        <v>6.883</v>
      </c>
      <c r="W152" s="117">
        <v>7.3730000000000002</v>
      </c>
      <c r="X152" s="117">
        <v>0.80800000000000005</v>
      </c>
      <c r="Y152" s="117">
        <v>14.251000000000001</v>
      </c>
    </row>
    <row r="153" spans="1:25" x14ac:dyDescent="0.3">
      <c r="A153" s="10" t="s">
        <v>747</v>
      </c>
      <c r="B153" s="117">
        <v>200.30799999999999</v>
      </c>
      <c r="C153" s="117">
        <v>172.63499999999996</v>
      </c>
      <c r="D153" s="117">
        <v>186.126</v>
      </c>
      <c r="E153" s="117">
        <v>177.059</v>
      </c>
      <c r="F153" s="117">
        <v>252.25300000000001</v>
      </c>
      <c r="G153" s="117">
        <v>217.32600000000002</v>
      </c>
      <c r="H153" s="117">
        <v>275.71899999999994</v>
      </c>
      <c r="I153" s="117">
        <v>240.98400000000001</v>
      </c>
      <c r="J153" s="117">
        <v>222.30200000000002</v>
      </c>
      <c r="K153" s="117">
        <v>276.07699999999994</v>
      </c>
      <c r="L153" s="117">
        <v>218.86000000000007</v>
      </c>
      <c r="M153" s="117">
        <v>234.69800000000001</v>
      </c>
      <c r="N153" s="117">
        <v>223.37600000000009</v>
      </c>
      <c r="O153" s="117">
        <v>212.24700000000004</v>
      </c>
      <c r="P153" s="117">
        <v>242.59700000000004</v>
      </c>
      <c r="Q153" s="117">
        <v>268.40000000000003</v>
      </c>
      <c r="R153" s="117">
        <v>207.39300000000003</v>
      </c>
      <c r="S153" s="117">
        <v>216.45800000000006</v>
      </c>
      <c r="T153" s="117">
        <v>235.01100000000005</v>
      </c>
      <c r="U153" s="117">
        <v>212.15700000000001</v>
      </c>
      <c r="V153" s="117">
        <v>198.88899999999998</v>
      </c>
      <c r="W153" s="117">
        <v>207.37500000000009</v>
      </c>
      <c r="X153" s="117">
        <v>175.81700000000001</v>
      </c>
      <c r="Y153" s="117">
        <v>382.36800000000017</v>
      </c>
    </row>
    <row r="154" spans="1:25" x14ac:dyDescent="0.3">
      <c r="A154" s="10" t="s">
        <v>748</v>
      </c>
      <c r="B154" s="117">
        <v>99.191999999999979</v>
      </c>
      <c r="C154" s="117">
        <v>81.620000000000019</v>
      </c>
      <c r="D154" s="117">
        <v>86.506000000000014</v>
      </c>
      <c r="E154" s="117">
        <v>114.94299999999998</v>
      </c>
      <c r="F154" s="117">
        <v>102.80399999999997</v>
      </c>
      <c r="G154" s="117">
        <v>118.34299999999999</v>
      </c>
      <c r="H154" s="117">
        <v>110.53900000000002</v>
      </c>
      <c r="I154" s="117">
        <v>101.17199999999998</v>
      </c>
      <c r="J154" s="117">
        <v>108.58199999999999</v>
      </c>
      <c r="K154" s="117">
        <v>52.123999999999995</v>
      </c>
      <c r="L154" s="117">
        <v>42.683999999999997</v>
      </c>
      <c r="M154" s="117">
        <v>83.331000000000017</v>
      </c>
      <c r="N154" s="117">
        <v>71.201999999999998</v>
      </c>
      <c r="O154" s="117">
        <v>39.968000000000004</v>
      </c>
      <c r="P154" s="117">
        <v>45.350000000000016</v>
      </c>
      <c r="Q154" s="117">
        <v>74.704999999999998</v>
      </c>
      <c r="R154" s="117">
        <v>31.045000000000002</v>
      </c>
      <c r="S154" s="117">
        <v>60.594000000000001</v>
      </c>
      <c r="T154" s="117">
        <v>47.811</v>
      </c>
      <c r="U154" s="117">
        <v>36.74</v>
      </c>
      <c r="V154" s="117">
        <v>64.397999999999996</v>
      </c>
      <c r="W154" s="117">
        <v>61.326000000000008</v>
      </c>
      <c r="X154" s="117">
        <v>61.592000000000013</v>
      </c>
      <c r="Y154" s="117">
        <v>107.75100000000002</v>
      </c>
    </row>
    <row r="155" spans="1:25" x14ac:dyDescent="0.3">
      <c r="A155" s="10" t="s">
        <v>749</v>
      </c>
      <c r="B155" s="117">
        <v>1.3919999999999999</v>
      </c>
      <c r="C155" s="117">
        <v>0</v>
      </c>
      <c r="D155" s="117">
        <v>0</v>
      </c>
      <c r="E155" s="117">
        <v>0</v>
      </c>
      <c r="F155" s="117">
        <v>0</v>
      </c>
      <c r="G155" s="117">
        <v>0</v>
      </c>
      <c r="H155" s="117">
        <v>0</v>
      </c>
      <c r="I155" s="117">
        <v>0</v>
      </c>
      <c r="J155" s="117">
        <v>0</v>
      </c>
      <c r="K155" s="117">
        <v>0</v>
      </c>
      <c r="L155" s="117">
        <v>0</v>
      </c>
      <c r="M155" s="117">
        <v>0</v>
      </c>
      <c r="N155" s="117">
        <v>0</v>
      </c>
      <c r="O155" s="117">
        <v>0</v>
      </c>
      <c r="P155" s="117">
        <v>0</v>
      </c>
      <c r="Q155" s="117">
        <v>0</v>
      </c>
      <c r="R155" s="117">
        <v>0</v>
      </c>
      <c r="S155" s="117">
        <v>0</v>
      </c>
      <c r="T155" s="117">
        <v>0</v>
      </c>
      <c r="U155" s="117">
        <v>0</v>
      </c>
      <c r="V155" s="117">
        <v>0</v>
      </c>
      <c r="W155" s="117">
        <v>0</v>
      </c>
      <c r="X155" s="117">
        <v>0</v>
      </c>
      <c r="Y155" s="117">
        <v>0</v>
      </c>
    </row>
    <row r="156" spans="1:25" x14ac:dyDescent="0.3">
      <c r="A156" s="10" t="s">
        <v>953</v>
      </c>
      <c r="B156" s="117">
        <v>9.5810000000000013</v>
      </c>
      <c r="C156" s="117">
        <v>8.61</v>
      </c>
      <c r="D156" s="117">
        <v>9.266</v>
      </c>
      <c r="E156" s="117">
        <v>6.3689999999999998</v>
      </c>
      <c r="F156" s="117">
        <v>24.548999999999999</v>
      </c>
      <c r="G156" s="117">
        <v>18.234999999999999</v>
      </c>
      <c r="H156" s="117">
        <v>13.655000000000001</v>
      </c>
      <c r="I156" s="117">
        <v>20.114999999999998</v>
      </c>
      <c r="J156" s="117">
        <v>29.355</v>
      </c>
      <c r="K156" s="117">
        <v>16.908000000000001</v>
      </c>
      <c r="L156" s="117">
        <v>12.56</v>
      </c>
      <c r="M156" s="117">
        <v>38.371000000000002</v>
      </c>
      <c r="N156" s="117">
        <v>22.817</v>
      </c>
      <c r="O156" s="117">
        <v>10.119</v>
      </c>
      <c r="P156" s="117">
        <v>0</v>
      </c>
      <c r="Q156" s="117">
        <v>0</v>
      </c>
      <c r="R156" s="117">
        <v>0</v>
      </c>
      <c r="S156" s="117">
        <v>0</v>
      </c>
      <c r="T156" s="117">
        <v>8.0330000000000013</v>
      </c>
      <c r="U156" s="117">
        <v>16.231999999999999</v>
      </c>
      <c r="V156" s="117">
        <v>7.5180000000000007</v>
      </c>
      <c r="W156" s="117">
        <v>8.9600000000000009</v>
      </c>
      <c r="X156" s="117">
        <v>15.559000000000001</v>
      </c>
      <c r="Y156" s="117">
        <v>38.399000000000015</v>
      </c>
    </row>
    <row r="157" spans="1:25" x14ac:dyDescent="0.3">
      <c r="A157" s="10" t="s">
        <v>750</v>
      </c>
      <c r="B157" s="117">
        <v>36.537000000000006</v>
      </c>
      <c r="C157" s="117">
        <v>31.145</v>
      </c>
      <c r="D157" s="117">
        <v>32.650999999999996</v>
      </c>
      <c r="E157" s="117">
        <v>27.338999999999999</v>
      </c>
      <c r="F157" s="117">
        <v>35.117000000000004</v>
      </c>
      <c r="G157" s="117">
        <v>27.140999999999998</v>
      </c>
      <c r="H157" s="117">
        <v>30.372</v>
      </c>
      <c r="I157" s="117">
        <v>33.912999999999997</v>
      </c>
      <c r="J157" s="117">
        <v>26.673999999999999</v>
      </c>
      <c r="K157" s="117">
        <v>29.98</v>
      </c>
      <c r="L157" s="117">
        <v>28.959000000000003</v>
      </c>
      <c r="M157" s="117">
        <v>30.998000000000001</v>
      </c>
      <c r="N157" s="117">
        <v>29.001999999999999</v>
      </c>
      <c r="O157" s="117">
        <v>27.457000000000001</v>
      </c>
      <c r="P157" s="117">
        <v>26.443999999999999</v>
      </c>
      <c r="Q157" s="117">
        <v>37.806999999999995</v>
      </c>
      <c r="R157" s="117">
        <v>26.516999999999999</v>
      </c>
      <c r="S157" s="117">
        <v>27.053000000000001</v>
      </c>
      <c r="T157" s="117">
        <v>26.85</v>
      </c>
      <c r="U157" s="117">
        <v>27.709</v>
      </c>
      <c r="V157" s="117">
        <v>27.128</v>
      </c>
      <c r="W157" s="117">
        <v>23.393999999999998</v>
      </c>
      <c r="X157" s="117">
        <v>23.900000000000002</v>
      </c>
      <c r="Y157" s="117">
        <v>41.351999999999997</v>
      </c>
    </row>
    <row r="158" spans="1:25" x14ac:dyDescent="0.3">
      <c r="A158" s="10" t="s">
        <v>751</v>
      </c>
      <c r="B158" s="117">
        <v>100.21599999999999</v>
      </c>
      <c r="C158" s="117">
        <v>91.122000000000014</v>
      </c>
      <c r="D158" s="117">
        <v>86.360000000000014</v>
      </c>
      <c r="E158" s="117">
        <v>110.98299999999999</v>
      </c>
      <c r="F158" s="117">
        <v>134.63500000000002</v>
      </c>
      <c r="G158" s="117">
        <v>143.25200000000001</v>
      </c>
      <c r="H158" s="117">
        <v>168.71399999999997</v>
      </c>
      <c r="I158" s="117">
        <v>138.56300000000002</v>
      </c>
      <c r="J158" s="117">
        <v>134.78800000000001</v>
      </c>
      <c r="K158" s="117">
        <v>113.84500000000001</v>
      </c>
      <c r="L158" s="117">
        <v>95.422000000000011</v>
      </c>
      <c r="M158" s="117">
        <v>137.38599999999997</v>
      </c>
      <c r="N158" s="117">
        <v>107.151</v>
      </c>
      <c r="O158" s="117">
        <v>74.764000000000024</v>
      </c>
      <c r="P158" s="117">
        <v>105.56499999999998</v>
      </c>
      <c r="Q158" s="117">
        <v>108.88799999999999</v>
      </c>
      <c r="R158" s="117">
        <v>111.38899999999998</v>
      </c>
      <c r="S158" s="117">
        <v>74.423000000000002</v>
      </c>
      <c r="T158" s="117">
        <v>41.403999999999996</v>
      </c>
      <c r="U158" s="117">
        <v>51.328999999999994</v>
      </c>
      <c r="V158" s="117">
        <v>60.152000000000008</v>
      </c>
      <c r="W158" s="117">
        <v>67.548999999999992</v>
      </c>
      <c r="X158" s="117">
        <v>84.022999999999996</v>
      </c>
      <c r="Y158" s="117">
        <v>148.32400000000001</v>
      </c>
    </row>
    <row r="159" spans="1:25" x14ac:dyDescent="0.3">
      <c r="A159" s="10" t="s">
        <v>752</v>
      </c>
      <c r="B159" s="117">
        <v>7.7130000000000001</v>
      </c>
      <c r="C159" s="117">
        <v>13.914999999999999</v>
      </c>
      <c r="D159" s="117">
        <v>3.63</v>
      </c>
      <c r="E159" s="117">
        <v>7.9209999999999994</v>
      </c>
      <c r="F159" s="117">
        <v>8.7420000000000009</v>
      </c>
      <c r="G159" s="117">
        <v>10.565999999999999</v>
      </c>
      <c r="H159" s="117">
        <v>9.14</v>
      </c>
      <c r="I159" s="117">
        <v>5.1449999999999996</v>
      </c>
      <c r="J159" s="117">
        <v>4.34</v>
      </c>
      <c r="K159" s="117">
        <v>0</v>
      </c>
      <c r="L159" s="117">
        <v>2.335</v>
      </c>
      <c r="M159" s="117">
        <v>9.9809999999999999</v>
      </c>
      <c r="N159" s="117">
        <v>5.2409999999999997</v>
      </c>
      <c r="O159" s="117">
        <v>1.794</v>
      </c>
      <c r="P159" s="117">
        <v>5.1790000000000003</v>
      </c>
      <c r="Q159" s="117">
        <v>3.9870000000000001</v>
      </c>
      <c r="R159" s="117">
        <v>0</v>
      </c>
      <c r="S159" s="117">
        <v>5.5679999999999996</v>
      </c>
      <c r="T159" s="117">
        <v>0</v>
      </c>
      <c r="U159" s="117">
        <v>4.4130000000000003</v>
      </c>
      <c r="V159" s="117">
        <v>3.8460000000000001</v>
      </c>
      <c r="W159" s="117">
        <v>5.14</v>
      </c>
      <c r="X159" s="117">
        <v>3.9089999999999998</v>
      </c>
      <c r="Y159" s="117">
        <v>7.99</v>
      </c>
    </row>
    <row r="160" spans="1:25" x14ac:dyDescent="0.3">
      <c r="A160" s="10" t="s">
        <v>753</v>
      </c>
      <c r="B160" s="117">
        <v>12.971</v>
      </c>
      <c r="C160" s="117">
        <v>2.694</v>
      </c>
      <c r="D160" s="117">
        <v>19.030999999999999</v>
      </c>
      <c r="E160" s="117">
        <v>22.6</v>
      </c>
      <c r="F160" s="117">
        <v>40.478999999999999</v>
      </c>
      <c r="G160" s="117">
        <v>38.647999999999996</v>
      </c>
      <c r="H160" s="117">
        <v>55.929000000000002</v>
      </c>
      <c r="I160" s="117">
        <v>9.9369999999999994</v>
      </c>
      <c r="J160" s="117">
        <v>30.768999999999998</v>
      </c>
      <c r="K160" s="117">
        <v>22.887</v>
      </c>
      <c r="L160" s="117">
        <v>23.870999999999999</v>
      </c>
      <c r="M160" s="117">
        <v>17.343</v>
      </c>
      <c r="N160" s="117">
        <v>9.5319999999999983</v>
      </c>
      <c r="O160" s="117">
        <v>35.042000000000002</v>
      </c>
      <c r="P160" s="117">
        <v>19.850000000000001</v>
      </c>
      <c r="Q160" s="117">
        <v>44.395999999999994</v>
      </c>
      <c r="R160" s="117">
        <v>1.236</v>
      </c>
      <c r="S160" s="117">
        <v>0</v>
      </c>
      <c r="T160" s="117">
        <v>30.180999999999997</v>
      </c>
      <c r="U160" s="117">
        <v>30.265000000000001</v>
      </c>
      <c r="V160" s="117">
        <v>32.385999999999996</v>
      </c>
      <c r="W160" s="117">
        <v>11.427999999999999</v>
      </c>
      <c r="X160" s="117">
        <v>41.209000000000003</v>
      </c>
      <c r="Y160" s="117">
        <v>45.001999999999995</v>
      </c>
    </row>
    <row r="161" spans="1:25" x14ac:dyDescent="0.3">
      <c r="A161" s="10" t="s">
        <v>754</v>
      </c>
      <c r="B161" s="117">
        <v>26.778000000000002</v>
      </c>
      <c r="C161" s="117">
        <v>43.997999999999998</v>
      </c>
      <c r="D161" s="117">
        <v>25.472999999999999</v>
      </c>
      <c r="E161" s="117">
        <v>58.86</v>
      </c>
      <c r="F161" s="117">
        <v>47.088000000000001</v>
      </c>
      <c r="G161" s="117">
        <v>32.853999999999999</v>
      </c>
      <c r="H161" s="117">
        <v>33.282000000000004</v>
      </c>
      <c r="I161" s="117">
        <v>39.67</v>
      </c>
      <c r="J161" s="117">
        <v>17.692999999999998</v>
      </c>
      <c r="K161" s="117">
        <v>69.397000000000006</v>
      </c>
      <c r="L161" s="117">
        <v>48.360999999999997</v>
      </c>
      <c r="M161" s="117">
        <v>33.713999999999999</v>
      </c>
      <c r="N161" s="117">
        <v>25.17</v>
      </c>
      <c r="O161" s="117">
        <v>62.939000000000007</v>
      </c>
      <c r="P161" s="117">
        <v>23.157</v>
      </c>
      <c r="Q161" s="117">
        <v>0</v>
      </c>
      <c r="R161" s="117">
        <v>47.265999999999998</v>
      </c>
      <c r="S161" s="117">
        <v>28.631</v>
      </c>
      <c r="T161" s="117">
        <v>35.363999999999997</v>
      </c>
      <c r="U161" s="117">
        <v>36</v>
      </c>
      <c r="V161" s="117">
        <v>41.406999999999996</v>
      </c>
      <c r="W161" s="117">
        <v>45.182000000000002</v>
      </c>
      <c r="X161" s="117">
        <v>56.646999999999998</v>
      </c>
      <c r="Y161" s="117">
        <v>84.114999999999995</v>
      </c>
    </row>
    <row r="162" spans="1:25" x14ac:dyDescent="0.3">
      <c r="A162" s="10" t="s">
        <v>755</v>
      </c>
      <c r="B162" s="117">
        <v>47.475000000000001</v>
      </c>
      <c r="C162" s="117">
        <v>49.087000000000003</v>
      </c>
      <c r="D162" s="117">
        <v>48.367999999999995</v>
      </c>
      <c r="E162" s="117">
        <v>55.778999999999996</v>
      </c>
      <c r="F162" s="117">
        <v>57.827999999999996</v>
      </c>
      <c r="G162" s="117">
        <v>93.838999999999999</v>
      </c>
      <c r="H162" s="117">
        <v>35.798999999999999</v>
      </c>
      <c r="I162" s="117">
        <v>18.811000000000003</v>
      </c>
      <c r="J162" s="117">
        <v>3.9670000000000001</v>
      </c>
      <c r="K162" s="117">
        <v>3.8620000000000001</v>
      </c>
      <c r="L162" s="117">
        <v>0</v>
      </c>
      <c r="M162" s="117">
        <v>6.4939999999999998</v>
      </c>
      <c r="N162" s="117">
        <v>9.23</v>
      </c>
      <c r="O162" s="117">
        <v>6.57</v>
      </c>
      <c r="P162" s="117">
        <v>25.507000000000001</v>
      </c>
      <c r="Q162" s="117">
        <v>8.1690000000000005</v>
      </c>
      <c r="R162" s="117">
        <v>7.5209999999999999</v>
      </c>
      <c r="S162" s="117">
        <v>12.667000000000002</v>
      </c>
      <c r="T162" s="117">
        <v>16.931000000000001</v>
      </c>
      <c r="U162" s="117">
        <v>4.5149999999999997</v>
      </c>
      <c r="V162" s="117">
        <v>18.425999999999998</v>
      </c>
      <c r="W162" s="117">
        <v>3.5840000000000001</v>
      </c>
      <c r="X162" s="117">
        <v>5.452</v>
      </c>
      <c r="Y162" s="117">
        <v>7.9039999999999999</v>
      </c>
    </row>
    <row r="163" spans="1:25" x14ac:dyDescent="0.3">
      <c r="A163" s="10" t="s">
        <v>756</v>
      </c>
      <c r="B163" s="117">
        <v>27.557000000000002</v>
      </c>
      <c r="C163" s="117">
        <v>1.5529999999999999</v>
      </c>
      <c r="D163" s="117">
        <v>25.062000000000001</v>
      </c>
      <c r="E163" s="117">
        <v>16.484000000000002</v>
      </c>
      <c r="F163" s="117">
        <v>19.740000000000002</v>
      </c>
      <c r="G163" s="117">
        <v>17.135999999999999</v>
      </c>
      <c r="H163" s="117">
        <v>24.236000000000001</v>
      </c>
      <c r="I163" s="117">
        <v>31.785000000000004</v>
      </c>
      <c r="J163" s="117">
        <v>28.273</v>
      </c>
      <c r="K163" s="117">
        <v>27.247</v>
      </c>
      <c r="L163" s="117">
        <v>7.6280000000000001</v>
      </c>
      <c r="M163" s="117">
        <v>16.521999999999998</v>
      </c>
      <c r="N163" s="117">
        <v>29.225999999999999</v>
      </c>
      <c r="O163" s="117">
        <v>0</v>
      </c>
      <c r="P163" s="117">
        <v>15.704000000000001</v>
      </c>
      <c r="Q163" s="117">
        <v>4.5369999999999999</v>
      </c>
      <c r="R163" s="117">
        <v>2.0390000000000001</v>
      </c>
      <c r="S163" s="117">
        <v>0</v>
      </c>
      <c r="T163" s="117">
        <v>0</v>
      </c>
      <c r="U163" s="117">
        <v>0</v>
      </c>
      <c r="V163" s="117">
        <v>0</v>
      </c>
      <c r="W163" s="117">
        <v>0</v>
      </c>
      <c r="X163" s="117">
        <v>0</v>
      </c>
      <c r="Y163" s="117">
        <v>0</v>
      </c>
    </row>
    <row r="164" spans="1:25" x14ac:dyDescent="0.3">
      <c r="A164" s="10" t="s">
        <v>757</v>
      </c>
      <c r="B164" s="117">
        <v>249.88200000000001</v>
      </c>
      <c r="C164" s="117">
        <v>202.63600000000002</v>
      </c>
      <c r="D164" s="117">
        <v>247.26799999999997</v>
      </c>
      <c r="E164" s="117">
        <v>227.36999999999998</v>
      </c>
      <c r="F164" s="117">
        <v>199.49800000000005</v>
      </c>
      <c r="G164" s="117">
        <v>240.67700000000005</v>
      </c>
      <c r="H164" s="117">
        <v>238.97600000000006</v>
      </c>
      <c r="I164" s="117">
        <v>257.74400000000009</v>
      </c>
      <c r="J164" s="117">
        <v>266.65100000000007</v>
      </c>
      <c r="K164" s="117">
        <v>260.85599999999994</v>
      </c>
      <c r="L164" s="117">
        <v>237.92199999999997</v>
      </c>
      <c r="M164" s="117">
        <v>281.28400000000005</v>
      </c>
      <c r="N164" s="117">
        <v>198.83299999999994</v>
      </c>
      <c r="O164" s="117">
        <v>198.18200000000004</v>
      </c>
      <c r="P164" s="117">
        <v>165.06799999999998</v>
      </c>
      <c r="Q164" s="117">
        <v>182.60799999999995</v>
      </c>
      <c r="R164" s="117">
        <v>207.53</v>
      </c>
      <c r="S164" s="117">
        <v>185.30699999999996</v>
      </c>
      <c r="T164" s="117">
        <v>183.976</v>
      </c>
      <c r="U164" s="117">
        <v>224.405</v>
      </c>
      <c r="V164" s="117">
        <v>162.416</v>
      </c>
      <c r="W164" s="117">
        <v>184.17499999999998</v>
      </c>
      <c r="X164" s="117">
        <v>201.874</v>
      </c>
      <c r="Y164" s="117">
        <v>412.9989999999998</v>
      </c>
    </row>
    <row r="165" spans="1:25" x14ac:dyDescent="0.3">
      <c r="A165" s="10" t="s">
        <v>904</v>
      </c>
      <c r="B165" s="117">
        <v>438.58699999999999</v>
      </c>
      <c r="C165" s="117">
        <v>368.32100000000003</v>
      </c>
      <c r="D165" s="117">
        <v>305.63600000000008</v>
      </c>
      <c r="E165" s="117">
        <v>360.58800000000008</v>
      </c>
      <c r="F165" s="117">
        <v>276.83399999999995</v>
      </c>
      <c r="G165" s="117">
        <v>298.37200000000001</v>
      </c>
      <c r="H165" s="117">
        <v>425.16000000000014</v>
      </c>
      <c r="I165" s="117">
        <v>358.01400000000007</v>
      </c>
      <c r="J165" s="117">
        <v>411.11199999999991</v>
      </c>
      <c r="K165" s="117">
        <v>339.762</v>
      </c>
      <c r="L165" s="117">
        <v>341.51500000000004</v>
      </c>
      <c r="M165" s="117">
        <v>338.92700000000008</v>
      </c>
      <c r="N165" s="117">
        <v>320.12600000000003</v>
      </c>
      <c r="O165" s="117">
        <v>323.06399999999996</v>
      </c>
      <c r="P165" s="117">
        <v>332.44400000000002</v>
      </c>
      <c r="Q165" s="117">
        <v>260.56899999999996</v>
      </c>
      <c r="R165" s="117">
        <v>0</v>
      </c>
      <c r="S165" s="117">
        <v>0</v>
      </c>
      <c r="T165" s="117">
        <v>203.42899999999997</v>
      </c>
      <c r="U165" s="117">
        <v>282.03400000000005</v>
      </c>
      <c r="V165" s="117">
        <v>292.10200000000003</v>
      </c>
      <c r="W165" s="117">
        <v>369.04900000000004</v>
      </c>
      <c r="X165" s="117">
        <v>270.798</v>
      </c>
      <c r="Y165" s="117">
        <v>637.01699999999971</v>
      </c>
    </row>
    <row r="166" spans="1:25" x14ac:dyDescent="0.3">
      <c r="A166" s="10" t="s">
        <v>758</v>
      </c>
      <c r="B166" s="117">
        <v>109.33399999999997</v>
      </c>
      <c r="C166" s="117">
        <v>68.436999999999998</v>
      </c>
      <c r="D166" s="117">
        <v>94.612999999999985</v>
      </c>
      <c r="E166" s="117">
        <v>129.91000000000003</v>
      </c>
      <c r="F166" s="117">
        <v>102.24400000000001</v>
      </c>
      <c r="G166" s="117">
        <v>118.27100000000002</v>
      </c>
      <c r="H166" s="117">
        <v>115.08399999999999</v>
      </c>
      <c r="I166" s="117">
        <v>165.17000000000004</v>
      </c>
      <c r="J166" s="117">
        <v>109.34900000000002</v>
      </c>
      <c r="K166" s="117">
        <v>145.30499999999998</v>
      </c>
      <c r="L166" s="117">
        <v>133.91300000000001</v>
      </c>
      <c r="M166" s="117">
        <v>121.24099999999999</v>
      </c>
      <c r="N166" s="117">
        <v>96.313999999999993</v>
      </c>
      <c r="O166" s="117">
        <v>95.64700000000002</v>
      </c>
      <c r="P166" s="117">
        <v>95.991</v>
      </c>
      <c r="Q166" s="117">
        <v>125.57100000000001</v>
      </c>
      <c r="R166" s="117">
        <v>117.96400000000001</v>
      </c>
      <c r="S166" s="117">
        <v>109.06700000000002</v>
      </c>
      <c r="T166" s="117">
        <v>115.88799999999999</v>
      </c>
      <c r="U166" s="117">
        <v>111.78099999999999</v>
      </c>
      <c r="V166" s="117">
        <v>118.00600000000003</v>
      </c>
      <c r="W166" s="117">
        <v>93.248000000000033</v>
      </c>
      <c r="X166" s="117">
        <v>86.35499999999999</v>
      </c>
      <c r="Y166" s="117">
        <v>208.928</v>
      </c>
    </row>
    <row r="167" spans="1:25" x14ac:dyDescent="0.3">
      <c r="A167" s="10" t="s">
        <v>759</v>
      </c>
      <c r="B167" s="117">
        <v>40.506999999999998</v>
      </c>
      <c r="C167" s="117">
        <v>69.771000000000001</v>
      </c>
      <c r="D167" s="117">
        <v>40.498999999999995</v>
      </c>
      <c r="E167" s="117">
        <v>30.170999999999999</v>
      </c>
      <c r="F167" s="117">
        <v>48.713000000000001</v>
      </c>
      <c r="G167" s="117">
        <v>20.969000000000001</v>
      </c>
      <c r="H167" s="117">
        <v>71.407999999999987</v>
      </c>
      <c r="I167" s="117">
        <v>55.733000000000004</v>
      </c>
      <c r="J167" s="117">
        <v>39.366999999999997</v>
      </c>
      <c r="K167" s="117">
        <v>62.593999999999994</v>
      </c>
      <c r="L167" s="117">
        <v>34.432000000000002</v>
      </c>
      <c r="M167" s="117">
        <v>22.925000000000004</v>
      </c>
      <c r="N167" s="117">
        <v>49.91</v>
      </c>
      <c r="O167" s="117">
        <v>33.936</v>
      </c>
      <c r="P167" s="117">
        <v>52.944000000000003</v>
      </c>
      <c r="Q167" s="117">
        <v>20.491</v>
      </c>
      <c r="R167" s="117">
        <v>45.626000000000005</v>
      </c>
      <c r="S167" s="117">
        <v>33.772999999999996</v>
      </c>
      <c r="T167" s="117">
        <v>35.618999999999993</v>
      </c>
      <c r="U167" s="117">
        <v>58.603999999999992</v>
      </c>
      <c r="V167" s="117">
        <v>30.372</v>
      </c>
      <c r="W167" s="117">
        <v>25.57</v>
      </c>
      <c r="X167" s="117">
        <v>47.969000000000001</v>
      </c>
      <c r="Y167" s="117">
        <v>73.087999999999994</v>
      </c>
    </row>
    <row r="168" spans="1:25" x14ac:dyDescent="0.3">
      <c r="A168" s="10" t="s">
        <v>1068</v>
      </c>
      <c r="B168" s="117">
        <v>0</v>
      </c>
      <c r="C168" s="117">
        <v>35.927</v>
      </c>
      <c r="D168" s="117">
        <v>35.307000000000002</v>
      </c>
      <c r="E168" s="117">
        <v>48.718000000000004</v>
      </c>
      <c r="F168" s="117">
        <v>36.765000000000001</v>
      </c>
      <c r="G168" s="117">
        <v>16.096999999999998</v>
      </c>
      <c r="H168" s="117">
        <v>36.192</v>
      </c>
      <c r="I168" s="117">
        <v>37.629000000000005</v>
      </c>
      <c r="J168" s="117">
        <v>43.149000000000001</v>
      </c>
      <c r="K168" s="117">
        <v>13.600999999999999</v>
      </c>
      <c r="L168" s="117">
        <v>13.687999999999999</v>
      </c>
      <c r="M168" s="117">
        <v>15.000000000000002</v>
      </c>
      <c r="N168" s="117">
        <v>29.780999999999999</v>
      </c>
      <c r="O168" s="117">
        <v>36.007000000000005</v>
      </c>
      <c r="P168" s="117">
        <v>41.405000000000001</v>
      </c>
      <c r="Q168" s="117">
        <v>16.177</v>
      </c>
      <c r="R168" s="117">
        <v>34.869</v>
      </c>
      <c r="S168" s="117">
        <v>0</v>
      </c>
      <c r="T168" s="117">
        <v>19.07</v>
      </c>
      <c r="U168" s="117">
        <v>50.77</v>
      </c>
      <c r="V168" s="117">
        <v>30.683</v>
      </c>
      <c r="W168" s="117">
        <v>28.806000000000001</v>
      </c>
      <c r="X168" s="117">
        <v>32.58</v>
      </c>
      <c r="Y168" s="117">
        <v>49.772000000000013</v>
      </c>
    </row>
    <row r="169" spans="1:25" x14ac:dyDescent="0.3">
      <c r="A169" s="10" t="s">
        <v>760</v>
      </c>
      <c r="B169" s="117">
        <v>213.779</v>
      </c>
      <c r="C169" s="117">
        <v>232.35399999999996</v>
      </c>
      <c r="D169" s="117">
        <v>214.06899999999996</v>
      </c>
      <c r="E169" s="117">
        <v>4.5140000000000002</v>
      </c>
      <c r="F169" s="117">
        <v>0.44500000000000001</v>
      </c>
      <c r="G169" s="117">
        <v>0.59099999999999997</v>
      </c>
      <c r="H169" s="117">
        <v>2.722</v>
      </c>
      <c r="I169" s="117">
        <v>141.77700000000002</v>
      </c>
      <c r="J169" s="117">
        <v>136.72399999999999</v>
      </c>
      <c r="K169" s="117">
        <v>139.964</v>
      </c>
      <c r="L169" s="117">
        <v>92.41</v>
      </c>
      <c r="M169" s="117">
        <v>144.81</v>
      </c>
      <c r="N169" s="117">
        <v>122.33299999999998</v>
      </c>
      <c r="O169" s="117">
        <v>160.52000000000001</v>
      </c>
      <c r="P169" s="117">
        <v>78.061000000000007</v>
      </c>
      <c r="Q169" s="117">
        <v>134.49600000000004</v>
      </c>
      <c r="R169" s="117">
        <v>114.80800000000001</v>
      </c>
      <c r="S169" s="117">
        <v>129.15</v>
      </c>
      <c r="T169" s="117">
        <v>169.71600000000001</v>
      </c>
      <c r="U169" s="117">
        <v>167.92999999999998</v>
      </c>
      <c r="V169" s="117">
        <v>164.67600000000004</v>
      </c>
      <c r="W169" s="117">
        <v>88.143999999999991</v>
      </c>
      <c r="X169" s="117">
        <v>112.88100000000001</v>
      </c>
      <c r="Y169" s="117">
        <v>322.56100000000004</v>
      </c>
    </row>
    <row r="170" spans="1:25" x14ac:dyDescent="0.3">
      <c r="A170" s="10" t="s">
        <v>761</v>
      </c>
      <c r="B170" s="117">
        <v>666.67599999999982</v>
      </c>
      <c r="C170" s="117">
        <v>557.73899999999969</v>
      </c>
      <c r="D170" s="117">
        <v>505.11199999999991</v>
      </c>
      <c r="E170" s="117">
        <v>609.19600000000003</v>
      </c>
      <c r="F170" s="117">
        <v>445.81400000000002</v>
      </c>
      <c r="G170" s="117">
        <v>458.53500000000003</v>
      </c>
      <c r="H170" s="117">
        <v>678.88199999999983</v>
      </c>
      <c r="I170" s="117">
        <v>494.77600000000001</v>
      </c>
      <c r="J170" s="117">
        <v>625.41899999999998</v>
      </c>
      <c r="K170" s="117">
        <v>694.54799999999977</v>
      </c>
      <c r="L170" s="117">
        <v>609.87800000000004</v>
      </c>
      <c r="M170" s="117">
        <v>581.803</v>
      </c>
      <c r="N170" s="117">
        <v>587.3549999999999</v>
      </c>
      <c r="O170" s="117">
        <v>665.76900000000012</v>
      </c>
      <c r="P170" s="117">
        <v>721.76199999999972</v>
      </c>
      <c r="Q170" s="117">
        <v>645.59199999999998</v>
      </c>
      <c r="R170" s="117">
        <v>603.18299999999999</v>
      </c>
      <c r="S170" s="117">
        <v>562.15000000000009</v>
      </c>
      <c r="T170" s="117">
        <v>658.46099999999979</v>
      </c>
      <c r="U170" s="117">
        <v>676.67999999999984</v>
      </c>
      <c r="V170" s="117">
        <v>662.7850000000002</v>
      </c>
      <c r="W170" s="117">
        <v>661.0469999999998</v>
      </c>
      <c r="X170" s="117">
        <v>727.10700000000008</v>
      </c>
      <c r="Y170" s="117">
        <v>1384.085</v>
      </c>
    </row>
    <row r="171" spans="1:25" x14ac:dyDescent="0.3">
      <c r="A171" s="10" t="s">
        <v>762</v>
      </c>
      <c r="B171" s="117">
        <v>99.702000000000012</v>
      </c>
      <c r="C171" s="117">
        <v>97.438000000000017</v>
      </c>
      <c r="D171" s="117">
        <v>122.30200000000001</v>
      </c>
      <c r="E171" s="117">
        <v>77.980999999999995</v>
      </c>
      <c r="F171" s="117">
        <v>69.028999999999996</v>
      </c>
      <c r="G171" s="117">
        <v>70.573999999999984</v>
      </c>
      <c r="H171" s="117">
        <v>89.161000000000001</v>
      </c>
      <c r="I171" s="117">
        <v>48.652000000000001</v>
      </c>
      <c r="J171" s="117">
        <v>85.153000000000006</v>
      </c>
      <c r="K171" s="117">
        <v>60.273000000000003</v>
      </c>
      <c r="L171" s="117">
        <v>69.176000000000002</v>
      </c>
      <c r="M171" s="117">
        <v>53.609000000000002</v>
      </c>
      <c r="N171" s="117">
        <v>69.052999999999997</v>
      </c>
      <c r="O171" s="117">
        <v>72.584999999999994</v>
      </c>
      <c r="P171" s="117">
        <v>45.982999999999997</v>
      </c>
      <c r="Q171" s="117">
        <v>34.93</v>
      </c>
      <c r="R171" s="117">
        <v>60.285999999999994</v>
      </c>
      <c r="S171" s="117">
        <v>77.85799999999999</v>
      </c>
      <c r="T171" s="117">
        <v>12.736000000000001</v>
      </c>
      <c r="U171" s="117">
        <v>72.085999999999999</v>
      </c>
      <c r="V171" s="117">
        <v>27.694000000000003</v>
      </c>
      <c r="W171" s="117">
        <v>43.308000000000007</v>
      </c>
      <c r="X171" s="117">
        <v>53.051999999999992</v>
      </c>
      <c r="Y171" s="117">
        <v>63.003000000000007</v>
      </c>
    </row>
    <row r="172" spans="1:25" x14ac:dyDescent="0.3">
      <c r="A172" s="10" t="s">
        <v>937</v>
      </c>
      <c r="B172" s="117">
        <v>49.798000000000002</v>
      </c>
      <c r="C172" s="117">
        <v>61.611999999999995</v>
      </c>
      <c r="D172" s="117">
        <v>58.166000000000004</v>
      </c>
      <c r="E172" s="117">
        <v>49.556000000000004</v>
      </c>
      <c r="F172" s="117">
        <v>62.429000000000002</v>
      </c>
      <c r="G172" s="117">
        <v>71.061000000000007</v>
      </c>
      <c r="H172" s="117">
        <v>65.94</v>
      </c>
      <c r="I172" s="117">
        <v>75.402000000000001</v>
      </c>
      <c r="J172" s="117">
        <v>81.266000000000005</v>
      </c>
      <c r="K172" s="117">
        <v>48.336999999999996</v>
      </c>
      <c r="L172" s="117">
        <v>72.956000000000003</v>
      </c>
      <c r="M172" s="117">
        <v>52.155000000000001</v>
      </c>
      <c r="N172" s="117">
        <v>77.144999999999996</v>
      </c>
      <c r="O172" s="117">
        <v>59.696999999999989</v>
      </c>
      <c r="P172" s="117">
        <v>61.48</v>
      </c>
      <c r="Q172" s="117">
        <v>50.981999999999999</v>
      </c>
      <c r="R172" s="117">
        <v>69.683999999999997</v>
      </c>
      <c r="S172" s="117">
        <v>47.75800000000001</v>
      </c>
      <c r="T172" s="117">
        <v>73.435000000000002</v>
      </c>
      <c r="U172" s="117">
        <v>64.527999999999992</v>
      </c>
      <c r="V172" s="117">
        <v>66.646000000000001</v>
      </c>
      <c r="W172" s="117">
        <v>73.161999999999978</v>
      </c>
      <c r="X172" s="117">
        <v>84.50200000000001</v>
      </c>
      <c r="Y172" s="117">
        <v>182.92899999999995</v>
      </c>
    </row>
    <row r="173" spans="1:25" x14ac:dyDescent="0.3">
      <c r="A173" s="10" t="s">
        <v>763</v>
      </c>
      <c r="B173" s="117">
        <v>68.968000000000004</v>
      </c>
      <c r="C173" s="117">
        <v>84.57</v>
      </c>
      <c r="D173" s="117">
        <v>3.95</v>
      </c>
      <c r="E173" s="117">
        <v>10.071</v>
      </c>
      <c r="F173" s="117">
        <v>27.319000000000003</v>
      </c>
      <c r="G173" s="117">
        <v>23.792000000000002</v>
      </c>
      <c r="H173" s="117">
        <v>31.090000000000003</v>
      </c>
      <c r="I173" s="117">
        <v>25.26</v>
      </c>
      <c r="J173" s="117">
        <v>29.834000000000003</v>
      </c>
      <c r="K173" s="117">
        <v>36.692999999999998</v>
      </c>
      <c r="L173" s="117">
        <v>23.754000000000001</v>
      </c>
      <c r="M173" s="117">
        <v>15.111000000000001</v>
      </c>
      <c r="N173" s="117">
        <v>13.695</v>
      </c>
      <c r="O173" s="117">
        <v>31.760999999999999</v>
      </c>
      <c r="P173" s="117">
        <v>24.65</v>
      </c>
      <c r="Q173" s="117">
        <v>17.600999999999999</v>
      </c>
      <c r="R173" s="117">
        <v>17.680999999999997</v>
      </c>
      <c r="S173" s="117">
        <v>13.954000000000001</v>
      </c>
      <c r="T173" s="117">
        <v>31.755000000000003</v>
      </c>
      <c r="U173" s="117">
        <v>28.19</v>
      </c>
      <c r="V173" s="117">
        <v>19.09</v>
      </c>
      <c r="W173" s="117">
        <v>29.986999999999998</v>
      </c>
      <c r="X173" s="117">
        <v>24.603000000000002</v>
      </c>
      <c r="Y173" s="117">
        <v>71.165000000000006</v>
      </c>
    </row>
    <row r="174" spans="1:25" x14ac:dyDescent="0.3">
      <c r="A174" s="10" t="s">
        <v>764</v>
      </c>
      <c r="B174" s="117">
        <v>300.81299999999999</v>
      </c>
      <c r="C174" s="117">
        <v>339.23299999999983</v>
      </c>
      <c r="D174" s="117">
        <v>329.38699999999994</v>
      </c>
      <c r="E174" s="117">
        <v>320.37500000000017</v>
      </c>
      <c r="F174" s="117">
        <v>311.08300000000008</v>
      </c>
      <c r="G174" s="117">
        <v>313.80799999999999</v>
      </c>
      <c r="H174" s="117">
        <v>295.36700000000013</v>
      </c>
      <c r="I174" s="117">
        <v>291.94700000000006</v>
      </c>
      <c r="J174" s="117">
        <v>248.79099999999994</v>
      </c>
      <c r="K174" s="117">
        <v>240.34900000000005</v>
      </c>
      <c r="L174" s="117">
        <v>235.11300000000003</v>
      </c>
      <c r="M174" s="117">
        <v>274.87700000000007</v>
      </c>
      <c r="N174" s="117">
        <v>294.71000000000026</v>
      </c>
      <c r="O174" s="117">
        <v>290.87200000000007</v>
      </c>
      <c r="P174" s="117">
        <v>304.92799999999994</v>
      </c>
      <c r="Q174" s="117">
        <v>270.32199999999995</v>
      </c>
      <c r="R174" s="117">
        <v>350.98400000000004</v>
      </c>
      <c r="S174" s="117">
        <v>309.70300000000015</v>
      </c>
      <c r="T174" s="117">
        <v>300.16999999999996</v>
      </c>
      <c r="U174" s="117">
        <v>291.73899999999992</v>
      </c>
      <c r="V174" s="117">
        <v>320.62499999999994</v>
      </c>
      <c r="W174" s="117">
        <v>265.13799999999998</v>
      </c>
      <c r="X174" s="117">
        <v>333.35600000000005</v>
      </c>
      <c r="Y174" s="117">
        <v>578.16299999999978</v>
      </c>
    </row>
    <row r="175" spans="1:25" x14ac:dyDescent="0.3">
      <c r="A175" s="10" t="s">
        <v>765</v>
      </c>
      <c r="B175" s="117">
        <v>28.323</v>
      </c>
      <c r="C175" s="117">
        <v>4.5739999999999998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117">
        <v>0</v>
      </c>
      <c r="K175" s="117">
        <v>0</v>
      </c>
      <c r="L175" s="117">
        <v>0</v>
      </c>
      <c r="M175" s="117">
        <v>0</v>
      </c>
      <c r="N175" s="117">
        <v>0</v>
      </c>
      <c r="O175" s="117">
        <v>0</v>
      </c>
      <c r="P175" s="117">
        <v>0</v>
      </c>
      <c r="Q175" s="117">
        <v>0</v>
      </c>
      <c r="R175" s="117">
        <v>0</v>
      </c>
      <c r="S175" s="117">
        <v>0</v>
      </c>
      <c r="T175" s="117">
        <v>0</v>
      </c>
      <c r="U175" s="117">
        <v>0</v>
      </c>
      <c r="V175" s="117">
        <v>0</v>
      </c>
      <c r="W175" s="117">
        <v>0</v>
      </c>
      <c r="X175" s="117">
        <v>0</v>
      </c>
      <c r="Y175" s="117">
        <v>0</v>
      </c>
    </row>
    <row r="176" spans="1:25" x14ac:dyDescent="0.3">
      <c r="A176" s="10" t="s">
        <v>766</v>
      </c>
      <c r="B176" s="117">
        <v>70.802000000000007</v>
      </c>
      <c r="C176" s="117">
        <v>73.715000000000003</v>
      </c>
      <c r="D176" s="117">
        <v>135.49100000000001</v>
      </c>
      <c r="E176" s="117">
        <v>85.779999999999987</v>
      </c>
      <c r="F176" s="117">
        <v>62.386999999999993</v>
      </c>
      <c r="G176" s="117">
        <v>95.728000000000009</v>
      </c>
      <c r="H176" s="117">
        <v>106.95799999999998</v>
      </c>
      <c r="I176" s="117">
        <v>74.582000000000008</v>
      </c>
      <c r="J176" s="117">
        <v>116.94300000000001</v>
      </c>
      <c r="K176" s="117">
        <v>53.292999999999999</v>
      </c>
      <c r="L176" s="117">
        <v>108.41499999999999</v>
      </c>
      <c r="M176" s="117">
        <v>40.298000000000009</v>
      </c>
      <c r="N176" s="117">
        <v>74.60499999999999</v>
      </c>
      <c r="O176" s="117">
        <v>73.525999999999996</v>
      </c>
      <c r="P176" s="117">
        <v>87.89</v>
      </c>
      <c r="Q176" s="117">
        <v>86.417000000000016</v>
      </c>
      <c r="R176" s="117">
        <v>63.134000000000007</v>
      </c>
      <c r="S176" s="117">
        <v>87.32</v>
      </c>
      <c r="T176" s="117">
        <v>67.794000000000011</v>
      </c>
      <c r="U176" s="117">
        <v>106.06500000000001</v>
      </c>
      <c r="V176" s="117">
        <v>52.756999999999998</v>
      </c>
      <c r="W176" s="117">
        <v>101.89799999999998</v>
      </c>
      <c r="X176" s="117">
        <v>78.653000000000006</v>
      </c>
      <c r="Y176" s="117">
        <v>155.84</v>
      </c>
    </row>
    <row r="177" spans="1:25" x14ac:dyDescent="0.3">
      <c r="A177" s="10" t="s">
        <v>767</v>
      </c>
      <c r="B177" s="117">
        <v>107.44999999999999</v>
      </c>
      <c r="C177" s="117">
        <v>56.50500000000001</v>
      </c>
      <c r="D177" s="117">
        <v>119.73</v>
      </c>
      <c r="E177" s="117">
        <v>98.301000000000002</v>
      </c>
      <c r="F177" s="117">
        <v>90.227999999999994</v>
      </c>
      <c r="G177" s="117">
        <v>134.47800000000001</v>
      </c>
      <c r="H177" s="117">
        <v>94.736999999999995</v>
      </c>
      <c r="I177" s="117">
        <v>97.822000000000017</v>
      </c>
      <c r="J177" s="117">
        <v>140.54999999999998</v>
      </c>
      <c r="K177" s="117">
        <v>111.66800000000001</v>
      </c>
      <c r="L177" s="117">
        <v>130.65200000000002</v>
      </c>
      <c r="M177" s="117">
        <v>103.619</v>
      </c>
      <c r="N177" s="117">
        <v>110.744</v>
      </c>
      <c r="O177" s="117">
        <v>114.08400000000002</v>
      </c>
      <c r="P177" s="117">
        <v>106.845</v>
      </c>
      <c r="Q177" s="117">
        <v>17.060000000000002</v>
      </c>
      <c r="R177" s="117">
        <v>0</v>
      </c>
      <c r="S177" s="117">
        <v>6.8890000000000002</v>
      </c>
      <c r="T177" s="117">
        <v>3.823</v>
      </c>
      <c r="U177" s="117">
        <v>0</v>
      </c>
      <c r="V177" s="117">
        <v>0</v>
      </c>
      <c r="W177" s="117">
        <v>0</v>
      </c>
      <c r="X177" s="117">
        <v>0</v>
      </c>
      <c r="Y177" s="117">
        <v>2.7250000000000001</v>
      </c>
    </row>
    <row r="178" spans="1:25" x14ac:dyDescent="0.3">
      <c r="A178" s="10" t="s">
        <v>714</v>
      </c>
      <c r="B178" s="117">
        <v>72.861000000000004</v>
      </c>
      <c r="C178" s="117">
        <v>51.984999999999999</v>
      </c>
      <c r="D178" s="117">
        <v>93.88300000000001</v>
      </c>
      <c r="E178" s="117">
        <v>79.205999999999989</v>
      </c>
      <c r="F178" s="117">
        <v>116.61000000000003</v>
      </c>
      <c r="G178" s="117">
        <v>94.547999999999988</v>
      </c>
      <c r="H178" s="117">
        <v>80.454000000000022</v>
      </c>
      <c r="I178" s="117">
        <v>80.118999999999986</v>
      </c>
      <c r="J178" s="117">
        <v>77.01700000000001</v>
      </c>
      <c r="K178" s="117">
        <v>77.725000000000009</v>
      </c>
      <c r="L178" s="117">
        <v>55.187000000000005</v>
      </c>
      <c r="M178" s="117">
        <v>82.417999999999992</v>
      </c>
      <c r="N178" s="117">
        <v>65.994</v>
      </c>
      <c r="O178" s="117">
        <v>83.907000000000025</v>
      </c>
      <c r="P178" s="117">
        <v>73.296000000000021</v>
      </c>
      <c r="Q178" s="117">
        <v>71.285000000000011</v>
      </c>
      <c r="R178" s="117">
        <v>89.37700000000001</v>
      </c>
      <c r="S178" s="117">
        <v>81.523999999999987</v>
      </c>
      <c r="T178" s="117">
        <v>59.881</v>
      </c>
      <c r="U178" s="117">
        <v>60.021000000000001</v>
      </c>
      <c r="V178" s="117">
        <v>67.564000000000021</v>
      </c>
      <c r="W178" s="117">
        <v>76.22</v>
      </c>
      <c r="X178" s="117">
        <v>62.783000000000008</v>
      </c>
      <c r="Y178" s="117">
        <v>147.35500000000002</v>
      </c>
    </row>
    <row r="179" spans="1:25" x14ac:dyDescent="0.3">
      <c r="A179" s="10" t="s">
        <v>768</v>
      </c>
      <c r="B179" s="117">
        <v>16.439999999999998</v>
      </c>
      <c r="C179" s="117">
        <v>30.064000000000007</v>
      </c>
      <c r="D179" s="117">
        <v>6.7539999999999996</v>
      </c>
      <c r="E179" s="117">
        <v>18.254999999999999</v>
      </c>
      <c r="F179" s="117">
        <v>8.859</v>
      </c>
      <c r="G179" s="117">
        <v>11.224</v>
      </c>
      <c r="H179" s="117">
        <v>11.098000000000001</v>
      </c>
      <c r="I179" s="117">
        <v>16.506</v>
      </c>
      <c r="J179" s="117">
        <v>9.19</v>
      </c>
      <c r="K179" s="117">
        <v>18.488999999999997</v>
      </c>
      <c r="L179" s="117">
        <v>15.185</v>
      </c>
      <c r="M179" s="117">
        <v>9.8640000000000008</v>
      </c>
      <c r="N179" s="117">
        <v>23.981000000000002</v>
      </c>
      <c r="O179" s="117">
        <v>27.586000000000006</v>
      </c>
      <c r="P179" s="117">
        <v>18.646000000000001</v>
      </c>
      <c r="Q179" s="117">
        <v>12.052</v>
      </c>
      <c r="R179" s="117">
        <v>15.217000000000002</v>
      </c>
      <c r="S179" s="117">
        <v>48.84</v>
      </c>
      <c r="T179" s="117">
        <v>8.2669999999999995</v>
      </c>
      <c r="U179" s="117">
        <v>31.337</v>
      </c>
      <c r="V179" s="117">
        <v>11.723000000000001</v>
      </c>
      <c r="W179" s="117">
        <v>23.509</v>
      </c>
      <c r="X179" s="117">
        <v>12.902999999999999</v>
      </c>
      <c r="Y179" s="117">
        <v>39.984999999999999</v>
      </c>
    </row>
    <row r="180" spans="1:25" x14ac:dyDescent="0.3">
      <c r="A180" s="10" t="s">
        <v>769</v>
      </c>
      <c r="B180" s="117">
        <v>77.646000000000001</v>
      </c>
      <c r="C180" s="117">
        <v>30.634</v>
      </c>
      <c r="D180" s="117">
        <v>45.829000000000001</v>
      </c>
      <c r="E180" s="117">
        <v>53.902000000000001</v>
      </c>
      <c r="F180" s="117">
        <v>60.956000000000003</v>
      </c>
      <c r="G180" s="117">
        <v>64.7</v>
      </c>
      <c r="H180" s="117">
        <v>48.86399999999999</v>
      </c>
      <c r="I180" s="117">
        <v>53.431999999999995</v>
      </c>
      <c r="J180" s="117">
        <v>60.891000000000005</v>
      </c>
      <c r="K180" s="117">
        <v>70.682999999999993</v>
      </c>
      <c r="L180" s="117">
        <v>72.765000000000015</v>
      </c>
      <c r="M180" s="117">
        <v>73.320999999999998</v>
      </c>
      <c r="N180" s="117">
        <v>60.958999999999989</v>
      </c>
      <c r="O180" s="117">
        <v>64.063000000000002</v>
      </c>
      <c r="P180" s="117">
        <v>85.310999999999993</v>
      </c>
      <c r="Q180" s="117">
        <v>89.266000000000005</v>
      </c>
      <c r="R180" s="117">
        <v>63.530999999999992</v>
      </c>
      <c r="S180" s="117">
        <v>63.844999999999999</v>
      </c>
      <c r="T180" s="117">
        <v>77.866</v>
      </c>
      <c r="U180" s="117">
        <v>92.539999999999992</v>
      </c>
      <c r="V180" s="117">
        <v>84.59</v>
      </c>
      <c r="W180" s="117">
        <v>84.710000000000008</v>
      </c>
      <c r="X180" s="117">
        <v>101.71199999999999</v>
      </c>
      <c r="Y180" s="117">
        <v>169.41700000000003</v>
      </c>
    </row>
    <row r="181" spans="1:25" x14ac:dyDescent="0.3">
      <c r="A181" s="10" t="s">
        <v>770</v>
      </c>
      <c r="B181" s="117">
        <v>112.87699999999997</v>
      </c>
      <c r="C181" s="117">
        <v>127.31399999999998</v>
      </c>
      <c r="D181" s="117">
        <v>121.80599999999998</v>
      </c>
      <c r="E181" s="117">
        <v>124.693</v>
      </c>
      <c r="F181" s="117">
        <v>136.25200000000001</v>
      </c>
      <c r="G181" s="117">
        <v>139.02799999999999</v>
      </c>
      <c r="H181" s="117">
        <v>170.10900000000001</v>
      </c>
      <c r="I181" s="117">
        <v>67.352999999999994</v>
      </c>
      <c r="J181" s="117">
        <v>152.39299999999997</v>
      </c>
      <c r="K181" s="117">
        <v>91.15</v>
      </c>
      <c r="L181" s="117">
        <v>140.57100000000003</v>
      </c>
      <c r="M181" s="117">
        <v>115.78099999999998</v>
      </c>
      <c r="N181" s="117">
        <v>116.58500000000002</v>
      </c>
      <c r="O181" s="117">
        <v>25.911000000000005</v>
      </c>
      <c r="P181" s="117">
        <v>108.17900000000002</v>
      </c>
      <c r="Q181" s="117">
        <v>55.173999999999992</v>
      </c>
      <c r="R181" s="117">
        <v>114.99300000000001</v>
      </c>
      <c r="S181" s="117">
        <v>107.35899999999999</v>
      </c>
      <c r="T181" s="117">
        <v>76.664000000000001</v>
      </c>
      <c r="U181" s="117">
        <v>116.97799999999999</v>
      </c>
      <c r="V181" s="117">
        <v>126.47000000000001</v>
      </c>
      <c r="W181" s="117">
        <v>76.563000000000002</v>
      </c>
      <c r="X181" s="117">
        <v>117.78200000000001</v>
      </c>
      <c r="Y181" s="117">
        <v>195.84900000000005</v>
      </c>
    </row>
    <row r="182" spans="1:25" x14ac:dyDescent="0.3">
      <c r="A182" s="26" t="s">
        <v>1082</v>
      </c>
      <c r="B182" s="117">
        <v>0</v>
      </c>
      <c r="C182" s="117">
        <v>0</v>
      </c>
      <c r="D182" s="117">
        <v>2.2429999999999999</v>
      </c>
      <c r="E182" s="117">
        <v>0</v>
      </c>
      <c r="F182" s="117">
        <v>0</v>
      </c>
      <c r="G182" s="117">
        <v>0</v>
      </c>
      <c r="H182" s="117">
        <v>0</v>
      </c>
      <c r="I182" s="117">
        <v>0.42099999999999999</v>
      </c>
      <c r="J182" s="117">
        <v>0</v>
      </c>
      <c r="K182" s="117">
        <v>0</v>
      </c>
      <c r="L182" s="117">
        <v>0</v>
      </c>
      <c r="M182" s="117">
        <v>1.5129999999999999</v>
      </c>
      <c r="N182" s="117">
        <v>0</v>
      </c>
      <c r="O182" s="117">
        <v>2.1509999999999998</v>
      </c>
      <c r="P182" s="117">
        <v>0</v>
      </c>
      <c r="Q182" s="117">
        <v>0</v>
      </c>
      <c r="R182" s="117">
        <v>8.9689999999999994</v>
      </c>
      <c r="S182" s="117">
        <v>9.9960000000000004</v>
      </c>
      <c r="T182" s="117">
        <v>0</v>
      </c>
      <c r="U182" s="117">
        <v>2.6960000000000002</v>
      </c>
      <c r="V182" s="117">
        <v>0</v>
      </c>
      <c r="W182" s="117">
        <v>0</v>
      </c>
      <c r="X182" s="117">
        <v>4.9380000000000006</v>
      </c>
      <c r="Y182" s="117">
        <v>0</v>
      </c>
    </row>
    <row r="183" spans="1:25" x14ac:dyDescent="0.3">
      <c r="A183" s="26" t="s">
        <v>1083</v>
      </c>
      <c r="B183" s="117"/>
      <c r="C183" s="117"/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17">
        <v>0</v>
      </c>
      <c r="K183" s="117">
        <v>0</v>
      </c>
      <c r="L183" s="117">
        <v>0</v>
      </c>
      <c r="M183" s="117">
        <v>0</v>
      </c>
      <c r="N183" s="117">
        <v>0</v>
      </c>
      <c r="O183" s="117">
        <v>0</v>
      </c>
      <c r="P183" s="117">
        <v>0</v>
      </c>
      <c r="Q183" s="117">
        <v>0</v>
      </c>
      <c r="R183" s="117">
        <v>0</v>
      </c>
      <c r="S183" s="117">
        <v>0</v>
      </c>
      <c r="T183" s="117">
        <v>0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</row>
    <row r="184" spans="1:25" x14ac:dyDescent="0.3">
      <c r="A184" s="26" t="s">
        <v>1084</v>
      </c>
      <c r="B184" s="117"/>
      <c r="C184" s="117"/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17">
        <v>0</v>
      </c>
      <c r="K184" s="117">
        <v>0</v>
      </c>
      <c r="L184" s="117">
        <v>0</v>
      </c>
      <c r="M184" s="117">
        <v>0</v>
      </c>
      <c r="N184" s="117">
        <v>0</v>
      </c>
      <c r="O184" s="117">
        <v>0</v>
      </c>
      <c r="P184" s="117">
        <v>0</v>
      </c>
      <c r="Q184" s="117">
        <v>0</v>
      </c>
      <c r="R184" s="117">
        <v>0</v>
      </c>
      <c r="S184" s="117">
        <v>0</v>
      </c>
      <c r="T184" s="117">
        <v>1.1299999999999999</v>
      </c>
      <c r="U184" s="117">
        <v>1.375</v>
      </c>
      <c r="V184" s="117">
        <v>0</v>
      </c>
      <c r="W184" s="117">
        <v>0</v>
      </c>
      <c r="X184" s="117">
        <v>0</v>
      </c>
      <c r="Y184" s="117">
        <v>0</v>
      </c>
    </row>
    <row r="185" spans="1:25" x14ac:dyDescent="0.3">
      <c r="A185" s="26" t="s">
        <v>1085</v>
      </c>
      <c r="B185" s="117"/>
      <c r="C185" s="117"/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17">
        <v>0</v>
      </c>
      <c r="K185" s="117">
        <v>0</v>
      </c>
      <c r="L185" s="117">
        <v>0</v>
      </c>
      <c r="M185" s="117">
        <v>0</v>
      </c>
      <c r="N185" s="117">
        <v>0</v>
      </c>
      <c r="O185" s="117">
        <v>0</v>
      </c>
      <c r="P185" s="117">
        <v>0</v>
      </c>
      <c r="Q185" s="117">
        <v>0</v>
      </c>
      <c r="R185" s="117">
        <v>0</v>
      </c>
      <c r="S185" s="117">
        <v>0</v>
      </c>
      <c r="T185" s="117">
        <v>0</v>
      </c>
      <c r="U185" s="117">
        <v>0</v>
      </c>
      <c r="V185" s="117">
        <v>4.5999999999999999E-2</v>
      </c>
      <c r="W185" s="117">
        <v>0</v>
      </c>
      <c r="X185" s="117">
        <v>0</v>
      </c>
      <c r="Y185" s="117">
        <v>7.0140000000000002</v>
      </c>
    </row>
    <row r="186" spans="1:25" x14ac:dyDescent="0.3">
      <c r="A186" s="26" t="s">
        <v>1086</v>
      </c>
      <c r="B186" s="117"/>
      <c r="C186" s="117"/>
      <c r="D186" s="117">
        <v>0</v>
      </c>
      <c r="E186" s="117">
        <v>0</v>
      </c>
      <c r="F186" s="117">
        <v>0</v>
      </c>
      <c r="G186" s="117">
        <v>0.27300000000000002</v>
      </c>
      <c r="H186" s="117">
        <v>0</v>
      </c>
      <c r="I186" s="117">
        <v>0</v>
      </c>
      <c r="J186" s="117">
        <v>0</v>
      </c>
      <c r="K186" s="117">
        <v>0</v>
      </c>
      <c r="L186" s="117">
        <v>0</v>
      </c>
      <c r="M186" s="117">
        <v>0</v>
      </c>
      <c r="N186" s="117">
        <v>0</v>
      </c>
      <c r="O186" s="117">
        <v>0</v>
      </c>
      <c r="P186" s="117">
        <v>0</v>
      </c>
      <c r="Q186" s="117">
        <v>0</v>
      </c>
      <c r="R186" s="117">
        <v>0</v>
      </c>
      <c r="S186" s="117">
        <v>0</v>
      </c>
      <c r="T186" s="117">
        <v>0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</row>
    <row r="187" spans="1:25" x14ac:dyDescent="0.3">
      <c r="A187" s="26" t="s">
        <v>1087</v>
      </c>
      <c r="B187" s="117"/>
      <c r="C187" s="117"/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17">
        <v>0</v>
      </c>
      <c r="L187" s="117">
        <v>0</v>
      </c>
      <c r="M187" s="117">
        <v>0</v>
      </c>
      <c r="N187" s="117">
        <v>0</v>
      </c>
      <c r="O187" s="117">
        <v>0</v>
      </c>
      <c r="P187" s="117">
        <v>0</v>
      </c>
      <c r="Q187" s="117">
        <v>0</v>
      </c>
      <c r="R187" s="117">
        <v>0</v>
      </c>
      <c r="S187" s="117">
        <v>0</v>
      </c>
      <c r="T187" s="117">
        <v>0</v>
      </c>
      <c r="U187" s="117">
        <v>0</v>
      </c>
      <c r="V187" s="117">
        <v>0</v>
      </c>
      <c r="W187" s="117">
        <v>0</v>
      </c>
      <c r="X187" s="117">
        <v>0</v>
      </c>
      <c r="Y187" s="117">
        <v>0</v>
      </c>
    </row>
    <row r="188" spans="1:25" x14ac:dyDescent="0.3">
      <c r="A188" s="26" t="s">
        <v>1088</v>
      </c>
      <c r="B188" s="117"/>
      <c r="C188" s="117"/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17">
        <v>0</v>
      </c>
      <c r="K188" s="117">
        <v>0</v>
      </c>
      <c r="L188" s="117">
        <v>0</v>
      </c>
      <c r="M188" s="117">
        <v>0</v>
      </c>
      <c r="N188" s="117">
        <v>0</v>
      </c>
      <c r="O188" s="117">
        <v>0</v>
      </c>
      <c r="P188" s="117">
        <v>0</v>
      </c>
      <c r="Q188" s="117">
        <v>0</v>
      </c>
      <c r="R188" s="117">
        <v>0</v>
      </c>
      <c r="S188" s="117">
        <v>0</v>
      </c>
      <c r="T188" s="117">
        <v>0</v>
      </c>
      <c r="U188" s="117">
        <v>0</v>
      </c>
      <c r="V188" s="117">
        <v>0</v>
      </c>
      <c r="W188" s="117">
        <v>0</v>
      </c>
      <c r="X188" s="117">
        <v>0</v>
      </c>
      <c r="Y188" s="117">
        <v>0</v>
      </c>
    </row>
    <row r="189" spans="1:25" x14ac:dyDescent="0.3">
      <c r="A189" s="26" t="s">
        <v>1089</v>
      </c>
      <c r="B189" s="117"/>
      <c r="C189" s="117"/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117">
        <v>0</v>
      </c>
      <c r="K189" s="117">
        <v>0</v>
      </c>
      <c r="L189" s="117">
        <v>0</v>
      </c>
      <c r="M189" s="117">
        <v>0</v>
      </c>
      <c r="N189" s="117">
        <v>0</v>
      </c>
      <c r="O189" s="117">
        <v>0</v>
      </c>
      <c r="P189" s="117">
        <v>0</v>
      </c>
      <c r="Q189" s="117">
        <v>0</v>
      </c>
      <c r="R189" s="117">
        <v>0</v>
      </c>
      <c r="S189" s="117">
        <v>0</v>
      </c>
      <c r="T189" s="117">
        <v>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</row>
    <row r="190" spans="1:25" x14ac:dyDescent="0.3">
      <c r="A190" s="26" t="s">
        <v>1090</v>
      </c>
      <c r="B190" s="117"/>
      <c r="C190" s="117"/>
      <c r="D190" s="117"/>
      <c r="E190" s="117"/>
      <c r="F190" s="117"/>
      <c r="G190" s="117"/>
      <c r="H190" s="117"/>
      <c r="I190" s="117">
        <v>0</v>
      </c>
      <c r="J190" s="117">
        <v>0</v>
      </c>
      <c r="K190" s="117">
        <v>0</v>
      </c>
      <c r="L190" s="117">
        <v>4.7809999999999997</v>
      </c>
      <c r="M190" s="117">
        <v>0</v>
      </c>
      <c r="N190" s="117">
        <v>0</v>
      </c>
      <c r="O190" s="117">
        <v>1E-3</v>
      </c>
      <c r="P190" s="117">
        <v>0</v>
      </c>
      <c r="Q190" s="117">
        <v>0</v>
      </c>
      <c r="R190" s="117">
        <v>0</v>
      </c>
      <c r="S190" s="117">
        <v>0</v>
      </c>
      <c r="T190" s="117">
        <v>0</v>
      </c>
      <c r="U190" s="117">
        <v>0</v>
      </c>
      <c r="V190" s="117">
        <v>0</v>
      </c>
      <c r="W190" s="117">
        <v>0</v>
      </c>
      <c r="X190" s="117">
        <v>0</v>
      </c>
      <c r="Y190" s="117">
        <v>0</v>
      </c>
    </row>
    <row r="191" spans="1:25" x14ac:dyDescent="0.3">
      <c r="A191" s="10" t="s">
        <v>83</v>
      </c>
      <c r="B191" s="117">
        <v>7937.1419999999971</v>
      </c>
      <c r="C191" s="117">
        <v>7561.1449999999995</v>
      </c>
      <c r="D191" s="117">
        <v>8247.7769999999982</v>
      </c>
      <c r="E191" s="117">
        <v>7734.4390000000021</v>
      </c>
      <c r="F191" s="117">
        <v>8009.2310000000007</v>
      </c>
      <c r="G191" s="117">
        <v>8028.5630000000019</v>
      </c>
      <c r="H191" s="117">
        <v>8955.5349999999999</v>
      </c>
      <c r="I191" s="117">
        <v>8351.2909999999993</v>
      </c>
      <c r="J191" s="117">
        <v>8853.7469999999976</v>
      </c>
      <c r="K191" s="117">
        <v>7853.1759999999986</v>
      </c>
      <c r="L191" s="117">
        <v>7475.14</v>
      </c>
      <c r="M191" s="117">
        <v>8271.8329999999987</v>
      </c>
      <c r="N191" s="117">
        <v>7902.5099999999984</v>
      </c>
      <c r="O191" s="117">
        <v>9059.1529999999966</v>
      </c>
      <c r="P191" s="117">
        <v>8831.6429999999982</v>
      </c>
      <c r="Q191" s="117">
        <v>9106.6269999999986</v>
      </c>
      <c r="R191" s="117">
        <v>9260.4070000000011</v>
      </c>
      <c r="S191" s="117">
        <v>8403.2509999999966</v>
      </c>
      <c r="T191" s="117">
        <v>9313.3189999999995</v>
      </c>
      <c r="U191" s="117">
        <v>8732.6270000000004</v>
      </c>
      <c r="V191" s="117">
        <v>8798.2849999999999</v>
      </c>
      <c r="W191" s="117">
        <v>8466.2719999999972</v>
      </c>
      <c r="X191" s="117">
        <v>9301.275999999998</v>
      </c>
      <c r="Y191" s="117">
        <v>17191.467999999997</v>
      </c>
    </row>
    <row r="208" spans="1:24" x14ac:dyDescent="0.3">
      <c r="A208" s="106" t="s">
        <v>158</v>
      </c>
      <c r="B208" s="10" t="s">
        <v>1091</v>
      </c>
      <c r="C208" s="10" t="s">
        <v>1092</v>
      </c>
      <c r="D208" s="10" t="s">
        <v>1093</v>
      </c>
      <c r="E208" s="10" t="s">
        <v>1094</v>
      </c>
      <c r="F208" s="10" t="s">
        <v>1095</v>
      </c>
      <c r="G208" s="10" t="s">
        <v>1096</v>
      </c>
      <c r="H208" s="10" t="s">
        <v>1097</v>
      </c>
      <c r="I208" s="10" t="s">
        <v>1098</v>
      </c>
      <c r="J208" s="10" t="s">
        <v>1099</v>
      </c>
      <c r="K208" s="10" t="s">
        <v>1100</v>
      </c>
      <c r="L208" s="10" t="s">
        <v>1101</v>
      </c>
      <c r="M208" s="10" t="s">
        <v>1102</v>
      </c>
      <c r="N208" s="10" t="s">
        <v>1103</v>
      </c>
      <c r="O208" s="10" t="s">
        <v>1104</v>
      </c>
      <c r="P208" s="10" t="s">
        <v>1105</v>
      </c>
      <c r="Q208" s="10" t="s">
        <v>1106</v>
      </c>
      <c r="R208" s="10" t="s">
        <v>1107</v>
      </c>
      <c r="S208" s="10" t="s">
        <v>1108</v>
      </c>
      <c r="T208" s="10" t="s">
        <v>1109</v>
      </c>
      <c r="U208" s="10" t="s">
        <v>1315</v>
      </c>
      <c r="V208" s="10" t="s">
        <v>1316</v>
      </c>
      <c r="W208" s="10" t="s">
        <v>1317</v>
      </c>
      <c r="X208" s="10" t="s">
        <v>1318</v>
      </c>
    </row>
    <row r="209" spans="1:24" x14ac:dyDescent="0.3">
      <c r="A209" s="10" t="s">
        <v>589</v>
      </c>
      <c r="B209" s="138">
        <v>723.73900000000003</v>
      </c>
      <c r="C209" s="138">
        <v>741.08500000000015</v>
      </c>
      <c r="D209" s="138">
        <v>1017.7179999999998</v>
      </c>
      <c r="E209" s="138">
        <v>1062.7559999999999</v>
      </c>
      <c r="F209" s="138">
        <v>927.63400000000001</v>
      </c>
      <c r="G209" s="138">
        <v>812.39200000000005</v>
      </c>
      <c r="H209" s="138">
        <v>1045.999</v>
      </c>
      <c r="I209" s="46">
        <v>1016.8019999999999</v>
      </c>
      <c r="J209" s="46">
        <v>1042.7469999999998</v>
      </c>
      <c r="K209" s="46">
        <v>933.13100000000009</v>
      </c>
      <c r="L209" s="46">
        <v>1084.7789999999998</v>
      </c>
      <c r="M209" s="46">
        <v>1066.1200000000001</v>
      </c>
      <c r="N209" s="46">
        <v>810.17</v>
      </c>
      <c r="O209" s="46">
        <v>948.34400000000005</v>
      </c>
      <c r="P209" s="46">
        <v>934.20099999999991</v>
      </c>
      <c r="Q209" s="46">
        <v>1135.1110000000001</v>
      </c>
      <c r="R209" s="138">
        <v>1312.596</v>
      </c>
      <c r="S209" s="138">
        <v>1515.9689999999996</v>
      </c>
      <c r="T209" s="138">
        <v>1169.3190000000002</v>
      </c>
      <c r="U209" s="138">
        <v>825.57300000000009</v>
      </c>
      <c r="V209" s="138">
        <v>1144.1129999999998</v>
      </c>
      <c r="W209" s="138">
        <v>892.45700000000011</v>
      </c>
      <c r="X209" s="138">
        <v>878.5329999999999</v>
      </c>
    </row>
    <row r="210" spans="1:24" x14ac:dyDescent="0.3">
      <c r="A210" s="10" t="s">
        <v>273</v>
      </c>
      <c r="B210" s="138">
        <v>3678.4029999999984</v>
      </c>
      <c r="C210" s="138">
        <v>3316.4359999999992</v>
      </c>
      <c r="D210" s="138">
        <v>3378.848</v>
      </c>
      <c r="E210" s="138">
        <v>3203.9790000000003</v>
      </c>
      <c r="F210" s="138">
        <v>3127.5840000000003</v>
      </c>
      <c r="G210" s="138">
        <v>3248.7249999999999</v>
      </c>
      <c r="H210" s="138">
        <v>3736.1530000000007</v>
      </c>
      <c r="I210" s="46">
        <v>3298.4980000000005</v>
      </c>
      <c r="J210" s="46">
        <v>3534.6140000000014</v>
      </c>
      <c r="K210" s="46">
        <v>3438.3379999999993</v>
      </c>
      <c r="L210" s="46">
        <v>3101.183</v>
      </c>
      <c r="M210" s="46">
        <v>3154.1760000000004</v>
      </c>
      <c r="N210" s="46">
        <v>3173.7910000000002</v>
      </c>
      <c r="O210" s="46">
        <v>3127.7620000000015</v>
      </c>
      <c r="P210" s="46">
        <v>3285.8159999999993</v>
      </c>
      <c r="Q210" s="46">
        <v>3010.5129999999995</v>
      </c>
      <c r="R210" s="138">
        <v>2863.7610000000004</v>
      </c>
      <c r="S210" s="138">
        <v>2715.8849999999989</v>
      </c>
      <c r="T210" s="138">
        <v>3028.2179999999998</v>
      </c>
      <c r="U210" s="138">
        <v>3277.2290000000007</v>
      </c>
      <c r="V210" s="138">
        <v>3083.7080000000005</v>
      </c>
      <c r="W210" s="138">
        <v>3075.5500000000006</v>
      </c>
      <c r="X210" s="138">
        <v>3150.9720000000007</v>
      </c>
    </row>
    <row r="211" spans="1:24" x14ac:dyDescent="0.3">
      <c r="A211" s="10" t="s">
        <v>160</v>
      </c>
      <c r="B211" s="138">
        <v>3482.420000000001</v>
      </c>
      <c r="C211" s="138">
        <v>3418.5330000000004</v>
      </c>
      <c r="D211" s="138">
        <v>3796.6250000000005</v>
      </c>
      <c r="E211" s="138">
        <v>3404.8570000000004</v>
      </c>
      <c r="F211" s="138">
        <v>3800.0959999999995</v>
      </c>
      <c r="G211" s="138">
        <v>3852.4480000000008</v>
      </c>
      <c r="H211" s="138">
        <v>4016.2559999999999</v>
      </c>
      <c r="I211" s="46">
        <v>3881.415</v>
      </c>
      <c r="J211" s="46">
        <v>4199.1129999999985</v>
      </c>
      <c r="K211" s="46">
        <v>3395.8250000000003</v>
      </c>
      <c r="L211" s="46">
        <v>3193.3119999999994</v>
      </c>
      <c r="M211" s="46">
        <v>3980.32</v>
      </c>
      <c r="N211" s="46">
        <v>3709.0290000000005</v>
      </c>
      <c r="O211" s="46">
        <v>4856.4229999999998</v>
      </c>
      <c r="P211" s="46">
        <v>4521.0379999999996</v>
      </c>
      <c r="Q211" s="46">
        <v>4885.6660000000002</v>
      </c>
      <c r="R211" s="138">
        <v>4982.8250000000007</v>
      </c>
      <c r="S211" s="138">
        <v>4065.192</v>
      </c>
      <c r="T211" s="138">
        <v>4975.8909999999996</v>
      </c>
      <c r="U211" s="138">
        <v>4459.222999999999</v>
      </c>
      <c r="V211" s="138">
        <v>4449.4320000000016</v>
      </c>
      <c r="W211" s="138">
        <v>4361.9440000000004</v>
      </c>
      <c r="X211" s="138">
        <v>5133.4320000000016</v>
      </c>
    </row>
    <row r="212" spans="1:24" x14ac:dyDescent="0.3">
      <c r="A212" s="10" t="s">
        <v>590</v>
      </c>
      <c r="B212" s="138">
        <v>52.580000000000005</v>
      </c>
      <c r="C212" s="138">
        <v>85.091000000000008</v>
      </c>
      <c r="D212" s="138">
        <v>54.586000000000006</v>
      </c>
      <c r="E212" s="138">
        <v>62.847000000000001</v>
      </c>
      <c r="F212" s="138">
        <v>153.917</v>
      </c>
      <c r="G212" s="138">
        <v>114.99799999999999</v>
      </c>
      <c r="H212" s="138">
        <v>157.12700000000001</v>
      </c>
      <c r="I212" s="46">
        <v>154.57599999999999</v>
      </c>
      <c r="J212" s="46">
        <v>77.272999999999996</v>
      </c>
      <c r="K212" s="46">
        <v>85.881999999999991</v>
      </c>
      <c r="L212" s="46">
        <v>95.866</v>
      </c>
      <c r="M212" s="46">
        <v>71.216999999999999</v>
      </c>
      <c r="N212" s="46">
        <v>209.51999999999998</v>
      </c>
      <c r="O212" s="46">
        <v>126.62400000000001</v>
      </c>
      <c r="P212" s="46">
        <v>90.587999999999994</v>
      </c>
      <c r="Q212" s="46">
        <v>75.336999999999989</v>
      </c>
      <c r="R212" s="138">
        <v>101.22499999999999</v>
      </c>
      <c r="S212" s="138">
        <v>106.205</v>
      </c>
      <c r="T212" s="138">
        <v>139.89099999999999</v>
      </c>
      <c r="U212" s="138">
        <v>170.60199999999998</v>
      </c>
      <c r="V212" s="138">
        <v>121.032</v>
      </c>
      <c r="W212" s="138">
        <v>136.32100000000003</v>
      </c>
      <c r="X212" s="138">
        <v>138.339</v>
      </c>
    </row>
    <row r="213" spans="1:24" x14ac:dyDescent="0.3">
      <c r="A213" s="10" t="s">
        <v>83</v>
      </c>
      <c r="B213" s="138">
        <v>7937.1419999999989</v>
      </c>
      <c r="C213" s="138">
        <v>7561.1450000000004</v>
      </c>
      <c r="D213" s="138">
        <v>8247.777</v>
      </c>
      <c r="E213" s="138">
        <v>7734.4390000000003</v>
      </c>
      <c r="F213" s="138">
        <v>8009.2310000000007</v>
      </c>
      <c r="G213" s="138">
        <v>8028.5630000000001</v>
      </c>
      <c r="H213" s="138">
        <v>8955.5350000000017</v>
      </c>
      <c r="I213" s="46">
        <v>8351.2909999999993</v>
      </c>
      <c r="J213" s="46">
        <v>8853.7469999999976</v>
      </c>
      <c r="K213" s="46">
        <v>7853.1759999999995</v>
      </c>
      <c r="L213" s="46">
        <v>7475.1399999999994</v>
      </c>
      <c r="M213" s="46">
        <v>8271.8330000000005</v>
      </c>
      <c r="N213" s="46">
        <v>7902.51</v>
      </c>
      <c r="O213" s="46">
        <v>9059.1530000000021</v>
      </c>
      <c r="P213" s="46">
        <v>8831.6429999999982</v>
      </c>
      <c r="Q213" s="46">
        <v>9106.6270000000004</v>
      </c>
      <c r="R213" s="138">
        <v>9260.4070000000011</v>
      </c>
      <c r="S213" s="138">
        <v>8403.2509999999984</v>
      </c>
      <c r="T213" s="138">
        <v>9313.3189999999995</v>
      </c>
      <c r="U213" s="138">
        <v>8732.6270000000004</v>
      </c>
      <c r="V213" s="138">
        <v>8798.2849999999999</v>
      </c>
      <c r="W213" s="138">
        <v>8466.2720000000008</v>
      </c>
      <c r="X213" s="138">
        <v>9301.2760000000017</v>
      </c>
    </row>
  </sheetData>
  <pageMargins left="0.7" right="0.7" top="0.75" bottom="0.75" header="0.3" footer="0.3"/>
  <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R221"/>
  <sheetViews>
    <sheetView zoomScale="86" zoomScaleNormal="86" workbookViewId="0">
      <pane xSplit="10" topLeftCell="AH1" activePane="topRight" state="frozen"/>
      <selection activeCell="G150" sqref="G150"/>
      <selection pane="topRight" activeCell="B2" sqref="B2"/>
    </sheetView>
  </sheetViews>
  <sheetFormatPr defaultRowHeight="14.4" x14ac:dyDescent="0.3"/>
  <cols>
    <col min="1" max="1" width="6.88671875" bestFit="1" customWidth="1"/>
    <col min="2" max="2" width="11" customWidth="1"/>
    <col min="3" max="3" width="14.44140625" style="28" customWidth="1"/>
    <col min="4" max="4" width="58.109375" customWidth="1"/>
    <col min="5" max="5" width="39.6640625" style="28" customWidth="1"/>
    <col min="6" max="6" width="15.5546875" customWidth="1"/>
    <col min="7" max="7" width="12.6640625" bestFit="1" customWidth="1"/>
    <col min="8" max="8" width="9.33203125" customWidth="1"/>
    <col min="9" max="9" width="10.6640625" bestFit="1" customWidth="1"/>
    <col min="10" max="10" width="8.88671875" bestFit="1" customWidth="1"/>
    <col min="11" max="11" width="21" bestFit="1" customWidth="1"/>
    <col min="12" max="12" width="12.33203125" style="28" customWidth="1"/>
    <col min="13" max="13" width="12" style="27" customWidth="1"/>
    <col min="14" max="14" width="12.44140625" style="28" customWidth="1"/>
    <col min="15" max="15" width="12.33203125" customWidth="1"/>
    <col min="16" max="16" width="12.5546875" customWidth="1"/>
    <col min="17" max="17" width="13.109375" customWidth="1"/>
    <col min="18" max="18" width="15" bestFit="1" customWidth="1"/>
    <col min="19" max="19" width="12.88671875" customWidth="1"/>
    <col min="20" max="20" width="13.33203125" customWidth="1"/>
    <col min="21" max="21" width="15.44140625" customWidth="1"/>
    <col min="22" max="22" width="15" bestFit="1" customWidth="1"/>
    <col min="23" max="23" width="17.109375" bestFit="1" customWidth="1"/>
    <col min="24" max="24" width="13.44140625" customWidth="1"/>
    <col min="25" max="25" width="12.33203125" customWidth="1"/>
    <col min="26" max="26" width="11.5546875" customWidth="1"/>
    <col min="27" max="27" width="14.44140625" customWidth="1"/>
    <col min="28" max="28" width="13.6640625" customWidth="1"/>
    <col min="29" max="29" width="12.88671875" customWidth="1"/>
    <col min="30" max="30" width="13" style="28" customWidth="1"/>
    <col min="31" max="31" width="11.88671875" style="28" customWidth="1"/>
    <col min="32" max="32" width="12.44140625" style="28" customWidth="1"/>
    <col min="33" max="33" width="12.109375" style="28" customWidth="1"/>
    <col min="34" max="34" width="11.6640625" style="28" customWidth="1"/>
    <col min="35" max="35" width="12.5546875" style="28" customWidth="1"/>
    <col min="36" max="36" width="15" bestFit="1" customWidth="1"/>
    <col min="37" max="37" width="13.33203125" customWidth="1"/>
    <col min="38" max="38" width="11.88671875" customWidth="1"/>
    <col min="39" max="42" width="13.33203125" customWidth="1"/>
    <col min="43" max="43" width="14" bestFit="1" customWidth="1"/>
    <col min="44" max="44" width="13.88671875" customWidth="1"/>
    <col min="47" max="47" width="11.44140625" customWidth="1"/>
  </cols>
  <sheetData>
    <row r="1" spans="1:44" ht="30.75" customHeight="1" x14ac:dyDescent="0.3">
      <c r="A1" s="13" t="s">
        <v>0</v>
      </c>
      <c r="B1" s="14" t="s">
        <v>1</v>
      </c>
      <c r="C1" s="120" t="s">
        <v>599</v>
      </c>
      <c r="D1" s="111" t="s">
        <v>394</v>
      </c>
      <c r="E1" s="120" t="s">
        <v>2</v>
      </c>
      <c r="F1" s="14" t="s">
        <v>3</v>
      </c>
      <c r="G1" s="14" t="s">
        <v>4</v>
      </c>
      <c r="H1" s="14" t="s">
        <v>5</v>
      </c>
      <c r="I1" s="14" t="s">
        <v>6</v>
      </c>
      <c r="J1" s="13" t="s">
        <v>7</v>
      </c>
      <c r="K1" s="13" t="s">
        <v>158</v>
      </c>
      <c r="L1" s="99">
        <v>45778</v>
      </c>
      <c r="M1" s="99">
        <v>45779</v>
      </c>
      <c r="N1" s="99">
        <v>45780</v>
      </c>
      <c r="O1" s="99">
        <v>45781</v>
      </c>
      <c r="P1" s="99">
        <v>45782</v>
      </c>
      <c r="Q1" s="99">
        <v>45783</v>
      </c>
      <c r="R1" s="99">
        <v>45784</v>
      </c>
      <c r="S1" s="99">
        <v>45785</v>
      </c>
      <c r="T1" s="99">
        <v>45786</v>
      </c>
      <c r="U1" s="99">
        <v>45787</v>
      </c>
      <c r="V1" s="99">
        <v>45788</v>
      </c>
      <c r="W1" s="99">
        <v>45789</v>
      </c>
      <c r="X1" s="99">
        <v>45790</v>
      </c>
      <c r="Y1" s="99">
        <v>45791</v>
      </c>
      <c r="Z1" s="99">
        <v>45792</v>
      </c>
      <c r="AA1" s="99">
        <v>45793</v>
      </c>
      <c r="AB1" s="99">
        <v>45794</v>
      </c>
      <c r="AC1" s="99">
        <v>45795</v>
      </c>
      <c r="AD1" s="99">
        <v>45796</v>
      </c>
      <c r="AE1" s="99">
        <v>45797</v>
      </c>
      <c r="AF1" s="99">
        <v>45798</v>
      </c>
      <c r="AG1" s="99">
        <v>45799</v>
      </c>
      <c r="AH1" s="99">
        <v>45800</v>
      </c>
      <c r="AI1" s="99">
        <v>45801</v>
      </c>
      <c r="AJ1" s="99">
        <v>45802</v>
      </c>
      <c r="AK1" s="99">
        <v>45803</v>
      </c>
      <c r="AL1" s="99">
        <v>45804</v>
      </c>
      <c r="AM1" s="99">
        <v>45805</v>
      </c>
      <c r="AN1" s="99">
        <v>45806</v>
      </c>
      <c r="AO1" s="99">
        <v>45807</v>
      </c>
      <c r="AP1" s="99">
        <v>45808</v>
      </c>
      <c r="AQ1" s="13" t="s">
        <v>8</v>
      </c>
      <c r="AR1" s="12" t="s">
        <v>154</v>
      </c>
    </row>
    <row r="2" spans="1:44" x14ac:dyDescent="0.3">
      <c r="A2" s="5">
        <v>1</v>
      </c>
      <c r="B2" s="107" t="s">
        <v>9</v>
      </c>
      <c r="C2" s="122" t="s">
        <v>600</v>
      </c>
      <c r="D2" s="112" t="s">
        <v>739</v>
      </c>
      <c r="E2" s="121" t="s">
        <v>1110</v>
      </c>
      <c r="F2" s="110" t="s">
        <v>11</v>
      </c>
      <c r="G2" s="6" t="s">
        <v>12</v>
      </c>
      <c r="H2" s="6" t="s">
        <v>976</v>
      </c>
      <c r="I2" s="6" t="s">
        <v>35</v>
      </c>
      <c r="J2" s="5">
        <v>6</v>
      </c>
      <c r="K2" s="67" t="s">
        <v>160</v>
      </c>
      <c r="L2" s="46">
        <v>0</v>
      </c>
      <c r="M2" s="46">
        <v>0</v>
      </c>
      <c r="N2" s="46">
        <v>0</v>
      </c>
      <c r="O2" s="46">
        <v>0</v>
      </c>
      <c r="P2" s="46">
        <v>0</v>
      </c>
      <c r="Q2" s="46">
        <v>0</v>
      </c>
      <c r="R2" s="46">
        <v>0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  <c r="X2" s="46">
        <v>0</v>
      </c>
      <c r="Y2" s="46">
        <v>0</v>
      </c>
      <c r="Z2" s="46">
        <v>0</v>
      </c>
      <c r="AA2" s="46">
        <v>0</v>
      </c>
      <c r="AB2" s="46">
        <v>0</v>
      </c>
      <c r="AC2" s="46">
        <v>0</v>
      </c>
      <c r="AD2" s="46">
        <v>0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J2" s="46"/>
      <c r="AK2" s="46"/>
      <c r="AL2" s="46"/>
      <c r="AM2" s="46"/>
      <c r="AN2" s="46"/>
      <c r="AO2" s="46"/>
      <c r="AP2" s="46"/>
      <c r="AQ2" s="46">
        <f t="shared" ref="AQ2:AQ33" si="0">AVERAGE(L2:AO2)</f>
        <v>0</v>
      </c>
      <c r="AR2" s="7">
        <f t="shared" ref="AR2:AR33" si="1">AQ2/J2</f>
        <v>0</v>
      </c>
    </row>
    <row r="3" spans="1:44" x14ac:dyDescent="0.3">
      <c r="A3" s="5">
        <v>2</v>
      </c>
      <c r="B3" s="107" t="s">
        <v>9</v>
      </c>
      <c r="C3" s="122" t="s">
        <v>601</v>
      </c>
      <c r="D3" s="112" t="s">
        <v>740</v>
      </c>
      <c r="E3" s="121" t="s">
        <v>1111</v>
      </c>
      <c r="F3" s="110" t="s">
        <v>11</v>
      </c>
      <c r="G3" s="6" t="s">
        <v>12</v>
      </c>
      <c r="H3" s="6" t="s">
        <v>976</v>
      </c>
      <c r="I3" s="6" t="s">
        <v>35</v>
      </c>
      <c r="J3" s="5">
        <v>9</v>
      </c>
      <c r="K3" s="67" t="s">
        <v>160</v>
      </c>
      <c r="L3" s="46">
        <v>133.92000000000004</v>
      </c>
      <c r="M3" s="46">
        <v>178.86799999999997</v>
      </c>
      <c r="N3" s="46">
        <v>209.69400000000005</v>
      </c>
      <c r="O3" s="46">
        <v>123.57900000000001</v>
      </c>
      <c r="P3" s="46">
        <v>203.26199999999997</v>
      </c>
      <c r="Q3" s="46">
        <v>181.24100000000007</v>
      </c>
      <c r="R3" s="46">
        <v>183.39600000000002</v>
      </c>
      <c r="S3" s="46">
        <v>199.73500000000001</v>
      </c>
      <c r="T3" s="46">
        <v>148.768</v>
      </c>
      <c r="U3" s="46">
        <v>159.077</v>
      </c>
      <c r="V3" s="46">
        <v>138.22199999999998</v>
      </c>
      <c r="W3" s="46">
        <v>136.76400000000001</v>
      </c>
      <c r="X3" s="46">
        <v>157.767</v>
      </c>
      <c r="Y3" s="46">
        <v>141.465</v>
      </c>
      <c r="Z3" s="46">
        <v>139.14600000000002</v>
      </c>
      <c r="AA3" s="46">
        <v>138.89600000000004</v>
      </c>
      <c r="AB3" s="10">
        <v>168.435</v>
      </c>
      <c r="AC3" s="10">
        <v>142.66</v>
      </c>
      <c r="AD3" s="10">
        <v>111.50699999999999</v>
      </c>
      <c r="AE3" s="10">
        <v>137.60100000000003</v>
      </c>
      <c r="AF3" s="10">
        <v>126.154</v>
      </c>
      <c r="AG3" s="10">
        <v>125.074</v>
      </c>
      <c r="AH3" s="10">
        <v>132.33599999999998</v>
      </c>
      <c r="AI3" s="10">
        <v>352.34299999999973</v>
      </c>
      <c r="AJ3" s="10"/>
      <c r="AK3" s="46"/>
      <c r="AL3" s="46"/>
      <c r="AM3" s="46"/>
      <c r="AN3" s="46"/>
      <c r="AO3" s="46"/>
      <c r="AP3" s="46"/>
      <c r="AQ3" s="46">
        <f t="shared" si="0"/>
        <v>161.24625</v>
      </c>
      <c r="AR3" s="7">
        <f t="shared" si="1"/>
        <v>17.916250000000002</v>
      </c>
    </row>
    <row r="4" spans="1:44" x14ac:dyDescent="0.3">
      <c r="A4" s="5">
        <v>3</v>
      </c>
      <c r="B4" s="107" t="s">
        <v>9</v>
      </c>
      <c r="C4" s="122" t="s">
        <v>602</v>
      </c>
      <c r="D4" s="112" t="s">
        <v>741</v>
      </c>
      <c r="E4" s="121" t="s">
        <v>1112</v>
      </c>
      <c r="F4" s="110" t="s">
        <v>11</v>
      </c>
      <c r="G4" s="6" t="s">
        <v>12</v>
      </c>
      <c r="H4" s="6" t="s">
        <v>976</v>
      </c>
      <c r="I4" s="6" t="s">
        <v>35</v>
      </c>
      <c r="J4" s="5">
        <v>3</v>
      </c>
      <c r="K4" s="67" t="s">
        <v>160</v>
      </c>
      <c r="L4" s="46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/>
      <c r="AK4" s="46"/>
      <c r="AL4" s="46"/>
      <c r="AM4" s="46"/>
      <c r="AN4" s="46"/>
      <c r="AO4" s="46"/>
      <c r="AP4" s="46"/>
      <c r="AQ4" s="46">
        <f t="shared" si="0"/>
        <v>0</v>
      </c>
      <c r="AR4" s="7">
        <f t="shared" si="1"/>
        <v>0</v>
      </c>
    </row>
    <row r="5" spans="1:44" ht="15" customHeight="1" x14ac:dyDescent="0.3">
      <c r="A5" s="5">
        <v>4</v>
      </c>
      <c r="B5" s="107" t="s">
        <v>9</v>
      </c>
      <c r="C5" s="122" t="s">
        <v>604</v>
      </c>
      <c r="D5" s="112" t="s">
        <v>761</v>
      </c>
      <c r="E5" s="121" t="s">
        <v>1202</v>
      </c>
      <c r="F5" s="110" t="s">
        <v>128</v>
      </c>
      <c r="G5" s="6" t="s">
        <v>12</v>
      </c>
      <c r="H5" s="6" t="s">
        <v>976</v>
      </c>
      <c r="I5" s="6" t="s">
        <v>35</v>
      </c>
      <c r="J5" s="5">
        <v>54</v>
      </c>
      <c r="K5" s="94" t="s">
        <v>273</v>
      </c>
      <c r="L5" s="46">
        <v>666.67599999999982</v>
      </c>
      <c r="M5" s="46">
        <v>557.73899999999969</v>
      </c>
      <c r="N5" s="46">
        <v>505.11199999999991</v>
      </c>
      <c r="O5" s="46">
        <v>609.19600000000003</v>
      </c>
      <c r="P5" s="46">
        <v>445.81400000000002</v>
      </c>
      <c r="Q5" s="46">
        <v>458.53500000000003</v>
      </c>
      <c r="R5" s="46">
        <v>678.88199999999983</v>
      </c>
      <c r="S5" s="46">
        <v>494.77600000000001</v>
      </c>
      <c r="T5" s="46">
        <v>625.41899999999998</v>
      </c>
      <c r="U5" s="46">
        <v>694.54799999999977</v>
      </c>
      <c r="V5" s="46">
        <v>609.87800000000004</v>
      </c>
      <c r="W5" s="46">
        <v>581.803</v>
      </c>
      <c r="X5" s="46">
        <v>587.3549999999999</v>
      </c>
      <c r="Y5" s="46">
        <v>665.76900000000012</v>
      </c>
      <c r="Z5" s="46">
        <v>721.76199999999972</v>
      </c>
      <c r="AA5" s="46">
        <v>645.59199999999998</v>
      </c>
      <c r="AB5" s="10">
        <v>603.18299999999999</v>
      </c>
      <c r="AC5" s="10">
        <v>562.15000000000009</v>
      </c>
      <c r="AD5" s="10">
        <v>658.46099999999979</v>
      </c>
      <c r="AE5" s="10">
        <v>676.67999999999984</v>
      </c>
      <c r="AF5" s="10">
        <v>662.7850000000002</v>
      </c>
      <c r="AG5" s="10">
        <v>661.0469999999998</v>
      </c>
      <c r="AH5" s="10">
        <v>727.10700000000008</v>
      </c>
      <c r="AI5" s="10">
        <v>1384.085</v>
      </c>
      <c r="AJ5" s="10"/>
      <c r="AK5" s="46"/>
      <c r="AL5" s="46"/>
      <c r="AM5" s="46"/>
      <c r="AN5" s="46"/>
      <c r="AO5" s="46"/>
      <c r="AP5" s="46"/>
      <c r="AQ5" s="46">
        <f t="shared" si="0"/>
        <v>645.18141666666645</v>
      </c>
      <c r="AR5" s="7">
        <f t="shared" si="1"/>
        <v>11.947804012345674</v>
      </c>
    </row>
    <row r="6" spans="1:44" x14ac:dyDescent="0.3">
      <c r="A6" s="5">
        <v>5</v>
      </c>
      <c r="B6" s="107" t="s">
        <v>9</v>
      </c>
      <c r="C6" s="122" t="s">
        <v>961</v>
      </c>
      <c r="D6" s="112" t="s">
        <v>983</v>
      </c>
      <c r="E6" s="121" t="s">
        <v>1202</v>
      </c>
      <c r="F6" s="110" t="s">
        <v>128</v>
      </c>
      <c r="G6" s="6" t="s">
        <v>12</v>
      </c>
      <c r="H6" s="6" t="s">
        <v>971</v>
      </c>
      <c r="I6" s="6" t="s">
        <v>80</v>
      </c>
      <c r="J6" s="5">
        <v>11</v>
      </c>
      <c r="K6" s="94" t="s">
        <v>273</v>
      </c>
      <c r="L6" s="46">
        <v>233.71999999999994</v>
      </c>
      <c r="M6" s="46">
        <v>204.51999999999992</v>
      </c>
      <c r="N6" s="46">
        <v>250.64999999999992</v>
      </c>
      <c r="O6" s="46">
        <v>217.79999999999998</v>
      </c>
      <c r="P6" s="46">
        <v>235.02</v>
      </c>
      <c r="Q6" s="46">
        <v>239.23000000000002</v>
      </c>
      <c r="R6" s="46">
        <v>287.95000000000005</v>
      </c>
      <c r="S6" s="46">
        <v>203.47100000000003</v>
      </c>
      <c r="T6" s="46">
        <v>160.88999999999996</v>
      </c>
      <c r="U6" s="46">
        <v>247.54</v>
      </c>
      <c r="V6" s="46">
        <v>177.23</v>
      </c>
      <c r="W6" s="46">
        <v>167.12900000000002</v>
      </c>
      <c r="X6" s="46">
        <v>250.49899999999997</v>
      </c>
      <c r="Y6" s="46">
        <v>231.62999999999997</v>
      </c>
      <c r="Z6" s="46">
        <v>263.68999999999994</v>
      </c>
      <c r="AA6" s="46">
        <v>261.93</v>
      </c>
      <c r="AB6" s="10">
        <v>319.12099999999987</v>
      </c>
      <c r="AC6" s="10">
        <v>350.09</v>
      </c>
      <c r="AD6" s="10">
        <v>338.28999999999996</v>
      </c>
      <c r="AE6" s="10">
        <v>258.87000000000006</v>
      </c>
      <c r="AF6" s="10">
        <v>294.57000000000005</v>
      </c>
      <c r="AG6" s="10">
        <v>315.64999999999998</v>
      </c>
      <c r="AH6" s="10">
        <v>206.00000000000006</v>
      </c>
      <c r="AI6" s="10">
        <v>443.56099999999986</v>
      </c>
      <c r="AJ6" s="10"/>
      <c r="AK6" s="46"/>
      <c r="AL6" s="46"/>
      <c r="AM6" s="46"/>
      <c r="AN6" s="46"/>
      <c r="AO6" s="46"/>
      <c r="AP6" s="46"/>
      <c r="AQ6" s="46">
        <f t="shared" si="0"/>
        <v>256.62712499999992</v>
      </c>
      <c r="AR6" s="7">
        <f t="shared" si="1"/>
        <v>23.329738636363629</v>
      </c>
    </row>
    <row r="7" spans="1:44" x14ac:dyDescent="0.3">
      <c r="A7" s="5">
        <v>6</v>
      </c>
      <c r="B7" s="107" t="s">
        <v>9</v>
      </c>
      <c r="C7" s="122" t="s">
        <v>605</v>
      </c>
      <c r="D7" s="112" t="s">
        <v>750</v>
      </c>
      <c r="E7" s="121" t="s">
        <v>1203</v>
      </c>
      <c r="F7" s="110" t="s">
        <v>128</v>
      </c>
      <c r="G7" s="6" t="s">
        <v>12</v>
      </c>
      <c r="H7" s="6" t="s">
        <v>976</v>
      </c>
      <c r="I7" s="6" t="s">
        <v>35</v>
      </c>
      <c r="J7" s="5">
        <v>6</v>
      </c>
      <c r="K7" s="94" t="s">
        <v>273</v>
      </c>
      <c r="L7" s="46">
        <v>36.537000000000006</v>
      </c>
      <c r="M7" s="46">
        <v>31.145</v>
      </c>
      <c r="N7" s="46">
        <v>32.650999999999996</v>
      </c>
      <c r="O7" s="46">
        <v>27.338999999999999</v>
      </c>
      <c r="P7" s="46">
        <v>35.117000000000004</v>
      </c>
      <c r="Q7" s="46">
        <v>27.140999999999998</v>
      </c>
      <c r="R7" s="46">
        <v>30.372</v>
      </c>
      <c r="S7" s="46">
        <v>33.912999999999997</v>
      </c>
      <c r="T7" s="46">
        <v>26.673999999999999</v>
      </c>
      <c r="U7" s="46">
        <v>29.98</v>
      </c>
      <c r="V7" s="46">
        <v>28.959000000000003</v>
      </c>
      <c r="W7" s="46">
        <v>30.998000000000001</v>
      </c>
      <c r="X7" s="46">
        <v>29.001999999999999</v>
      </c>
      <c r="Y7" s="46">
        <v>27.457000000000001</v>
      </c>
      <c r="Z7" s="46">
        <v>26.443999999999999</v>
      </c>
      <c r="AA7" s="46">
        <v>37.806999999999995</v>
      </c>
      <c r="AB7" s="10">
        <v>26.516999999999999</v>
      </c>
      <c r="AC7" s="10">
        <v>27.053000000000001</v>
      </c>
      <c r="AD7" s="10">
        <v>26.85</v>
      </c>
      <c r="AE7" s="10">
        <v>27.709</v>
      </c>
      <c r="AF7" s="10">
        <v>27.128</v>
      </c>
      <c r="AG7" s="10">
        <v>23.393999999999998</v>
      </c>
      <c r="AH7" s="10">
        <v>23.900000000000002</v>
      </c>
      <c r="AI7" s="10">
        <v>41.351999999999997</v>
      </c>
      <c r="AJ7" s="10"/>
      <c r="AK7" s="46"/>
      <c r="AL7" s="46"/>
      <c r="AM7" s="46"/>
      <c r="AN7" s="46"/>
      <c r="AO7" s="46"/>
      <c r="AP7" s="46"/>
      <c r="AQ7" s="46">
        <f t="shared" si="0"/>
        <v>29.809958333333331</v>
      </c>
      <c r="AR7" s="7">
        <f t="shared" si="1"/>
        <v>4.9683263888888884</v>
      </c>
    </row>
    <row r="8" spans="1:44" x14ac:dyDescent="0.3">
      <c r="A8" s="5">
        <v>7</v>
      </c>
      <c r="B8" s="107" t="s">
        <v>9</v>
      </c>
      <c r="C8" s="122" t="s">
        <v>606</v>
      </c>
      <c r="D8" s="112" t="s">
        <v>728</v>
      </c>
      <c r="E8" s="121" t="s">
        <v>1204</v>
      </c>
      <c r="F8" s="110" t="s">
        <v>30</v>
      </c>
      <c r="G8" s="6" t="s">
        <v>12</v>
      </c>
      <c r="H8" s="6" t="s">
        <v>976</v>
      </c>
      <c r="I8" s="6" t="s">
        <v>35</v>
      </c>
      <c r="J8" s="5">
        <v>3</v>
      </c>
      <c r="K8" s="94" t="s">
        <v>589</v>
      </c>
      <c r="L8" s="46">
        <v>102.813</v>
      </c>
      <c r="M8" s="46">
        <v>92.927999999999997</v>
      </c>
      <c r="N8" s="46">
        <v>101.19799999999999</v>
      </c>
      <c r="O8" s="46">
        <v>87.283000000000001</v>
      </c>
      <c r="P8" s="46">
        <v>97.306999999999988</v>
      </c>
      <c r="Q8" s="46">
        <v>73.877999999999986</v>
      </c>
      <c r="R8" s="46">
        <v>108.88400000000001</v>
      </c>
      <c r="S8" s="46">
        <v>101.25800000000002</v>
      </c>
      <c r="T8" s="46">
        <v>102.70899999999999</v>
      </c>
      <c r="U8" s="46">
        <v>83.364000000000004</v>
      </c>
      <c r="V8" s="46">
        <v>104.78699999999999</v>
      </c>
      <c r="W8" s="46">
        <v>85.287999999999997</v>
      </c>
      <c r="X8" s="46">
        <v>84.036000000000001</v>
      </c>
      <c r="Y8" s="46">
        <v>97.614000000000004</v>
      </c>
      <c r="Z8" s="46">
        <v>91.867999999999995</v>
      </c>
      <c r="AA8" s="46">
        <v>107.90600000000001</v>
      </c>
      <c r="AB8" s="10">
        <v>107.06700000000001</v>
      </c>
      <c r="AC8" s="10">
        <v>92.7</v>
      </c>
      <c r="AD8" s="10">
        <v>96.405999999999992</v>
      </c>
      <c r="AE8" s="10">
        <v>119.02099999999999</v>
      </c>
      <c r="AF8" s="10">
        <v>99.840999999999994</v>
      </c>
      <c r="AG8" s="10">
        <v>93.913999999999987</v>
      </c>
      <c r="AH8" s="10">
        <v>92.799000000000007</v>
      </c>
      <c r="AI8" s="10">
        <v>213.10699999999997</v>
      </c>
      <c r="AJ8" s="10"/>
      <c r="AK8" s="46"/>
      <c r="AL8" s="46"/>
      <c r="AM8" s="46"/>
      <c r="AN8" s="46"/>
      <c r="AO8" s="46"/>
      <c r="AP8" s="46"/>
      <c r="AQ8" s="46">
        <f t="shared" si="0"/>
        <v>101.58233333333332</v>
      </c>
      <c r="AR8" s="7">
        <f t="shared" si="1"/>
        <v>33.860777777777777</v>
      </c>
    </row>
    <row r="9" spans="1:44" x14ac:dyDescent="0.3">
      <c r="A9" s="5">
        <v>8</v>
      </c>
      <c r="B9" s="107" t="s">
        <v>9</v>
      </c>
      <c r="C9" s="122" t="s">
        <v>607</v>
      </c>
      <c r="D9" s="112" t="s">
        <v>958</v>
      </c>
      <c r="E9" s="121" t="s">
        <v>1205</v>
      </c>
      <c r="F9" s="110" t="s">
        <v>128</v>
      </c>
      <c r="G9" s="6" t="s">
        <v>19</v>
      </c>
      <c r="H9" s="6" t="s">
        <v>976</v>
      </c>
      <c r="I9" s="6" t="s">
        <v>35</v>
      </c>
      <c r="J9" s="5">
        <v>1</v>
      </c>
      <c r="K9" s="12" t="s">
        <v>590</v>
      </c>
      <c r="L9" s="46">
        <v>0</v>
      </c>
      <c r="M9" s="46">
        <v>0</v>
      </c>
      <c r="N9" s="46">
        <v>8.9529999999999994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2.8279999999999998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10">
        <v>3.367</v>
      </c>
      <c r="AG9" s="46">
        <v>0</v>
      </c>
      <c r="AH9" s="46">
        <v>0</v>
      </c>
      <c r="AI9" s="46">
        <v>0</v>
      </c>
      <c r="AJ9" s="46"/>
      <c r="AK9" s="46"/>
      <c r="AL9" s="46"/>
      <c r="AM9" s="46"/>
      <c r="AN9" s="46"/>
      <c r="AO9" s="46"/>
      <c r="AP9" s="46"/>
      <c r="AQ9" s="46">
        <f t="shared" si="0"/>
        <v>0.63116666666666665</v>
      </c>
      <c r="AR9" s="7">
        <f t="shared" si="1"/>
        <v>0.63116666666666665</v>
      </c>
    </row>
    <row r="10" spans="1:44" x14ac:dyDescent="0.3">
      <c r="A10" s="5">
        <v>9</v>
      </c>
      <c r="B10" s="107" t="s">
        <v>9</v>
      </c>
      <c r="C10" s="122" t="s">
        <v>608</v>
      </c>
      <c r="D10" s="113" t="s">
        <v>984</v>
      </c>
      <c r="E10" s="121" t="s">
        <v>1206</v>
      </c>
      <c r="F10" s="110" t="s">
        <v>128</v>
      </c>
      <c r="G10" s="6" t="s">
        <v>12</v>
      </c>
      <c r="H10" s="6" t="s">
        <v>979</v>
      </c>
      <c r="I10" s="6" t="s">
        <v>35</v>
      </c>
      <c r="J10" s="5">
        <v>2</v>
      </c>
      <c r="K10" s="67" t="s">
        <v>160</v>
      </c>
      <c r="L10" s="46">
        <v>0</v>
      </c>
      <c r="M10" s="46">
        <v>0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0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/>
      <c r="AK10" s="46"/>
      <c r="AL10" s="46"/>
      <c r="AM10" s="46"/>
      <c r="AN10" s="46"/>
      <c r="AO10" s="46"/>
      <c r="AP10" s="46"/>
      <c r="AQ10" s="46">
        <f t="shared" si="0"/>
        <v>0</v>
      </c>
      <c r="AR10" s="7">
        <f t="shared" si="1"/>
        <v>0</v>
      </c>
    </row>
    <row r="11" spans="1:44" x14ac:dyDescent="0.3">
      <c r="A11" s="5">
        <v>10</v>
      </c>
      <c r="B11" s="107" t="s">
        <v>9</v>
      </c>
      <c r="C11" s="122" t="s">
        <v>608</v>
      </c>
      <c r="D11" s="113" t="s">
        <v>772</v>
      </c>
      <c r="E11" s="121" t="s">
        <v>1206</v>
      </c>
      <c r="F11" s="110" t="s">
        <v>128</v>
      </c>
      <c r="G11" s="6" t="s">
        <v>12</v>
      </c>
      <c r="H11" s="6" t="s">
        <v>973</v>
      </c>
      <c r="I11" s="6" t="s">
        <v>80</v>
      </c>
      <c r="J11" s="5">
        <v>3</v>
      </c>
      <c r="K11" s="67" t="s">
        <v>160</v>
      </c>
      <c r="L11" s="46">
        <v>0</v>
      </c>
      <c r="M11" s="46">
        <v>0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/>
      <c r="AK11" s="46"/>
      <c r="AL11" s="46"/>
      <c r="AM11" s="46"/>
      <c r="AN11" s="46"/>
      <c r="AO11" s="46"/>
      <c r="AP11" s="46"/>
      <c r="AQ11" s="46">
        <f t="shared" si="0"/>
        <v>0</v>
      </c>
      <c r="AR11" s="7">
        <f t="shared" si="1"/>
        <v>0</v>
      </c>
    </row>
    <row r="12" spans="1:44" x14ac:dyDescent="0.3">
      <c r="A12" s="5">
        <v>11</v>
      </c>
      <c r="B12" s="107" t="s">
        <v>9</v>
      </c>
      <c r="C12" s="122" t="s">
        <v>608</v>
      </c>
      <c r="D12" s="113" t="s">
        <v>772</v>
      </c>
      <c r="E12" s="121" t="s">
        <v>1206</v>
      </c>
      <c r="F12" s="110" t="s">
        <v>128</v>
      </c>
      <c r="G12" s="6" t="s">
        <v>12</v>
      </c>
      <c r="H12" s="6" t="s">
        <v>1052</v>
      </c>
      <c r="I12" s="6" t="s">
        <v>80</v>
      </c>
      <c r="J12" s="5">
        <v>1</v>
      </c>
      <c r="K12" s="67" t="s">
        <v>160</v>
      </c>
      <c r="L12" s="46">
        <v>27.92</v>
      </c>
      <c r="M12" s="46">
        <v>50.85</v>
      </c>
      <c r="N12" s="46">
        <v>38.650000000000006</v>
      </c>
      <c r="O12" s="46">
        <v>0</v>
      </c>
      <c r="P12" s="46">
        <v>0</v>
      </c>
      <c r="Q12" s="46">
        <v>4.13</v>
      </c>
      <c r="R12" s="46">
        <v>0</v>
      </c>
      <c r="S12" s="46">
        <v>28.909999999999997</v>
      </c>
      <c r="T12" s="46">
        <v>0</v>
      </c>
      <c r="U12" s="46">
        <v>56.25</v>
      </c>
      <c r="V12" s="46">
        <v>17.04</v>
      </c>
      <c r="W12" s="46">
        <v>18.21</v>
      </c>
      <c r="X12" s="46">
        <v>52.550000000000004</v>
      </c>
      <c r="Y12" s="46">
        <v>28.48</v>
      </c>
      <c r="Z12" s="46">
        <v>0</v>
      </c>
      <c r="AA12" s="46">
        <v>31.8</v>
      </c>
      <c r="AB12" s="10">
        <v>30.060000000000002</v>
      </c>
      <c r="AC12" s="10">
        <v>0</v>
      </c>
      <c r="AD12" s="10">
        <v>7.89</v>
      </c>
      <c r="AE12" s="46">
        <v>0</v>
      </c>
      <c r="AF12" s="10">
        <v>19.98</v>
      </c>
      <c r="AG12" s="10">
        <v>24.37</v>
      </c>
      <c r="AH12" s="10">
        <v>9.16</v>
      </c>
      <c r="AI12" s="46">
        <v>0</v>
      </c>
      <c r="AJ12" s="46"/>
      <c r="AK12" s="46"/>
      <c r="AL12" s="46"/>
      <c r="AM12" s="46"/>
      <c r="AN12" s="46"/>
      <c r="AO12" s="46"/>
      <c r="AP12" s="46"/>
      <c r="AQ12" s="46">
        <f t="shared" si="0"/>
        <v>18.593750000000004</v>
      </c>
      <c r="AR12" s="7">
        <f t="shared" si="1"/>
        <v>18.593750000000004</v>
      </c>
    </row>
    <row r="13" spans="1:44" x14ac:dyDescent="0.3">
      <c r="A13" s="5">
        <v>12</v>
      </c>
      <c r="B13" s="107" t="s">
        <v>9</v>
      </c>
      <c r="C13" s="122" t="s">
        <v>609</v>
      </c>
      <c r="D13" s="112" t="s">
        <v>745</v>
      </c>
      <c r="E13" s="121" t="s">
        <v>1207</v>
      </c>
      <c r="F13" s="110" t="s">
        <v>128</v>
      </c>
      <c r="G13" s="6" t="s">
        <v>12</v>
      </c>
      <c r="H13" s="6" t="s">
        <v>976</v>
      </c>
      <c r="I13" s="6" t="s">
        <v>35</v>
      </c>
      <c r="J13" s="5">
        <v>10</v>
      </c>
      <c r="K13" s="94" t="s">
        <v>273</v>
      </c>
      <c r="L13" s="46">
        <v>70.794999999999987</v>
      </c>
      <c r="M13" s="46">
        <v>71.934999999999988</v>
      </c>
      <c r="N13" s="46">
        <v>109.248</v>
      </c>
      <c r="O13" s="46">
        <v>42.365000000000002</v>
      </c>
      <c r="P13" s="46">
        <v>93.997</v>
      </c>
      <c r="Q13" s="46">
        <v>90.942000000000007</v>
      </c>
      <c r="R13" s="46">
        <v>91.218000000000004</v>
      </c>
      <c r="S13" s="46">
        <v>80.132999999999996</v>
      </c>
      <c r="T13" s="46">
        <v>87.073999999999998</v>
      </c>
      <c r="U13" s="46">
        <v>85.397000000000006</v>
      </c>
      <c r="V13" s="46">
        <v>33.931000000000004</v>
      </c>
      <c r="W13" s="46">
        <v>30.551000000000002</v>
      </c>
      <c r="X13" s="46">
        <v>54.533000000000008</v>
      </c>
      <c r="Y13" s="46">
        <v>44.853000000000009</v>
      </c>
      <c r="Z13" s="46">
        <v>77.743999999999986</v>
      </c>
      <c r="AA13" s="46">
        <v>50.341000000000001</v>
      </c>
      <c r="AB13" s="10">
        <v>69.710999999999999</v>
      </c>
      <c r="AC13" s="10">
        <v>30.297999999999998</v>
      </c>
      <c r="AD13" s="10">
        <v>63.50200000000001</v>
      </c>
      <c r="AE13" s="10">
        <v>90.77600000000001</v>
      </c>
      <c r="AF13" s="10">
        <v>54.966999999999999</v>
      </c>
      <c r="AG13" s="10">
        <v>51.454000000000008</v>
      </c>
      <c r="AH13" s="10">
        <v>72.596000000000004</v>
      </c>
      <c r="AI13" s="10">
        <v>105.84500000000001</v>
      </c>
      <c r="AJ13" s="10"/>
      <c r="AK13" s="46"/>
      <c r="AL13" s="46"/>
      <c r="AM13" s="46"/>
      <c r="AN13" s="46"/>
      <c r="AO13" s="46"/>
      <c r="AP13" s="46"/>
      <c r="AQ13" s="46">
        <f t="shared" si="0"/>
        <v>68.925250000000005</v>
      </c>
      <c r="AR13" s="7">
        <f t="shared" si="1"/>
        <v>6.8925250000000009</v>
      </c>
    </row>
    <row r="14" spans="1:44" x14ac:dyDescent="0.3">
      <c r="A14" s="5">
        <v>13</v>
      </c>
      <c r="B14" s="107" t="s">
        <v>9</v>
      </c>
      <c r="C14" s="122" t="s">
        <v>960</v>
      </c>
      <c r="D14" s="112" t="s">
        <v>985</v>
      </c>
      <c r="E14" s="121" t="s">
        <v>1207</v>
      </c>
      <c r="F14" s="110" t="s">
        <v>128</v>
      </c>
      <c r="G14" s="6" t="s">
        <v>12</v>
      </c>
      <c r="H14" s="6" t="s">
        <v>971</v>
      </c>
      <c r="I14" s="6" t="s">
        <v>80</v>
      </c>
      <c r="J14" s="5">
        <v>1</v>
      </c>
      <c r="K14" s="94" t="s">
        <v>273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/>
      <c r="AK14" s="46"/>
      <c r="AL14" s="46"/>
      <c r="AM14" s="46"/>
      <c r="AN14" s="46"/>
      <c r="AO14" s="46"/>
      <c r="AP14" s="46"/>
      <c r="AQ14" s="46">
        <f t="shared" si="0"/>
        <v>0</v>
      </c>
      <c r="AR14" s="7">
        <f t="shared" si="1"/>
        <v>0</v>
      </c>
    </row>
    <row r="15" spans="1:44" x14ac:dyDescent="0.3">
      <c r="A15" s="5">
        <v>14</v>
      </c>
      <c r="B15" s="107" t="s">
        <v>9</v>
      </c>
      <c r="C15" s="122" t="s">
        <v>965</v>
      </c>
      <c r="D15" s="112" t="s">
        <v>914</v>
      </c>
      <c r="E15" s="121" t="s">
        <v>1208</v>
      </c>
      <c r="F15" s="110" t="s">
        <v>128</v>
      </c>
      <c r="G15" s="6" t="s">
        <v>12</v>
      </c>
      <c r="H15" s="6" t="s">
        <v>976</v>
      </c>
      <c r="I15" s="6" t="s">
        <v>35</v>
      </c>
      <c r="J15" s="5">
        <v>4</v>
      </c>
      <c r="K15" s="67" t="s">
        <v>160</v>
      </c>
      <c r="L15" s="46">
        <v>24.115000000000002</v>
      </c>
      <c r="M15" s="46">
        <v>38.244999999999997</v>
      </c>
      <c r="N15" s="46">
        <v>40.633999999999993</v>
      </c>
      <c r="O15" s="46">
        <v>14.577999999999999</v>
      </c>
      <c r="P15" s="46">
        <v>27.003999999999998</v>
      </c>
      <c r="Q15" s="46">
        <v>32.616999999999997</v>
      </c>
      <c r="R15" s="46">
        <v>27.678999999999998</v>
      </c>
      <c r="S15" s="46">
        <v>24.962</v>
      </c>
      <c r="T15" s="46">
        <v>34.71</v>
      </c>
      <c r="U15" s="46">
        <v>46.043000000000006</v>
      </c>
      <c r="V15" s="46">
        <v>30.095999999999997</v>
      </c>
      <c r="W15" s="46">
        <v>26.033999999999999</v>
      </c>
      <c r="X15" s="46">
        <v>34.338000000000001</v>
      </c>
      <c r="Y15" s="46">
        <v>32.480000000000004</v>
      </c>
      <c r="Z15" s="46">
        <v>32.512</v>
      </c>
      <c r="AA15" s="46">
        <v>27.947000000000003</v>
      </c>
      <c r="AB15" s="10">
        <v>62.057000000000009</v>
      </c>
      <c r="AC15" s="10">
        <v>26.627000000000002</v>
      </c>
      <c r="AD15" s="10">
        <v>28.594000000000001</v>
      </c>
      <c r="AE15" s="10">
        <v>26.539000000000001</v>
      </c>
      <c r="AF15" s="10">
        <v>16.480999999999998</v>
      </c>
      <c r="AG15" s="10">
        <v>37.692</v>
      </c>
      <c r="AH15" s="10">
        <v>24.962000000000003</v>
      </c>
      <c r="AI15" s="10">
        <v>82.925000000000011</v>
      </c>
      <c r="AJ15" s="10"/>
      <c r="AK15" s="46"/>
      <c r="AL15" s="46"/>
      <c r="AM15" s="46"/>
      <c r="AN15" s="46"/>
      <c r="AO15" s="46"/>
      <c r="AP15" s="46"/>
      <c r="AQ15" s="46">
        <f t="shared" si="0"/>
        <v>33.327958333333335</v>
      </c>
      <c r="AR15" s="7">
        <f t="shared" si="1"/>
        <v>8.3319895833333337</v>
      </c>
    </row>
    <row r="16" spans="1:44" x14ac:dyDescent="0.3">
      <c r="A16" s="5">
        <v>15</v>
      </c>
      <c r="B16" s="107" t="s">
        <v>9</v>
      </c>
      <c r="C16" s="122" t="s">
        <v>611</v>
      </c>
      <c r="D16" s="112" t="s">
        <v>747</v>
      </c>
      <c r="E16" s="121" t="s">
        <v>1209</v>
      </c>
      <c r="F16" s="110" t="s">
        <v>128</v>
      </c>
      <c r="G16" s="6" t="s">
        <v>12</v>
      </c>
      <c r="H16" s="6" t="s">
        <v>976</v>
      </c>
      <c r="I16" s="6" t="s">
        <v>35</v>
      </c>
      <c r="J16" s="5">
        <v>19</v>
      </c>
      <c r="K16" s="94" t="s">
        <v>273</v>
      </c>
      <c r="L16" s="46">
        <v>200.30799999999999</v>
      </c>
      <c r="M16" s="46">
        <v>172.63499999999996</v>
      </c>
      <c r="N16" s="46">
        <v>186.126</v>
      </c>
      <c r="O16" s="46">
        <v>177.059</v>
      </c>
      <c r="P16" s="46">
        <v>252.25300000000001</v>
      </c>
      <c r="Q16" s="46">
        <v>217.32600000000002</v>
      </c>
      <c r="R16" s="46">
        <v>275.71899999999994</v>
      </c>
      <c r="S16" s="46">
        <v>240.98400000000001</v>
      </c>
      <c r="T16" s="46">
        <v>222.30200000000002</v>
      </c>
      <c r="U16" s="46">
        <v>276.07699999999994</v>
      </c>
      <c r="V16" s="46">
        <v>218.86000000000007</v>
      </c>
      <c r="W16" s="46">
        <v>234.69800000000001</v>
      </c>
      <c r="X16" s="46">
        <v>223.37600000000009</v>
      </c>
      <c r="Y16" s="46">
        <v>212.24700000000004</v>
      </c>
      <c r="Z16" s="46">
        <v>242.59700000000004</v>
      </c>
      <c r="AA16" s="46">
        <v>268.40000000000003</v>
      </c>
      <c r="AB16" s="10">
        <v>207.39300000000003</v>
      </c>
      <c r="AC16" s="10">
        <v>216.45800000000006</v>
      </c>
      <c r="AD16" s="10">
        <v>235.01100000000005</v>
      </c>
      <c r="AE16" s="10">
        <v>212.15700000000001</v>
      </c>
      <c r="AF16" s="10">
        <v>198.88899999999998</v>
      </c>
      <c r="AG16" s="10">
        <v>207.37500000000009</v>
      </c>
      <c r="AH16" s="10">
        <v>175.81700000000001</v>
      </c>
      <c r="AI16" s="10">
        <v>382.36800000000017</v>
      </c>
      <c r="AJ16" s="10"/>
      <c r="AK16" s="46"/>
      <c r="AL16" s="46"/>
      <c r="AM16" s="46"/>
      <c r="AN16" s="46"/>
      <c r="AO16" s="46"/>
      <c r="AP16" s="46"/>
      <c r="AQ16" s="46">
        <f t="shared" si="0"/>
        <v>227.3514583333334</v>
      </c>
      <c r="AR16" s="7">
        <f t="shared" si="1"/>
        <v>11.965866228070178</v>
      </c>
    </row>
    <row r="17" spans="1:44" x14ac:dyDescent="0.3">
      <c r="A17" s="5">
        <v>16</v>
      </c>
      <c r="B17" s="107" t="s">
        <v>9</v>
      </c>
      <c r="C17" s="122" t="s">
        <v>964</v>
      </c>
      <c r="D17" s="112" t="s">
        <v>982</v>
      </c>
      <c r="E17" s="121" t="s">
        <v>1209</v>
      </c>
      <c r="F17" s="110" t="s">
        <v>128</v>
      </c>
      <c r="G17" s="6" t="s">
        <v>12</v>
      </c>
      <c r="H17" s="6" t="s">
        <v>973</v>
      </c>
      <c r="I17" s="6" t="s">
        <v>80</v>
      </c>
      <c r="J17" s="5">
        <v>1</v>
      </c>
      <c r="K17" s="94" t="s">
        <v>273</v>
      </c>
      <c r="L17" s="46">
        <v>44.730000000000004</v>
      </c>
      <c r="M17" s="46">
        <v>24.649000000000001</v>
      </c>
      <c r="N17" s="46">
        <v>0.25100000000000006</v>
      </c>
      <c r="O17" s="46">
        <v>8.9999999999999993E-3</v>
      </c>
      <c r="P17" s="46">
        <v>0.01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10">
        <v>2.8009999999999997</v>
      </c>
      <c r="AC17" s="10">
        <v>0</v>
      </c>
      <c r="AD17" s="46">
        <v>0</v>
      </c>
      <c r="AE17" s="10">
        <v>9.0400000000000009</v>
      </c>
      <c r="AF17" s="10">
        <v>6.4290000000000003</v>
      </c>
      <c r="AG17" s="10">
        <v>2.2010000000000001</v>
      </c>
      <c r="AH17" s="46">
        <v>0</v>
      </c>
      <c r="AI17" s="46">
        <v>0</v>
      </c>
      <c r="AJ17" s="46"/>
      <c r="AK17" s="46"/>
      <c r="AL17" s="46"/>
      <c r="AM17" s="46"/>
      <c r="AN17" s="46"/>
      <c r="AO17" s="46"/>
      <c r="AP17" s="46"/>
      <c r="AQ17" s="46">
        <f t="shared" si="0"/>
        <v>3.7550000000000008</v>
      </c>
      <c r="AR17" s="7">
        <f t="shared" si="1"/>
        <v>3.7550000000000008</v>
      </c>
    </row>
    <row r="18" spans="1:44" x14ac:dyDescent="0.3">
      <c r="A18" s="5">
        <v>17</v>
      </c>
      <c r="B18" s="107" t="s">
        <v>9</v>
      </c>
      <c r="C18" s="122" t="s">
        <v>964</v>
      </c>
      <c r="D18" s="112" t="s">
        <v>982</v>
      </c>
      <c r="E18" s="121" t="s">
        <v>1209</v>
      </c>
      <c r="F18" s="110" t="s">
        <v>128</v>
      </c>
      <c r="G18" s="6" t="s">
        <v>12</v>
      </c>
      <c r="H18" s="6" t="s">
        <v>971</v>
      </c>
      <c r="I18" s="6" t="s">
        <v>80</v>
      </c>
      <c r="J18" s="5">
        <v>2</v>
      </c>
      <c r="K18" s="94" t="s">
        <v>273</v>
      </c>
      <c r="L18" s="46">
        <v>20.780000000000005</v>
      </c>
      <c r="M18" s="46">
        <v>12.34</v>
      </c>
      <c r="N18" s="46">
        <v>0</v>
      </c>
      <c r="O18" s="46">
        <v>0</v>
      </c>
      <c r="P18" s="46">
        <v>0</v>
      </c>
      <c r="Q18" s="46">
        <v>5.59</v>
      </c>
      <c r="R18" s="46">
        <v>14.7</v>
      </c>
      <c r="S18" s="46">
        <v>8.18</v>
      </c>
      <c r="T18" s="46">
        <v>15.04</v>
      </c>
      <c r="U18" s="46">
        <v>8.43</v>
      </c>
      <c r="V18" s="46">
        <v>0.01</v>
      </c>
      <c r="W18" s="46">
        <v>0</v>
      </c>
      <c r="X18" s="46">
        <v>6.96</v>
      </c>
      <c r="Y18" s="46">
        <v>0</v>
      </c>
      <c r="Z18" s="46">
        <v>13.54</v>
      </c>
      <c r="AA18" s="46">
        <v>18.009999999999998</v>
      </c>
      <c r="AB18" s="10">
        <v>28.11</v>
      </c>
      <c r="AC18" s="10">
        <v>22.28</v>
      </c>
      <c r="AD18" s="10">
        <v>41.430000000000007</v>
      </c>
      <c r="AE18" s="10">
        <v>32.760000000000005</v>
      </c>
      <c r="AF18" s="10">
        <v>16.649999999999999</v>
      </c>
      <c r="AG18" s="10">
        <v>27.66</v>
      </c>
      <c r="AH18" s="10">
        <v>50.7</v>
      </c>
      <c r="AI18" s="10">
        <v>44.22</v>
      </c>
      <c r="AJ18" s="10"/>
      <c r="AK18" s="46"/>
      <c r="AL18" s="46"/>
      <c r="AM18" s="46"/>
      <c r="AN18" s="46"/>
      <c r="AO18" s="46"/>
      <c r="AP18" s="46"/>
      <c r="AQ18" s="46">
        <f t="shared" si="0"/>
        <v>16.141249999999999</v>
      </c>
      <c r="AR18" s="7">
        <f t="shared" si="1"/>
        <v>8.0706249999999997</v>
      </c>
    </row>
    <row r="19" spans="1:44" x14ac:dyDescent="0.3">
      <c r="A19" s="5">
        <v>18</v>
      </c>
      <c r="B19" s="107" t="s">
        <v>9</v>
      </c>
      <c r="C19" s="122" t="s">
        <v>959</v>
      </c>
      <c r="D19" s="112" t="s">
        <v>755</v>
      </c>
      <c r="E19" s="121" t="s">
        <v>1210</v>
      </c>
      <c r="F19" s="110" t="s">
        <v>128</v>
      </c>
      <c r="G19" s="6" t="s">
        <v>12</v>
      </c>
      <c r="H19" s="6" t="s">
        <v>976</v>
      </c>
      <c r="I19" s="6" t="s">
        <v>35</v>
      </c>
      <c r="J19" s="5">
        <v>8</v>
      </c>
      <c r="K19" s="94" t="s">
        <v>273</v>
      </c>
      <c r="L19" s="46">
        <v>47.475000000000001</v>
      </c>
      <c r="M19" s="46">
        <v>49.087000000000003</v>
      </c>
      <c r="N19" s="46">
        <v>48.367999999999995</v>
      </c>
      <c r="O19" s="46">
        <v>55.778999999999996</v>
      </c>
      <c r="P19" s="46">
        <v>57.827999999999996</v>
      </c>
      <c r="Q19" s="46">
        <v>93.838999999999999</v>
      </c>
      <c r="R19" s="46">
        <v>35.798999999999999</v>
      </c>
      <c r="S19" s="46">
        <v>18.811000000000003</v>
      </c>
      <c r="T19" s="46">
        <v>3.9670000000000001</v>
      </c>
      <c r="U19" s="46">
        <v>3.8620000000000001</v>
      </c>
      <c r="V19" s="46">
        <v>0</v>
      </c>
      <c r="W19" s="46">
        <v>6.4939999999999998</v>
      </c>
      <c r="X19" s="46">
        <v>9.23</v>
      </c>
      <c r="Y19" s="46">
        <v>6.57</v>
      </c>
      <c r="Z19" s="46">
        <v>25.507000000000001</v>
      </c>
      <c r="AA19" s="46">
        <v>8.1690000000000005</v>
      </c>
      <c r="AB19" s="10">
        <v>7.5209999999999999</v>
      </c>
      <c r="AC19" s="10">
        <v>12.667000000000002</v>
      </c>
      <c r="AD19" s="10">
        <v>16.931000000000001</v>
      </c>
      <c r="AE19" s="10">
        <v>4.5149999999999997</v>
      </c>
      <c r="AF19" s="10">
        <v>18.425999999999998</v>
      </c>
      <c r="AG19" s="10">
        <v>3.5840000000000001</v>
      </c>
      <c r="AH19" s="10">
        <v>5.452</v>
      </c>
      <c r="AI19" s="10">
        <v>7.9039999999999999</v>
      </c>
      <c r="AJ19" s="10"/>
      <c r="AK19" s="46"/>
      <c r="AL19" s="46"/>
      <c r="AM19" s="46"/>
      <c r="AN19" s="46"/>
      <c r="AO19" s="46"/>
      <c r="AP19" s="46"/>
      <c r="AQ19" s="46">
        <f t="shared" si="0"/>
        <v>22.824375</v>
      </c>
      <c r="AR19" s="7">
        <f t="shared" si="1"/>
        <v>2.853046875</v>
      </c>
    </row>
    <row r="20" spans="1:44" x14ac:dyDescent="0.3">
      <c r="A20" s="5">
        <v>19</v>
      </c>
      <c r="B20" s="107" t="s">
        <v>9</v>
      </c>
      <c r="C20" s="122" t="s">
        <v>612</v>
      </c>
      <c r="D20" s="112" t="s">
        <v>771</v>
      </c>
      <c r="E20" s="121" t="s">
        <v>1210</v>
      </c>
      <c r="F20" s="110" t="s">
        <v>128</v>
      </c>
      <c r="G20" s="6" t="s">
        <v>12</v>
      </c>
      <c r="H20" s="6" t="s">
        <v>979</v>
      </c>
      <c r="I20" s="6" t="s">
        <v>35</v>
      </c>
      <c r="J20" s="5">
        <v>3</v>
      </c>
      <c r="K20" s="67" t="s">
        <v>160</v>
      </c>
      <c r="L20" s="46">
        <v>0</v>
      </c>
      <c r="M20" s="46">
        <v>0</v>
      </c>
      <c r="N20" s="46">
        <v>0</v>
      </c>
      <c r="O20" s="46">
        <v>0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/>
      <c r="AK20" s="46"/>
      <c r="AL20" s="46"/>
      <c r="AM20" s="46"/>
      <c r="AN20" s="46"/>
      <c r="AO20" s="46"/>
      <c r="AP20" s="46"/>
      <c r="AQ20" s="46">
        <f t="shared" si="0"/>
        <v>0</v>
      </c>
      <c r="AR20" s="7">
        <f t="shared" si="1"/>
        <v>0</v>
      </c>
    </row>
    <row r="21" spans="1:44" x14ac:dyDescent="0.3">
      <c r="A21" s="5">
        <v>20</v>
      </c>
      <c r="B21" s="107" t="s">
        <v>9</v>
      </c>
      <c r="C21" s="122" t="s">
        <v>612</v>
      </c>
      <c r="D21" s="112" t="s">
        <v>981</v>
      </c>
      <c r="E21" s="121" t="s">
        <v>1210</v>
      </c>
      <c r="F21" s="110" t="s">
        <v>128</v>
      </c>
      <c r="G21" s="6" t="s">
        <v>12</v>
      </c>
      <c r="H21" s="6" t="s">
        <v>971</v>
      </c>
      <c r="I21" s="6" t="s">
        <v>80</v>
      </c>
      <c r="J21" s="5">
        <v>2</v>
      </c>
      <c r="K21" s="67" t="s">
        <v>160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/>
      <c r="AK21" s="46"/>
      <c r="AL21" s="46"/>
      <c r="AM21" s="46"/>
      <c r="AN21" s="46"/>
      <c r="AO21" s="46"/>
      <c r="AP21" s="46"/>
      <c r="AQ21" s="46">
        <f t="shared" si="0"/>
        <v>0</v>
      </c>
      <c r="AR21" s="7">
        <f t="shared" si="1"/>
        <v>0</v>
      </c>
    </row>
    <row r="22" spans="1:44" x14ac:dyDescent="0.3">
      <c r="A22" s="5">
        <v>21</v>
      </c>
      <c r="B22" s="107" t="s">
        <v>9</v>
      </c>
      <c r="C22" s="122" t="s">
        <v>612</v>
      </c>
      <c r="D22" s="112" t="s">
        <v>981</v>
      </c>
      <c r="E22" s="121" t="s">
        <v>1210</v>
      </c>
      <c r="F22" s="110" t="s">
        <v>128</v>
      </c>
      <c r="G22" s="6" t="s">
        <v>12</v>
      </c>
      <c r="H22" s="6" t="s">
        <v>973</v>
      </c>
      <c r="I22" s="6" t="s">
        <v>80</v>
      </c>
      <c r="J22" s="5">
        <v>1</v>
      </c>
      <c r="K22" s="67" t="s">
        <v>160</v>
      </c>
      <c r="L22" s="46">
        <v>0</v>
      </c>
      <c r="M22" s="46">
        <v>0</v>
      </c>
      <c r="N22" s="46">
        <v>0</v>
      </c>
      <c r="O22" s="46">
        <v>2.8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/>
      <c r="AK22" s="46"/>
      <c r="AL22" s="46"/>
      <c r="AM22" s="46"/>
      <c r="AN22" s="46"/>
      <c r="AO22" s="46"/>
      <c r="AP22" s="46"/>
      <c r="AQ22" s="46">
        <f t="shared" si="0"/>
        <v>0.11666666666666665</v>
      </c>
      <c r="AR22" s="7">
        <f t="shared" si="1"/>
        <v>0.11666666666666665</v>
      </c>
    </row>
    <row r="23" spans="1:44" x14ac:dyDescent="0.3">
      <c r="A23" s="5">
        <v>22</v>
      </c>
      <c r="B23" s="107" t="s">
        <v>9</v>
      </c>
      <c r="C23" s="122" t="s">
        <v>612</v>
      </c>
      <c r="D23" s="112" t="s">
        <v>981</v>
      </c>
      <c r="E23" s="121" t="s">
        <v>1210</v>
      </c>
      <c r="F23" s="110" t="s">
        <v>128</v>
      </c>
      <c r="G23" s="6" t="s">
        <v>12</v>
      </c>
      <c r="H23" s="6" t="s">
        <v>290</v>
      </c>
      <c r="I23" s="6" t="s">
        <v>80</v>
      </c>
      <c r="J23" s="5">
        <v>1</v>
      </c>
      <c r="K23" s="67" t="s">
        <v>160</v>
      </c>
      <c r="L23" s="46">
        <v>201.626</v>
      </c>
      <c r="M23" s="46">
        <v>410.12599999999998</v>
      </c>
      <c r="N23" s="46">
        <v>228.72199999999998</v>
      </c>
      <c r="O23" s="46">
        <v>217.80799999999999</v>
      </c>
      <c r="P23" s="46">
        <v>367.75000000000011</v>
      </c>
      <c r="Q23" s="46">
        <v>463.98200000000008</v>
      </c>
      <c r="R23" s="46">
        <v>565.49199999999985</v>
      </c>
      <c r="S23" s="46">
        <v>397.59399999999982</v>
      </c>
      <c r="T23" s="46">
        <v>390.5019999999999</v>
      </c>
      <c r="U23" s="46">
        <v>228.62000000000006</v>
      </c>
      <c r="V23" s="46">
        <v>94.256</v>
      </c>
      <c r="W23" s="46">
        <v>408.69200000000001</v>
      </c>
      <c r="X23" s="46">
        <v>404.77199999999999</v>
      </c>
      <c r="Y23" s="46">
        <v>515.80400000000009</v>
      </c>
      <c r="Z23" s="46">
        <v>276.77999999999997</v>
      </c>
      <c r="AA23" s="46">
        <v>419.596</v>
      </c>
      <c r="AB23" s="10">
        <v>410.80400000000003</v>
      </c>
      <c r="AC23" s="10">
        <v>165.94400000000002</v>
      </c>
      <c r="AD23" s="10">
        <v>503.87599999999981</v>
      </c>
      <c r="AE23" s="10">
        <v>512.95600000000002</v>
      </c>
      <c r="AF23" s="10">
        <v>535.4799999999999</v>
      </c>
      <c r="AG23" s="10">
        <v>390.22</v>
      </c>
      <c r="AH23" s="10">
        <v>463.40400000000005</v>
      </c>
      <c r="AI23" s="10">
        <v>503.43200000000007</v>
      </c>
      <c r="AJ23" s="10"/>
      <c r="AK23" s="46"/>
      <c r="AL23" s="46"/>
      <c r="AM23" s="46"/>
      <c r="AN23" s="46"/>
      <c r="AO23" s="46"/>
      <c r="AP23" s="46"/>
      <c r="AQ23" s="46">
        <f t="shared" si="0"/>
        <v>378.2599166666667</v>
      </c>
      <c r="AR23" s="7">
        <f t="shared" si="1"/>
        <v>378.2599166666667</v>
      </c>
    </row>
    <row r="24" spans="1:44" x14ac:dyDescent="0.3">
      <c r="A24" s="5">
        <v>23</v>
      </c>
      <c r="B24" s="107" t="s">
        <v>9</v>
      </c>
      <c r="C24" s="122" t="s">
        <v>612</v>
      </c>
      <c r="D24" s="112" t="s">
        <v>771</v>
      </c>
      <c r="E24" s="121" t="s">
        <v>1210</v>
      </c>
      <c r="F24" s="110" t="s">
        <v>128</v>
      </c>
      <c r="G24" s="6" t="s">
        <v>12</v>
      </c>
      <c r="H24" s="6" t="s">
        <v>972</v>
      </c>
      <c r="I24" s="6" t="s">
        <v>80</v>
      </c>
      <c r="J24" s="5">
        <v>1</v>
      </c>
      <c r="K24" s="67" t="s">
        <v>160</v>
      </c>
      <c r="L24" s="46">
        <v>489.58</v>
      </c>
      <c r="M24" s="46">
        <v>406.14</v>
      </c>
      <c r="N24" s="46">
        <v>244.88000000000005</v>
      </c>
      <c r="O24" s="46">
        <v>193.56999999999996</v>
      </c>
      <c r="P24" s="46">
        <v>472.33</v>
      </c>
      <c r="Q24" s="46">
        <v>569.80000000000018</v>
      </c>
      <c r="R24" s="46">
        <v>640.80999999999995</v>
      </c>
      <c r="S24" s="46">
        <v>426.86</v>
      </c>
      <c r="T24" s="46">
        <v>516.77999999999986</v>
      </c>
      <c r="U24" s="46">
        <v>212.18000000000004</v>
      </c>
      <c r="V24" s="46">
        <v>88.050000000000011</v>
      </c>
      <c r="W24" s="46">
        <v>471.27000000000004</v>
      </c>
      <c r="X24" s="46">
        <v>471.01999999999987</v>
      </c>
      <c r="Y24" s="46">
        <v>549.33999999999992</v>
      </c>
      <c r="Z24" s="46">
        <v>559.85</v>
      </c>
      <c r="AA24" s="46">
        <v>550.41</v>
      </c>
      <c r="AB24" s="10">
        <v>362.16000000000008</v>
      </c>
      <c r="AC24" s="10">
        <v>309.44</v>
      </c>
      <c r="AD24" s="10">
        <v>549.85</v>
      </c>
      <c r="AE24" s="10">
        <v>543.83999999999992</v>
      </c>
      <c r="AF24" s="10">
        <v>508.33000000000004</v>
      </c>
      <c r="AG24" s="10">
        <v>408.99999999999994</v>
      </c>
      <c r="AH24" s="10">
        <v>555.78</v>
      </c>
      <c r="AI24" s="10">
        <v>563.70999999999992</v>
      </c>
      <c r="AJ24" s="10"/>
      <c r="AK24" s="46"/>
      <c r="AL24" s="46"/>
      <c r="AM24" s="46"/>
      <c r="AN24" s="46"/>
      <c r="AO24" s="46"/>
      <c r="AP24" s="46"/>
      <c r="AQ24" s="46">
        <f t="shared" si="0"/>
        <v>444.37416666666667</v>
      </c>
      <c r="AR24" s="7">
        <f t="shared" si="1"/>
        <v>444.37416666666667</v>
      </c>
    </row>
    <row r="25" spans="1:44" x14ac:dyDescent="0.3">
      <c r="A25" s="5">
        <v>24</v>
      </c>
      <c r="B25" s="107" t="s">
        <v>9</v>
      </c>
      <c r="C25" s="122" t="s">
        <v>612</v>
      </c>
      <c r="D25" s="112" t="s">
        <v>771</v>
      </c>
      <c r="E25" s="121" t="s">
        <v>1210</v>
      </c>
      <c r="F25" s="110" t="s">
        <v>128</v>
      </c>
      <c r="G25" s="6" t="s">
        <v>12</v>
      </c>
      <c r="H25" s="6" t="s">
        <v>1004</v>
      </c>
      <c r="I25" s="6" t="s">
        <v>80</v>
      </c>
      <c r="J25" s="5">
        <v>1</v>
      </c>
      <c r="K25" s="67" t="s">
        <v>160</v>
      </c>
      <c r="L25" s="46">
        <v>461.84999999999997</v>
      </c>
      <c r="M25" s="46">
        <v>429.22499999999997</v>
      </c>
      <c r="N25" s="46">
        <v>714.72500000000002</v>
      </c>
      <c r="O25" s="46">
        <v>731.875</v>
      </c>
      <c r="P25" s="46">
        <v>448.35</v>
      </c>
      <c r="Q25" s="46">
        <v>500.87300000000005</v>
      </c>
      <c r="R25" s="46">
        <v>432.00099999999998</v>
      </c>
      <c r="S25" s="46">
        <v>625.57500000000005</v>
      </c>
      <c r="T25" s="46">
        <v>664.25</v>
      </c>
      <c r="U25" s="46">
        <v>227.05</v>
      </c>
      <c r="V25" s="46">
        <v>664.72399999999993</v>
      </c>
      <c r="W25" s="46">
        <v>649.17499999999995</v>
      </c>
      <c r="X25" s="46">
        <v>423.32500000000005</v>
      </c>
      <c r="Y25" s="46">
        <v>697.39899999999989</v>
      </c>
      <c r="Z25" s="46">
        <v>698.12499999999989</v>
      </c>
      <c r="AA25" s="46">
        <v>920.72499999999991</v>
      </c>
      <c r="AB25" s="10">
        <v>937.55000000000007</v>
      </c>
      <c r="AC25" s="10">
        <v>928.6</v>
      </c>
      <c r="AD25" s="10">
        <v>951.30000000000007</v>
      </c>
      <c r="AE25" s="10">
        <v>711.22500000000002</v>
      </c>
      <c r="AF25" s="10">
        <v>630.57499999999993</v>
      </c>
      <c r="AG25" s="10">
        <v>964.07500000000005</v>
      </c>
      <c r="AH25" s="10">
        <v>894.87499999999989</v>
      </c>
      <c r="AI25" s="10">
        <v>1623.4730000000002</v>
      </c>
      <c r="AJ25" s="10"/>
      <c r="AK25" s="46"/>
      <c r="AL25" s="46"/>
      <c r="AM25" s="46"/>
      <c r="AN25" s="46"/>
      <c r="AO25" s="46"/>
      <c r="AP25" s="46"/>
      <c r="AQ25" s="46">
        <f t="shared" si="0"/>
        <v>705.45500000000004</v>
      </c>
      <c r="AR25" s="7">
        <f t="shared" si="1"/>
        <v>705.45500000000004</v>
      </c>
    </row>
    <row r="26" spans="1:44" x14ac:dyDescent="0.3">
      <c r="A26" s="5">
        <v>25</v>
      </c>
      <c r="B26" s="107" t="s">
        <v>9</v>
      </c>
      <c r="C26" s="122" t="s">
        <v>614</v>
      </c>
      <c r="D26" s="112" t="s">
        <v>760</v>
      </c>
      <c r="E26" s="121" t="s">
        <v>1211</v>
      </c>
      <c r="F26" s="110" t="s">
        <v>128</v>
      </c>
      <c r="G26" s="6" t="s">
        <v>12</v>
      </c>
      <c r="H26" s="6" t="s">
        <v>976</v>
      </c>
      <c r="I26" s="6" t="s">
        <v>35</v>
      </c>
      <c r="J26" s="5">
        <v>7</v>
      </c>
      <c r="K26" s="94" t="s">
        <v>273</v>
      </c>
      <c r="L26" s="46">
        <v>213.779</v>
      </c>
      <c r="M26" s="46">
        <v>232.35399999999996</v>
      </c>
      <c r="N26" s="46">
        <v>214.06899999999996</v>
      </c>
      <c r="O26" s="46">
        <v>4.5140000000000002</v>
      </c>
      <c r="P26" s="46">
        <v>0.44500000000000001</v>
      </c>
      <c r="Q26" s="46">
        <v>0.59099999999999997</v>
      </c>
      <c r="R26" s="46">
        <v>2.722</v>
      </c>
      <c r="S26" s="46">
        <v>141.77700000000002</v>
      </c>
      <c r="T26" s="46">
        <v>136.72399999999999</v>
      </c>
      <c r="U26" s="46">
        <v>139.964</v>
      </c>
      <c r="V26" s="46">
        <v>92.41</v>
      </c>
      <c r="W26" s="46">
        <v>144.81</v>
      </c>
      <c r="X26" s="46">
        <v>122.33299999999998</v>
      </c>
      <c r="Y26" s="46">
        <v>160.52000000000001</v>
      </c>
      <c r="Z26" s="46">
        <v>78.061000000000007</v>
      </c>
      <c r="AA26" s="46">
        <v>134.49600000000004</v>
      </c>
      <c r="AB26" s="10">
        <v>114.80800000000001</v>
      </c>
      <c r="AC26" s="10">
        <v>129.15</v>
      </c>
      <c r="AD26" s="10">
        <v>169.71600000000001</v>
      </c>
      <c r="AE26" s="10">
        <v>167.92999999999998</v>
      </c>
      <c r="AF26" s="10">
        <v>164.67600000000004</v>
      </c>
      <c r="AG26" s="10">
        <v>88.143999999999991</v>
      </c>
      <c r="AH26" s="10">
        <v>112.88100000000001</v>
      </c>
      <c r="AI26" s="10">
        <v>322.56100000000004</v>
      </c>
      <c r="AJ26" s="10"/>
      <c r="AK26" s="46"/>
      <c r="AL26" s="46"/>
      <c r="AM26" s="46"/>
      <c r="AN26" s="46"/>
      <c r="AO26" s="46"/>
      <c r="AP26" s="46"/>
      <c r="AQ26" s="46">
        <f t="shared" si="0"/>
        <v>128.72645833333331</v>
      </c>
      <c r="AR26" s="7">
        <f t="shared" si="1"/>
        <v>18.389494047619046</v>
      </c>
    </row>
    <row r="27" spans="1:44" x14ac:dyDescent="0.3">
      <c r="A27" s="5">
        <v>26</v>
      </c>
      <c r="B27" s="107" t="s">
        <v>9</v>
      </c>
      <c r="C27" s="122" t="s">
        <v>613</v>
      </c>
      <c r="D27" s="112" t="s">
        <v>742</v>
      </c>
      <c r="E27" s="121" t="s">
        <v>1212</v>
      </c>
      <c r="F27" s="110" t="s">
        <v>128</v>
      </c>
      <c r="G27" s="6" t="s">
        <v>12</v>
      </c>
      <c r="H27" s="6" t="s">
        <v>976</v>
      </c>
      <c r="I27" s="6" t="s">
        <v>35</v>
      </c>
      <c r="J27" s="5">
        <v>1</v>
      </c>
      <c r="K27" s="67" t="s">
        <v>160</v>
      </c>
      <c r="L27" s="46">
        <v>7.101</v>
      </c>
      <c r="M27" s="46">
        <v>2.742</v>
      </c>
      <c r="N27" s="46">
        <v>0.41599999999999998</v>
      </c>
      <c r="O27" s="46">
        <v>199.62800000000004</v>
      </c>
      <c r="P27" s="46">
        <v>131.93399999999997</v>
      </c>
      <c r="Q27" s="46">
        <v>130.89899999999997</v>
      </c>
      <c r="R27" s="46">
        <v>190.494</v>
      </c>
      <c r="S27" s="46">
        <v>8.0240000000000009</v>
      </c>
      <c r="T27" s="46">
        <v>10.638</v>
      </c>
      <c r="U27" s="46">
        <v>0.94800000000000006</v>
      </c>
      <c r="V27" s="46">
        <v>2E-3</v>
      </c>
      <c r="W27" s="46">
        <v>0</v>
      </c>
      <c r="X27" s="46">
        <v>3.6319999999999997</v>
      </c>
      <c r="Y27" s="46">
        <v>7.3019999999999996</v>
      </c>
      <c r="Z27" s="46">
        <v>1E-3</v>
      </c>
      <c r="AA27" s="46">
        <v>4.83</v>
      </c>
      <c r="AB27" s="10">
        <v>0</v>
      </c>
      <c r="AC27" s="10">
        <v>9.652000000000001</v>
      </c>
      <c r="AD27" s="10">
        <v>5.7759999999999998</v>
      </c>
      <c r="AE27" s="10">
        <v>5.6479999999999997</v>
      </c>
      <c r="AF27" s="10">
        <v>7.5949999999999998</v>
      </c>
      <c r="AG27" s="10">
        <v>0.93600000000000005</v>
      </c>
      <c r="AH27" s="10">
        <v>2.722</v>
      </c>
      <c r="AI27" s="10">
        <v>14.273</v>
      </c>
      <c r="AJ27" s="10"/>
      <c r="AK27" s="46"/>
      <c r="AL27" s="46"/>
      <c r="AM27" s="46"/>
      <c r="AN27" s="46"/>
      <c r="AO27" s="46"/>
      <c r="AP27" s="46"/>
      <c r="AQ27" s="46">
        <f t="shared" si="0"/>
        <v>31.049708333333339</v>
      </c>
      <c r="AR27" s="7">
        <f t="shared" si="1"/>
        <v>31.049708333333339</v>
      </c>
    </row>
    <row r="28" spans="1:44" x14ac:dyDescent="0.3">
      <c r="A28" s="5">
        <v>27</v>
      </c>
      <c r="B28" s="107" t="s">
        <v>9</v>
      </c>
      <c r="C28" s="122" t="s">
        <v>613</v>
      </c>
      <c r="D28" s="112" t="s">
        <v>742</v>
      </c>
      <c r="E28" s="121" t="s">
        <v>1212</v>
      </c>
      <c r="F28" s="110" t="s">
        <v>128</v>
      </c>
      <c r="G28" s="6" t="s">
        <v>12</v>
      </c>
      <c r="H28" s="6" t="s">
        <v>979</v>
      </c>
      <c r="I28" s="6" t="s">
        <v>35</v>
      </c>
      <c r="J28" s="5">
        <v>1</v>
      </c>
      <c r="K28" s="67" t="s">
        <v>160</v>
      </c>
      <c r="L28" s="46">
        <v>0</v>
      </c>
      <c r="M28" s="46">
        <v>10.061999999999999</v>
      </c>
      <c r="N28" s="46">
        <v>2.3620000000000001</v>
      </c>
      <c r="O28" s="46">
        <v>0</v>
      </c>
      <c r="P28" s="46">
        <v>2.3610000000000002</v>
      </c>
      <c r="Q28" s="46">
        <v>0</v>
      </c>
      <c r="R28" s="46">
        <v>17.419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2E-3</v>
      </c>
      <c r="Z28" s="46">
        <v>0</v>
      </c>
      <c r="AA28" s="46">
        <v>0</v>
      </c>
      <c r="AB28" s="10">
        <v>0</v>
      </c>
      <c r="AC28" s="10">
        <v>12.647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10">
        <v>33.457999999999998</v>
      </c>
      <c r="AJ28" s="10"/>
      <c r="AK28" s="46"/>
      <c r="AL28" s="46"/>
      <c r="AM28" s="46"/>
      <c r="AN28" s="46"/>
      <c r="AO28" s="46"/>
      <c r="AP28" s="46"/>
      <c r="AQ28" s="46">
        <f t="shared" si="0"/>
        <v>3.2629583333333336</v>
      </c>
      <c r="AR28" s="7">
        <f t="shared" si="1"/>
        <v>3.2629583333333336</v>
      </c>
    </row>
    <row r="29" spans="1:44" x14ac:dyDescent="0.3">
      <c r="A29" s="5">
        <v>28</v>
      </c>
      <c r="B29" s="107" t="s">
        <v>9</v>
      </c>
      <c r="C29" s="122" t="s">
        <v>613</v>
      </c>
      <c r="D29" s="112" t="s">
        <v>980</v>
      </c>
      <c r="E29" s="121" t="s">
        <v>1212</v>
      </c>
      <c r="F29" s="110" t="s">
        <v>128</v>
      </c>
      <c r="G29" s="6" t="s">
        <v>12</v>
      </c>
      <c r="H29" s="6" t="s">
        <v>971</v>
      </c>
      <c r="I29" s="6" t="s">
        <v>80</v>
      </c>
      <c r="J29" s="5">
        <v>3</v>
      </c>
      <c r="K29" s="67" t="s">
        <v>160</v>
      </c>
      <c r="L29" s="46">
        <v>65.320000000000007</v>
      </c>
      <c r="M29" s="46">
        <v>61.139999999999993</v>
      </c>
      <c r="N29" s="46">
        <v>50.32</v>
      </c>
      <c r="O29" s="46">
        <v>130.82</v>
      </c>
      <c r="P29" s="46">
        <v>79.58</v>
      </c>
      <c r="Q29" s="46">
        <v>106.78999999999999</v>
      </c>
      <c r="R29" s="46">
        <v>104.00000000000001</v>
      </c>
      <c r="S29" s="46">
        <v>85.18</v>
      </c>
      <c r="T29" s="46">
        <v>66.87</v>
      </c>
      <c r="U29" s="46">
        <v>71.91</v>
      </c>
      <c r="V29" s="46">
        <v>105.72</v>
      </c>
      <c r="W29" s="46">
        <v>140.74</v>
      </c>
      <c r="X29" s="46">
        <v>117.30000000000001</v>
      </c>
      <c r="Y29" s="46">
        <v>108.31000000000003</v>
      </c>
      <c r="Z29" s="46">
        <v>119.69999999999999</v>
      </c>
      <c r="AA29" s="46">
        <v>98.49</v>
      </c>
      <c r="AB29" s="10">
        <v>93.77</v>
      </c>
      <c r="AC29" s="10">
        <v>103.82000000000001</v>
      </c>
      <c r="AD29" s="10">
        <v>59.56</v>
      </c>
      <c r="AE29" s="10">
        <v>99.16</v>
      </c>
      <c r="AF29" s="10">
        <v>65.16</v>
      </c>
      <c r="AG29" s="10">
        <v>113.94000000000003</v>
      </c>
      <c r="AH29" s="10">
        <v>93.65</v>
      </c>
      <c r="AI29" s="10">
        <v>243.86</v>
      </c>
      <c r="AJ29" s="10"/>
      <c r="AK29" s="46"/>
      <c r="AL29" s="46"/>
      <c r="AM29" s="46"/>
      <c r="AN29" s="46"/>
      <c r="AO29" s="46"/>
      <c r="AP29" s="46"/>
      <c r="AQ29" s="46">
        <f t="shared" si="0"/>
        <v>99.379583333333343</v>
      </c>
      <c r="AR29" s="7">
        <f t="shared" si="1"/>
        <v>33.126527777777781</v>
      </c>
    </row>
    <row r="30" spans="1:44" x14ac:dyDescent="0.3">
      <c r="A30" s="5">
        <v>29</v>
      </c>
      <c r="B30" s="107" t="s">
        <v>9</v>
      </c>
      <c r="C30" s="122" t="s">
        <v>613</v>
      </c>
      <c r="D30" s="112" t="s">
        <v>980</v>
      </c>
      <c r="E30" s="121" t="s">
        <v>1212</v>
      </c>
      <c r="F30" s="110" t="s">
        <v>128</v>
      </c>
      <c r="G30" s="6" t="s">
        <v>12</v>
      </c>
      <c r="H30" s="6" t="s">
        <v>975</v>
      </c>
      <c r="I30" s="6" t="s">
        <v>80</v>
      </c>
      <c r="J30" s="5">
        <v>2</v>
      </c>
      <c r="K30" s="67" t="s">
        <v>160</v>
      </c>
      <c r="L30" s="46">
        <v>0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0</v>
      </c>
      <c r="Z30" s="46">
        <v>0</v>
      </c>
      <c r="AA30" s="46">
        <v>0</v>
      </c>
      <c r="AB30" s="46">
        <v>0</v>
      </c>
      <c r="AC30" s="46">
        <v>0</v>
      </c>
      <c r="AD30" s="46">
        <v>0</v>
      </c>
      <c r="AE30" s="46">
        <v>0</v>
      </c>
      <c r="AF30" s="46">
        <v>0</v>
      </c>
      <c r="AG30" s="46">
        <v>0</v>
      </c>
      <c r="AH30" s="46">
        <v>0</v>
      </c>
      <c r="AI30" s="46">
        <v>0</v>
      </c>
      <c r="AJ30" s="46"/>
      <c r="AK30" s="46"/>
      <c r="AL30" s="46"/>
      <c r="AM30" s="46"/>
      <c r="AN30" s="46"/>
      <c r="AO30" s="46"/>
      <c r="AP30" s="46"/>
      <c r="AQ30" s="46">
        <f t="shared" si="0"/>
        <v>0</v>
      </c>
      <c r="AR30" s="7">
        <f t="shared" si="1"/>
        <v>0</v>
      </c>
    </row>
    <row r="31" spans="1:44" x14ac:dyDescent="0.3">
      <c r="A31" s="5">
        <v>30</v>
      </c>
      <c r="B31" s="107" t="s">
        <v>9</v>
      </c>
      <c r="C31" s="122" t="s">
        <v>613</v>
      </c>
      <c r="D31" s="112" t="s">
        <v>980</v>
      </c>
      <c r="E31" s="121" t="s">
        <v>1212</v>
      </c>
      <c r="F31" s="110" t="s">
        <v>128</v>
      </c>
      <c r="G31" s="6" t="s">
        <v>12</v>
      </c>
      <c r="H31" s="6" t="s">
        <v>1018</v>
      </c>
      <c r="I31" s="6" t="s">
        <v>80</v>
      </c>
      <c r="J31" s="5">
        <v>1</v>
      </c>
      <c r="K31" s="67" t="s">
        <v>160</v>
      </c>
      <c r="L31" s="46">
        <v>16.649999999999999</v>
      </c>
      <c r="M31" s="46">
        <v>102.68</v>
      </c>
      <c r="N31" s="46">
        <v>132.58000000000001</v>
      </c>
      <c r="O31" s="46">
        <v>75.69</v>
      </c>
      <c r="P31" s="46">
        <v>81.400000000000006</v>
      </c>
      <c r="Q31" s="46">
        <v>69.94</v>
      </c>
      <c r="R31" s="46">
        <v>47.46</v>
      </c>
      <c r="S31" s="46">
        <v>41.25</v>
      </c>
      <c r="T31" s="46">
        <v>143.63999999999999</v>
      </c>
      <c r="U31" s="46">
        <v>71.48</v>
      </c>
      <c r="V31" s="46">
        <v>37.93</v>
      </c>
      <c r="W31" s="46">
        <v>27.71</v>
      </c>
      <c r="X31" s="46">
        <v>36.200000000000003</v>
      </c>
      <c r="Y31" s="46">
        <v>83.27000000000001</v>
      </c>
      <c r="Z31" s="46">
        <v>25.94</v>
      </c>
      <c r="AA31" s="46">
        <v>68.160000000000011</v>
      </c>
      <c r="AB31" s="10">
        <v>52.72</v>
      </c>
      <c r="AC31" s="10">
        <v>43.019999999999996</v>
      </c>
      <c r="AD31" s="10">
        <v>29.259999999999998</v>
      </c>
      <c r="AE31" s="10">
        <v>111.41000000000001</v>
      </c>
      <c r="AF31" s="10">
        <v>25.1</v>
      </c>
      <c r="AG31" s="10">
        <v>52.959999999999994</v>
      </c>
      <c r="AH31" s="10">
        <v>62.29</v>
      </c>
      <c r="AI31" s="10">
        <v>71.829999999999984</v>
      </c>
      <c r="AJ31" s="10"/>
      <c r="AK31" s="46"/>
      <c r="AL31" s="46"/>
      <c r="AM31" s="46"/>
      <c r="AN31" s="46"/>
      <c r="AO31" s="46"/>
      <c r="AP31" s="46"/>
      <c r="AQ31" s="46">
        <f t="shared" si="0"/>
        <v>62.940416666666664</v>
      </c>
      <c r="AR31" s="7">
        <f t="shared" si="1"/>
        <v>62.940416666666664</v>
      </c>
    </row>
    <row r="32" spans="1:44" x14ac:dyDescent="0.3">
      <c r="A32" s="5">
        <v>31</v>
      </c>
      <c r="B32" s="107" t="s">
        <v>9</v>
      </c>
      <c r="C32" s="122" t="s">
        <v>615</v>
      </c>
      <c r="D32" s="112" t="s">
        <v>770</v>
      </c>
      <c r="E32" s="121" t="s">
        <v>1213</v>
      </c>
      <c r="F32" s="110" t="s">
        <v>128</v>
      </c>
      <c r="G32" s="6" t="s">
        <v>12</v>
      </c>
      <c r="H32" s="6" t="s">
        <v>976</v>
      </c>
      <c r="I32" s="6" t="s">
        <v>35</v>
      </c>
      <c r="J32" s="5">
        <v>12</v>
      </c>
      <c r="K32" s="94" t="s">
        <v>273</v>
      </c>
      <c r="L32" s="46">
        <v>112.87699999999997</v>
      </c>
      <c r="M32" s="46">
        <v>127.31399999999998</v>
      </c>
      <c r="N32" s="46">
        <v>121.80599999999998</v>
      </c>
      <c r="O32" s="46">
        <v>124.693</v>
      </c>
      <c r="P32" s="46">
        <v>136.25200000000001</v>
      </c>
      <c r="Q32" s="46">
        <v>139.02799999999999</v>
      </c>
      <c r="R32" s="46">
        <v>170.10900000000001</v>
      </c>
      <c r="S32" s="46">
        <v>67.352999999999994</v>
      </c>
      <c r="T32" s="46">
        <v>152.39299999999997</v>
      </c>
      <c r="U32" s="46">
        <v>91.15</v>
      </c>
      <c r="V32" s="46">
        <v>140.57100000000003</v>
      </c>
      <c r="W32" s="46">
        <v>115.78099999999998</v>
      </c>
      <c r="X32" s="46">
        <v>116.58500000000002</v>
      </c>
      <c r="Y32" s="46">
        <v>25.911000000000005</v>
      </c>
      <c r="Z32" s="46">
        <v>108.17900000000002</v>
      </c>
      <c r="AA32" s="46">
        <v>55.173999999999992</v>
      </c>
      <c r="AB32" s="10">
        <v>114.99300000000001</v>
      </c>
      <c r="AC32" s="10">
        <v>107.35899999999999</v>
      </c>
      <c r="AD32" s="10">
        <v>76.664000000000001</v>
      </c>
      <c r="AE32" s="10">
        <v>116.97799999999999</v>
      </c>
      <c r="AF32" s="10">
        <v>126.47000000000001</v>
      </c>
      <c r="AG32" s="10">
        <v>76.563000000000002</v>
      </c>
      <c r="AH32" s="10">
        <v>117.78200000000001</v>
      </c>
      <c r="AI32" s="10">
        <v>195.84900000000005</v>
      </c>
      <c r="AJ32" s="10"/>
      <c r="AK32" s="46"/>
      <c r="AL32" s="46"/>
      <c r="AM32" s="46"/>
      <c r="AN32" s="46"/>
      <c r="AO32" s="46"/>
      <c r="AP32" s="46"/>
      <c r="AQ32" s="46">
        <f t="shared" si="0"/>
        <v>114.0764166666667</v>
      </c>
      <c r="AR32" s="7">
        <f t="shared" si="1"/>
        <v>9.5063680555555585</v>
      </c>
    </row>
    <row r="33" spans="1:44" ht="14.25" customHeight="1" x14ac:dyDescent="0.3">
      <c r="A33" s="5">
        <v>32</v>
      </c>
      <c r="B33" s="107" t="s">
        <v>9</v>
      </c>
      <c r="C33" s="122" t="s">
        <v>966</v>
      </c>
      <c r="D33" s="112" t="s">
        <v>967</v>
      </c>
      <c r="E33" s="121" t="s">
        <v>1213</v>
      </c>
      <c r="F33" s="110" t="s">
        <v>128</v>
      </c>
      <c r="G33" s="6" t="s">
        <v>12</v>
      </c>
      <c r="H33" s="6" t="s">
        <v>973</v>
      </c>
      <c r="I33" s="6" t="s">
        <v>80</v>
      </c>
      <c r="J33" s="5">
        <v>1</v>
      </c>
      <c r="K33" s="94" t="s">
        <v>273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4.9800000000000004</v>
      </c>
      <c r="V33" s="46">
        <v>0</v>
      </c>
      <c r="W33" s="46">
        <v>0</v>
      </c>
      <c r="X33" s="46">
        <v>3.02</v>
      </c>
      <c r="Y33" s="46">
        <v>0</v>
      </c>
      <c r="Z33" s="46">
        <v>0</v>
      </c>
      <c r="AA33" s="46">
        <v>20.419999999999998</v>
      </c>
      <c r="AB33" s="10">
        <v>8.98</v>
      </c>
      <c r="AC33" s="10">
        <v>7.63</v>
      </c>
      <c r="AD33" s="10">
        <v>9.7200000000000006</v>
      </c>
      <c r="AE33" s="10">
        <v>3.91</v>
      </c>
      <c r="AF33" s="10">
        <v>4.46</v>
      </c>
      <c r="AG33" s="10">
        <v>5.22</v>
      </c>
      <c r="AH33" s="10">
        <v>3.85</v>
      </c>
      <c r="AI33" s="46">
        <v>0</v>
      </c>
      <c r="AJ33" s="46"/>
      <c r="AK33" s="46"/>
      <c r="AL33" s="46"/>
      <c r="AM33" s="46"/>
      <c r="AN33" s="46"/>
      <c r="AO33" s="46"/>
      <c r="AP33" s="46"/>
      <c r="AQ33" s="46">
        <f t="shared" si="0"/>
        <v>3.0079166666666666</v>
      </c>
      <c r="AR33" s="7">
        <f t="shared" si="1"/>
        <v>3.0079166666666666</v>
      </c>
    </row>
    <row r="34" spans="1:44" x14ac:dyDescent="0.3">
      <c r="A34" s="5">
        <v>33</v>
      </c>
      <c r="B34" s="107" t="s">
        <v>9</v>
      </c>
      <c r="C34" s="122" t="s">
        <v>616</v>
      </c>
      <c r="D34" s="112" t="s">
        <v>748</v>
      </c>
      <c r="E34" s="121" t="s">
        <v>1214</v>
      </c>
      <c r="F34" s="110" t="s">
        <v>128</v>
      </c>
      <c r="G34" s="6" t="s">
        <v>12</v>
      </c>
      <c r="H34" s="6" t="s">
        <v>976</v>
      </c>
      <c r="I34" s="6" t="s">
        <v>35</v>
      </c>
      <c r="J34" s="5">
        <v>11</v>
      </c>
      <c r="K34" s="94" t="s">
        <v>273</v>
      </c>
      <c r="L34" s="46">
        <v>99.191999999999979</v>
      </c>
      <c r="M34" s="46">
        <v>81.620000000000019</v>
      </c>
      <c r="N34" s="46">
        <v>86.506000000000014</v>
      </c>
      <c r="O34" s="46">
        <v>114.94299999999998</v>
      </c>
      <c r="P34" s="46">
        <v>102.80399999999997</v>
      </c>
      <c r="Q34" s="46">
        <v>118.34299999999999</v>
      </c>
      <c r="R34" s="46">
        <v>110.53900000000002</v>
      </c>
      <c r="S34" s="46">
        <v>101.17199999999998</v>
      </c>
      <c r="T34" s="46">
        <v>108.58199999999999</v>
      </c>
      <c r="U34" s="46">
        <v>52.123999999999995</v>
      </c>
      <c r="V34" s="46">
        <v>42.683999999999997</v>
      </c>
      <c r="W34" s="46">
        <v>83.331000000000017</v>
      </c>
      <c r="X34" s="46">
        <v>71.201999999999998</v>
      </c>
      <c r="Y34" s="46">
        <v>39.968000000000004</v>
      </c>
      <c r="Z34" s="46">
        <v>45.350000000000016</v>
      </c>
      <c r="AA34" s="46">
        <v>74.704999999999998</v>
      </c>
      <c r="AB34" s="10">
        <v>31.045000000000002</v>
      </c>
      <c r="AC34" s="10">
        <v>60.594000000000001</v>
      </c>
      <c r="AD34" s="10">
        <v>47.811</v>
      </c>
      <c r="AE34" s="10">
        <v>36.74</v>
      </c>
      <c r="AF34" s="10">
        <v>64.397999999999996</v>
      </c>
      <c r="AG34" s="10">
        <v>61.326000000000008</v>
      </c>
      <c r="AH34" s="10">
        <v>61.592000000000013</v>
      </c>
      <c r="AI34" s="10">
        <v>107.75100000000002</v>
      </c>
      <c r="AJ34" s="10"/>
      <c r="AK34" s="46"/>
      <c r="AL34" s="46"/>
      <c r="AM34" s="46"/>
      <c r="AN34" s="46"/>
      <c r="AO34" s="46"/>
      <c r="AP34" s="46"/>
      <c r="AQ34" s="46">
        <f t="shared" ref="AQ34:AQ65" si="2">AVERAGE(L34:AO34)</f>
        <v>75.180083333333343</v>
      </c>
      <c r="AR34" s="7">
        <f t="shared" ref="AR34:AR65" si="3">AQ34/J34</f>
        <v>6.8345530303030309</v>
      </c>
    </row>
    <row r="35" spans="1:44" ht="13.5" customHeight="1" x14ac:dyDescent="0.3">
      <c r="A35" s="5">
        <v>34</v>
      </c>
      <c r="B35" s="107" t="s">
        <v>9</v>
      </c>
      <c r="C35" s="10" t="s">
        <v>616</v>
      </c>
      <c r="D35" s="39" t="s">
        <v>748</v>
      </c>
      <c r="E35" s="121" t="s">
        <v>1214</v>
      </c>
      <c r="F35" s="110" t="s">
        <v>128</v>
      </c>
      <c r="G35" s="6" t="s">
        <v>12</v>
      </c>
      <c r="H35" s="6" t="s">
        <v>979</v>
      </c>
      <c r="I35" s="6" t="s">
        <v>35</v>
      </c>
      <c r="J35" s="5">
        <v>2</v>
      </c>
      <c r="K35" s="94" t="s">
        <v>273</v>
      </c>
      <c r="L35" s="46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/>
      <c r="AK35" s="46"/>
      <c r="AL35" s="46"/>
      <c r="AM35" s="46"/>
      <c r="AN35" s="46"/>
      <c r="AO35" s="46"/>
      <c r="AP35" s="46"/>
      <c r="AQ35" s="46">
        <f t="shared" si="2"/>
        <v>0</v>
      </c>
      <c r="AR35" s="7">
        <f t="shared" si="3"/>
        <v>0</v>
      </c>
    </row>
    <row r="36" spans="1:44" ht="15.75" customHeight="1" x14ac:dyDescent="0.3">
      <c r="A36" s="5">
        <v>35</v>
      </c>
      <c r="B36" s="107" t="s">
        <v>9</v>
      </c>
      <c r="C36" s="122" t="s">
        <v>617</v>
      </c>
      <c r="D36" s="112" t="s">
        <v>722</v>
      </c>
      <c r="E36" s="121" t="s">
        <v>1215</v>
      </c>
      <c r="F36" s="110" t="s">
        <v>128</v>
      </c>
      <c r="G36" s="6" t="s">
        <v>12</v>
      </c>
      <c r="H36" s="6" t="s">
        <v>976</v>
      </c>
      <c r="I36" s="6" t="s">
        <v>35</v>
      </c>
      <c r="J36" s="5">
        <v>2</v>
      </c>
      <c r="K36" s="12" t="s">
        <v>589</v>
      </c>
      <c r="L36" s="46">
        <v>15.823</v>
      </c>
      <c r="M36" s="46">
        <v>18.181999999999999</v>
      </c>
      <c r="N36" s="46">
        <v>21.396000000000001</v>
      </c>
      <c r="O36" s="46">
        <v>15.186999999999999</v>
      </c>
      <c r="P36" s="46">
        <v>18.813000000000002</v>
      </c>
      <c r="Q36" s="46">
        <v>18.48</v>
      </c>
      <c r="R36" s="46">
        <v>26.350999999999999</v>
      </c>
      <c r="S36" s="46">
        <v>31.092999999999996</v>
      </c>
      <c r="T36" s="46">
        <v>25.127000000000002</v>
      </c>
      <c r="U36" s="46">
        <v>20.369</v>
      </c>
      <c r="V36" s="46">
        <v>22.472999999999999</v>
      </c>
      <c r="W36" s="46">
        <v>17.749000000000002</v>
      </c>
      <c r="X36" s="46">
        <v>17.674999999999997</v>
      </c>
      <c r="Y36" s="46">
        <v>15.745000000000001</v>
      </c>
      <c r="Z36" s="46">
        <v>21.763999999999999</v>
      </c>
      <c r="AA36" s="46">
        <v>14.608999999999998</v>
      </c>
      <c r="AB36" s="10">
        <v>33.152000000000001</v>
      </c>
      <c r="AC36" s="10">
        <v>10.481</v>
      </c>
      <c r="AD36" s="10">
        <v>18.841000000000001</v>
      </c>
      <c r="AE36" s="10">
        <v>23.429000000000002</v>
      </c>
      <c r="AF36" s="10">
        <v>29.195</v>
      </c>
      <c r="AG36" s="10">
        <v>16.771000000000001</v>
      </c>
      <c r="AH36" s="10">
        <v>28.873999999999999</v>
      </c>
      <c r="AI36" s="10">
        <v>29.884</v>
      </c>
      <c r="AJ36" s="10"/>
      <c r="AK36" s="46"/>
      <c r="AL36" s="46"/>
      <c r="AM36" s="46"/>
      <c r="AN36" s="46"/>
      <c r="AO36" s="46"/>
      <c r="AP36" s="46"/>
      <c r="AQ36" s="46">
        <f t="shared" si="2"/>
        <v>21.310958333333332</v>
      </c>
      <c r="AR36" s="7">
        <f t="shared" si="3"/>
        <v>10.655479166666666</v>
      </c>
    </row>
    <row r="37" spans="1:44" x14ac:dyDescent="0.3">
      <c r="A37" s="5">
        <v>36</v>
      </c>
      <c r="B37" s="107" t="s">
        <v>9</v>
      </c>
      <c r="C37" s="122" t="s">
        <v>618</v>
      </c>
      <c r="D37" s="112" t="s">
        <v>762</v>
      </c>
      <c r="E37" s="121" t="s">
        <v>1216</v>
      </c>
      <c r="F37" s="110" t="s">
        <v>128</v>
      </c>
      <c r="G37" s="6" t="s">
        <v>12</v>
      </c>
      <c r="H37" s="6" t="s">
        <v>976</v>
      </c>
      <c r="I37" s="6" t="s">
        <v>35</v>
      </c>
      <c r="J37" s="5">
        <v>11</v>
      </c>
      <c r="K37" s="94" t="s">
        <v>273</v>
      </c>
      <c r="L37" s="46">
        <v>99.702000000000012</v>
      </c>
      <c r="M37" s="46">
        <v>97.438000000000017</v>
      </c>
      <c r="N37" s="46">
        <v>122.30200000000001</v>
      </c>
      <c r="O37" s="46">
        <v>77.980999999999995</v>
      </c>
      <c r="P37" s="46">
        <v>69.028999999999996</v>
      </c>
      <c r="Q37" s="46">
        <v>70.573999999999984</v>
      </c>
      <c r="R37" s="46">
        <v>89.161000000000001</v>
      </c>
      <c r="S37" s="46">
        <v>48.652000000000001</v>
      </c>
      <c r="T37" s="46">
        <v>85.153000000000006</v>
      </c>
      <c r="U37" s="46">
        <v>60.273000000000003</v>
      </c>
      <c r="V37" s="46">
        <v>69.176000000000002</v>
      </c>
      <c r="W37" s="46">
        <v>53.609000000000002</v>
      </c>
      <c r="X37" s="46">
        <v>69.052999999999997</v>
      </c>
      <c r="Y37" s="46">
        <v>72.584999999999994</v>
      </c>
      <c r="Z37" s="46">
        <v>45.982999999999997</v>
      </c>
      <c r="AA37" s="46">
        <v>34.93</v>
      </c>
      <c r="AB37" s="10">
        <v>60.285999999999994</v>
      </c>
      <c r="AC37" s="10">
        <v>77.85799999999999</v>
      </c>
      <c r="AD37" s="10">
        <v>12.736000000000001</v>
      </c>
      <c r="AE37" s="10">
        <v>72.085999999999999</v>
      </c>
      <c r="AF37" s="10">
        <v>27.694000000000003</v>
      </c>
      <c r="AG37" s="10">
        <v>43.308000000000007</v>
      </c>
      <c r="AH37" s="10">
        <v>53.051999999999992</v>
      </c>
      <c r="AI37" s="10">
        <v>63.003000000000007</v>
      </c>
      <c r="AJ37" s="10"/>
      <c r="AK37" s="46"/>
      <c r="AL37" s="46"/>
      <c r="AM37" s="46"/>
      <c r="AN37" s="46"/>
      <c r="AO37" s="46"/>
      <c r="AP37" s="46"/>
      <c r="AQ37" s="46">
        <f t="shared" si="2"/>
        <v>65.65100000000001</v>
      </c>
      <c r="AR37" s="7">
        <f t="shared" si="3"/>
        <v>5.9682727272727281</v>
      </c>
    </row>
    <row r="38" spans="1:44" x14ac:dyDescent="0.3">
      <c r="A38" s="5">
        <v>37</v>
      </c>
      <c r="B38" s="107" t="s">
        <v>9</v>
      </c>
      <c r="C38" s="122" t="s">
        <v>962</v>
      </c>
      <c r="D38" s="112" t="s">
        <v>963</v>
      </c>
      <c r="E38" s="121" t="s">
        <v>1216</v>
      </c>
      <c r="F38" s="110" t="s">
        <v>128</v>
      </c>
      <c r="G38" s="6" t="s">
        <v>12</v>
      </c>
      <c r="H38" s="6" t="s">
        <v>971</v>
      </c>
      <c r="I38" s="6" t="s">
        <v>80</v>
      </c>
      <c r="J38" s="5">
        <v>1</v>
      </c>
      <c r="K38" s="94" t="s">
        <v>273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/>
      <c r="AK38" s="46"/>
      <c r="AL38" s="46"/>
      <c r="AM38" s="46"/>
      <c r="AN38" s="46"/>
      <c r="AO38" s="46"/>
      <c r="AP38" s="46"/>
      <c r="AQ38" s="46">
        <f t="shared" si="2"/>
        <v>0</v>
      </c>
      <c r="AR38" s="7">
        <f t="shared" si="3"/>
        <v>0</v>
      </c>
    </row>
    <row r="39" spans="1:44" x14ac:dyDescent="0.3">
      <c r="A39" s="5">
        <v>38</v>
      </c>
      <c r="B39" s="107" t="s">
        <v>9</v>
      </c>
      <c r="C39" s="122" t="s">
        <v>619</v>
      </c>
      <c r="D39" s="112" t="s">
        <v>736</v>
      </c>
      <c r="E39" s="121" t="s">
        <v>1217</v>
      </c>
      <c r="F39" s="110" t="s">
        <v>128</v>
      </c>
      <c r="G39" s="6" t="s">
        <v>12</v>
      </c>
      <c r="H39" s="6" t="s">
        <v>976</v>
      </c>
      <c r="I39" s="6" t="s">
        <v>35</v>
      </c>
      <c r="J39" s="5">
        <v>1</v>
      </c>
      <c r="K39" s="12" t="s">
        <v>590</v>
      </c>
      <c r="L39" s="46">
        <v>0</v>
      </c>
      <c r="M39" s="46">
        <v>0.88700000000000001</v>
      </c>
      <c r="N39" s="46">
        <v>0</v>
      </c>
      <c r="O39" s="46">
        <v>0</v>
      </c>
      <c r="P39" s="46">
        <v>0</v>
      </c>
      <c r="Q39" s="46">
        <v>0</v>
      </c>
      <c r="R39" s="46">
        <v>2.673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2.6190000000000002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10">
        <v>2.4140000000000001</v>
      </c>
      <c r="AH39" s="46">
        <v>0</v>
      </c>
      <c r="AI39" s="46">
        <v>0</v>
      </c>
      <c r="AJ39" s="46"/>
      <c r="AK39" s="46"/>
      <c r="AL39" s="46"/>
      <c r="AM39" s="46"/>
      <c r="AN39" s="46"/>
      <c r="AO39" s="46"/>
      <c r="AP39" s="46"/>
      <c r="AQ39" s="46">
        <f t="shared" si="2"/>
        <v>0.35804166666666665</v>
      </c>
      <c r="AR39" s="7">
        <f t="shared" si="3"/>
        <v>0.35804166666666665</v>
      </c>
    </row>
    <row r="40" spans="1:44" x14ac:dyDescent="0.3">
      <c r="A40" s="5">
        <v>39</v>
      </c>
      <c r="B40" s="107" t="s">
        <v>9</v>
      </c>
      <c r="C40" s="122" t="s">
        <v>620</v>
      </c>
      <c r="D40" s="112" t="s">
        <v>768</v>
      </c>
      <c r="E40" s="121" t="s">
        <v>1218</v>
      </c>
      <c r="F40" s="110" t="s">
        <v>128</v>
      </c>
      <c r="G40" s="6" t="s">
        <v>12</v>
      </c>
      <c r="H40" s="6" t="s">
        <v>976</v>
      </c>
      <c r="I40" s="6" t="s">
        <v>35</v>
      </c>
      <c r="J40" s="5">
        <v>6</v>
      </c>
      <c r="K40" s="94" t="s">
        <v>273</v>
      </c>
      <c r="L40" s="46">
        <v>16.439999999999998</v>
      </c>
      <c r="M40" s="46">
        <v>30.064000000000007</v>
      </c>
      <c r="N40" s="46">
        <v>6.7539999999999996</v>
      </c>
      <c r="O40" s="46">
        <v>18.254999999999999</v>
      </c>
      <c r="P40" s="46">
        <v>8.859</v>
      </c>
      <c r="Q40" s="46">
        <v>11.224</v>
      </c>
      <c r="R40" s="46">
        <v>11.098000000000001</v>
      </c>
      <c r="S40" s="46">
        <v>16.506</v>
      </c>
      <c r="T40" s="46">
        <v>9.19</v>
      </c>
      <c r="U40" s="46">
        <v>18.488999999999997</v>
      </c>
      <c r="V40" s="46">
        <v>15.185</v>
      </c>
      <c r="W40" s="46">
        <v>9.8640000000000008</v>
      </c>
      <c r="X40" s="46">
        <v>23.981000000000002</v>
      </c>
      <c r="Y40" s="46">
        <v>27.586000000000006</v>
      </c>
      <c r="Z40" s="46">
        <v>18.646000000000001</v>
      </c>
      <c r="AA40" s="46">
        <v>12.052</v>
      </c>
      <c r="AB40" s="10">
        <v>15.217000000000002</v>
      </c>
      <c r="AC40" s="10">
        <v>48.84</v>
      </c>
      <c r="AD40" s="10">
        <v>8.2669999999999995</v>
      </c>
      <c r="AE40" s="10">
        <v>31.337</v>
      </c>
      <c r="AF40" s="10">
        <v>11.723000000000001</v>
      </c>
      <c r="AG40" s="10">
        <v>23.509</v>
      </c>
      <c r="AH40" s="10">
        <v>12.902999999999999</v>
      </c>
      <c r="AI40" s="10">
        <v>39.984999999999999</v>
      </c>
      <c r="AJ40" s="10"/>
      <c r="AK40" s="46"/>
      <c r="AL40" s="46"/>
      <c r="AM40" s="46"/>
      <c r="AN40" s="46"/>
      <c r="AO40" s="46"/>
      <c r="AP40" s="46"/>
      <c r="AQ40" s="46">
        <f t="shared" si="2"/>
        <v>18.582250000000002</v>
      </c>
      <c r="AR40" s="7">
        <f t="shared" si="3"/>
        <v>3.0970416666666671</v>
      </c>
    </row>
    <row r="41" spans="1:44" x14ac:dyDescent="0.3">
      <c r="A41" s="5">
        <v>40</v>
      </c>
      <c r="B41" s="107" t="s">
        <v>9</v>
      </c>
      <c r="C41" s="122" t="s">
        <v>621</v>
      </c>
      <c r="D41" s="112" t="s">
        <v>766</v>
      </c>
      <c r="E41" s="121" t="s">
        <v>1219</v>
      </c>
      <c r="F41" s="110" t="s">
        <v>128</v>
      </c>
      <c r="G41" s="6" t="s">
        <v>12</v>
      </c>
      <c r="H41" s="6" t="s">
        <v>976</v>
      </c>
      <c r="I41" s="6" t="s">
        <v>35</v>
      </c>
      <c r="J41" s="5">
        <v>13</v>
      </c>
      <c r="K41" s="94" t="s">
        <v>273</v>
      </c>
      <c r="L41" s="46">
        <v>70.802000000000007</v>
      </c>
      <c r="M41" s="46">
        <v>73.715000000000003</v>
      </c>
      <c r="N41" s="46">
        <v>135.49100000000001</v>
      </c>
      <c r="O41" s="46">
        <v>85.779999999999987</v>
      </c>
      <c r="P41" s="46">
        <v>62.386999999999993</v>
      </c>
      <c r="Q41" s="46">
        <v>95.728000000000009</v>
      </c>
      <c r="R41" s="46">
        <v>106.95799999999998</v>
      </c>
      <c r="S41" s="46">
        <v>74.582000000000008</v>
      </c>
      <c r="T41" s="46">
        <v>116.94300000000001</v>
      </c>
      <c r="U41" s="46">
        <v>53.292999999999999</v>
      </c>
      <c r="V41" s="46">
        <v>108.41499999999999</v>
      </c>
      <c r="W41" s="46">
        <v>40.298000000000009</v>
      </c>
      <c r="X41" s="46">
        <v>74.60499999999999</v>
      </c>
      <c r="Y41" s="46">
        <v>73.525999999999996</v>
      </c>
      <c r="Z41" s="46">
        <v>87.89</v>
      </c>
      <c r="AA41" s="46">
        <v>86.417000000000016</v>
      </c>
      <c r="AB41" s="10">
        <v>63.134000000000007</v>
      </c>
      <c r="AC41" s="10">
        <v>87.32</v>
      </c>
      <c r="AD41" s="10">
        <v>67.794000000000011</v>
      </c>
      <c r="AE41" s="10">
        <v>106.06500000000001</v>
      </c>
      <c r="AF41" s="10">
        <v>52.756999999999998</v>
      </c>
      <c r="AG41" s="10">
        <v>101.89799999999998</v>
      </c>
      <c r="AH41" s="10">
        <v>78.653000000000006</v>
      </c>
      <c r="AI41" s="10">
        <v>155.84</v>
      </c>
      <c r="AJ41" s="10"/>
      <c r="AK41" s="46"/>
      <c r="AL41" s="46"/>
      <c r="AM41" s="46"/>
      <c r="AN41" s="46"/>
      <c r="AO41" s="46"/>
      <c r="AP41" s="46"/>
      <c r="AQ41" s="46">
        <f t="shared" si="2"/>
        <v>85.84545833333334</v>
      </c>
      <c r="AR41" s="7">
        <f t="shared" si="3"/>
        <v>6.6034967948717957</v>
      </c>
    </row>
    <row r="42" spans="1:44" x14ac:dyDescent="0.3">
      <c r="A42" s="5">
        <v>41</v>
      </c>
      <c r="B42" s="107" t="s">
        <v>9</v>
      </c>
      <c r="C42" s="122" t="s">
        <v>622</v>
      </c>
      <c r="D42" s="112" t="s">
        <v>987</v>
      </c>
      <c r="E42" s="121" t="s">
        <v>1220</v>
      </c>
      <c r="F42" s="110" t="s">
        <v>128</v>
      </c>
      <c r="G42" s="6" t="s">
        <v>12</v>
      </c>
      <c r="H42" s="6" t="s">
        <v>974</v>
      </c>
      <c r="I42" s="6" t="s">
        <v>35</v>
      </c>
      <c r="J42" s="5">
        <v>1</v>
      </c>
      <c r="K42" s="12" t="s">
        <v>590</v>
      </c>
      <c r="L42" s="46">
        <v>0</v>
      </c>
      <c r="M42" s="46">
        <v>0</v>
      </c>
      <c r="N42" s="46">
        <v>2.5940000000000003</v>
      </c>
      <c r="O42" s="46">
        <v>0</v>
      </c>
      <c r="P42" s="46">
        <v>0</v>
      </c>
      <c r="Q42" s="46">
        <v>0</v>
      </c>
      <c r="R42" s="46">
        <v>14.423999999999999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/>
      <c r="AK42" s="46"/>
      <c r="AL42" s="46"/>
      <c r="AM42" s="46"/>
      <c r="AN42" s="46"/>
      <c r="AO42" s="46"/>
      <c r="AP42" s="46"/>
      <c r="AQ42" s="46">
        <f t="shared" si="2"/>
        <v>0.7090833333333334</v>
      </c>
      <c r="AR42" s="7">
        <f t="shared" si="3"/>
        <v>0.7090833333333334</v>
      </c>
    </row>
    <row r="43" spans="1:44" x14ac:dyDescent="0.3">
      <c r="A43" s="5">
        <v>42</v>
      </c>
      <c r="B43" s="107" t="s">
        <v>9</v>
      </c>
      <c r="C43" s="122" t="s">
        <v>623</v>
      </c>
      <c r="D43" s="112" t="s">
        <v>752</v>
      </c>
      <c r="E43" s="121" t="s">
        <v>1221</v>
      </c>
      <c r="F43" s="110" t="s">
        <v>128</v>
      </c>
      <c r="G43" s="6" t="s">
        <v>12</v>
      </c>
      <c r="H43" s="6" t="s">
        <v>976</v>
      </c>
      <c r="I43" s="6" t="s">
        <v>35</v>
      </c>
      <c r="J43" s="5">
        <v>5</v>
      </c>
      <c r="K43" s="94" t="s">
        <v>273</v>
      </c>
      <c r="L43" s="46">
        <v>7.7130000000000001</v>
      </c>
      <c r="M43" s="46">
        <v>13.914999999999999</v>
      </c>
      <c r="N43" s="46">
        <v>3.63</v>
      </c>
      <c r="O43" s="46">
        <v>7.9209999999999994</v>
      </c>
      <c r="P43" s="46">
        <v>8.7420000000000009</v>
      </c>
      <c r="Q43" s="46">
        <v>10.565999999999999</v>
      </c>
      <c r="R43" s="46">
        <v>9.14</v>
      </c>
      <c r="S43" s="46">
        <v>5.1449999999999996</v>
      </c>
      <c r="T43" s="46">
        <v>4.34</v>
      </c>
      <c r="U43" s="46">
        <v>0</v>
      </c>
      <c r="V43" s="46">
        <v>2.335</v>
      </c>
      <c r="W43" s="46">
        <v>9.9809999999999999</v>
      </c>
      <c r="X43" s="46">
        <v>5.2409999999999997</v>
      </c>
      <c r="Y43" s="46">
        <v>1.794</v>
      </c>
      <c r="Z43" s="46">
        <v>5.1790000000000003</v>
      </c>
      <c r="AA43" s="46">
        <v>3.9870000000000001</v>
      </c>
      <c r="AB43" s="10">
        <v>0</v>
      </c>
      <c r="AC43" s="10">
        <v>5.5679999999999996</v>
      </c>
      <c r="AD43" s="46">
        <v>0</v>
      </c>
      <c r="AE43" s="10">
        <v>4.4130000000000003</v>
      </c>
      <c r="AF43" s="10">
        <v>3.8460000000000001</v>
      </c>
      <c r="AG43" s="10">
        <v>5.14</v>
      </c>
      <c r="AH43" s="10">
        <v>3.9089999999999998</v>
      </c>
      <c r="AI43" s="10">
        <v>7.99</v>
      </c>
      <c r="AJ43" s="10"/>
      <c r="AK43" s="46"/>
      <c r="AL43" s="46"/>
      <c r="AM43" s="46"/>
      <c r="AN43" s="46"/>
      <c r="AO43" s="46"/>
      <c r="AP43" s="46"/>
      <c r="AQ43" s="46">
        <f t="shared" si="2"/>
        <v>5.4372916666666669</v>
      </c>
      <c r="AR43" s="7">
        <f t="shared" si="3"/>
        <v>1.0874583333333334</v>
      </c>
    </row>
    <row r="44" spans="1:44" x14ac:dyDescent="0.3">
      <c r="A44" s="5">
        <v>43</v>
      </c>
      <c r="B44" s="107" t="s">
        <v>9</v>
      </c>
      <c r="C44" s="122" t="s">
        <v>624</v>
      </c>
      <c r="D44" s="112" t="s">
        <v>776</v>
      </c>
      <c r="E44" s="121" t="s">
        <v>1222</v>
      </c>
      <c r="F44" s="110" t="s">
        <v>30</v>
      </c>
      <c r="G44" s="6" t="s">
        <v>12</v>
      </c>
      <c r="H44" s="6" t="s">
        <v>976</v>
      </c>
      <c r="I44" s="6" t="s">
        <v>35</v>
      </c>
      <c r="J44" s="5">
        <v>1</v>
      </c>
      <c r="K44" s="12" t="s">
        <v>589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/>
      <c r="AK44" s="46"/>
      <c r="AL44" s="46"/>
      <c r="AM44" s="46"/>
      <c r="AN44" s="46"/>
      <c r="AO44" s="46"/>
      <c r="AP44" s="46"/>
      <c r="AQ44" s="46">
        <f t="shared" si="2"/>
        <v>0</v>
      </c>
      <c r="AR44" s="7">
        <f t="shared" si="3"/>
        <v>0</v>
      </c>
    </row>
    <row r="45" spans="1:44" x14ac:dyDescent="0.3">
      <c r="A45" s="5">
        <v>44</v>
      </c>
      <c r="B45" s="107" t="s">
        <v>9</v>
      </c>
      <c r="C45" s="122" t="s">
        <v>625</v>
      </c>
      <c r="D45" s="112" t="s">
        <v>777</v>
      </c>
      <c r="E45" s="121" t="s">
        <v>1223</v>
      </c>
      <c r="F45" s="110" t="s">
        <v>128</v>
      </c>
      <c r="G45" s="6" t="s">
        <v>12</v>
      </c>
      <c r="H45" s="6" t="s">
        <v>976</v>
      </c>
      <c r="I45" s="6" t="s">
        <v>35</v>
      </c>
      <c r="J45" s="5">
        <v>1</v>
      </c>
      <c r="K45" s="12" t="s">
        <v>590</v>
      </c>
      <c r="L45" s="46">
        <v>0</v>
      </c>
      <c r="M45" s="46">
        <v>0</v>
      </c>
      <c r="N45" s="46">
        <v>0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0</v>
      </c>
      <c r="AD45" s="46">
        <v>0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/>
      <c r="AK45" s="46"/>
      <c r="AL45" s="46"/>
      <c r="AM45" s="46"/>
      <c r="AN45" s="46"/>
      <c r="AO45" s="46"/>
      <c r="AP45" s="46"/>
      <c r="AQ45" s="46">
        <f t="shared" si="2"/>
        <v>0</v>
      </c>
      <c r="AR45" s="7">
        <f t="shared" si="3"/>
        <v>0</v>
      </c>
    </row>
    <row r="46" spans="1:44" x14ac:dyDescent="0.3">
      <c r="A46" s="5">
        <v>45</v>
      </c>
      <c r="B46" s="107" t="s">
        <v>9</v>
      </c>
      <c r="C46" s="122" t="s">
        <v>626</v>
      </c>
      <c r="D46" s="112" t="s">
        <v>778</v>
      </c>
      <c r="E46" s="121" t="s">
        <v>1224</v>
      </c>
      <c r="F46" s="110" t="s">
        <v>30</v>
      </c>
      <c r="G46" s="6" t="s">
        <v>12</v>
      </c>
      <c r="H46" s="6" t="s">
        <v>976</v>
      </c>
      <c r="I46" s="6" t="s">
        <v>35</v>
      </c>
      <c r="J46" s="5">
        <v>1</v>
      </c>
      <c r="K46" s="12" t="s">
        <v>589</v>
      </c>
      <c r="L46" s="46">
        <v>0</v>
      </c>
      <c r="M46" s="46">
        <v>0</v>
      </c>
      <c r="N46" s="46">
        <v>0</v>
      </c>
      <c r="O46" s="46">
        <v>0</v>
      </c>
      <c r="P46" s="46">
        <v>0</v>
      </c>
      <c r="Q46" s="46">
        <v>5.3920000000000003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0</v>
      </c>
      <c r="AD46" s="46">
        <v>0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/>
      <c r="AK46" s="46"/>
      <c r="AL46" s="46"/>
      <c r="AM46" s="46"/>
      <c r="AN46" s="46"/>
      <c r="AO46" s="46"/>
      <c r="AP46" s="46"/>
      <c r="AQ46" s="46">
        <f t="shared" si="2"/>
        <v>0.22466666666666668</v>
      </c>
      <c r="AR46" s="7">
        <f t="shared" si="3"/>
        <v>0.22466666666666668</v>
      </c>
    </row>
    <row r="47" spans="1:44" x14ac:dyDescent="0.3">
      <c r="A47" s="5">
        <v>46</v>
      </c>
      <c r="B47" s="107" t="s">
        <v>9</v>
      </c>
      <c r="C47" s="122" t="s">
        <v>627</v>
      </c>
      <c r="D47" s="112" t="s">
        <v>779</v>
      </c>
      <c r="E47" s="121" t="s">
        <v>1225</v>
      </c>
      <c r="F47" s="110" t="s">
        <v>30</v>
      </c>
      <c r="G47" s="6" t="s">
        <v>12</v>
      </c>
      <c r="H47" s="6" t="s">
        <v>976</v>
      </c>
      <c r="I47" s="6" t="s">
        <v>35</v>
      </c>
      <c r="J47" s="5">
        <v>1</v>
      </c>
      <c r="K47" s="12" t="s">
        <v>589</v>
      </c>
      <c r="L47" s="46">
        <v>0</v>
      </c>
      <c r="M47" s="46">
        <v>0</v>
      </c>
      <c r="N47" s="46">
        <v>0</v>
      </c>
      <c r="O47" s="46">
        <v>0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</v>
      </c>
      <c r="AD47" s="46">
        <v>0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/>
      <c r="AK47" s="46"/>
      <c r="AL47" s="46"/>
      <c r="AM47" s="46"/>
      <c r="AN47" s="46"/>
      <c r="AO47" s="46"/>
      <c r="AP47" s="46"/>
      <c r="AQ47" s="46">
        <f t="shared" si="2"/>
        <v>0</v>
      </c>
      <c r="AR47" s="7">
        <f t="shared" si="3"/>
        <v>0</v>
      </c>
    </row>
    <row r="48" spans="1:44" ht="15.75" customHeight="1" x14ac:dyDescent="0.3">
      <c r="A48" s="5">
        <v>47</v>
      </c>
      <c r="B48" s="107" t="s">
        <v>9</v>
      </c>
      <c r="C48" s="122" t="s">
        <v>628</v>
      </c>
      <c r="D48" s="112" t="s">
        <v>988</v>
      </c>
      <c r="E48" s="121" t="s">
        <v>1226</v>
      </c>
      <c r="F48" s="110" t="s">
        <v>128</v>
      </c>
      <c r="G48" s="6" t="s">
        <v>12</v>
      </c>
      <c r="H48" s="6" t="s">
        <v>975</v>
      </c>
      <c r="I48" s="6" t="s">
        <v>80</v>
      </c>
      <c r="J48" s="5">
        <v>2</v>
      </c>
      <c r="K48" s="67" t="s">
        <v>160</v>
      </c>
      <c r="L48" s="46">
        <v>246.86600000000004</v>
      </c>
      <c r="M48" s="46">
        <v>206.87200000000001</v>
      </c>
      <c r="N48" s="46">
        <v>183.74099999999999</v>
      </c>
      <c r="O48" s="46">
        <v>125.30499999999999</v>
      </c>
      <c r="P48" s="46">
        <v>254.91900000000004</v>
      </c>
      <c r="Q48" s="46">
        <v>312.28599999999989</v>
      </c>
      <c r="R48" s="46">
        <v>329.358</v>
      </c>
      <c r="S48" s="46">
        <v>294.28900000000004</v>
      </c>
      <c r="T48" s="46">
        <v>291.63000000000005</v>
      </c>
      <c r="U48" s="46">
        <v>152.25300000000001</v>
      </c>
      <c r="V48" s="46">
        <v>112.83900000000003</v>
      </c>
      <c r="W48" s="46">
        <v>179.02099999999999</v>
      </c>
      <c r="X48" s="46">
        <v>217.95000000000002</v>
      </c>
      <c r="Y48" s="46">
        <v>361.11799999999999</v>
      </c>
      <c r="Z48" s="46">
        <v>314.44700000000006</v>
      </c>
      <c r="AA48" s="46">
        <v>303.58799999999997</v>
      </c>
      <c r="AB48" s="10">
        <v>191.57300000000001</v>
      </c>
      <c r="AC48" s="10">
        <v>52.358999999999995</v>
      </c>
      <c r="AD48" s="10">
        <v>187.68200000000002</v>
      </c>
      <c r="AE48" s="10">
        <v>341.67100000000011</v>
      </c>
      <c r="AF48" s="10">
        <v>325.15500000000003</v>
      </c>
      <c r="AG48" s="10">
        <v>239.79499999999996</v>
      </c>
      <c r="AH48" s="10">
        <v>298.40099999999995</v>
      </c>
      <c r="AI48" s="10">
        <v>240.773</v>
      </c>
      <c r="AJ48" s="10"/>
      <c r="AK48" s="46"/>
      <c r="AL48" s="46"/>
      <c r="AM48" s="46"/>
      <c r="AN48" s="46"/>
      <c r="AO48" s="46"/>
      <c r="AP48" s="46"/>
      <c r="AQ48" s="46">
        <f t="shared" si="2"/>
        <v>240.16212499999997</v>
      </c>
      <c r="AR48" s="7">
        <f t="shared" si="3"/>
        <v>120.08106249999999</v>
      </c>
    </row>
    <row r="49" spans="1:44" ht="16.5" customHeight="1" x14ac:dyDescent="0.3">
      <c r="A49" s="5">
        <v>48</v>
      </c>
      <c r="B49" s="107" t="s">
        <v>9</v>
      </c>
      <c r="C49" s="122" t="s">
        <v>629</v>
      </c>
      <c r="D49" s="112" t="s">
        <v>735</v>
      </c>
      <c r="E49" s="121" t="s">
        <v>1227</v>
      </c>
      <c r="F49" s="110" t="s">
        <v>128</v>
      </c>
      <c r="G49" s="6" t="s">
        <v>12</v>
      </c>
      <c r="H49" s="6" t="s">
        <v>976</v>
      </c>
      <c r="I49" s="6" t="s">
        <v>35</v>
      </c>
      <c r="J49" s="5">
        <v>5</v>
      </c>
      <c r="K49" s="12" t="s">
        <v>590</v>
      </c>
      <c r="L49" s="46">
        <v>5.5750000000000002</v>
      </c>
      <c r="M49" s="46">
        <v>9.8760000000000012</v>
      </c>
      <c r="N49" s="46">
        <v>11.091999999999999</v>
      </c>
      <c r="O49" s="46">
        <v>2.8849999999999998</v>
      </c>
      <c r="P49" s="46">
        <v>14.342000000000001</v>
      </c>
      <c r="Q49" s="46">
        <v>7.2829999999999995</v>
      </c>
      <c r="R49" s="46">
        <v>20.771999999999998</v>
      </c>
      <c r="S49" s="46">
        <v>3.601</v>
      </c>
      <c r="T49" s="46">
        <v>7.7940000000000005</v>
      </c>
      <c r="U49" s="46">
        <v>8.3669999999999991</v>
      </c>
      <c r="V49" s="46">
        <v>21.282000000000004</v>
      </c>
      <c r="W49" s="46">
        <v>0</v>
      </c>
      <c r="X49" s="46">
        <v>21.052</v>
      </c>
      <c r="Y49" s="46">
        <v>9.577</v>
      </c>
      <c r="Z49" s="46">
        <v>3.5990000000000002</v>
      </c>
      <c r="AA49" s="46">
        <v>6.0329999999999995</v>
      </c>
      <c r="AB49" s="10">
        <v>10.651</v>
      </c>
      <c r="AC49" s="10">
        <v>21.378999999999998</v>
      </c>
      <c r="AD49" s="10">
        <v>10.494</v>
      </c>
      <c r="AE49" s="10">
        <v>3.794</v>
      </c>
      <c r="AF49" s="10">
        <v>3.5950000000000002</v>
      </c>
      <c r="AG49" s="10">
        <v>6.2439999999999998</v>
      </c>
      <c r="AH49" s="10">
        <v>15.163</v>
      </c>
      <c r="AI49" s="10">
        <v>38.507000000000005</v>
      </c>
      <c r="AJ49" s="10"/>
      <c r="AK49" s="46"/>
      <c r="AL49" s="46"/>
      <c r="AM49" s="46"/>
      <c r="AN49" s="46"/>
      <c r="AO49" s="46"/>
      <c r="AP49" s="46"/>
      <c r="AQ49" s="46">
        <f t="shared" si="2"/>
        <v>10.956541666666666</v>
      </c>
      <c r="AR49" s="7">
        <f t="shared" si="3"/>
        <v>2.1913083333333332</v>
      </c>
    </row>
    <row r="50" spans="1:44" x14ac:dyDescent="0.3">
      <c r="A50" s="5">
        <v>49</v>
      </c>
      <c r="B50" s="107" t="s">
        <v>9</v>
      </c>
      <c r="C50" s="122" t="s">
        <v>630</v>
      </c>
      <c r="D50" s="112" t="s">
        <v>780</v>
      </c>
      <c r="E50" s="121" t="s">
        <v>1228</v>
      </c>
      <c r="F50" s="110" t="s">
        <v>128</v>
      </c>
      <c r="G50" s="6" t="s">
        <v>12</v>
      </c>
      <c r="H50" s="6" t="s">
        <v>976</v>
      </c>
      <c r="I50" s="6" t="s">
        <v>35</v>
      </c>
      <c r="J50" s="5">
        <v>2</v>
      </c>
      <c r="K50" s="12" t="s">
        <v>590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/>
      <c r="AK50" s="46"/>
      <c r="AL50" s="46"/>
      <c r="AM50" s="46"/>
      <c r="AN50" s="46"/>
      <c r="AO50" s="46"/>
      <c r="AP50" s="46"/>
      <c r="AQ50" s="46">
        <f t="shared" si="2"/>
        <v>0</v>
      </c>
      <c r="AR50" s="7">
        <f t="shared" si="3"/>
        <v>0</v>
      </c>
    </row>
    <row r="51" spans="1:44" x14ac:dyDescent="0.3">
      <c r="A51" s="5">
        <v>50</v>
      </c>
      <c r="B51" s="107" t="s">
        <v>9</v>
      </c>
      <c r="C51" s="122" t="s">
        <v>630</v>
      </c>
      <c r="D51" s="112" t="s">
        <v>780</v>
      </c>
      <c r="E51" s="121" t="s">
        <v>1228</v>
      </c>
      <c r="F51" s="110" t="s">
        <v>128</v>
      </c>
      <c r="G51" s="6" t="s">
        <v>12</v>
      </c>
      <c r="H51" s="6" t="s">
        <v>974</v>
      </c>
      <c r="I51" s="6" t="s">
        <v>35</v>
      </c>
      <c r="J51" s="5">
        <v>2</v>
      </c>
      <c r="K51" s="12" t="s">
        <v>590</v>
      </c>
      <c r="L51" s="46">
        <v>0</v>
      </c>
      <c r="M51" s="46">
        <v>0</v>
      </c>
      <c r="N51" s="46">
        <v>0</v>
      </c>
      <c r="O51" s="46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/>
      <c r="AK51" s="46"/>
      <c r="AL51" s="46"/>
      <c r="AM51" s="46"/>
      <c r="AN51" s="46"/>
      <c r="AO51" s="46"/>
      <c r="AP51" s="46"/>
      <c r="AQ51" s="46">
        <f t="shared" si="2"/>
        <v>0</v>
      </c>
      <c r="AR51" s="7">
        <f t="shared" si="3"/>
        <v>0</v>
      </c>
    </row>
    <row r="52" spans="1:44" x14ac:dyDescent="0.3">
      <c r="A52" s="5">
        <v>51</v>
      </c>
      <c r="B52" s="107" t="s">
        <v>9</v>
      </c>
      <c r="C52" s="122" t="s">
        <v>631</v>
      </c>
      <c r="D52" s="112" t="s">
        <v>743</v>
      </c>
      <c r="E52" s="121" t="s">
        <v>1229</v>
      </c>
      <c r="F52" s="110" t="s">
        <v>128</v>
      </c>
      <c r="G52" s="6" t="s">
        <v>12</v>
      </c>
      <c r="H52" s="6" t="s">
        <v>976</v>
      </c>
      <c r="I52" s="6" t="s">
        <v>35</v>
      </c>
      <c r="J52" s="5">
        <v>1</v>
      </c>
      <c r="K52" s="67" t="s">
        <v>160</v>
      </c>
      <c r="L52" s="46">
        <v>0</v>
      </c>
      <c r="M52" s="46">
        <v>0</v>
      </c>
      <c r="N52" s="46">
        <v>0</v>
      </c>
      <c r="O52" s="46">
        <v>0</v>
      </c>
      <c r="P52" s="46">
        <v>0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0</v>
      </c>
      <c r="AF52" s="46">
        <v>0</v>
      </c>
      <c r="AG52" s="46">
        <v>0</v>
      </c>
      <c r="AH52" s="46">
        <v>0</v>
      </c>
      <c r="AI52" s="46">
        <v>0</v>
      </c>
      <c r="AJ52" s="46"/>
      <c r="AK52" s="46"/>
      <c r="AL52" s="46"/>
      <c r="AM52" s="46"/>
      <c r="AN52" s="46"/>
      <c r="AO52" s="46"/>
      <c r="AP52" s="46"/>
      <c r="AQ52" s="46">
        <f t="shared" si="2"/>
        <v>0</v>
      </c>
      <c r="AR52" s="7">
        <f t="shared" si="3"/>
        <v>0</v>
      </c>
    </row>
    <row r="53" spans="1:44" x14ac:dyDescent="0.3">
      <c r="A53" s="5">
        <v>52</v>
      </c>
      <c r="B53" s="107" t="s">
        <v>9</v>
      </c>
      <c r="C53" s="122" t="s">
        <v>631</v>
      </c>
      <c r="D53" s="112" t="s">
        <v>743</v>
      </c>
      <c r="E53" s="121" t="s">
        <v>1229</v>
      </c>
      <c r="F53" s="110" t="s">
        <v>128</v>
      </c>
      <c r="G53" s="6" t="s">
        <v>12</v>
      </c>
      <c r="H53" s="6" t="s">
        <v>979</v>
      </c>
      <c r="I53" s="6" t="s">
        <v>35</v>
      </c>
      <c r="J53" s="5">
        <v>1</v>
      </c>
      <c r="K53" s="67" t="s">
        <v>160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/>
      <c r="AK53" s="46"/>
      <c r="AL53" s="46"/>
      <c r="AM53" s="46"/>
      <c r="AN53" s="46"/>
      <c r="AO53" s="46"/>
      <c r="AP53" s="46"/>
      <c r="AQ53" s="46">
        <f t="shared" si="2"/>
        <v>0</v>
      </c>
      <c r="AR53" s="7">
        <f t="shared" si="3"/>
        <v>0</v>
      </c>
    </row>
    <row r="54" spans="1:44" x14ac:dyDescent="0.3">
      <c r="A54" s="5">
        <v>53</v>
      </c>
      <c r="B54" s="107" t="s">
        <v>9</v>
      </c>
      <c r="C54" s="122" t="s">
        <v>631</v>
      </c>
      <c r="D54" s="112" t="s">
        <v>743</v>
      </c>
      <c r="E54" s="121" t="s">
        <v>1229</v>
      </c>
      <c r="F54" s="110" t="s">
        <v>128</v>
      </c>
      <c r="G54" s="6" t="s">
        <v>12</v>
      </c>
      <c r="H54" s="6" t="s">
        <v>971</v>
      </c>
      <c r="I54" s="6" t="s">
        <v>80</v>
      </c>
      <c r="J54" s="5">
        <v>1</v>
      </c>
      <c r="K54" s="67" t="s">
        <v>160</v>
      </c>
      <c r="L54" s="46">
        <v>0</v>
      </c>
      <c r="M54" s="46">
        <v>0</v>
      </c>
      <c r="N54" s="46">
        <v>0</v>
      </c>
      <c r="O54" s="46">
        <v>0</v>
      </c>
      <c r="P54" s="46">
        <v>0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46">
        <v>0</v>
      </c>
      <c r="AA54" s="46">
        <v>0</v>
      </c>
      <c r="AB54" s="46">
        <v>0</v>
      </c>
      <c r="AC54" s="46">
        <v>0</v>
      </c>
      <c r="AD54" s="46">
        <v>0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AJ54" s="46"/>
      <c r="AK54" s="46"/>
      <c r="AL54" s="46"/>
      <c r="AM54" s="46"/>
      <c r="AN54" s="46"/>
      <c r="AO54" s="46"/>
      <c r="AP54" s="46"/>
      <c r="AQ54" s="46">
        <f t="shared" si="2"/>
        <v>0</v>
      </c>
      <c r="AR54" s="7">
        <f t="shared" si="3"/>
        <v>0</v>
      </c>
    </row>
    <row r="55" spans="1:44" x14ac:dyDescent="0.3">
      <c r="A55" s="5">
        <v>54</v>
      </c>
      <c r="B55" s="107" t="s">
        <v>9</v>
      </c>
      <c r="C55" s="122" t="s">
        <v>632</v>
      </c>
      <c r="D55" s="112" t="s">
        <v>781</v>
      </c>
      <c r="E55" s="121" t="s">
        <v>1230</v>
      </c>
      <c r="F55" s="110" t="s">
        <v>128</v>
      </c>
      <c r="G55" s="6" t="s">
        <v>12</v>
      </c>
      <c r="H55" s="6" t="s">
        <v>976</v>
      </c>
      <c r="I55" s="6" t="s">
        <v>35</v>
      </c>
      <c r="J55" s="5">
        <v>20</v>
      </c>
      <c r="K55" s="12" t="s">
        <v>590</v>
      </c>
      <c r="L55" s="46">
        <v>0</v>
      </c>
      <c r="M55" s="46">
        <v>0</v>
      </c>
      <c r="N55" s="46">
        <v>0</v>
      </c>
      <c r="O55" s="46">
        <v>0</v>
      </c>
      <c r="P55" s="46">
        <v>0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</v>
      </c>
      <c r="AD55" s="46">
        <v>0</v>
      </c>
      <c r="AE55" s="46">
        <v>0</v>
      </c>
      <c r="AF55" s="46">
        <v>0</v>
      </c>
      <c r="AG55" s="46">
        <v>0</v>
      </c>
      <c r="AH55" s="46">
        <v>0</v>
      </c>
      <c r="AI55" s="46">
        <v>0</v>
      </c>
      <c r="AJ55" s="46"/>
      <c r="AK55" s="46"/>
      <c r="AL55" s="46"/>
      <c r="AM55" s="46"/>
      <c r="AN55" s="46"/>
      <c r="AO55" s="46"/>
      <c r="AP55" s="46"/>
      <c r="AQ55" s="46">
        <f t="shared" si="2"/>
        <v>0</v>
      </c>
      <c r="AR55" s="7">
        <f t="shared" si="3"/>
        <v>0</v>
      </c>
    </row>
    <row r="56" spans="1:44" x14ac:dyDescent="0.3">
      <c r="A56" s="5">
        <v>55</v>
      </c>
      <c r="B56" s="107" t="s">
        <v>9</v>
      </c>
      <c r="C56" s="122" t="s">
        <v>633</v>
      </c>
      <c r="D56" s="112" t="s">
        <v>782</v>
      </c>
      <c r="E56" s="121" t="s">
        <v>1231</v>
      </c>
      <c r="F56" s="110" t="s">
        <v>128</v>
      </c>
      <c r="G56" s="6" t="s">
        <v>12</v>
      </c>
      <c r="H56" s="6" t="s">
        <v>976</v>
      </c>
      <c r="I56" s="6" t="s">
        <v>35</v>
      </c>
      <c r="J56" s="5">
        <v>1</v>
      </c>
      <c r="K56" s="12" t="s">
        <v>590</v>
      </c>
      <c r="L56" s="46">
        <v>0</v>
      </c>
      <c r="M56" s="46">
        <v>0</v>
      </c>
      <c r="N56" s="46">
        <v>0</v>
      </c>
      <c r="O56" s="46">
        <v>0</v>
      </c>
      <c r="P56" s="46">
        <v>0</v>
      </c>
      <c r="Q56" s="46">
        <v>0</v>
      </c>
      <c r="R56" s="46">
        <v>0</v>
      </c>
      <c r="S56" s="46">
        <v>0</v>
      </c>
      <c r="T56" s="46">
        <v>2.359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10">
        <v>2.9750000000000001</v>
      </c>
      <c r="AC56" s="10">
        <v>0</v>
      </c>
      <c r="AD56" s="46">
        <v>0</v>
      </c>
      <c r="AE56" s="46">
        <v>0</v>
      </c>
      <c r="AF56" s="46">
        <v>0</v>
      </c>
      <c r="AG56" s="10">
        <v>0</v>
      </c>
      <c r="AH56" s="46">
        <v>0</v>
      </c>
      <c r="AI56" s="46">
        <v>0</v>
      </c>
      <c r="AJ56" s="46"/>
      <c r="AK56" s="46"/>
      <c r="AL56" s="46"/>
      <c r="AM56" s="46"/>
      <c r="AN56" s="46"/>
      <c r="AO56" s="46"/>
      <c r="AP56" s="46"/>
      <c r="AQ56" s="46">
        <f t="shared" si="2"/>
        <v>0.22224999999999998</v>
      </c>
      <c r="AR56" s="7">
        <f t="shared" si="3"/>
        <v>0.22224999999999998</v>
      </c>
    </row>
    <row r="57" spans="1:44" x14ac:dyDescent="0.3">
      <c r="A57" s="5">
        <v>56</v>
      </c>
      <c r="B57" s="107" t="s">
        <v>498</v>
      </c>
      <c r="C57" s="122" t="s">
        <v>634</v>
      </c>
      <c r="D57" s="113" t="s">
        <v>783</v>
      </c>
      <c r="E57" s="121" t="s">
        <v>1232</v>
      </c>
      <c r="F57" s="110" t="s">
        <v>128</v>
      </c>
      <c r="G57" s="6" t="s">
        <v>12</v>
      </c>
      <c r="H57" s="6" t="s">
        <v>973</v>
      </c>
      <c r="I57" s="6" t="s">
        <v>80</v>
      </c>
      <c r="J57" s="5">
        <v>1</v>
      </c>
      <c r="K57" s="67" t="s">
        <v>160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/>
      <c r="AK57" s="46"/>
      <c r="AL57" s="46"/>
      <c r="AM57" s="46"/>
      <c r="AN57" s="46"/>
      <c r="AO57" s="46"/>
      <c r="AP57" s="46"/>
      <c r="AQ57" s="46">
        <f t="shared" si="2"/>
        <v>0</v>
      </c>
      <c r="AR57" s="7">
        <f t="shared" si="3"/>
        <v>0</v>
      </c>
    </row>
    <row r="58" spans="1:44" x14ac:dyDescent="0.3">
      <c r="A58" s="5">
        <v>57</v>
      </c>
      <c r="B58" s="107" t="s">
        <v>9</v>
      </c>
      <c r="C58" s="122" t="s">
        <v>635</v>
      </c>
      <c r="D58" s="112" t="s">
        <v>720</v>
      </c>
      <c r="E58" s="121" t="s">
        <v>1233</v>
      </c>
      <c r="F58" s="110" t="s">
        <v>128</v>
      </c>
      <c r="G58" s="6" t="s">
        <v>12</v>
      </c>
      <c r="H58" s="6" t="s">
        <v>976</v>
      </c>
      <c r="I58" s="6" t="s">
        <v>35</v>
      </c>
      <c r="J58" s="5">
        <v>1</v>
      </c>
      <c r="K58" s="12" t="s">
        <v>589</v>
      </c>
      <c r="L58" s="46">
        <v>11.690000000000001</v>
      </c>
      <c r="M58" s="46">
        <v>4.6980000000000004</v>
      </c>
      <c r="N58" s="46">
        <v>7.0000000000000001E-3</v>
      </c>
      <c r="O58" s="46">
        <v>0</v>
      </c>
      <c r="P58" s="46">
        <v>10.132000000000001</v>
      </c>
      <c r="Q58" s="46">
        <v>5.8719999999999999</v>
      </c>
      <c r="R58" s="46">
        <v>6.8000000000000005E-2</v>
      </c>
      <c r="S58" s="46">
        <v>5.4179999999999993</v>
      </c>
      <c r="T58" s="46">
        <v>1.3479999999999999</v>
      </c>
      <c r="U58" s="46">
        <v>1.629</v>
      </c>
      <c r="V58" s="46">
        <v>6.6890000000000001</v>
      </c>
      <c r="W58" s="46">
        <v>1.6379999999999999</v>
      </c>
      <c r="X58" s="46">
        <v>4.5350000000000001</v>
      </c>
      <c r="Y58" s="46">
        <v>7.1909999999999998</v>
      </c>
      <c r="Z58" s="46">
        <v>2.488</v>
      </c>
      <c r="AA58" s="46">
        <v>4.7720000000000002</v>
      </c>
      <c r="AB58" s="10">
        <v>2.7920000000000003</v>
      </c>
      <c r="AC58" s="10">
        <v>0</v>
      </c>
      <c r="AD58" s="10">
        <v>2.6970000000000001</v>
      </c>
      <c r="AE58" s="10">
        <v>6.7130000000000001</v>
      </c>
      <c r="AF58" s="46">
        <v>0</v>
      </c>
      <c r="AG58" s="46">
        <v>0</v>
      </c>
      <c r="AH58" s="10">
        <v>3.798</v>
      </c>
      <c r="AI58" s="10">
        <v>6.5629999999999997</v>
      </c>
      <c r="AJ58" s="10"/>
      <c r="AK58" s="46"/>
      <c r="AL58" s="46"/>
      <c r="AM58" s="46"/>
      <c r="AN58" s="46"/>
      <c r="AO58" s="46"/>
      <c r="AP58" s="46"/>
      <c r="AQ58" s="46">
        <f t="shared" si="2"/>
        <v>3.7807499999999998</v>
      </c>
      <c r="AR58" s="7">
        <f t="shared" si="3"/>
        <v>3.7807499999999998</v>
      </c>
    </row>
    <row r="59" spans="1:44" x14ac:dyDescent="0.3">
      <c r="A59" s="5">
        <v>58</v>
      </c>
      <c r="B59" s="107" t="s">
        <v>9</v>
      </c>
      <c r="C59" s="122" t="s">
        <v>636</v>
      </c>
      <c r="D59" s="112" t="s">
        <v>753</v>
      </c>
      <c r="E59" s="121" t="s">
        <v>1113</v>
      </c>
      <c r="F59" s="110" t="s">
        <v>128</v>
      </c>
      <c r="G59" s="6" t="s">
        <v>12</v>
      </c>
      <c r="H59" s="6" t="s">
        <v>976</v>
      </c>
      <c r="I59" s="6" t="s">
        <v>35</v>
      </c>
      <c r="J59" s="5">
        <v>10</v>
      </c>
      <c r="K59" s="94" t="s">
        <v>273</v>
      </c>
      <c r="L59" s="46">
        <v>12.971</v>
      </c>
      <c r="M59" s="46">
        <v>2.694</v>
      </c>
      <c r="N59" s="46">
        <v>19.030999999999999</v>
      </c>
      <c r="O59" s="46">
        <v>22.6</v>
      </c>
      <c r="P59" s="46">
        <v>40.478999999999999</v>
      </c>
      <c r="Q59" s="46">
        <v>38.647999999999996</v>
      </c>
      <c r="R59" s="46">
        <v>55.929000000000002</v>
      </c>
      <c r="S59" s="46">
        <v>9.9369999999999994</v>
      </c>
      <c r="T59" s="46">
        <v>30.768999999999998</v>
      </c>
      <c r="U59" s="46">
        <v>22.887</v>
      </c>
      <c r="V59" s="46">
        <v>23.870999999999999</v>
      </c>
      <c r="W59" s="46">
        <v>17.343</v>
      </c>
      <c r="X59" s="46">
        <v>9.5319999999999983</v>
      </c>
      <c r="Y59" s="46">
        <v>35.042000000000002</v>
      </c>
      <c r="Z59" s="46">
        <v>19.850000000000001</v>
      </c>
      <c r="AA59" s="46">
        <v>44.395999999999994</v>
      </c>
      <c r="AB59" s="10">
        <v>1.236</v>
      </c>
      <c r="AC59" s="10">
        <v>0</v>
      </c>
      <c r="AD59" s="10">
        <v>30.180999999999997</v>
      </c>
      <c r="AE59" s="10">
        <v>30.265000000000001</v>
      </c>
      <c r="AF59" s="10">
        <v>32.385999999999996</v>
      </c>
      <c r="AG59" s="10">
        <v>11.427999999999999</v>
      </c>
      <c r="AH59" s="10">
        <v>41.209000000000003</v>
      </c>
      <c r="AI59" s="10">
        <v>45.001999999999995</v>
      </c>
      <c r="AJ59" s="10"/>
      <c r="AK59" s="46"/>
      <c r="AL59" s="46"/>
      <c r="AM59" s="46"/>
      <c r="AN59" s="46"/>
      <c r="AO59" s="46"/>
      <c r="AP59" s="46"/>
      <c r="AQ59" s="46">
        <f t="shared" si="2"/>
        <v>24.90358333333333</v>
      </c>
      <c r="AR59" s="7">
        <f t="shared" si="3"/>
        <v>2.490358333333333</v>
      </c>
    </row>
    <row r="60" spans="1:44" x14ac:dyDescent="0.3">
      <c r="A60" s="5">
        <v>59</v>
      </c>
      <c r="B60" s="107" t="s">
        <v>9</v>
      </c>
      <c r="C60" s="122" t="s">
        <v>636</v>
      </c>
      <c r="D60" s="112" t="s">
        <v>753</v>
      </c>
      <c r="E60" s="121" t="s">
        <v>1113</v>
      </c>
      <c r="F60" s="110" t="s">
        <v>128</v>
      </c>
      <c r="G60" s="6" t="s">
        <v>12</v>
      </c>
      <c r="H60" s="6" t="s">
        <v>1052</v>
      </c>
      <c r="I60" s="6" t="s">
        <v>80</v>
      </c>
      <c r="J60" s="5">
        <v>0</v>
      </c>
      <c r="K60" s="67" t="s">
        <v>160</v>
      </c>
      <c r="L60" s="46">
        <v>0</v>
      </c>
      <c r="M60" s="46">
        <v>0</v>
      </c>
      <c r="N60" s="46">
        <v>0</v>
      </c>
      <c r="O60" s="46">
        <v>0</v>
      </c>
      <c r="P60" s="46">
        <v>0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0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AJ60" s="46"/>
      <c r="AK60" s="46"/>
      <c r="AL60" s="46"/>
      <c r="AM60" s="46"/>
      <c r="AN60" s="46"/>
      <c r="AO60" s="46"/>
      <c r="AP60" s="46"/>
      <c r="AQ60" s="46">
        <f t="shared" si="2"/>
        <v>0</v>
      </c>
      <c r="AR60" s="7" t="e">
        <f t="shared" si="3"/>
        <v>#DIV/0!</v>
      </c>
    </row>
    <row r="61" spans="1:44" x14ac:dyDescent="0.3">
      <c r="A61" s="5">
        <v>60</v>
      </c>
      <c r="B61" s="107" t="s">
        <v>9</v>
      </c>
      <c r="C61" s="122" t="s">
        <v>637</v>
      </c>
      <c r="D61" s="112" t="s">
        <v>721</v>
      </c>
      <c r="E61" s="121" t="s">
        <v>1234</v>
      </c>
      <c r="F61" s="110" t="s">
        <v>128</v>
      </c>
      <c r="G61" s="6" t="s">
        <v>12</v>
      </c>
      <c r="H61" s="6" t="s">
        <v>976</v>
      </c>
      <c r="I61" s="6" t="s">
        <v>35</v>
      </c>
      <c r="J61" s="5">
        <v>2</v>
      </c>
      <c r="K61" s="12" t="s">
        <v>589</v>
      </c>
      <c r="L61" s="46">
        <v>15.155000000000001</v>
      </c>
      <c r="M61" s="46">
        <v>14.427000000000001</v>
      </c>
      <c r="N61" s="46">
        <v>11.126000000000001</v>
      </c>
      <c r="O61" s="46">
        <v>13.708</v>
      </c>
      <c r="P61" s="46">
        <v>7.831999999999999</v>
      </c>
      <c r="Q61" s="46">
        <v>12.976000000000001</v>
      </c>
      <c r="R61" s="46">
        <v>12.315000000000001</v>
      </c>
      <c r="S61" s="46">
        <v>18.710999999999999</v>
      </c>
      <c r="T61" s="46">
        <v>21.201000000000001</v>
      </c>
      <c r="U61" s="46">
        <v>9.4520000000000017</v>
      </c>
      <c r="V61" s="46">
        <v>15.863000000000003</v>
      </c>
      <c r="W61" s="46">
        <v>4.05</v>
      </c>
      <c r="X61" s="46">
        <v>16.21</v>
      </c>
      <c r="Y61" s="46">
        <v>7.9319999999999995</v>
      </c>
      <c r="Z61" s="46">
        <v>16.227</v>
      </c>
      <c r="AA61" s="46">
        <v>8.8780000000000001</v>
      </c>
      <c r="AB61" s="10">
        <v>13.848000000000001</v>
      </c>
      <c r="AC61" s="10">
        <v>7.0839999999999996</v>
      </c>
      <c r="AD61" s="10">
        <v>8.84</v>
      </c>
      <c r="AE61" s="10">
        <v>13.189</v>
      </c>
      <c r="AF61" s="10">
        <v>16.616</v>
      </c>
      <c r="AG61" s="10">
        <v>16.288</v>
      </c>
      <c r="AH61" s="10">
        <v>14.255000000000001</v>
      </c>
      <c r="AI61" s="10">
        <v>27.966999999999999</v>
      </c>
      <c r="AJ61" s="10"/>
      <c r="AK61" s="46"/>
      <c r="AL61" s="46"/>
      <c r="AM61" s="46"/>
      <c r="AN61" s="46"/>
      <c r="AO61" s="46"/>
      <c r="AP61" s="46"/>
      <c r="AQ61" s="46">
        <f t="shared" si="2"/>
        <v>13.50625</v>
      </c>
      <c r="AR61" s="7">
        <f t="shared" si="3"/>
        <v>6.7531249999999998</v>
      </c>
    </row>
    <row r="62" spans="1:44" x14ac:dyDescent="0.3">
      <c r="A62" s="5">
        <v>61</v>
      </c>
      <c r="B62" s="107" t="s">
        <v>9</v>
      </c>
      <c r="C62" s="5"/>
      <c r="D62" s="6" t="s">
        <v>93</v>
      </c>
      <c r="E62" s="121"/>
      <c r="F62" s="110" t="s">
        <v>26</v>
      </c>
      <c r="G62" s="6" t="s">
        <v>19</v>
      </c>
      <c r="H62" s="6" t="s">
        <v>976</v>
      </c>
      <c r="I62" s="6" t="s">
        <v>14</v>
      </c>
      <c r="J62" s="5">
        <v>1</v>
      </c>
      <c r="K62" s="67" t="s">
        <v>160</v>
      </c>
      <c r="L62" s="46">
        <v>0</v>
      </c>
      <c r="M62" s="46">
        <v>0</v>
      </c>
      <c r="N62" s="46">
        <v>0</v>
      </c>
      <c r="O62" s="46">
        <v>0</v>
      </c>
      <c r="P62" s="46">
        <v>0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0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0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J62" s="46"/>
      <c r="AK62" s="46"/>
      <c r="AL62" s="46"/>
      <c r="AM62" s="46"/>
      <c r="AN62" s="46"/>
      <c r="AO62" s="46"/>
      <c r="AP62" s="46"/>
      <c r="AQ62" s="46">
        <f t="shared" si="2"/>
        <v>0</v>
      </c>
      <c r="AR62" s="7">
        <f t="shared" si="3"/>
        <v>0</v>
      </c>
    </row>
    <row r="63" spans="1:44" x14ac:dyDescent="0.3">
      <c r="A63" s="5">
        <v>62</v>
      </c>
      <c r="B63" s="107" t="s">
        <v>9</v>
      </c>
      <c r="C63" s="122" t="s">
        <v>638</v>
      </c>
      <c r="D63" s="112" t="s">
        <v>759</v>
      </c>
      <c r="E63" s="121" t="s">
        <v>1235</v>
      </c>
      <c r="F63" s="110" t="s">
        <v>128</v>
      </c>
      <c r="G63" s="6" t="s">
        <v>12</v>
      </c>
      <c r="H63" s="6" t="s">
        <v>976</v>
      </c>
      <c r="I63" s="6" t="s">
        <v>35</v>
      </c>
      <c r="J63" s="5">
        <v>8</v>
      </c>
      <c r="K63" s="94" t="s">
        <v>273</v>
      </c>
      <c r="L63" s="46">
        <v>40.506999999999998</v>
      </c>
      <c r="M63" s="46">
        <v>69.771000000000001</v>
      </c>
      <c r="N63" s="46">
        <v>40.498999999999995</v>
      </c>
      <c r="O63" s="46">
        <v>30.170999999999999</v>
      </c>
      <c r="P63" s="46">
        <v>48.713000000000001</v>
      </c>
      <c r="Q63" s="46">
        <v>20.969000000000001</v>
      </c>
      <c r="R63" s="46">
        <v>71.407999999999987</v>
      </c>
      <c r="S63" s="46">
        <v>55.733000000000004</v>
      </c>
      <c r="T63" s="46">
        <v>39.366999999999997</v>
      </c>
      <c r="U63" s="46">
        <v>62.593999999999994</v>
      </c>
      <c r="V63" s="46">
        <v>34.432000000000002</v>
      </c>
      <c r="W63" s="46">
        <v>22.925000000000004</v>
      </c>
      <c r="X63" s="46">
        <v>49.91</v>
      </c>
      <c r="Y63" s="46">
        <v>33.936</v>
      </c>
      <c r="Z63" s="46">
        <v>52.944000000000003</v>
      </c>
      <c r="AA63" s="46">
        <v>20.491</v>
      </c>
      <c r="AB63" s="10">
        <v>45.626000000000005</v>
      </c>
      <c r="AC63" s="10">
        <v>33.772999999999996</v>
      </c>
      <c r="AD63" s="10">
        <v>35.618999999999993</v>
      </c>
      <c r="AE63" s="10">
        <v>58.603999999999992</v>
      </c>
      <c r="AF63" s="10">
        <v>30.372</v>
      </c>
      <c r="AG63" s="10">
        <v>25.57</v>
      </c>
      <c r="AH63" s="10">
        <v>47.969000000000001</v>
      </c>
      <c r="AI63" s="10">
        <v>73.087999999999994</v>
      </c>
      <c r="AJ63" s="10"/>
      <c r="AK63" s="46"/>
      <c r="AL63" s="46"/>
      <c r="AM63" s="46"/>
      <c r="AN63" s="46"/>
      <c r="AO63" s="46"/>
      <c r="AP63" s="46"/>
      <c r="AQ63" s="46">
        <f t="shared" si="2"/>
        <v>43.541291666666666</v>
      </c>
      <c r="AR63" s="7">
        <f t="shared" si="3"/>
        <v>5.4426614583333333</v>
      </c>
    </row>
    <row r="64" spans="1:44" x14ac:dyDescent="0.3">
      <c r="A64" s="5">
        <v>63</v>
      </c>
      <c r="B64" s="107" t="s">
        <v>9</v>
      </c>
      <c r="C64" s="122" t="s">
        <v>1114</v>
      </c>
      <c r="D64" s="10" t="s">
        <v>1068</v>
      </c>
      <c r="E64" s="121" t="s">
        <v>1115</v>
      </c>
      <c r="F64" s="110" t="s">
        <v>128</v>
      </c>
      <c r="G64" s="6" t="s">
        <v>12</v>
      </c>
      <c r="H64" s="6" t="s">
        <v>976</v>
      </c>
      <c r="I64" s="6" t="s">
        <v>35</v>
      </c>
      <c r="J64" s="5">
        <v>10</v>
      </c>
      <c r="K64" s="94" t="s">
        <v>273</v>
      </c>
      <c r="L64" s="46">
        <v>0</v>
      </c>
      <c r="M64" s="46">
        <v>35.927</v>
      </c>
      <c r="N64" s="46">
        <v>35.307000000000002</v>
      </c>
      <c r="O64" s="46">
        <v>48.718000000000004</v>
      </c>
      <c r="P64" s="46">
        <v>36.765000000000001</v>
      </c>
      <c r="Q64" s="46">
        <v>16.096999999999998</v>
      </c>
      <c r="R64" s="46">
        <v>36.192</v>
      </c>
      <c r="S64" s="46">
        <v>37.629000000000005</v>
      </c>
      <c r="T64" s="46">
        <v>43.149000000000001</v>
      </c>
      <c r="U64" s="46">
        <v>13.600999999999999</v>
      </c>
      <c r="V64" s="46">
        <v>13.687999999999999</v>
      </c>
      <c r="W64" s="46">
        <v>15.000000000000002</v>
      </c>
      <c r="X64" s="46">
        <v>29.780999999999999</v>
      </c>
      <c r="Y64" s="46">
        <v>36.007000000000005</v>
      </c>
      <c r="Z64" s="46">
        <v>41.405000000000001</v>
      </c>
      <c r="AA64" s="46">
        <v>16.177</v>
      </c>
      <c r="AB64" s="10">
        <v>34.869</v>
      </c>
      <c r="AC64" s="10">
        <v>0</v>
      </c>
      <c r="AD64" s="10">
        <v>19.07</v>
      </c>
      <c r="AE64" s="10">
        <v>50.77</v>
      </c>
      <c r="AF64" s="10">
        <v>30.683</v>
      </c>
      <c r="AG64" s="10">
        <v>28.806000000000001</v>
      </c>
      <c r="AH64" s="10">
        <v>32.58</v>
      </c>
      <c r="AI64" s="10">
        <v>49.772000000000013</v>
      </c>
      <c r="AJ64" s="10"/>
      <c r="AK64" s="46"/>
      <c r="AL64" s="46"/>
      <c r="AM64" s="46"/>
      <c r="AN64" s="46"/>
      <c r="AO64" s="46"/>
      <c r="AP64" s="46"/>
      <c r="AQ64" s="46">
        <f t="shared" si="2"/>
        <v>29.249708333333345</v>
      </c>
      <c r="AR64" s="7">
        <f t="shared" si="3"/>
        <v>2.9249708333333344</v>
      </c>
    </row>
    <row r="65" spans="1:44" x14ac:dyDescent="0.3">
      <c r="A65" s="5">
        <v>64</v>
      </c>
      <c r="B65" s="107" t="s">
        <v>9</v>
      </c>
      <c r="C65" s="122" t="s">
        <v>713</v>
      </c>
      <c r="D65" s="112" t="s">
        <v>714</v>
      </c>
      <c r="E65" s="121" t="s">
        <v>1236</v>
      </c>
      <c r="F65" s="110" t="s">
        <v>128</v>
      </c>
      <c r="G65" s="6" t="s">
        <v>12</v>
      </c>
      <c r="H65" s="6" t="s">
        <v>976</v>
      </c>
      <c r="I65" s="6" t="s">
        <v>35</v>
      </c>
      <c r="J65" s="5">
        <v>6</v>
      </c>
      <c r="K65" s="94" t="s">
        <v>273</v>
      </c>
      <c r="L65" s="46">
        <v>72.861000000000004</v>
      </c>
      <c r="M65" s="46">
        <v>51.984999999999999</v>
      </c>
      <c r="N65" s="46">
        <v>93.88300000000001</v>
      </c>
      <c r="O65" s="46">
        <v>79.205999999999989</v>
      </c>
      <c r="P65" s="46">
        <v>116.61000000000003</v>
      </c>
      <c r="Q65" s="46">
        <v>94.547999999999988</v>
      </c>
      <c r="R65" s="46">
        <v>80.454000000000022</v>
      </c>
      <c r="S65" s="46">
        <v>80.118999999999986</v>
      </c>
      <c r="T65" s="46">
        <v>77.01700000000001</v>
      </c>
      <c r="U65" s="46">
        <v>77.725000000000009</v>
      </c>
      <c r="V65" s="46">
        <v>55.187000000000005</v>
      </c>
      <c r="W65" s="46">
        <v>82.417999999999992</v>
      </c>
      <c r="X65" s="46">
        <v>65.994</v>
      </c>
      <c r="Y65" s="46">
        <v>83.907000000000025</v>
      </c>
      <c r="Z65" s="46">
        <v>73.296000000000021</v>
      </c>
      <c r="AA65" s="46">
        <v>71.285000000000011</v>
      </c>
      <c r="AB65" s="10">
        <v>89.37700000000001</v>
      </c>
      <c r="AC65" s="10">
        <v>81.523999999999987</v>
      </c>
      <c r="AD65" s="10">
        <v>59.881</v>
      </c>
      <c r="AE65" s="10">
        <v>60.021000000000001</v>
      </c>
      <c r="AF65" s="10">
        <v>67.564000000000021</v>
      </c>
      <c r="AG65" s="10">
        <v>76.22</v>
      </c>
      <c r="AH65" s="10">
        <v>62.783000000000008</v>
      </c>
      <c r="AI65" s="10">
        <v>147.35500000000002</v>
      </c>
      <c r="AJ65" s="10"/>
      <c r="AK65" s="46"/>
      <c r="AL65" s="46"/>
      <c r="AM65" s="46"/>
      <c r="AN65" s="46"/>
      <c r="AO65" s="46"/>
      <c r="AP65" s="46"/>
      <c r="AQ65" s="46">
        <f t="shared" si="2"/>
        <v>79.217500000000001</v>
      </c>
      <c r="AR65" s="7">
        <f t="shared" si="3"/>
        <v>13.202916666666667</v>
      </c>
    </row>
    <row r="66" spans="1:44" x14ac:dyDescent="0.3">
      <c r="A66" s="5">
        <v>65</v>
      </c>
      <c r="B66" s="107" t="s">
        <v>9</v>
      </c>
      <c r="C66" s="122" t="s">
        <v>857</v>
      </c>
      <c r="D66" s="112" t="s">
        <v>856</v>
      </c>
      <c r="E66" s="121"/>
      <c r="F66" s="110" t="s">
        <v>128</v>
      </c>
      <c r="G66" s="6" t="s">
        <v>12</v>
      </c>
      <c r="H66" s="6" t="s">
        <v>290</v>
      </c>
      <c r="I66" s="6" t="s">
        <v>80</v>
      </c>
      <c r="J66" s="5">
        <v>1</v>
      </c>
      <c r="K66" s="12" t="s">
        <v>590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/>
      <c r="AK66" s="46"/>
      <c r="AL66" s="46"/>
      <c r="AM66" s="46"/>
      <c r="AN66" s="46"/>
      <c r="AO66" s="46"/>
      <c r="AP66" s="46"/>
      <c r="AQ66" s="46">
        <f t="shared" ref="AQ66:AQ97" si="4">AVERAGE(L66:AO66)</f>
        <v>0</v>
      </c>
      <c r="AR66" s="7">
        <f t="shared" ref="AR66:AR97" si="5">AQ66/J66</f>
        <v>0</v>
      </c>
    </row>
    <row r="67" spans="1:44" ht="15.6" x14ac:dyDescent="0.3">
      <c r="A67" s="5">
        <v>66</v>
      </c>
      <c r="B67" s="107" t="s">
        <v>9</v>
      </c>
      <c r="C67" s="122" t="s">
        <v>968</v>
      </c>
      <c r="D67" s="114" t="s">
        <v>969</v>
      </c>
      <c r="E67" s="121" t="s">
        <v>1237</v>
      </c>
      <c r="F67" s="110" t="s">
        <v>128</v>
      </c>
      <c r="G67" s="6" t="s">
        <v>12</v>
      </c>
      <c r="H67" s="6" t="s">
        <v>976</v>
      </c>
      <c r="I67" s="6" t="s">
        <v>35</v>
      </c>
      <c r="J67" s="5">
        <v>1</v>
      </c>
      <c r="K67" s="12" t="s">
        <v>590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19.673999999999999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/>
      <c r="AK67" s="46"/>
      <c r="AL67" s="46"/>
      <c r="AM67" s="46"/>
      <c r="AN67" s="46"/>
      <c r="AO67" s="46"/>
      <c r="AP67" s="46"/>
      <c r="AQ67" s="46">
        <f t="shared" si="4"/>
        <v>0.81974999999999998</v>
      </c>
      <c r="AR67" s="7">
        <f t="shared" si="5"/>
        <v>0.81974999999999998</v>
      </c>
    </row>
    <row r="68" spans="1:44" x14ac:dyDescent="0.3">
      <c r="A68" s="5">
        <v>67</v>
      </c>
      <c r="B68" s="107" t="s">
        <v>9</v>
      </c>
      <c r="C68" s="10" t="s">
        <v>1116</v>
      </c>
      <c r="D68" s="39" t="s">
        <v>918</v>
      </c>
      <c r="E68" s="121" t="s">
        <v>1117</v>
      </c>
      <c r="F68" s="110" t="s">
        <v>128</v>
      </c>
      <c r="G68" s="6" t="s">
        <v>12</v>
      </c>
      <c r="H68" s="6" t="s">
        <v>976</v>
      </c>
      <c r="I68" s="6" t="s">
        <v>35</v>
      </c>
      <c r="J68" s="92">
        <v>2</v>
      </c>
      <c r="K68" s="94" t="s">
        <v>590</v>
      </c>
      <c r="L68" s="46">
        <v>0</v>
      </c>
      <c r="M68" s="46">
        <v>1.766</v>
      </c>
      <c r="N68" s="46">
        <v>0</v>
      </c>
      <c r="O68" s="46">
        <v>0</v>
      </c>
      <c r="P68" s="46">
        <v>0</v>
      </c>
      <c r="Q68" s="46">
        <v>0</v>
      </c>
      <c r="R68" s="46">
        <v>2.2719999999999998</v>
      </c>
      <c r="S68" s="46">
        <v>3.1</v>
      </c>
      <c r="T68" s="46">
        <v>1.9870000000000001</v>
      </c>
      <c r="U68" s="46">
        <v>0</v>
      </c>
      <c r="V68" s="46">
        <v>0</v>
      </c>
      <c r="W68" s="46">
        <v>1.577</v>
      </c>
      <c r="X68" s="46">
        <v>5.2829999999999995</v>
      </c>
      <c r="Y68" s="46">
        <v>3.1739999999999999</v>
      </c>
      <c r="Z68" s="46">
        <v>3.375</v>
      </c>
      <c r="AA68" s="46">
        <v>2.536</v>
      </c>
      <c r="AB68" s="10">
        <v>7.41</v>
      </c>
      <c r="AC68" s="10">
        <v>3.8879999999999999</v>
      </c>
      <c r="AD68" s="10">
        <v>4.9210000000000003</v>
      </c>
      <c r="AE68" s="10">
        <v>7.3819999999999997</v>
      </c>
      <c r="AF68" s="46">
        <v>0</v>
      </c>
      <c r="AG68" s="10">
        <v>2.274</v>
      </c>
      <c r="AH68" s="10">
        <v>3.1850000000000001</v>
      </c>
      <c r="AI68" s="10">
        <v>6.8159999999999989</v>
      </c>
      <c r="AJ68" s="10"/>
      <c r="AK68" s="46"/>
      <c r="AL68" s="46"/>
      <c r="AM68" s="46"/>
      <c r="AN68" s="46"/>
      <c r="AO68" s="46"/>
      <c r="AP68" s="46"/>
      <c r="AQ68" s="46">
        <f t="shared" si="4"/>
        <v>2.5394166666666664</v>
      </c>
      <c r="AR68" s="7">
        <f t="shared" si="5"/>
        <v>1.2697083333333332</v>
      </c>
    </row>
    <row r="69" spans="1:44" x14ac:dyDescent="0.3">
      <c r="A69" s="5">
        <v>68</v>
      </c>
      <c r="B69" s="107" t="s">
        <v>9</v>
      </c>
      <c r="C69" s="10" t="s">
        <v>1116</v>
      </c>
      <c r="D69" s="39" t="s">
        <v>918</v>
      </c>
      <c r="E69" s="121" t="s">
        <v>1117</v>
      </c>
      <c r="F69" s="110" t="s">
        <v>128</v>
      </c>
      <c r="G69" s="6" t="s">
        <v>12</v>
      </c>
      <c r="H69" s="6" t="s">
        <v>979</v>
      </c>
      <c r="I69" s="6" t="s">
        <v>35</v>
      </c>
      <c r="J69" s="92">
        <v>2</v>
      </c>
      <c r="K69" s="94" t="s">
        <v>590</v>
      </c>
      <c r="L69" s="46">
        <v>0</v>
      </c>
      <c r="M69" s="46">
        <v>0</v>
      </c>
      <c r="N69" s="46">
        <v>0</v>
      </c>
      <c r="O69" s="46">
        <v>36.822000000000003</v>
      </c>
      <c r="P69" s="46">
        <v>27.204000000000001</v>
      </c>
      <c r="Q69" s="46">
        <v>0</v>
      </c>
      <c r="R69" s="46">
        <v>0</v>
      </c>
      <c r="S69" s="46">
        <v>27.091999999999999</v>
      </c>
      <c r="T69" s="46">
        <v>3.4990000000000001</v>
      </c>
      <c r="U69" s="46">
        <v>12.234999999999999</v>
      </c>
      <c r="V69" s="46">
        <v>8.0259999999999998</v>
      </c>
      <c r="W69" s="46">
        <v>47.92</v>
      </c>
      <c r="X69" s="46">
        <v>63.694000000000003</v>
      </c>
      <c r="Y69" s="46">
        <v>54.268000000000001</v>
      </c>
      <c r="Z69" s="46">
        <v>7.49</v>
      </c>
      <c r="AA69" s="46">
        <v>26.744999999999997</v>
      </c>
      <c r="AB69" s="10">
        <v>30.616</v>
      </c>
      <c r="AC69" s="10">
        <v>28.378</v>
      </c>
      <c r="AD69" s="46">
        <v>0</v>
      </c>
      <c r="AE69" s="10">
        <v>37.093000000000004</v>
      </c>
      <c r="AF69" s="46">
        <v>0</v>
      </c>
      <c r="AG69" s="10">
        <v>7.1689999999999996</v>
      </c>
      <c r="AH69" s="10">
        <v>7.16</v>
      </c>
      <c r="AI69" s="10">
        <v>23.465999999999998</v>
      </c>
      <c r="AJ69" s="10"/>
      <c r="AK69" s="46"/>
      <c r="AL69" s="46"/>
      <c r="AM69" s="46"/>
      <c r="AN69" s="46"/>
      <c r="AO69" s="46"/>
      <c r="AP69" s="46"/>
      <c r="AQ69" s="46">
        <f t="shared" si="4"/>
        <v>18.703208333333333</v>
      </c>
      <c r="AR69" s="7">
        <f t="shared" si="5"/>
        <v>9.3516041666666663</v>
      </c>
    </row>
    <row r="70" spans="1:44" x14ac:dyDescent="0.3">
      <c r="A70" s="5">
        <v>69</v>
      </c>
      <c r="B70" s="107" t="s">
        <v>9</v>
      </c>
      <c r="C70" s="10" t="s">
        <v>1118</v>
      </c>
      <c r="D70" s="116" t="s">
        <v>991</v>
      </c>
      <c r="E70" s="121" t="s">
        <v>1119</v>
      </c>
      <c r="F70" s="6" t="s">
        <v>128</v>
      </c>
      <c r="G70" s="6" t="s">
        <v>12</v>
      </c>
      <c r="H70" s="6" t="s">
        <v>13</v>
      </c>
      <c r="I70" s="6" t="s">
        <v>35</v>
      </c>
      <c r="J70" s="92">
        <v>2</v>
      </c>
      <c r="K70" s="94" t="s">
        <v>590</v>
      </c>
      <c r="L70" s="46">
        <v>0</v>
      </c>
      <c r="M70" s="46">
        <v>2.2839999999999998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3.63</v>
      </c>
      <c r="Y70" s="46">
        <v>0</v>
      </c>
      <c r="Z70" s="46">
        <v>1.8160000000000001</v>
      </c>
      <c r="AA70" s="46">
        <v>3.3090000000000002</v>
      </c>
      <c r="AB70" s="10">
        <v>0</v>
      </c>
      <c r="AC70" s="10">
        <v>6.1199999999999992</v>
      </c>
      <c r="AD70" s="46">
        <v>0</v>
      </c>
      <c r="AE70" s="10">
        <v>5.8360000000000003</v>
      </c>
      <c r="AF70" s="10">
        <v>0</v>
      </c>
      <c r="AG70" s="46">
        <v>0</v>
      </c>
      <c r="AH70" s="46">
        <v>0</v>
      </c>
      <c r="AI70" s="10">
        <v>1.19</v>
      </c>
      <c r="AJ70" s="10"/>
      <c r="AK70" s="46"/>
      <c r="AL70" s="46"/>
      <c r="AM70" s="46"/>
      <c r="AN70" s="46"/>
      <c r="AO70" s="46"/>
      <c r="AP70" s="46"/>
      <c r="AQ70" s="46">
        <f t="shared" si="4"/>
        <v>1.0077083333333332</v>
      </c>
      <c r="AR70" s="7">
        <f t="shared" si="5"/>
        <v>0.5038541666666666</v>
      </c>
    </row>
    <row r="71" spans="1:44" x14ac:dyDescent="0.3">
      <c r="A71" s="5">
        <v>70</v>
      </c>
      <c r="B71" s="107" t="s">
        <v>9</v>
      </c>
      <c r="C71" s="10" t="s">
        <v>1118</v>
      </c>
      <c r="D71" s="116" t="s">
        <v>991</v>
      </c>
      <c r="E71" s="121" t="s">
        <v>1119</v>
      </c>
      <c r="F71" s="6" t="s">
        <v>128</v>
      </c>
      <c r="G71" s="6" t="s">
        <v>12</v>
      </c>
      <c r="H71" s="6" t="s">
        <v>40</v>
      </c>
      <c r="I71" s="6" t="s">
        <v>35</v>
      </c>
      <c r="J71" s="92">
        <v>5</v>
      </c>
      <c r="K71" s="94" t="s">
        <v>590</v>
      </c>
      <c r="L71" s="46">
        <v>0</v>
      </c>
      <c r="M71" s="46">
        <v>0</v>
      </c>
      <c r="N71" s="46">
        <v>5.4770000000000003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5.2839999999999998</v>
      </c>
      <c r="W71" s="46">
        <v>0</v>
      </c>
      <c r="X71" s="46">
        <v>0</v>
      </c>
      <c r="Y71" s="46">
        <v>0</v>
      </c>
      <c r="Z71" s="46">
        <v>0</v>
      </c>
      <c r="AA71" s="46">
        <v>4.383</v>
      </c>
      <c r="AB71" s="46">
        <v>0</v>
      </c>
      <c r="AC71" s="46">
        <v>0</v>
      </c>
      <c r="AD71" s="10">
        <v>13.552</v>
      </c>
      <c r="AE71" s="10">
        <v>0</v>
      </c>
      <c r="AF71" s="10">
        <v>4.3319999999999999</v>
      </c>
      <c r="AG71" s="46">
        <v>0</v>
      </c>
      <c r="AH71" s="10">
        <v>21.71</v>
      </c>
      <c r="AI71" s="46">
        <v>0</v>
      </c>
      <c r="AJ71" s="46"/>
      <c r="AK71" s="46"/>
      <c r="AL71" s="46"/>
      <c r="AM71" s="46"/>
      <c r="AN71" s="46"/>
      <c r="AO71" s="46"/>
      <c r="AP71" s="46"/>
      <c r="AQ71" s="46">
        <f t="shared" si="4"/>
        <v>2.2807499999999998</v>
      </c>
      <c r="AR71" s="7">
        <f t="shared" si="5"/>
        <v>0.45614999999999994</v>
      </c>
    </row>
    <row r="72" spans="1:44" x14ac:dyDescent="0.3">
      <c r="A72" s="5">
        <v>71</v>
      </c>
      <c r="B72" s="107" t="s">
        <v>1024</v>
      </c>
      <c r="C72" s="10" t="s">
        <v>1120</v>
      </c>
      <c r="D72" s="116" t="s">
        <v>1022</v>
      </c>
      <c r="E72" s="121" t="s">
        <v>1121</v>
      </c>
      <c r="F72" s="6" t="s">
        <v>128</v>
      </c>
      <c r="G72" s="6" t="s">
        <v>12</v>
      </c>
      <c r="H72" s="6" t="s">
        <v>1023</v>
      </c>
      <c r="I72" s="6" t="s">
        <v>80</v>
      </c>
      <c r="J72" s="92">
        <v>1</v>
      </c>
      <c r="K72" s="67" t="s">
        <v>160</v>
      </c>
      <c r="L72" s="46">
        <v>785.17499999999995</v>
      </c>
      <c r="M72" s="46">
        <v>597.77499999999998</v>
      </c>
      <c r="N72" s="46">
        <v>671.92499999999995</v>
      </c>
      <c r="O72" s="46">
        <v>762.77500000000009</v>
      </c>
      <c r="P72" s="46">
        <v>727.64899999999989</v>
      </c>
      <c r="Q72" s="46">
        <v>433.702</v>
      </c>
      <c r="R72" s="46">
        <v>458.82600000000002</v>
      </c>
      <c r="S72" s="46">
        <v>661.3</v>
      </c>
      <c r="T72" s="46">
        <v>830.50099999999986</v>
      </c>
      <c r="U72" s="46">
        <v>581.375</v>
      </c>
      <c r="V72" s="46">
        <v>1064.7760000000001</v>
      </c>
      <c r="W72" s="46">
        <v>801.1</v>
      </c>
      <c r="X72" s="46">
        <v>544.52499999999998</v>
      </c>
      <c r="Y72" s="46">
        <v>619.02499999999998</v>
      </c>
      <c r="Z72" s="46">
        <v>907.00000000000023</v>
      </c>
      <c r="AA72" s="46">
        <v>662.94999999999993</v>
      </c>
      <c r="AB72" s="10">
        <v>1013.075</v>
      </c>
      <c r="AC72" s="10">
        <v>1132.3999999999996</v>
      </c>
      <c r="AD72" s="10">
        <v>1103.3</v>
      </c>
      <c r="AE72" s="10">
        <v>661.52499999999998</v>
      </c>
      <c r="AF72" s="10">
        <v>777.7</v>
      </c>
      <c r="AG72" s="10">
        <v>428.22499999999997</v>
      </c>
      <c r="AH72" s="10">
        <v>1014.6469999999999</v>
      </c>
      <c r="AI72" s="10">
        <v>1717.2009999999993</v>
      </c>
      <c r="AJ72" s="10"/>
      <c r="AK72" s="46"/>
      <c r="AL72" s="46"/>
      <c r="AM72" s="46"/>
      <c r="AN72" s="46"/>
      <c r="AO72" s="46"/>
      <c r="AP72" s="46"/>
      <c r="AQ72" s="46">
        <f t="shared" si="4"/>
        <v>789.93550000000005</v>
      </c>
      <c r="AR72" s="7">
        <f t="shared" si="5"/>
        <v>789.93550000000005</v>
      </c>
    </row>
    <row r="73" spans="1:44" x14ac:dyDescent="0.3">
      <c r="A73" s="5">
        <v>72</v>
      </c>
      <c r="B73" s="107" t="s">
        <v>9</v>
      </c>
      <c r="C73" s="10" t="s">
        <v>1122</v>
      </c>
      <c r="D73" s="10" t="s">
        <v>1061</v>
      </c>
      <c r="E73" s="121" t="s">
        <v>1123</v>
      </c>
      <c r="F73" s="6" t="s">
        <v>128</v>
      </c>
      <c r="G73" s="6" t="s">
        <v>12</v>
      </c>
      <c r="H73" s="6" t="s">
        <v>1023</v>
      </c>
      <c r="I73" s="6" t="s">
        <v>80</v>
      </c>
      <c r="J73" s="92">
        <v>4</v>
      </c>
      <c r="K73" s="67" t="s">
        <v>160</v>
      </c>
      <c r="L73" s="46">
        <v>374.76000000000005</v>
      </c>
      <c r="M73" s="46">
        <v>383.41</v>
      </c>
      <c r="N73" s="46">
        <v>645.74999999999989</v>
      </c>
      <c r="O73" s="46">
        <v>293.55000000000007</v>
      </c>
      <c r="P73" s="46">
        <v>489.45</v>
      </c>
      <c r="Q73" s="46">
        <v>601.14</v>
      </c>
      <c r="R73" s="46">
        <v>577.38000000000011</v>
      </c>
      <c r="S73" s="46">
        <v>450.09999999999997</v>
      </c>
      <c r="T73" s="46">
        <v>578.44999999999993</v>
      </c>
      <c r="U73" s="46">
        <v>1084.1499999999999</v>
      </c>
      <c r="V73" s="46">
        <v>340.21000000000004</v>
      </c>
      <c r="W73" s="46">
        <v>600.49</v>
      </c>
      <c r="X73" s="46">
        <v>893.89999999999986</v>
      </c>
      <c r="Y73" s="46">
        <v>987.71</v>
      </c>
      <c r="Z73" s="46">
        <v>714.35999999999979</v>
      </c>
      <c r="AA73" s="46">
        <v>781.75000000000011</v>
      </c>
      <c r="AB73" s="10">
        <v>674.87</v>
      </c>
      <c r="AC73" s="10">
        <v>189.67999999999998</v>
      </c>
      <c r="AD73" s="10">
        <v>573.48999999999978</v>
      </c>
      <c r="AE73" s="10">
        <v>765.02000000000021</v>
      </c>
      <c r="AF73" s="10">
        <v>600.59999999999991</v>
      </c>
      <c r="AG73" s="10">
        <v>660.2299999999999</v>
      </c>
      <c r="AH73" s="10">
        <v>560.92000000000019</v>
      </c>
      <c r="AI73" s="10">
        <v>974.58999999999992</v>
      </c>
      <c r="AJ73" s="10"/>
      <c r="AK73" s="46"/>
      <c r="AL73" s="46"/>
      <c r="AM73" s="46"/>
      <c r="AN73" s="46"/>
      <c r="AO73" s="46"/>
      <c r="AP73" s="46"/>
      <c r="AQ73" s="46">
        <f t="shared" si="4"/>
        <v>616.49833333333333</v>
      </c>
      <c r="AR73" s="7">
        <f t="shared" si="5"/>
        <v>154.12458333333333</v>
      </c>
    </row>
    <row r="74" spans="1:44" x14ac:dyDescent="0.3">
      <c r="A74" s="5">
        <v>73</v>
      </c>
      <c r="B74" s="107" t="s">
        <v>9</v>
      </c>
      <c r="C74" s="10" t="s">
        <v>1122</v>
      </c>
      <c r="D74" s="10" t="s">
        <v>1061</v>
      </c>
      <c r="E74" s="121" t="s">
        <v>1123</v>
      </c>
      <c r="F74" s="6" t="s">
        <v>128</v>
      </c>
      <c r="G74" s="6" t="s">
        <v>12</v>
      </c>
      <c r="H74" s="6" t="s">
        <v>40</v>
      </c>
      <c r="I74" s="6" t="s">
        <v>35</v>
      </c>
      <c r="J74" s="92">
        <v>2</v>
      </c>
      <c r="K74" s="67" t="s">
        <v>160</v>
      </c>
      <c r="L74" s="46">
        <v>2.7170000000000001</v>
      </c>
      <c r="M74" s="46">
        <v>0</v>
      </c>
      <c r="N74" s="46">
        <v>64.887</v>
      </c>
      <c r="O74" s="46">
        <v>30.643999999999998</v>
      </c>
      <c r="P74" s="46">
        <v>0</v>
      </c>
      <c r="Q74" s="46">
        <v>21.503</v>
      </c>
      <c r="R74" s="46">
        <v>24.056000000000001</v>
      </c>
      <c r="S74" s="46">
        <v>9.6440000000000001</v>
      </c>
      <c r="T74" s="46">
        <v>18.348000000000003</v>
      </c>
      <c r="U74" s="46">
        <v>6.0000000000000001E-3</v>
      </c>
      <c r="V74" s="46">
        <v>5.1029999999999998</v>
      </c>
      <c r="W74" s="46">
        <v>2E-3</v>
      </c>
      <c r="X74" s="46">
        <v>1.0000000000000002E-2</v>
      </c>
      <c r="Y74" s="46">
        <v>2.7509999999999999</v>
      </c>
      <c r="Z74" s="46">
        <v>0</v>
      </c>
      <c r="AA74" s="46">
        <v>0</v>
      </c>
      <c r="AB74" s="10">
        <v>0.14299999999999999</v>
      </c>
      <c r="AC74" s="10">
        <v>0.04</v>
      </c>
      <c r="AD74" s="10">
        <v>0</v>
      </c>
      <c r="AE74" s="10">
        <v>17.994</v>
      </c>
      <c r="AF74" s="10">
        <v>14.417999999999999</v>
      </c>
      <c r="AG74" s="10">
        <v>21.702999999999999</v>
      </c>
      <c r="AH74" s="10">
        <v>10.845000000000001</v>
      </c>
      <c r="AI74" s="10">
        <v>21.428000000000004</v>
      </c>
      <c r="AJ74" s="10"/>
      <c r="AK74" s="46"/>
      <c r="AL74" s="46"/>
      <c r="AM74" s="46"/>
      <c r="AN74" s="46"/>
      <c r="AO74" s="46"/>
      <c r="AP74" s="46"/>
      <c r="AQ74" s="46">
        <f t="shared" si="4"/>
        <v>11.093416666666668</v>
      </c>
      <c r="AR74" s="7">
        <f t="shared" si="5"/>
        <v>5.546708333333334</v>
      </c>
    </row>
    <row r="75" spans="1:44" x14ac:dyDescent="0.3">
      <c r="A75" s="5">
        <v>74</v>
      </c>
      <c r="B75" s="107" t="s">
        <v>9</v>
      </c>
      <c r="C75" s="10" t="s">
        <v>1122</v>
      </c>
      <c r="D75" s="10" t="s">
        <v>1061</v>
      </c>
      <c r="E75" s="121" t="s">
        <v>1123</v>
      </c>
      <c r="F75" s="6" t="s">
        <v>128</v>
      </c>
      <c r="G75" s="6" t="s">
        <v>12</v>
      </c>
      <c r="H75" s="6" t="s">
        <v>13</v>
      </c>
      <c r="I75" s="6" t="s">
        <v>35</v>
      </c>
      <c r="J75" s="92">
        <v>2</v>
      </c>
      <c r="K75" s="67" t="s">
        <v>160</v>
      </c>
      <c r="L75" s="46">
        <v>15.263999999999999</v>
      </c>
      <c r="M75" s="46">
        <v>14.100999999999999</v>
      </c>
      <c r="N75" s="46">
        <v>22.950000000000003</v>
      </c>
      <c r="O75" s="46">
        <v>19.125</v>
      </c>
      <c r="P75" s="46">
        <v>15.647</v>
      </c>
      <c r="Q75" s="46">
        <v>4.8449999999999998</v>
      </c>
      <c r="R75" s="46">
        <v>18.631999999999998</v>
      </c>
      <c r="S75" s="46">
        <v>19.866999999999997</v>
      </c>
      <c r="T75" s="46">
        <v>26.547000000000001</v>
      </c>
      <c r="U75" s="46">
        <v>17.304000000000002</v>
      </c>
      <c r="V75" s="46">
        <v>9.6630000000000003</v>
      </c>
      <c r="W75" s="46">
        <v>30.214000000000002</v>
      </c>
      <c r="X75" s="46">
        <v>13.818999999999999</v>
      </c>
      <c r="Y75" s="46">
        <v>27.617000000000001</v>
      </c>
      <c r="Z75" s="46">
        <v>29.185000000000002</v>
      </c>
      <c r="AA75" s="46">
        <v>31.554000000000002</v>
      </c>
      <c r="AB75" s="10">
        <v>33.404999999999994</v>
      </c>
      <c r="AC75" s="10">
        <v>38.281999999999996</v>
      </c>
      <c r="AD75" s="10">
        <v>27.71</v>
      </c>
      <c r="AE75" s="10">
        <v>36.956999999999994</v>
      </c>
      <c r="AF75" s="10">
        <v>46.808999999999997</v>
      </c>
      <c r="AG75" s="10">
        <v>41.100999999999999</v>
      </c>
      <c r="AH75" s="10">
        <v>34.667999999999999</v>
      </c>
      <c r="AI75" s="10">
        <v>36.878999999999991</v>
      </c>
      <c r="AJ75" s="10"/>
      <c r="AK75" s="46"/>
      <c r="AL75" s="46"/>
      <c r="AM75" s="46"/>
      <c r="AN75" s="46"/>
      <c r="AO75" s="46"/>
      <c r="AP75" s="46"/>
      <c r="AQ75" s="46">
        <f t="shared" si="4"/>
        <v>25.506041666666661</v>
      </c>
      <c r="AR75" s="7">
        <f t="shared" si="5"/>
        <v>12.753020833333331</v>
      </c>
    </row>
    <row r="76" spans="1:44" x14ac:dyDescent="0.3">
      <c r="A76" s="5">
        <v>75</v>
      </c>
      <c r="B76" s="6" t="s">
        <v>1050</v>
      </c>
      <c r="C76" s="10" t="s">
        <v>1124</v>
      </c>
      <c r="D76" s="116" t="s">
        <v>1049</v>
      </c>
      <c r="E76" s="121" t="s">
        <v>1125</v>
      </c>
      <c r="F76" s="6" t="s">
        <v>128</v>
      </c>
      <c r="G76" s="6" t="s">
        <v>12</v>
      </c>
      <c r="H76" s="6" t="s">
        <v>13</v>
      </c>
      <c r="I76" s="6" t="s">
        <v>35</v>
      </c>
      <c r="J76" s="92">
        <v>1</v>
      </c>
      <c r="K76" s="94" t="s">
        <v>590</v>
      </c>
      <c r="L76" s="46">
        <v>0</v>
      </c>
      <c r="M76" s="46">
        <v>0</v>
      </c>
      <c r="N76" s="46">
        <v>0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/>
      <c r="AK76" s="46"/>
      <c r="AL76" s="46"/>
      <c r="AM76" s="46"/>
      <c r="AN76" s="46"/>
      <c r="AO76" s="46"/>
      <c r="AP76" s="46"/>
      <c r="AQ76" s="46">
        <f t="shared" si="4"/>
        <v>0</v>
      </c>
      <c r="AR76" s="7">
        <f t="shared" si="5"/>
        <v>0</v>
      </c>
    </row>
    <row r="77" spans="1:44" x14ac:dyDescent="0.3">
      <c r="A77" s="5">
        <v>76</v>
      </c>
      <c r="B77" s="6" t="s">
        <v>1050</v>
      </c>
      <c r="C77" s="10" t="s">
        <v>1124</v>
      </c>
      <c r="D77" s="116" t="s">
        <v>1049</v>
      </c>
      <c r="E77" s="121" t="s">
        <v>1125</v>
      </c>
      <c r="F77" s="6" t="s">
        <v>128</v>
      </c>
      <c r="G77" s="6" t="s">
        <v>12</v>
      </c>
      <c r="H77" s="6" t="s">
        <v>135</v>
      </c>
      <c r="I77" s="6" t="s">
        <v>35</v>
      </c>
      <c r="J77" s="92">
        <v>1</v>
      </c>
      <c r="K77" s="94" t="s">
        <v>590</v>
      </c>
      <c r="L77" s="46">
        <v>0</v>
      </c>
      <c r="M77" s="46">
        <v>0</v>
      </c>
      <c r="N77" s="46">
        <v>0</v>
      </c>
      <c r="O77" s="46">
        <v>0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0</v>
      </c>
      <c r="AD77" s="10">
        <v>11.375999999999999</v>
      </c>
      <c r="AE77" s="10">
        <v>14.744</v>
      </c>
      <c r="AF77" s="10">
        <v>13.573</v>
      </c>
      <c r="AG77" s="10">
        <v>18.465</v>
      </c>
      <c r="AH77" s="10">
        <v>16.940999999999999</v>
      </c>
      <c r="AI77" s="46">
        <v>0</v>
      </c>
      <c r="AJ77" s="46"/>
      <c r="AK77" s="46"/>
      <c r="AL77" s="46"/>
      <c r="AM77" s="46"/>
      <c r="AN77" s="46"/>
      <c r="AO77" s="46"/>
      <c r="AP77" s="46"/>
      <c r="AQ77" s="46">
        <f t="shared" si="4"/>
        <v>3.1291250000000002</v>
      </c>
      <c r="AR77" s="7">
        <f t="shared" si="5"/>
        <v>3.1291250000000002</v>
      </c>
    </row>
    <row r="78" spans="1:44" x14ac:dyDescent="0.3">
      <c r="A78" s="5">
        <v>77</v>
      </c>
      <c r="B78" s="6" t="s">
        <v>1050</v>
      </c>
      <c r="C78" s="10" t="s">
        <v>1124</v>
      </c>
      <c r="D78" s="116" t="s">
        <v>1049</v>
      </c>
      <c r="E78" s="121" t="s">
        <v>1125</v>
      </c>
      <c r="F78" s="6" t="s">
        <v>128</v>
      </c>
      <c r="G78" s="6" t="s">
        <v>12</v>
      </c>
      <c r="H78" s="6" t="s">
        <v>41</v>
      </c>
      <c r="I78" s="6" t="s">
        <v>35</v>
      </c>
      <c r="J78" s="92">
        <v>1</v>
      </c>
      <c r="K78" s="94" t="s">
        <v>590</v>
      </c>
      <c r="L78" s="46">
        <v>0</v>
      </c>
      <c r="M78" s="46">
        <v>0</v>
      </c>
      <c r="N78" s="46">
        <v>0</v>
      </c>
      <c r="O78" s="46">
        <v>0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0</v>
      </c>
      <c r="AD78" s="10">
        <v>40.183999999999997</v>
      </c>
      <c r="AE78" s="10">
        <v>15.765000000000001</v>
      </c>
      <c r="AF78" s="46">
        <v>0</v>
      </c>
      <c r="AG78" s="46">
        <v>0</v>
      </c>
      <c r="AH78" s="10">
        <v>18.951000000000001</v>
      </c>
      <c r="AI78" s="46">
        <v>0</v>
      </c>
      <c r="AJ78" s="46"/>
      <c r="AK78" s="46"/>
      <c r="AL78" s="46"/>
      <c r="AM78" s="46"/>
      <c r="AN78" s="46"/>
      <c r="AO78" s="46"/>
      <c r="AP78" s="46"/>
      <c r="AQ78" s="46">
        <f t="shared" si="4"/>
        <v>3.1208333333333336</v>
      </c>
      <c r="AR78" s="7">
        <f t="shared" si="5"/>
        <v>3.1208333333333336</v>
      </c>
    </row>
    <row r="79" spans="1:44" x14ac:dyDescent="0.3">
      <c r="A79" s="5">
        <v>78</v>
      </c>
      <c r="B79" s="107" t="s">
        <v>536</v>
      </c>
      <c r="C79" s="122" t="s">
        <v>639</v>
      </c>
      <c r="D79" s="112" t="s">
        <v>784</v>
      </c>
      <c r="E79" s="121" t="s">
        <v>1238</v>
      </c>
      <c r="F79" s="110" t="s">
        <v>128</v>
      </c>
      <c r="G79" s="6" t="s">
        <v>12</v>
      </c>
      <c r="H79" s="6" t="s">
        <v>973</v>
      </c>
      <c r="I79" s="6" t="s">
        <v>80</v>
      </c>
      <c r="J79" s="5">
        <v>1</v>
      </c>
      <c r="K79" s="67" t="s">
        <v>160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10">
        <v>16.559000000000001</v>
      </c>
      <c r="AJ79" s="10"/>
      <c r="AK79" s="46"/>
      <c r="AL79" s="46"/>
      <c r="AM79" s="46"/>
      <c r="AN79" s="46"/>
      <c r="AO79" s="46"/>
      <c r="AP79" s="46"/>
      <c r="AQ79" s="46">
        <f t="shared" si="4"/>
        <v>0.68995833333333334</v>
      </c>
      <c r="AR79" s="7">
        <f t="shared" si="5"/>
        <v>0.68995833333333334</v>
      </c>
    </row>
    <row r="80" spans="1:44" x14ac:dyDescent="0.3">
      <c r="A80" s="5">
        <v>79</v>
      </c>
      <c r="B80" s="107" t="s">
        <v>9</v>
      </c>
      <c r="C80" s="5"/>
      <c r="D80" s="6" t="s">
        <v>27</v>
      </c>
      <c r="E80" s="121"/>
      <c r="F80" s="110" t="s">
        <v>28</v>
      </c>
      <c r="G80" s="6" t="s">
        <v>19</v>
      </c>
      <c r="H80" s="6" t="s">
        <v>976</v>
      </c>
      <c r="I80" s="6" t="s">
        <v>14</v>
      </c>
      <c r="J80" s="5">
        <v>4</v>
      </c>
      <c r="K80" s="67" t="s">
        <v>160</v>
      </c>
      <c r="L80" s="46">
        <v>0</v>
      </c>
      <c r="M80" s="46">
        <v>0</v>
      </c>
      <c r="N80" s="46">
        <v>0</v>
      </c>
      <c r="O80" s="46">
        <v>0</v>
      </c>
      <c r="P80" s="46">
        <v>0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46">
        <v>0</v>
      </c>
      <c r="AA80" s="46">
        <v>0</v>
      </c>
      <c r="AB80" s="46">
        <v>0</v>
      </c>
      <c r="AC80" s="46">
        <v>0</v>
      </c>
      <c r="AD80" s="46">
        <v>0</v>
      </c>
      <c r="AE80" s="46">
        <v>0</v>
      </c>
      <c r="AF80" s="46">
        <v>0</v>
      </c>
      <c r="AG80" s="46">
        <v>0</v>
      </c>
      <c r="AH80" s="46">
        <v>0</v>
      </c>
      <c r="AI80" s="46">
        <v>0</v>
      </c>
      <c r="AJ80" s="46"/>
      <c r="AK80" s="46"/>
      <c r="AL80" s="46"/>
      <c r="AM80" s="46"/>
      <c r="AN80" s="46"/>
      <c r="AO80" s="46"/>
      <c r="AP80" s="46"/>
      <c r="AQ80" s="46">
        <f t="shared" si="4"/>
        <v>0</v>
      </c>
      <c r="AR80" s="7">
        <f t="shared" si="5"/>
        <v>0</v>
      </c>
    </row>
    <row r="81" spans="1:44" x14ac:dyDescent="0.3">
      <c r="A81" s="5">
        <v>80</v>
      </c>
      <c r="B81" s="107" t="s">
        <v>9</v>
      </c>
      <c r="C81" s="5"/>
      <c r="D81" s="6" t="s">
        <v>94</v>
      </c>
      <c r="E81" s="121"/>
      <c r="F81" s="110" t="s">
        <v>32</v>
      </c>
      <c r="G81" s="6" t="s">
        <v>19</v>
      </c>
      <c r="H81" s="6" t="s">
        <v>976</v>
      </c>
      <c r="I81" s="6" t="s">
        <v>14</v>
      </c>
      <c r="J81" s="5">
        <v>2</v>
      </c>
      <c r="K81" s="67" t="s">
        <v>160</v>
      </c>
      <c r="L81" s="46">
        <v>0</v>
      </c>
      <c r="M81" s="46">
        <v>0</v>
      </c>
      <c r="N81" s="46">
        <v>0</v>
      </c>
      <c r="O81" s="46">
        <v>0</v>
      </c>
      <c r="P81" s="46">
        <v>0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46">
        <v>0</v>
      </c>
      <c r="AA81" s="46">
        <v>0</v>
      </c>
      <c r="AB81" s="46">
        <v>0</v>
      </c>
      <c r="AC81" s="46">
        <v>0</v>
      </c>
      <c r="AD81" s="46">
        <v>0</v>
      </c>
      <c r="AE81" s="46">
        <v>0</v>
      </c>
      <c r="AF81" s="46">
        <v>0</v>
      </c>
      <c r="AG81" s="46">
        <v>0</v>
      </c>
      <c r="AH81" s="46">
        <v>0</v>
      </c>
      <c r="AI81" s="46">
        <v>0</v>
      </c>
      <c r="AJ81" s="46"/>
      <c r="AK81" s="46"/>
      <c r="AL81" s="46"/>
      <c r="AM81" s="46"/>
      <c r="AN81" s="46"/>
      <c r="AO81" s="46"/>
      <c r="AP81" s="46"/>
      <c r="AQ81" s="46">
        <f t="shared" si="4"/>
        <v>0</v>
      </c>
      <c r="AR81" s="7">
        <f t="shared" si="5"/>
        <v>0</v>
      </c>
    </row>
    <row r="82" spans="1:44" x14ac:dyDescent="0.3">
      <c r="A82" s="5">
        <v>81</v>
      </c>
      <c r="B82" s="107" t="s">
        <v>49</v>
      </c>
      <c r="C82" s="5" t="s">
        <v>1126</v>
      </c>
      <c r="D82" s="39" t="s">
        <v>1056</v>
      </c>
      <c r="E82" s="121" t="s">
        <v>1127</v>
      </c>
      <c r="F82" s="110" t="s">
        <v>128</v>
      </c>
      <c r="G82" s="6" t="s">
        <v>12</v>
      </c>
      <c r="H82" s="6" t="s">
        <v>1023</v>
      </c>
      <c r="I82" s="6" t="s">
        <v>80</v>
      </c>
      <c r="J82" s="92">
        <v>1</v>
      </c>
      <c r="K82" s="67" t="s">
        <v>160</v>
      </c>
      <c r="L82" s="46">
        <v>554.15</v>
      </c>
      <c r="M82" s="46">
        <v>461.9</v>
      </c>
      <c r="N82" s="46">
        <v>427.65000000000003</v>
      </c>
      <c r="O82" s="46">
        <v>397.875</v>
      </c>
      <c r="P82" s="46">
        <v>451.85</v>
      </c>
      <c r="Q82" s="46">
        <v>358.55</v>
      </c>
      <c r="R82" s="46">
        <v>309.09999999999997</v>
      </c>
      <c r="S82" s="46">
        <v>525.42500000000007</v>
      </c>
      <c r="T82" s="46">
        <v>426.07500000000005</v>
      </c>
      <c r="U82" s="46">
        <v>453.8</v>
      </c>
      <c r="V82" s="46">
        <v>422.54999999999995</v>
      </c>
      <c r="W82" s="46">
        <v>430.125</v>
      </c>
      <c r="X82" s="46">
        <v>236.05</v>
      </c>
      <c r="Y82" s="46">
        <v>608.625</v>
      </c>
      <c r="Z82" s="46">
        <v>684.94999999999993</v>
      </c>
      <c r="AA82" s="46">
        <v>812.64899999999989</v>
      </c>
      <c r="AB82" s="10">
        <v>837.09999999999991</v>
      </c>
      <c r="AC82" s="10">
        <v>828.173</v>
      </c>
      <c r="AD82" s="10">
        <v>774.1</v>
      </c>
      <c r="AE82" s="10">
        <v>449.07400000000001</v>
      </c>
      <c r="AF82" s="10">
        <v>654.70199999999988</v>
      </c>
      <c r="AG82" s="10">
        <v>755.09999999999991</v>
      </c>
      <c r="AH82" s="10">
        <v>876.37500000000011</v>
      </c>
      <c r="AI82" s="10">
        <v>1549.95</v>
      </c>
      <c r="AJ82" s="10"/>
      <c r="AK82" s="46"/>
      <c r="AL82" s="46"/>
      <c r="AM82" s="46"/>
      <c r="AN82" s="46"/>
      <c r="AO82" s="46"/>
      <c r="AP82" s="46"/>
      <c r="AQ82" s="46">
        <f t="shared" si="4"/>
        <v>595.24575000000016</v>
      </c>
      <c r="AR82" s="7">
        <f t="shared" si="5"/>
        <v>595.24575000000016</v>
      </c>
    </row>
    <row r="83" spans="1:44" x14ac:dyDescent="0.3">
      <c r="A83" s="5">
        <v>82</v>
      </c>
      <c r="B83" s="107" t="s">
        <v>49</v>
      </c>
      <c r="C83" s="122" t="s">
        <v>640</v>
      </c>
      <c r="D83" s="112" t="s">
        <v>717</v>
      </c>
      <c r="E83" s="121" t="s">
        <v>1239</v>
      </c>
      <c r="F83" s="110" t="s">
        <v>128</v>
      </c>
      <c r="G83" s="6" t="s">
        <v>12</v>
      </c>
      <c r="H83" s="6" t="s">
        <v>976</v>
      </c>
      <c r="I83" s="6" t="s">
        <v>35</v>
      </c>
      <c r="J83" s="5">
        <v>5</v>
      </c>
      <c r="K83" s="12" t="s">
        <v>589</v>
      </c>
      <c r="L83" s="46">
        <v>0</v>
      </c>
      <c r="M83" s="46">
        <v>0</v>
      </c>
      <c r="N83" s="46">
        <v>0</v>
      </c>
      <c r="O83" s="46">
        <v>0</v>
      </c>
      <c r="P83" s="46">
        <v>0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46">
        <v>0</v>
      </c>
      <c r="AA83" s="46">
        <v>0</v>
      </c>
      <c r="AB83" s="46">
        <v>0</v>
      </c>
      <c r="AC83" s="46">
        <v>0</v>
      </c>
      <c r="AD83" s="46">
        <v>0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AJ83" s="46"/>
      <c r="AK83" s="46"/>
      <c r="AL83" s="46"/>
      <c r="AM83" s="46"/>
      <c r="AN83" s="46"/>
      <c r="AO83" s="46"/>
      <c r="AP83" s="46"/>
      <c r="AQ83" s="46">
        <f t="shared" si="4"/>
        <v>0</v>
      </c>
      <c r="AR83" s="7">
        <f t="shared" si="5"/>
        <v>0</v>
      </c>
    </row>
    <row r="84" spans="1:44" x14ac:dyDescent="0.3">
      <c r="A84" s="5">
        <v>83</v>
      </c>
      <c r="B84" s="107" t="s">
        <v>49</v>
      </c>
      <c r="C84" s="122" t="s">
        <v>641</v>
      </c>
      <c r="D84" s="112" t="s">
        <v>725</v>
      </c>
      <c r="E84" s="121" t="s">
        <v>1240</v>
      </c>
      <c r="F84" s="110" t="s">
        <v>128</v>
      </c>
      <c r="G84" s="6" t="s">
        <v>12</v>
      </c>
      <c r="H84" s="6" t="s">
        <v>976</v>
      </c>
      <c r="I84" s="6" t="s">
        <v>35</v>
      </c>
      <c r="J84" s="5">
        <v>10</v>
      </c>
      <c r="K84" s="12" t="s">
        <v>589</v>
      </c>
      <c r="L84" s="46">
        <v>46.422999999999995</v>
      </c>
      <c r="M84" s="46">
        <v>32.833999999999996</v>
      </c>
      <c r="N84" s="46">
        <v>117.49999999999997</v>
      </c>
      <c r="O84" s="46">
        <v>49.515999999999998</v>
      </c>
      <c r="P84" s="46">
        <v>51.004000000000005</v>
      </c>
      <c r="Q84" s="46">
        <v>86.572999999999993</v>
      </c>
      <c r="R84" s="46">
        <v>67.697000000000003</v>
      </c>
      <c r="S84" s="46">
        <v>82.97</v>
      </c>
      <c r="T84" s="46">
        <v>60.427</v>
      </c>
      <c r="U84" s="46">
        <v>76.762</v>
      </c>
      <c r="V84" s="46">
        <v>46.81600000000001</v>
      </c>
      <c r="W84" s="46">
        <v>61.890999999999998</v>
      </c>
      <c r="X84" s="46">
        <v>45.745000000000005</v>
      </c>
      <c r="Y84" s="46">
        <v>41.182000000000009</v>
      </c>
      <c r="Z84" s="46">
        <v>44.097999999999999</v>
      </c>
      <c r="AA84" s="46">
        <v>70.87</v>
      </c>
      <c r="AB84" s="10">
        <v>49.802000000000014</v>
      </c>
      <c r="AC84" s="10">
        <v>40.807000000000002</v>
      </c>
      <c r="AD84" s="10">
        <v>60.812000000000012</v>
      </c>
      <c r="AE84" s="10">
        <v>46.697000000000003</v>
      </c>
      <c r="AF84" s="10">
        <v>43.885999999999996</v>
      </c>
      <c r="AG84" s="10">
        <v>19.596</v>
      </c>
      <c r="AH84" s="10">
        <v>48.856999999999999</v>
      </c>
      <c r="AI84" s="10">
        <v>112.01299999999998</v>
      </c>
      <c r="AJ84" s="10"/>
      <c r="AK84" s="46"/>
      <c r="AL84" s="46"/>
      <c r="AM84" s="46"/>
      <c r="AN84" s="46"/>
      <c r="AO84" s="46"/>
      <c r="AP84" s="46"/>
      <c r="AQ84" s="46">
        <f t="shared" si="4"/>
        <v>58.532416666666656</v>
      </c>
      <c r="AR84" s="7">
        <f t="shared" si="5"/>
        <v>5.8532416666666656</v>
      </c>
    </row>
    <row r="85" spans="1:44" x14ac:dyDescent="0.3">
      <c r="A85" s="5">
        <v>84</v>
      </c>
      <c r="B85" s="107" t="s">
        <v>52</v>
      </c>
      <c r="C85" s="122" t="s">
        <v>642</v>
      </c>
      <c r="D85" s="112" t="s">
        <v>970</v>
      </c>
      <c r="E85" s="121" t="s">
        <v>1241</v>
      </c>
      <c r="F85" s="110" t="s">
        <v>128</v>
      </c>
      <c r="G85" s="6" t="s">
        <v>12</v>
      </c>
      <c r="H85" s="6" t="s">
        <v>976</v>
      </c>
      <c r="I85" s="6" t="s">
        <v>35</v>
      </c>
      <c r="J85" s="5">
        <v>5</v>
      </c>
      <c r="K85" s="12" t="s">
        <v>589</v>
      </c>
      <c r="L85" s="46">
        <v>0</v>
      </c>
      <c r="M85" s="46">
        <v>0</v>
      </c>
      <c r="N85" s="46">
        <v>0</v>
      </c>
      <c r="O85" s="46">
        <v>0</v>
      </c>
      <c r="P85" s="46">
        <v>0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46">
        <v>0</v>
      </c>
      <c r="AA85" s="46">
        <v>0</v>
      </c>
      <c r="AB85" s="46">
        <v>0</v>
      </c>
      <c r="AC85" s="46">
        <v>0</v>
      </c>
      <c r="AD85" s="46">
        <v>0</v>
      </c>
      <c r="AE85" s="46">
        <v>0</v>
      </c>
      <c r="AF85" s="46">
        <v>0</v>
      </c>
      <c r="AG85" s="46">
        <v>0</v>
      </c>
      <c r="AH85" s="46">
        <v>0</v>
      </c>
      <c r="AI85" s="46">
        <v>0</v>
      </c>
      <c r="AJ85" s="46"/>
      <c r="AK85" s="46"/>
      <c r="AL85" s="46"/>
      <c r="AM85" s="46"/>
      <c r="AN85" s="46"/>
      <c r="AO85" s="46"/>
      <c r="AP85" s="46"/>
      <c r="AQ85" s="46">
        <f t="shared" si="4"/>
        <v>0</v>
      </c>
      <c r="AR85" s="7">
        <f t="shared" si="5"/>
        <v>0</v>
      </c>
    </row>
    <row r="86" spans="1:44" x14ac:dyDescent="0.3">
      <c r="A86" s="5">
        <v>85</v>
      </c>
      <c r="B86" s="107" t="s">
        <v>52</v>
      </c>
      <c r="C86" s="122" t="s">
        <v>643</v>
      </c>
      <c r="D86" s="112" t="s">
        <v>749</v>
      </c>
      <c r="E86" s="121" t="s">
        <v>1242</v>
      </c>
      <c r="F86" s="110" t="s">
        <v>128</v>
      </c>
      <c r="G86" s="6" t="s">
        <v>12</v>
      </c>
      <c r="H86" s="6" t="s">
        <v>976</v>
      </c>
      <c r="I86" s="6" t="s">
        <v>35</v>
      </c>
      <c r="J86" s="5">
        <v>7</v>
      </c>
      <c r="K86" s="12" t="s">
        <v>273</v>
      </c>
      <c r="L86" s="46">
        <v>1.3919999999999999</v>
      </c>
      <c r="M86" s="46">
        <v>0</v>
      </c>
      <c r="N86" s="46">
        <v>0</v>
      </c>
      <c r="O86" s="46">
        <v>0</v>
      </c>
      <c r="P86" s="46">
        <v>0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46">
        <v>0</v>
      </c>
      <c r="AA86" s="46">
        <v>0</v>
      </c>
      <c r="AB86" s="46">
        <v>0</v>
      </c>
      <c r="AC86" s="46">
        <v>0</v>
      </c>
      <c r="AD86" s="46">
        <v>0</v>
      </c>
      <c r="AE86" s="46">
        <v>0</v>
      </c>
      <c r="AF86" s="46">
        <v>0</v>
      </c>
      <c r="AG86" s="46">
        <v>0</v>
      </c>
      <c r="AH86" s="46">
        <v>0</v>
      </c>
      <c r="AI86" s="46">
        <v>0</v>
      </c>
      <c r="AJ86" s="46"/>
      <c r="AK86" s="46"/>
      <c r="AL86" s="46"/>
      <c r="AM86" s="46"/>
      <c r="AN86" s="46"/>
      <c r="AO86" s="46"/>
      <c r="AP86" s="46"/>
      <c r="AQ86" s="46">
        <f t="shared" si="4"/>
        <v>5.7999999999999996E-2</v>
      </c>
      <c r="AR86" s="7">
        <f t="shared" si="5"/>
        <v>8.2857142857142851E-3</v>
      </c>
    </row>
    <row r="87" spans="1:44" x14ac:dyDescent="0.3">
      <c r="A87" s="5">
        <v>86</v>
      </c>
      <c r="B87" s="107" t="s">
        <v>52</v>
      </c>
      <c r="C87" s="122" t="s">
        <v>1128</v>
      </c>
      <c r="D87" s="10" t="s">
        <v>1078</v>
      </c>
      <c r="E87" s="121" t="s">
        <v>1129</v>
      </c>
      <c r="F87" s="110" t="s">
        <v>128</v>
      </c>
      <c r="G87" s="6" t="s">
        <v>12</v>
      </c>
      <c r="H87" s="6" t="s">
        <v>976</v>
      </c>
      <c r="I87" s="6" t="s">
        <v>35</v>
      </c>
      <c r="J87" s="5">
        <v>3</v>
      </c>
      <c r="K87" s="12" t="s">
        <v>590</v>
      </c>
      <c r="L87" s="46">
        <v>1.6759999999999999</v>
      </c>
      <c r="M87" s="46">
        <v>0</v>
      </c>
      <c r="N87" s="46">
        <v>0</v>
      </c>
      <c r="O87" s="46">
        <v>0</v>
      </c>
      <c r="P87" s="46">
        <v>0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46">
        <v>0</v>
      </c>
      <c r="AA87" s="46">
        <v>0</v>
      </c>
      <c r="AB87" s="46">
        <v>0</v>
      </c>
      <c r="AC87" s="46">
        <v>0</v>
      </c>
      <c r="AD87" s="46">
        <v>0</v>
      </c>
      <c r="AE87" s="46">
        <v>0</v>
      </c>
      <c r="AF87" s="46">
        <v>0</v>
      </c>
      <c r="AG87" s="46">
        <v>0</v>
      </c>
      <c r="AH87" s="46">
        <v>0</v>
      </c>
      <c r="AI87" s="46">
        <v>0</v>
      </c>
      <c r="AJ87" s="46"/>
      <c r="AK87" s="46"/>
      <c r="AL87" s="46"/>
      <c r="AM87" s="46"/>
      <c r="AN87" s="46"/>
      <c r="AO87" s="46"/>
      <c r="AP87" s="46"/>
      <c r="AQ87" s="46">
        <f t="shared" si="4"/>
        <v>6.9833333333333331E-2</v>
      </c>
      <c r="AR87" s="7">
        <f t="shared" si="5"/>
        <v>2.3277777777777776E-2</v>
      </c>
    </row>
    <row r="88" spans="1:44" x14ac:dyDescent="0.3">
      <c r="A88" s="5">
        <v>87</v>
      </c>
      <c r="B88" s="107" t="s">
        <v>52</v>
      </c>
      <c r="C88" s="122" t="s">
        <v>1128</v>
      </c>
      <c r="D88" s="10" t="s">
        <v>1078</v>
      </c>
      <c r="E88" s="121" t="s">
        <v>1129</v>
      </c>
      <c r="F88" s="110" t="s">
        <v>128</v>
      </c>
      <c r="G88" s="6" t="s">
        <v>12</v>
      </c>
      <c r="H88" s="6" t="s">
        <v>135</v>
      </c>
      <c r="I88" s="6" t="s">
        <v>35</v>
      </c>
      <c r="J88" s="5">
        <v>1</v>
      </c>
      <c r="K88" s="12" t="s">
        <v>590</v>
      </c>
      <c r="L88" s="46">
        <v>0</v>
      </c>
      <c r="M88" s="46">
        <v>0</v>
      </c>
      <c r="N88" s="46">
        <v>0</v>
      </c>
      <c r="O88" s="46">
        <v>0</v>
      </c>
      <c r="P88" s="46">
        <v>0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46">
        <v>0</v>
      </c>
      <c r="AA88" s="46">
        <v>0</v>
      </c>
      <c r="AB88" s="46">
        <v>0</v>
      </c>
      <c r="AC88" s="46">
        <v>0</v>
      </c>
      <c r="AD88" s="46">
        <v>0</v>
      </c>
      <c r="AE88" s="46">
        <v>0</v>
      </c>
      <c r="AF88" s="46">
        <v>0</v>
      </c>
      <c r="AG88" s="46">
        <v>0</v>
      </c>
      <c r="AH88" s="46">
        <v>0</v>
      </c>
      <c r="AI88" s="46">
        <v>0</v>
      </c>
      <c r="AJ88" s="46"/>
      <c r="AK88" s="46"/>
      <c r="AL88" s="46"/>
      <c r="AM88" s="46"/>
      <c r="AN88" s="46"/>
      <c r="AO88" s="46"/>
      <c r="AP88" s="46"/>
      <c r="AQ88" s="46">
        <f t="shared" si="4"/>
        <v>0</v>
      </c>
      <c r="AR88" s="7">
        <f t="shared" si="5"/>
        <v>0</v>
      </c>
    </row>
    <row r="89" spans="1:44" ht="16.5" customHeight="1" x14ac:dyDescent="0.3">
      <c r="A89" s="5">
        <v>88</v>
      </c>
      <c r="B89" s="107" t="s">
        <v>134</v>
      </c>
      <c r="C89" s="122" t="s">
        <v>644</v>
      </c>
      <c r="D89" s="112" t="s">
        <v>754</v>
      </c>
      <c r="E89" s="121" t="s">
        <v>1243</v>
      </c>
      <c r="F89" s="110" t="s">
        <v>128</v>
      </c>
      <c r="G89" s="6" t="s">
        <v>12</v>
      </c>
      <c r="H89" s="6" t="s">
        <v>976</v>
      </c>
      <c r="I89" s="6" t="s">
        <v>35</v>
      </c>
      <c r="J89" s="5">
        <v>7</v>
      </c>
      <c r="K89" s="12" t="s">
        <v>273</v>
      </c>
      <c r="L89" s="46">
        <v>26.778000000000002</v>
      </c>
      <c r="M89" s="46">
        <v>43.997999999999998</v>
      </c>
      <c r="N89" s="46">
        <v>25.472999999999999</v>
      </c>
      <c r="O89" s="46">
        <v>58.86</v>
      </c>
      <c r="P89" s="46">
        <v>47.088000000000001</v>
      </c>
      <c r="Q89" s="46">
        <v>32.853999999999999</v>
      </c>
      <c r="R89" s="46">
        <v>33.282000000000004</v>
      </c>
      <c r="S89" s="46">
        <v>39.67</v>
      </c>
      <c r="T89" s="46">
        <v>17.692999999999998</v>
      </c>
      <c r="U89" s="46">
        <v>69.397000000000006</v>
      </c>
      <c r="V89" s="46">
        <v>48.360999999999997</v>
      </c>
      <c r="W89" s="46">
        <v>33.713999999999999</v>
      </c>
      <c r="X89" s="46">
        <v>25.17</v>
      </c>
      <c r="Y89" s="46">
        <v>62.939000000000007</v>
      </c>
      <c r="Z89" s="46">
        <v>23.157</v>
      </c>
      <c r="AA89" s="46">
        <v>0</v>
      </c>
      <c r="AB89" s="10">
        <v>47.265999999999998</v>
      </c>
      <c r="AC89" s="10">
        <v>28.631</v>
      </c>
      <c r="AD89" s="10">
        <v>35.363999999999997</v>
      </c>
      <c r="AE89" s="10">
        <v>36</v>
      </c>
      <c r="AF89" s="10">
        <v>41.406999999999996</v>
      </c>
      <c r="AG89" s="10">
        <v>45.182000000000002</v>
      </c>
      <c r="AH89" s="10">
        <v>56.646999999999998</v>
      </c>
      <c r="AI89" s="10">
        <v>84.114999999999995</v>
      </c>
      <c r="AJ89" s="10"/>
      <c r="AK89" s="46"/>
      <c r="AL89" s="46"/>
      <c r="AM89" s="46"/>
      <c r="AN89" s="46"/>
      <c r="AO89" s="46"/>
      <c r="AP89" s="46"/>
      <c r="AQ89" s="46">
        <f t="shared" si="4"/>
        <v>40.126916666666666</v>
      </c>
      <c r="AR89" s="7">
        <f t="shared" si="5"/>
        <v>5.7324166666666665</v>
      </c>
    </row>
    <row r="90" spans="1:44" x14ac:dyDescent="0.3">
      <c r="A90" s="5">
        <v>89</v>
      </c>
      <c r="B90" s="107" t="s">
        <v>58</v>
      </c>
      <c r="C90" s="122" t="s">
        <v>1130</v>
      </c>
      <c r="D90" s="39" t="s">
        <v>1037</v>
      </c>
      <c r="E90" s="121" t="s">
        <v>1131</v>
      </c>
      <c r="F90" s="110" t="s">
        <v>128</v>
      </c>
      <c r="G90" s="6" t="s">
        <v>12</v>
      </c>
      <c r="H90" s="6" t="s">
        <v>13</v>
      </c>
      <c r="I90" s="6" t="s">
        <v>35</v>
      </c>
      <c r="J90" s="5">
        <v>1</v>
      </c>
      <c r="K90" s="94" t="s">
        <v>590</v>
      </c>
      <c r="L90" s="46">
        <v>0</v>
      </c>
      <c r="M90" s="46">
        <v>0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/>
      <c r="AK90" s="46"/>
      <c r="AL90" s="46"/>
      <c r="AM90" s="46"/>
      <c r="AN90" s="46"/>
      <c r="AO90" s="46"/>
      <c r="AP90" s="46"/>
      <c r="AQ90" s="46">
        <f t="shared" si="4"/>
        <v>0</v>
      </c>
      <c r="AR90" s="7">
        <f t="shared" si="5"/>
        <v>0</v>
      </c>
    </row>
    <row r="91" spans="1:44" x14ac:dyDescent="0.3">
      <c r="A91" s="5">
        <v>90</v>
      </c>
      <c r="B91" s="107" t="s">
        <v>58</v>
      </c>
      <c r="C91" s="122" t="s">
        <v>1130</v>
      </c>
      <c r="D91" s="39" t="s">
        <v>1037</v>
      </c>
      <c r="E91" s="121" t="s">
        <v>1131</v>
      </c>
      <c r="F91" s="6" t="s">
        <v>128</v>
      </c>
      <c r="G91" s="6" t="s">
        <v>12</v>
      </c>
      <c r="H91" s="6" t="s">
        <v>135</v>
      </c>
      <c r="I91" s="6" t="s">
        <v>35</v>
      </c>
      <c r="J91" s="92">
        <v>1</v>
      </c>
      <c r="K91" s="94" t="s">
        <v>590</v>
      </c>
      <c r="L91" s="46">
        <v>0</v>
      </c>
      <c r="M91" s="46">
        <v>0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/>
      <c r="AK91" s="46"/>
      <c r="AL91" s="46"/>
      <c r="AM91" s="46"/>
      <c r="AN91" s="46"/>
      <c r="AO91" s="46"/>
      <c r="AP91" s="46"/>
      <c r="AQ91" s="46">
        <f t="shared" si="4"/>
        <v>0</v>
      </c>
      <c r="AR91" s="7">
        <f t="shared" si="5"/>
        <v>0</v>
      </c>
    </row>
    <row r="92" spans="1:44" x14ac:dyDescent="0.3">
      <c r="A92" s="5">
        <v>91</v>
      </c>
      <c r="B92" s="107" t="s">
        <v>58</v>
      </c>
      <c r="C92" s="122" t="s">
        <v>1130</v>
      </c>
      <c r="D92" s="39" t="s">
        <v>1037</v>
      </c>
      <c r="E92" s="121" t="s">
        <v>1131</v>
      </c>
      <c r="F92" s="6" t="s">
        <v>128</v>
      </c>
      <c r="G92" s="6" t="s">
        <v>12</v>
      </c>
      <c r="H92" s="6" t="s">
        <v>41</v>
      </c>
      <c r="I92" s="6" t="s">
        <v>35</v>
      </c>
      <c r="J92" s="92">
        <v>1</v>
      </c>
      <c r="K92" s="94" t="s">
        <v>590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/>
      <c r="AK92" s="46"/>
      <c r="AL92" s="46"/>
      <c r="AM92" s="46"/>
      <c r="AN92" s="46"/>
      <c r="AO92" s="46"/>
      <c r="AP92" s="46"/>
      <c r="AQ92" s="46">
        <f t="shared" si="4"/>
        <v>0</v>
      </c>
      <c r="AR92" s="7">
        <f t="shared" si="5"/>
        <v>0</v>
      </c>
    </row>
    <row r="93" spans="1:44" x14ac:dyDescent="0.3">
      <c r="A93" s="5">
        <v>92</v>
      </c>
      <c r="B93" s="108" t="s">
        <v>246</v>
      </c>
      <c r="C93" s="122" t="s">
        <v>645</v>
      </c>
      <c r="D93" s="112" t="s">
        <v>765</v>
      </c>
      <c r="E93" s="121" t="s">
        <v>1244</v>
      </c>
      <c r="F93" s="6" t="s">
        <v>128</v>
      </c>
      <c r="G93" s="6" t="s">
        <v>12</v>
      </c>
      <c r="H93" s="6" t="s">
        <v>976</v>
      </c>
      <c r="I93" s="6" t="s">
        <v>35</v>
      </c>
      <c r="J93" s="92">
        <v>5</v>
      </c>
      <c r="K93" s="12" t="s">
        <v>273</v>
      </c>
      <c r="L93" s="46">
        <v>28.323</v>
      </c>
      <c r="M93" s="46">
        <v>4.5739999999999998</v>
      </c>
      <c r="N93" s="46">
        <v>0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/>
      <c r="AK93" s="46"/>
      <c r="AL93" s="46"/>
      <c r="AM93" s="46"/>
      <c r="AN93" s="46"/>
      <c r="AO93" s="46"/>
      <c r="AP93" s="46"/>
      <c r="AQ93" s="46">
        <f t="shared" si="4"/>
        <v>1.3707083333333332</v>
      </c>
      <c r="AR93" s="7">
        <f t="shared" si="5"/>
        <v>0.27414166666666662</v>
      </c>
    </row>
    <row r="94" spans="1:44" ht="17.25" customHeight="1" x14ac:dyDescent="0.3">
      <c r="A94" s="5">
        <v>93</v>
      </c>
      <c r="B94" s="107" t="s">
        <v>58</v>
      </c>
      <c r="C94" s="122" t="s">
        <v>646</v>
      </c>
      <c r="D94" s="112" t="s">
        <v>724</v>
      </c>
      <c r="E94" s="121" t="s">
        <v>1245</v>
      </c>
      <c r="F94" s="110" t="s">
        <v>61</v>
      </c>
      <c r="G94" s="6" t="s">
        <v>12</v>
      </c>
      <c r="H94" s="6" t="s">
        <v>976</v>
      </c>
      <c r="I94" s="6" t="s">
        <v>35</v>
      </c>
      <c r="J94" s="5">
        <v>4</v>
      </c>
      <c r="K94" s="12" t="s">
        <v>589</v>
      </c>
      <c r="L94" s="46">
        <v>20.678999999999998</v>
      </c>
      <c r="M94" s="46">
        <v>7.3199999999999994</v>
      </c>
      <c r="N94" s="46">
        <v>12.481999999999999</v>
      </c>
      <c r="O94" s="46">
        <v>3.9</v>
      </c>
      <c r="P94" s="46">
        <v>15.417999999999999</v>
      </c>
      <c r="Q94" s="46">
        <v>3.9060000000000001</v>
      </c>
      <c r="R94" s="46">
        <v>11.289</v>
      </c>
      <c r="S94" s="46">
        <v>30.318999999999999</v>
      </c>
      <c r="T94" s="46">
        <v>76.795999999999992</v>
      </c>
      <c r="U94" s="46">
        <v>45.026000000000003</v>
      </c>
      <c r="V94" s="46">
        <v>31.538999999999998</v>
      </c>
      <c r="W94" s="46">
        <v>53.699999999999989</v>
      </c>
      <c r="X94" s="46">
        <v>51.59</v>
      </c>
      <c r="Y94" s="46">
        <v>49.432000000000002</v>
      </c>
      <c r="Z94" s="46">
        <v>44.763999999999989</v>
      </c>
      <c r="AA94" s="46">
        <v>45.693000000000005</v>
      </c>
      <c r="AB94" s="10">
        <v>46.506000000000007</v>
      </c>
      <c r="AC94" s="10">
        <v>48.570999999999991</v>
      </c>
      <c r="AD94" s="10">
        <v>46.103999999999992</v>
      </c>
      <c r="AE94" s="10">
        <v>50.025999999999996</v>
      </c>
      <c r="AF94" s="10">
        <v>45.015999999999991</v>
      </c>
      <c r="AG94" s="10">
        <v>46.905000000000001</v>
      </c>
      <c r="AH94" s="10">
        <v>50.404999999999994</v>
      </c>
      <c r="AI94" s="10">
        <v>94.14200000000001</v>
      </c>
      <c r="AJ94" s="10"/>
      <c r="AK94" s="46"/>
      <c r="AL94" s="46"/>
      <c r="AM94" s="46"/>
      <c r="AN94" s="46"/>
      <c r="AO94" s="46"/>
      <c r="AP94" s="46"/>
      <c r="AQ94" s="46">
        <f t="shared" si="4"/>
        <v>38.813666666666663</v>
      </c>
      <c r="AR94" s="7">
        <f t="shared" si="5"/>
        <v>9.7034166666666657</v>
      </c>
    </row>
    <row r="95" spans="1:44" x14ac:dyDescent="0.3">
      <c r="A95" s="5">
        <v>94</v>
      </c>
      <c r="B95" s="107" t="s">
        <v>58</v>
      </c>
      <c r="C95" s="122" t="s">
        <v>647</v>
      </c>
      <c r="D95" s="112" t="s">
        <v>727</v>
      </c>
      <c r="E95" s="121" t="s">
        <v>1246</v>
      </c>
      <c r="F95" s="110" t="s">
        <v>61</v>
      </c>
      <c r="G95" s="6" t="s">
        <v>12</v>
      </c>
      <c r="H95" s="6" t="s">
        <v>976</v>
      </c>
      <c r="I95" s="6" t="s">
        <v>35</v>
      </c>
      <c r="J95" s="5">
        <v>9</v>
      </c>
      <c r="K95" s="12" t="s">
        <v>589</v>
      </c>
      <c r="L95" s="46">
        <v>36.022000000000006</v>
      </c>
      <c r="M95" s="46">
        <v>26.727</v>
      </c>
      <c r="N95" s="46">
        <v>48.33</v>
      </c>
      <c r="O95" s="46">
        <v>41.588000000000001</v>
      </c>
      <c r="P95" s="46">
        <v>23.310999999999996</v>
      </c>
      <c r="Q95" s="46">
        <v>25.597999999999999</v>
      </c>
      <c r="R95" s="46">
        <v>59.944999999999993</v>
      </c>
      <c r="S95" s="46">
        <v>48.712000000000003</v>
      </c>
      <c r="T95" s="46">
        <v>39.314</v>
      </c>
      <c r="U95" s="46">
        <v>34.762</v>
      </c>
      <c r="V95" s="46">
        <v>34.126999999999995</v>
      </c>
      <c r="W95" s="46">
        <v>33.573</v>
      </c>
      <c r="X95" s="46">
        <v>37.332999999999998</v>
      </c>
      <c r="Y95" s="46">
        <v>28.621999999999996</v>
      </c>
      <c r="Z95" s="46">
        <v>23.549999999999997</v>
      </c>
      <c r="AA95" s="46">
        <v>25.279</v>
      </c>
      <c r="AB95" s="10">
        <v>9.484</v>
      </c>
      <c r="AC95" s="10">
        <v>36.746000000000002</v>
      </c>
      <c r="AD95" s="10">
        <v>29.32</v>
      </c>
      <c r="AE95" s="10">
        <v>34.965999999999994</v>
      </c>
      <c r="AF95" s="10">
        <v>13.518000000000001</v>
      </c>
      <c r="AG95" s="10">
        <v>26.596</v>
      </c>
      <c r="AH95" s="10">
        <v>30.978999999999999</v>
      </c>
      <c r="AI95" s="10">
        <v>62.531999999999989</v>
      </c>
      <c r="AJ95" s="10"/>
      <c r="AK95" s="46"/>
      <c r="AL95" s="46"/>
      <c r="AM95" s="46"/>
      <c r="AN95" s="46"/>
      <c r="AO95" s="46"/>
      <c r="AP95" s="46"/>
      <c r="AQ95" s="46">
        <f t="shared" si="4"/>
        <v>33.788916666666672</v>
      </c>
      <c r="AR95" s="7">
        <f t="shared" si="5"/>
        <v>3.7543240740740749</v>
      </c>
    </row>
    <row r="96" spans="1:44" x14ac:dyDescent="0.3">
      <c r="A96" s="5">
        <v>95</v>
      </c>
      <c r="B96" s="107" t="s">
        <v>58</v>
      </c>
      <c r="C96" s="122" t="s">
        <v>648</v>
      </c>
      <c r="D96" s="113" t="s">
        <v>763</v>
      </c>
      <c r="E96" s="121" t="s">
        <v>1247</v>
      </c>
      <c r="F96" s="110" t="s">
        <v>63</v>
      </c>
      <c r="G96" s="6" t="s">
        <v>19</v>
      </c>
      <c r="H96" s="6" t="s">
        <v>976</v>
      </c>
      <c r="I96" s="12" t="s">
        <v>35</v>
      </c>
      <c r="J96" s="5">
        <v>8</v>
      </c>
      <c r="K96" s="94" t="s">
        <v>273</v>
      </c>
      <c r="L96" s="46">
        <v>68.968000000000004</v>
      </c>
      <c r="M96" s="46">
        <v>84.57</v>
      </c>
      <c r="N96" s="46">
        <v>3.95</v>
      </c>
      <c r="O96" s="46">
        <v>10.071</v>
      </c>
      <c r="P96" s="46">
        <v>27.319000000000003</v>
      </c>
      <c r="Q96" s="46">
        <v>23.792000000000002</v>
      </c>
      <c r="R96" s="46">
        <v>31.090000000000003</v>
      </c>
      <c r="S96" s="46">
        <v>25.26</v>
      </c>
      <c r="T96" s="46">
        <v>29.834000000000003</v>
      </c>
      <c r="U96" s="46">
        <v>36.692999999999998</v>
      </c>
      <c r="V96" s="46">
        <v>23.754000000000001</v>
      </c>
      <c r="W96" s="46">
        <v>15.111000000000001</v>
      </c>
      <c r="X96" s="46">
        <v>13.695</v>
      </c>
      <c r="Y96" s="46">
        <v>31.760999999999999</v>
      </c>
      <c r="Z96" s="46">
        <v>24.65</v>
      </c>
      <c r="AA96" s="46">
        <v>17.600999999999999</v>
      </c>
      <c r="AB96" s="10">
        <v>17.680999999999997</v>
      </c>
      <c r="AC96" s="10">
        <v>13.954000000000001</v>
      </c>
      <c r="AD96" s="10">
        <v>31.755000000000003</v>
      </c>
      <c r="AE96" s="10">
        <v>28.19</v>
      </c>
      <c r="AF96" s="10">
        <v>19.09</v>
      </c>
      <c r="AG96" s="10">
        <v>29.986999999999998</v>
      </c>
      <c r="AH96" s="10">
        <v>24.603000000000002</v>
      </c>
      <c r="AI96" s="10">
        <v>71.165000000000006</v>
      </c>
      <c r="AJ96" s="10"/>
      <c r="AK96" s="46"/>
      <c r="AL96" s="46"/>
      <c r="AM96" s="46"/>
      <c r="AN96" s="46"/>
      <c r="AO96" s="46"/>
      <c r="AP96" s="46"/>
      <c r="AQ96" s="46">
        <f t="shared" si="4"/>
        <v>29.355999999999998</v>
      </c>
      <c r="AR96" s="7">
        <f t="shared" si="5"/>
        <v>3.6694999999999998</v>
      </c>
    </row>
    <row r="97" spans="1:44" ht="15" customHeight="1" x14ac:dyDescent="0.3">
      <c r="A97" s="5">
        <v>96</v>
      </c>
      <c r="B97" s="107" t="s">
        <v>58</v>
      </c>
      <c r="C97" s="10" t="s">
        <v>648</v>
      </c>
      <c r="D97" s="39" t="s">
        <v>763</v>
      </c>
      <c r="E97" s="121" t="s">
        <v>1247</v>
      </c>
      <c r="F97" s="110" t="s">
        <v>63</v>
      </c>
      <c r="G97" s="6" t="s">
        <v>19</v>
      </c>
      <c r="H97" s="6" t="s">
        <v>978</v>
      </c>
      <c r="I97" s="6" t="s">
        <v>80</v>
      </c>
      <c r="J97" s="5">
        <v>0</v>
      </c>
      <c r="K97" s="94" t="s">
        <v>273</v>
      </c>
      <c r="L97" s="46">
        <v>0</v>
      </c>
      <c r="M97" s="46">
        <v>0</v>
      </c>
      <c r="N97" s="46">
        <v>0</v>
      </c>
      <c r="O97" s="46">
        <v>0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0</v>
      </c>
      <c r="AD97" s="46">
        <v>0</v>
      </c>
      <c r="AE97" s="46">
        <v>0</v>
      </c>
      <c r="AF97" s="46">
        <v>0</v>
      </c>
      <c r="AG97" s="46">
        <v>0</v>
      </c>
      <c r="AH97" s="46">
        <v>0</v>
      </c>
      <c r="AI97" s="46">
        <v>0</v>
      </c>
      <c r="AJ97" s="46"/>
      <c r="AK97" s="46"/>
      <c r="AL97" s="46"/>
      <c r="AM97" s="46"/>
      <c r="AN97" s="46"/>
      <c r="AO97" s="46"/>
      <c r="AP97" s="46"/>
      <c r="AQ97" s="46">
        <f t="shared" si="4"/>
        <v>0</v>
      </c>
      <c r="AR97" s="7" t="e">
        <f t="shared" si="5"/>
        <v>#DIV/0!</v>
      </c>
    </row>
    <row r="98" spans="1:44" x14ac:dyDescent="0.3">
      <c r="A98" s="5">
        <v>97</v>
      </c>
      <c r="B98" s="107" t="s">
        <v>58</v>
      </c>
      <c r="C98" s="122" t="s">
        <v>649</v>
      </c>
      <c r="D98" s="112" t="s">
        <v>767</v>
      </c>
      <c r="E98" s="121" t="s">
        <v>1248</v>
      </c>
      <c r="F98" s="110" t="s">
        <v>128</v>
      </c>
      <c r="G98" s="6" t="s">
        <v>12</v>
      </c>
      <c r="H98" s="6" t="s">
        <v>976</v>
      </c>
      <c r="I98" s="12" t="s">
        <v>35</v>
      </c>
      <c r="J98" s="5">
        <v>7</v>
      </c>
      <c r="K98" s="94" t="s">
        <v>273</v>
      </c>
      <c r="L98" s="46">
        <v>107.44999999999999</v>
      </c>
      <c r="M98" s="46">
        <v>56.50500000000001</v>
      </c>
      <c r="N98" s="46">
        <v>119.73</v>
      </c>
      <c r="O98" s="46">
        <v>98.301000000000002</v>
      </c>
      <c r="P98" s="46">
        <v>90.227999999999994</v>
      </c>
      <c r="Q98" s="46">
        <v>134.47800000000001</v>
      </c>
      <c r="R98" s="46">
        <v>94.736999999999995</v>
      </c>
      <c r="S98" s="46">
        <v>97.822000000000017</v>
      </c>
      <c r="T98" s="46">
        <v>140.54999999999998</v>
      </c>
      <c r="U98" s="46">
        <v>111.66800000000001</v>
      </c>
      <c r="V98" s="46">
        <v>130.65200000000002</v>
      </c>
      <c r="W98" s="46">
        <v>103.619</v>
      </c>
      <c r="X98" s="46">
        <v>110.744</v>
      </c>
      <c r="Y98" s="46">
        <v>114.08400000000002</v>
      </c>
      <c r="Z98" s="46">
        <v>106.845</v>
      </c>
      <c r="AA98" s="46">
        <v>17.060000000000002</v>
      </c>
      <c r="AB98" s="10">
        <v>0</v>
      </c>
      <c r="AC98" s="10">
        <v>6.8890000000000002</v>
      </c>
      <c r="AD98" s="10">
        <v>3.823</v>
      </c>
      <c r="AE98" s="46">
        <v>0</v>
      </c>
      <c r="AF98" s="10">
        <v>0</v>
      </c>
      <c r="AG98" s="46">
        <v>0</v>
      </c>
      <c r="AH98" s="46">
        <v>0</v>
      </c>
      <c r="AI98" s="10">
        <v>2.7250000000000001</v>
      </c>
      <c r="AJ98" s="10"/>
      <c r="AK98" s="46"/>
      <c r="AL98" s="46"/>
      <c r="AM98" s="46"/>
      <c r="AN98" s="46"/>
      <c r="AO98" s="46"/>
      <c r="AP98" s="46"/>
      <c r="AQ98" s="46">
        <f t="shared" ref="AQ98:AQ129" si="6">AVERAGE(L98:AO98)</f>
        <v>68.662916666666661</v>
      </c>
      <c r="AR98" s="7">
        <f t="shared" ref="AR98:AR129" si="7">AQ98/J98</f>
        <v>9.8089880952380941</v>
      </c>
    </row>
    <row r="99" spans="1:44" x14ac:dyDescent="0.3">
      <c r="A99" s="5">
        <v>98</v>
      </c>
      <c r="B99" s="107" t="s">
        <v>58</v>
      </c>
      <c r="C99" s="122" t="s">
        <v>650</v>
      </c>
      <c r="D99" s="112" t="s">
        <v>758</v>
      </c>
      <c r="E99" s="121" t="s">
        <v>1249</v>
      </c>
      <c r="F99" s="110" t="s">
        <v>128</v>
      </c>
      <c r="G99" s="6" t="s">
        <v>12</v>
      </c>
      <c r="H99" s="6" t="s">
        <v>976</v>
      </c>
      <c r="I99" s="12" t="s">
        <v>35</v>
      </c>
      <c r="J99" s="5">
        <v>10</v>
      </c>
      <c r="K99" s="94" t="s">
        <v>273</v>
      </c>
      <c r="L99" s="46">
        <v>109.33399999999997</v>
      </c>
      <c r="M99" s="46">
        <v>68.436999999999998</v>
      </c>
      <c r="N99" s="46">
        <v>94.612999999999985</v>
      </c>
      <c r="O99" s="46">
        <v>129.91000000000003</v>
      </c>
      <c r="P99" s="46">
        <v>102.24400000000001</v>
      </c>
      <c r="Q99" s="46">
        <v>118.27100000000002</v>
      </c>
      <c r="R99" s="46">
        <v>115.08399999999999</v>
      </c>
      <c r="S99" s="46">
        <v>165.17000000000004</v>
      </c>
      <c r="T99" s="46">
        <v>109.34900000000002</v>
      </c>
      <c r="U99" s="46">
        <v>145.30499999999998</v>
      </c>
      <c r="V99" s="46">
        <v>133.91300000000001</v>
      </c>
      <c r="W99" s="46">
        <v>121.24099999999999</v>
      </c>
      <c r="X99" s="46">
        <v>96.313999999999993</v>
      </c>
      <c r="Y99" s="46">
        <v>95.64700000000002</v>
      </c>
      <c r="Z99" s="46">
        <v>95.991</v>
      </c>
      <c r="AA99" s="46">
        <v>125.57100000000001</v>
      </c>
      <c r="AB99" s="10">
        <v>117.96400000000001</v>
      </c>
      <c r="AC99" s="10">
        <v>109.06700000000002</v>
      </c>
      <c r="AD99" s="10">
        <v>115.88799999999999</v>
      </c>
      <c r="AE99" s="10">
        <v>111.78099999999999</v>
      </c>
      <c r="AF99" s="10">
        <v>118.00600000000003</v>
      </c>
      <c r="AG99" s="10">
        <v>93.248000000000033</v>
      </c>
      <c r="AH99" s="10">
        <v>86.35499999999999</v>
      </c>
      <c r="AI99" s="10">
        <v>208.928</v>
      </c>
      <c r="AJ99" s="10"/>
      <c r="AK99" s="46"/>
      <c r="AL99" s="46"/>
      <c r="AM99" s="46"/>
      <c r="AN99" s="46"/>
      <c r="AO99" s="46"/>
      <c r="AP99" s="46"/>
      <c r="AQ99" s="46">
        <f t="shared" si="6"/>
        <v>116.15129166666667</v>
      </c>
      <c r="AR99" s="7">
        <f t="shared" si="7"/>
        <v>11.615129166666666</v>
      </c>
    </row>
    <row r="100" spans="1:44" x14ac:dyDescent="0.3">
      <c r="A100" s="5">
        <v>99</v>
      </c>
      <c r="B100" s="107" t="s">
        <v>58</v>
      </c>
      <c r="C100" s="122" t="s">
        <v>651</v>
      </c>
      <c r="D100" s="112" t="s">
        <v>756</v>
      </c>
      <c r="E100" s="121" t="s">
        <v>1250</v>
      </c>
      <c r="F100" s="110" t="s">
        <v>128</v>
      </c>
      <c r="G100" s="6" t="s">
        <v>12</v>
      </c>
      <c r="H100" s="6" t="s">
        <v>976</v>
      </c>
      <c r="I100" s="12" t="s">
        <v>35</v>
      </c>
      <c r="J100" s="5">
        <v>8</v>
      </c>
      <c r="K100" s="94" t="s">
        <v>273</v>
      </c>
      <c r="L100" s="46">
        <v>27.557000000000002</v>
      </c>
      <c r="M100" s="46">
        <v>1.5529999999999999</v>
      </c>
      <c r="N100" s="46">
        <v>25.062000000000001</v>
      </c>
      <c r="O100" s="46">
        <v>16.484000000000002</v>
      </c>
      <c r="P100" s="46">
        <v>19.740000000000002</v>
      </c>
      <c r="Q100" s="46">
        <v>17.135999999999999</v>
      </c>
      <c r="R100" s="46">
        <v>24.236000000000001</v>
      </c>
      <c r="S100" s="46">
        <v>31.785000000000004</v>
      </c>
      <c r="T100" s="46">
        <v>28.273</v>
      </c>
      <c r="U100" s="46">
        <v>27.247</v>
      </c>
      <c r="V100" s="46">
        <v>7.6280000000000001</v>
      </c>
      <c r="W100" s="46">
        <v>16.521999999999998</v>
      </c>
      <c r="X100" s="46">
        <v>29.225999999999999</v>
      </c>
      <c r="Y100" s="46">
        <v>0</v>
      </c>
      <c r="Z100" s="46">
        <v>15.704000000000001</v>
      </c>
      <c r="AA100" s="46">
        <v>4.5369999999999999</v>
      </c>
      <c r="AB100" s="10">
        <v>2.0390000000000001</v>
      </c>
      <c r="AC100" s="10">
        <v>0</v>
      </c>
      <c r="AD100" s="46">
        <v>0</v>
      </c>
      <c r="AE100" s="46">
        <v>0</v>
      </c>
      <c r="AF100" s="46">
        <v>0</v>
      </c>
      <c r="AG100" s="10">
        <v>0</v>
      </c>
      <c r="AH100" s="46">
        <v>0</v>
      </c>
      <c r="AI100" s="46">
        <v>0</v>
      </c>
      <c r="AJ100" s="46"/>
      <c r="AK100" s="46"/>
      <c r="AL100" s="46"/>
      <c r="AM100" s="46"/>
      <c r="AN100" s="46"/>
      <c r="AO100" s="46"/>
      <c r="AP100" s="46"/>
      <c r="AQ100" s="46">
        <f t="shared" si="6"/>
        <v>12.280374999999998</v>
      </c>
      <c r="AR100" s="7">
        <f t="shared" si="7"/>
        <v>1.5350468749999997</v>
      </c>
    </row>
    <row r="101" spans="1:44" x14ac:dyDescent="0.3">
      <c r="A101" s="5">
        <v>100</v>
      </c>
      <c r="B101" s="107" t="s">
        <v>58</v>
      </c>
      <c r="C101" s="122" t="s">
        <v>652</v>
      </c>
      <c r="D101" s="112" t="s">
        <v>786</v>
      </c>
      <c r="E101" s="121" t="s">
        <v>1251</v>
      </c>
      <c r="F101" s="110" t="s">
        <v>128</v>
      </c>
      <c r="G101" s="6" t="s">
        <v>12</v>
      </c>
      <c r="H101" s="6" t="s">
        <v>976</v>
      </c>
      <c r="I101" s="12" t="s">
        <v>35</v>
      </c>
      <c r="J101" s="5">
        <v>6</v>
      </c>
      <c r="K101" s="94" t="s">
        <v>273</v>
      </c>
      <c r="L101" s="46">
        <v>7.6049999999999995</v>
      </c>
      <c r="M101" s="46">
        <v>13.784000000000001</v>
      </c>
      <c r="N101" s="46">
        <v>12.944000000000001</v>
      </c>
      <c r="O101" s="46">
        <v>16.881</v>
      </c>
      <c r="P101" s="46">
        <v>19.856999999999999</v>
      </c>
      <c r="Q101" s="46">
        <v>23.169999999999998</v>
      </c>
      <c r="R101" s="46">
        <v>20.499000000000002</v>
      </c>
      <c r="S101" s="46">
        <v>20.189999999999998</v>
      </c>
      <c r="T101" s="46">
        <v>31.067999999999998</v>
      </c>
      <c r="U101" s="46">
        <v>14.373999999999999</v>
      </c>
      <c r="V101" s="46">
        <v>21.8</v>
      </c>
      <c r="W101" s="46">
        <v>16.257000000000001</v>
      </c>
      <c r="X101" s="46">
        <v>14.709</v>
      </c>
      <c r="Y101" s="46">
        <v>23.262</v>
      </c>
      <c r="Z101" s="46">
        <v>3.7080000000000002</v>
      </c>
      <c r="AA101" s="46">
        <v>18.329999999999998</v>
      </c>
      <c r="AB101" s="10">
        <v>7.1840000000000002</v>
      </c>
      <c r="AC101" s="10">
        <v>15.696000000000002</v>
      </c>
      <c r="AD101" s="10">
        <v>14.268999999999998</v>
      </c>
      <c r="AE101" s="10">
        <v>14.318</v>
      </c>
      <c r="AF101" s="10">
        <v>6.883</v>
      </c>
      <c r="AG101" s="10">
        <v>7.3730000000000002</v>
      </c>
      <c r="AH101" s="10">
        <v>0.80800000000000005</v>
      </c>
      <c r="AI101" s="10">
        <v>14.251000000000001</v>
      </c>
      <c r="AJ101" s="10"/>
      <c r="AK101" s="46"/>
      <c r="AL101" s="46"/>
      <c r="AM101" s="46"/>
      <c r="AN101" s="46"/>
      <c r="AO101" s="46"/>
      <c r="AP101" s="46"/>
      <c r="AQ101" s="46">
        <f t="shared" si="6"/>
        <v>14.967499999999999</v>
      </c>
      <c r="AR101" s="7">
        <f t="shared" si="7"/>
        <v>2.4945833333333334</v>
      </c>
    </row>
    <row r="102" spans="1:44" x14ac:dyDescent="0.3">
      <c r="A102" s="5">
        <v>101</v>
      </c>
      <c r="B102" s="107" t="s">
        <v>58</v>
      </c>
      <c r="C102" s="122" t="s">
        <v>653</v>
      </c>
      <c r="D102" s="112" t="s">
        <v>953</v>
      </c>
      <c r="E102" s="121" t="s">
        <v>1252</v>
      </c>
      <c r="F102" s="110" t="s">
        <v>128</v>
      </c>
      <c r="G102" s="6" t="s">
        <v>12</v>
      </c>
      <c r="H102" s="6" t="s">
        <v>976</v>
      </c>
      <c r="I102" s="12" t="s">
        <v>35</v>
      </c>
      <c r="J102" s="5">
        <v>6</v>
      </c>
      <c r="K102" s="94" t="s">
        <v>273</v>
      </c>
      <c r="L102" s="46">
        <v>9.5810000000000013</v>
      </c>
      <c r="M102" s="46">
        <v>8.61</v>
      </c>
      <c r="N102" s="46">
        <v>9.266</v>
      </c>
      <c r="O102" s="46">
        <v>6.3689999999999998</v>
      </c>
      <c r="P102" s="46">
        <v>24.548999999999999</v>
      </c>
      <c r="Q102" s="46">
        <v>18.234999999999999</v>
      </c>
      <c r="R102" s="46">
        <v>13.655000000000001</v>
      </c>
      <c r="S102" s="46">
        <v>20.114999999999998</v>
      </c>
      <c r="T102" s="46">
        <v>29.355</v>
      </c>
      <c r="U102" s="46">
        <v>16.908000000000001</v>
      </c>
      <c r="V102" s="46">
        <v>12.56</v>
      </c>
      <c r="W102" s="46">
        <v>38.371000000000002</v>
      </c>
      <c r="X102" s="46">
        <v>22.817</v>
      </c>
      <c r="Y102" s="46">
        <v>10.119</v>
      </c>
      <c r="Z102" s="46">
        <v>0</v>
      </c>
      <c r="AA102" s="46">
        <v>0</v>
      </c>
      <c r="AB102" s="46">
        <v>0</v>
      </c>
      <c r="AC102" s="46">
        <v>0</v>
      </c>
      <c r="AD102" s="10">
        <v>8.0330000000000013</v>
      </c>
      <c r="AE102" s="10">
        <v>16.231999999999999</v>
      </c>
      <c r="AF102" s="10">
        <v>7.5180000000000007</v>
      </c>
      <c r="AG102" s="10">
        <v>8.9600000000000009</v>
      </c>
      <c r="AH102" s="10">
        <v>15.559000000000001</v>
      </c>
      <c r="AI102" s="10">
        <v>38.399000000000015</v>
      </c>
      <c r="AJ102" s="10"/>
      <c r="AK102" s="46"/>
      <c r="AL102" s="46"/>
      <c r="AM102" s="46"/>
      <c r="AN102" s="46"/>
      <c r="AO102" s="46"/>
      <c r="AP102" s="46"/>
      <c r="AQ102" s="46">
        <f t="shared" si="6"/>
        <v>13.967125000000001</v>
      </c>
      <c r="AR102" s="7">
        <f t="shared" si="7"/>
        <v>2.327854166666667</v>
      </c>
    </row>
    <row r="103" spans="1:44" x14ac:dyDescent="0.3">
      <c r="A103" s="5">
        <v>102</v>
      </c>
      <c r="B103" s="107" t="s">
        <v>58</v>
      </c>
      <c r="C103" s="10" t="s">
        <v>1132</v>
      </c>
      <c r="D103" s="39" t="s">
        <v>917</v>
      </c>
      <c r="E103" s="121" t="s">
        <v>1133</v>
      </c>
      <c r="F103" s="110" t="s">
        <v>128</v>
      </c>
      <c r="G103" s="6" t="s">
        <v>12</v>
      </c>
      <c r="H103" s="6" t="s">
        <v>973</v>
      </c>
      <c r="I103" s="6" t="s">
        <v>80</v>
      </c>
      <c r="J103" s="92">
        <v>1</v>
      </c>
      <c r="K103" s="67" t="s">
        <v>590</v>
      </c>
      <c r="L103" s="46">
        <v>0</v>
      </c>
      <c r="M103" s="46">
        <v>2.11</v>
      </c>
      <c r="N103" s="46">
        <v>3.9499999999999997</v>
      </c>
      <c r="O103" s="46">
        <v>0</v>
      </c>
      <c r="P103" s="46">
        <v>16.45</v>
      </c>
      <c r="Q103" s="46">
        <v>14.01</v>
      </c>
      <c r="R103" s="46">
        <v>0.26</v>
      </c>
      <c r="S103" s="46">
        <v>20.059999999999999</v>
      </c>
      <c r="T103" s="46">
        <v>0</v>
      </c>
      <c r="U103" s="46">
        <v>14.34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10">
        <v>0</v>
      </c>
      <c r="AC103" s="10">
        <v>17.899999999999999</v>
      </c>
      <c r="AD103" s="46">
        <v>0</v>
      </c>
      <c r="AE103" s="46">
        <v>0</v>
      </c>
      <c r="AF103" s="46">
        <v>0</v>
      </c>
      <c r="AG103" s="10">
        <v>15.459999999999999</v>
      </c>
      <c r="AH103" s="10">
        <v>15.92</v>
      </c>
      <c r="AI103" s="10">
        <v>0.15</v>
      </c>
      <c r="AJ103" s="10"/>
      <c r="AK103" s="46"/>
      <c r="AL103" s="46"/>
      <c r="AM103" s="46"/>
      <c r="AN103" s="46"/>
      <c r="AO103" s="46"/>
      <c r="AP103" s="46"/>
      <c r="AQ103" s="46">
        <f t="shared" si="6"/>
        <v>5.0254166666666658</v>
      </c>
      <c r="AR103" s="7">
        <f t="shared" si="7"/>
        <v>5.0254166666666658</v>
      </c>
    </row>
    <row r="104" spans="1:44" x14ac:dyDescent="0.3">
      <c r="A104" s="5">
        <v>103</v>
      </c>
      <c r="B104" s="107" t="s">
        <v>58</v>
      </c>
      <c r="C104" s="10" t="s">
        <v>1134</v>
      </c>
      <c r="D104" s="39" t="s">
        <v>1007</v>
      </c>
      <c r="E104" s="121" t="s">
        <v>1135</v>
      </c>
      <c r="F104" s="110" t="s">
        <v>128</v>
      </c>
      <c r="G104" s="6" t="s">
        <v>12</v>
      </c>
      <c r="H104" s="6" t="s">
        <v>974</v>
      </c>
      <c r="I104" s="12" t="s">
        <v>35</v>
      </c>
      <c r="J104" s="5">
        <v>2</v>
      </c>
      <c r="K104" s="67" t="s">
        <v>590</v>
      </c>
      <c r="L104" s="46">
        <v>0</v>
      </c>
      <c r="M104" s="46">
        <v>0</v>
      </c>
      <c r="N104" s="46">
        <v>0</v>
      </c>
      <c r="O104" s="46">
        <v>0</v>
      </c>
      <c r="P104" s="46">
        <v>0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46">
        <v>0</v>
      </c>
      <c r="AA104" s="46">
        <v>0</v>
      </c>
      <c r="AB104" s="46">
        <v>0</v>
      </c>
      <c r="AC104" s="46">
        <v>0</v>
      </c>
      <c r="AD104" s="46">
        <v>0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AJ104" s="46"/>
      <c r="AK104" s="46"/>
      <c r="AL104" s="46"/>
      <c r="AM104" s="46"/>
      <c r="AN104" s="46"/>
      <c r="AO104" s="46"/>
      <c r="AP104" s="46"/>
      <c r="AQ104" s="46">
        <f t="shared" si="6"/>
        <v>0</v>
      </c>
      <c r="AR104" s="7">
        <f t="shared" si="7"/>
        <v>0</v>
      </c>
    </row>
    <row r="105" spans="1:44" ht="15.6" x14ac:dyDescent="0.3">
      <c r="A105" s="5">
        <v>104</v>
      </c>
      <c r="B105" s="107" t="s">
        <v>476</v>
      </c>
      <c r="C105" s="122" t="s">
        <v>698</v>
      </c>
      <c r="D105" s="114" t="s">
        <v>956</v>
      </c>
      <c r="E105" s="121" t="s">
        <v>1253</v>
      </c>
      <c r="F105" s="110" t="s">
        <v>128</v>
      </c>
      <c r="G105" s="6" t="s">
        <v>12</v>
      </c>
      <c r="H105" s="6" t="s">
        <v>976</v>
      </c>
      <c r="I105" s="12" t="s">
        <v>35</v>
      </c>
      <c r="J105" s="5">
        <v>1</v>
      </c>
      <c r="K105" s="67" t="s">
        <v>590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H105" s="46">
        <v>0</v>
      </c>
      <c r="AI105" s="46">
        <v>0</v>
      </c>
      <c r="AJ105" s="46"/>
      <c r="AK105" s="46"/>
      <c r="AL105" s="46"/>
      <c r="AM105" s="46"/>
      <c r="AN105" s="46"/>
      <c r="AO105" s="46"/>
      <c r="AP105" s="46"/>
      <c r="AQ105" s="46">
        <f t="shared" si="6"/>
        <v>0</v>
      </c>
      <c r="AR105" s="7">
        <f t="shared" si="7"/>
        <v>0</v>
      </c>
    </row>
    <row r="106" spans="1:44" ht="15.6" x14ac:dyDescent="0.3">
      <c r="A106" s="5">
        <v>105</v>
      </c>
      <c r="B106" s="107" t="s">
        <v>569</v>
      </c>
      <c r="C106" s="122" t="s">
        <v>656</v>
      </c>
      <c r="D106" s="114" t="s">
        <v>955</v>
      </c>
      <c r="E106" s="121" t="s">
        <v>1254</v>
      </c>
      <c r="F106" s="110" t="s">
        <v>61</v>
      </c>
      <c r="G106" s="6" t="s">
        <v>12</v>
      </c>
      <c r="H106" s="6" t="s">
        <v>976</v>
      </c>
      <c r="I106" s="12" t="s">
        <v>35</v>
      </c>
      <c r="J106" s="5">
        <v>14</v>
      </c>
      <c r="K106" s="67" t="s">
        <v>160</v>
      </c>
      <c r="L106" s="46">
        <v>0</v>
      </c>
      <c r="M106" s="46">
        <v>0</v>
      </c>
      <c r="N106" s="46">
        <v>0</v>
      </c>
      <c r="O106" s="46">
        <v>0</v>
      </c>
      <c r="P106" s="46">
        <v>2.6480000000000001</v>
      </c>
      <c r="Q106" s="46">
        <v>2.3289999999999997</v>
      </c>
      <c r="R106" s="46">
        <v>0</v>
      </c>
      <c r="S106" s="46">
        <v>1.141</v>
      </c>
      <c r="T106" s="46">
        <v>2.3109999999999999</v>
      </c>
      <c r="U106" s="46">
        <v>1.286</v>
      </c>
      <c r="V106" s="46">
        <v>2.8940000000000001</v>
      </c>
      <c r="W106" s="46">
        <v>0</v>
      </c>
      <c r="X106" s="46">
        <v>0</v>
      </c>
      <c r="Y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H106" s="46">
        <v>0</v>
      </c>
      <c r="AI106" s="46">
        <v>0</v>
      </c>
      <c r="AJ106" s="46"/>
      <c r="AK106" s="46"/>
      <c r="AL106" s="46"/>
      <c r="AM106" s="46"/>
      <c r="AN106" s="46"/>
      <c r="AO106" s="46"/>
      <c r="AP106" s="46"/>
      <c r="AQ106" s="46">
        <f t="shared" si="6"/>
        <v>0.52537500000000004</v>
      </c>
      <c r="AR106" s="7">
        <f t="shared" si="7"/>
        <v>3.7526785714285714E-2</v>
      </c>
    </row>
    <row r="107" spans="1:44" x14ac:dyDescent="0.3">
      <c r="A107" s="5">
        <v>106</v>
      </c>
      <c r="B107" s="107" t="s">
        <v>829</v>
      </c>
      <c r="C107" s="122" t="s">
        <v>831</v>
      </c>
      <c r="D107" s="112" t="s">
        <v>830</v>
      </c>
      <c r="E107" s="121" t="s">
        <v>1255</v>
      </c>
      <c r="F107" s="110" t="s">
        <v>128</v>
      </c>
      <c r="G107" s="6" t="s">
        <v>12</v>
      </c>
      <c r="H107" s="6" t="s">
        <v>973</v>
      </c>
      <c r="I107" s="6" t="s">
        <v>80</v>
      </c>
      <c r="J107" s="5">
        <v>1</v>
      </c>
      <c r="K107" s="67" t="s">
        <v>160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/>
      <c r="AK107" s="46"/>
      <c r="AL107" s="46"/>
      <c r="AM107" s="46"/>
      <c r="AN107" s="46"/>
      <c r="AO107" s="46"/>
      <c r="AP107" s="46"/>
      <c r="AQ107" s="46">
        <f t="shared" si="6"/>
        <v>0</v>
      </c>
      <c r="AR107" s="7">
        <f t="shared" si="7"/>
        <v>0</v>
      </c>
    </row>
    <row r="108" spans="1:44" x14ac:dyDescent="0.3">
      <c r="A108" s="5">
        <v>107</v>
      </c>
      <c r="B108" s="107" t="s">
        <v>866</v>
      </c>
      <c r="C108" s="122" t="s">
        <v>957</v>
      </c>
      <c r="D108" s="112" t="s">
        <v>867</v>
      </c>
      <c r="E108" s="121" t="s">
        <v>1256</v>
      </c>
      <c r="F108" s="110" t="s">
        <v>128</v>
      </c>
      <c r="G108" s="6" t="s">
        <v>12</v>
      </c>
      <c r="H108" s="6" t="s">
        <v>973</v>
      </c>
      <c r="I108" s="6" t="s">
        <v>80</v>
      </c>
      <c r="J108" s="5">
        <v>1</v>
      </c>
      <c r="K108" s="67" t="s">
        <v>160</v>
      </c>
      <c r="L108" s="46">
        <v>0</v>
      </c>
      <c r="M108" s="46">
        <v>2.5</v>
      </c>
      <c r="N108" s="46">
        <v>5.43</v>
      </c>
      <c r="O108" s="46">
        <v>0</v>
      </c>
      <c r="P108" s="46">
        <v>0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46">
        <v>0</v>
      </c>
      <c r="AA108" s="46">
        <v>0</v>
      </c>
      <c r="AB108" s="46">
        <v>0</v>
      </c>
      <c r="AC108" s="46">
        <v>0</v>
      </c>
      <c r="AD108" s="10">
        <v>0</v>
      </c>
      <c r="AE108" s="10">
        <v>0</v>
      </c>
      <c r="AF108" s="46">
        <v>0</v>
      </c>
      <c r="AG108" s="46">
        <v>0</v>
      </c>
      <c r="AH108" s="46">
        <v>0</v>
      </c>
      <c r="AI108" s="46">
        <v>0</v>
      </c>
      <c r="AJ108" s="46"/>
      <c r="AK108" s="46"/>
      <c r="AL108" s="46"/>
      <c r="AM108" s="46"/>
      <c r="AN108" s="46"/>
      <c r="AO108" s="46"/>
      <c r="AP108" s="46"/>
      <c r="AQ108" s="46">
        <f t="shared" si="6"/>
        <v>0.33041666666666664</v>
      </c>
      <c r="AR108" s="7">
        <f t="shared" si="7"/>
        <v>0.33041666666666664</v>
      </c>
    </row>
    <row r="109" spans="1:44" x14ac:dyDescent="0.3">
      <c r="A109" s="5">
        <v>108</v>
      </c>
      <c r="B109" s="107" t="s">
        <v>892</v>
      </c>
      <c r="C109" s="122" t="s">
        <v>954</v>
      </c>
      <c r="D109" s="112" t="s">
        <v>893</v>
      </c>
      <c r="E109" s="121" t="s">
        <v>1257</v>
      </c>
      <c r="F109" s="110" t="s">
        <v>128</v>
      </c>
      <c r="G109" s="6" t="s">
        <v>12</v>
      </c>
      <c r="H109" s="6" t="s">
        <v>973</v>
      </c>
      <c r="I109" s="6" t="s">
        <v>80</v>
      </c>
      <c r="J109" s="5">
        <v>1</v>
      </c>
      <c r="K109" s="67" t="s">
        <v>160</v>
      </c>
      <c r="L109" s="46">
        <v>10.210000000000001</v>
      </c>
      <c r="M109" s="46">
        <v>6.41</v>
      </c>
      <c r="N109" s="46">
        <v>0</v>
      </c>
      <c r="O109" s="46">
        <v>0</v>
      </c>
      <c r="P109" s="46">
        <v>0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46">
        <v>0</v>
      </c>
      <c r="AA109" s="46">
        <v>0</v>
      </c>
      <c r="AB109" s="46">
        <v>0</v>
      </c>
      <c r="AC109" s="46">
        <v>0</v>
      </c>
      <c r="AD109" s="10">
        <v>5.43</v>
      </c>
      <c r="AE109" s="10">
        <v>1.94</v>
      </c>
      <c r="AF109" s="10">
        <v>5.01</v>
      </c>
      <c r="AG109" s="10">
        <v>14.84</v>
      </c>
      <c r="AH109" s="46">
        <v>0</v>
      </c>
      <c r="AI109" s="46">
        <v>0</v>
      </c>
      <c r="AJ109" s="46"/>
      <c r="AK109" s="46"/>
      <c r="AL109" s="46"/>
      <c r="AM109" s="46"/>
      <c r="AN109" s="46"/>
      <c r="AO109" s="46"/>
      <c r="AP109" s="46"/>
      <c r="AQ109" s="46">
        <f t="shared" si="6"/>
        <v>1.8266666666666669</v>
      </c>
      <c r="AR109" s="7">
        <f t="shared" si="7"/>
        <v>1.8266666666666669</v>
      </c>
    </row>
    <row r="110" spans="1:44" x14ac:dyDescent="0.3">
      <c r="A110" s="5">
        <v>109</v>
      </c>
      <c r="B110" s="107" t="s">
        <v>895</v>
      </c>
      <c r="C110" s="97" t="s">
        <v>1136</v>
      </c>
      <c r="D110" s="39" t="s">
        <v>896</v>
      </c>
      <c r="E110" s="121" t="s">
        <v>1137</v>
      </c>
      <c r="F110" s="110" t="s">
        <v>128</v>
      </c>
      <c r="G110" s="6" t="s">
        <v>12</v>
      </c>
      <c r="H110" s="6" t="s">
        <v>973</v>
      </c>
      <c r="I110" s="6" t="s">
        <v>80</v>
      </c>
      <c r="J110" s="5">
        <v>1</v>
      </c>
      <c r="K110" s="67" t="s">
        <v>160</v>
      </c>
      <c r="L110" s="46">
        <v>0</v>
      </c>
      <c r="M110" s="46">
        <v>0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0</v>
      </c>
      <c r="AF110" s="46">
        <v>0</v>
      </c>
      <c r="AG110" s="46">
        <v>0</v>
      </c>
      <c r="AH110" s="10">
        <v>0</v>
      </c>
      <c r="AI110" s="10">
        <v>0</v>
      </c>
      <c r="AJ110" s="10"/>
      <c r="AK110" s="46"/>
      <c r="AL110" s="46"/>
      <c r="AM110" s="46"/>
      <c r="AN110" s="46"/>
      <c r="AO110" s="46"/>
      <c r="AP110" s="46"/>
      <c r="AQ110" s="46">
        <f t="shared" si="6"/>
        <v>0</v>
      </c>
      <c r="AR110" s="7">
        <f t="shared" si="7"/>
        <v>0</v>
      </c>
    </row>
    <row r="111" spans="1:44" x14ac:dyDescent="0.3">
      <c r="A111" s="5">
        <v>110</v>
      </c>
      <c r="B111" s="6" t="s">
        <v>1047</v>
      </c>
      <c r="C111" s="97" t="s">
        <v>1138</v>
      </c>
      <c r="D111" s="39" t="s">
        <v>1045</v>
      </c>
      <c r="E111" s="121" t="s">
        <v>1139</v>
      </c>
      <c r="F111" s="6" t="s">
        <v>128</v>
      </c>
      <c r="G111" s="6" t="s">
        <v>12</v>
      </c>
      <c r="H111" s="6" t="s">
        <v>255</v>
      </c>
      <c r="I111" s="6" t="s">
        <v>80</v>
      </c>
      <c r="J111" s="92">
        <v>2</v>
      </c>
      <c r="K111" s="67" t="s">
        <v>590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/>
      <c r="AK111" s="46"/>
      <c r="AL111" s="46"/>
      <c r="AM111" s="46"/>
      <c r="AN111" s="46"/>
      <c r="AO111" s="46"/>
      <c r="AP111" s="46"/>
      <c r="AQ111" s="46">
        <f t="shared" si="6"/>
        <v>0</v>
      </c>
      <c r="AR111" s="7">
        <f t="shared" si="7"/>
        <v>0</v>
      </c>
    </row>
    <row r="112" spans="1:44" x14ac:dyDescent="0.3">
      <c r="A112" s="5">
        <v>111</v>
      </c>
      <c r="B112" s="6" t="s">
        <v>1048</v>
      </c>
      <c r="C112" s="97" t="s">
        <v>1140</v>
      </c>
      <c r="D112" s="39" t="s">
        <v>1046</v>
      </c>
      <c r="E112" s="121" t="s">
        <v>1141</v>
      </c>
      <c r="F112" s="6" t="s">
        <v>128</v>
      </c>
      <c r="G112" s="6" t="s">
        <v>12</v>
      </c>
      <c r="H112" s="6" t="s">
        <v>255</v>
      </c>
      <c r="I112" s="6" t="s">
        <v>80</v>
      </c>
      <c r="J112" s="92">
        <v>1</v>
      </c>
      <c r="K112" s="67" t="s">
        <v>590</v>
      </c>
      <c r="L112" s="46">
        <v>0</v>
      </c>
      <c r="M112" s="46">
        <v>25.82</v>
      </c>
      <c r="N112" s="46">
        <v>0</v>
      </c>
      <c r="O112" s="46">
        <v>0</v>
      </c>
      <c r="P112" s="46">
        <v>0</v>
      </c>
      <c r="Q112" s="46">
        <v>0</v>
      </c>
      <c r="R112" s="46">
        <v>21.26</v>
      </c>
      <c r="S112" s="46">
        <v>10.69</v>
      </c>
      <c r="T112" s="46">
        <v>0</v>
      </c>
      <c r="U112" s="46">
        <v>0</v>
      </c>
      <c r="V112" s="46">
        <v>0</v>
      </c>
      <c r="W112" s="46">
        <v>0</v>
      </c>
      <c r="X112" s="46">
        <v>19.13</v>
      </c>
      <c r="Y112" s="46">
        <v>0</v>
      </c>
      <c r="Z112" s="46">
        <v>16.190000000000001</v>
      </c>
      <c r="AA112" s="46">
        <v>0</v>
      </c>
      <c r="AB112" s="46">
        <v>0</v>
      </c>
      <c r="AC112" s="46">
        <v>0</v>
      </c>
      <c r="AD112" s="46">
        <v>0</v>
      </c>
      <c r="AE112" s="10">
        <v>20.25</v>
      </c>
      <c r="AF112" s="46">
        <v>0</v>
      </c>
      <c r="AG112" s="46">
        <v>0</v>
      </c>
      <c r="AH112" s="46">
        <v>0</v>
      </c>
      <c r="AI112" s="10">
        <v>9.7899999999999991</v>
      </c>
      <c r="AJ112" s="10"/>
      <c r="AK112" s="46"/>
      <c r="AL112" s="46"/>
      <c r="AM112" s="46"/>
      <c r="AN112" s="46"/>
      <c r="AO112" s="46"/>
      <c r="AP112" s="46"/>
      <c r="AQ112" s="46">
        <f t="shared" si="6"/>
        <v>5.1304166666666662</v>
      </c>
      <c r="AR112" s="7">
        <f t="shared" si="7"/>
        <v>5.1304166666666662</v>
      </c>
    </row>
    <row r="113" spans="1:44" x14ac:dyDescent="0.3">
      <c r="A113" s="5">
        <v>112</v>
      </c>
      <c r="B113" s="107" t="s">
        <v>844</v>
      </c>
      <c r="C113" s="97" t="s">
        <v>845</v>
      </c>
      <c r="D113" s="112" t="s">
        <v>843</v>
      </c>
      <c r="E113" s="121" t="s">
        <v>1258</v>
      </c>
      <c r="F113" s="110" t="s">
        <v>128</v>
      </c>
      <c r="G113" s="6" t="s">
        <v>12</v>
      </c>
      <c r="H113" s="6" t="s">
        <v>973</v>
      </c>
      <c r="I113" s="6" t="s">
        <v>80</v>
      </c>
      <c r="J113" s="92">
        <v>1</v>
      </c>
      <c r="K113" s="67" t="s">
        <v>160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0</v>
      </c>
      <c r="AD113" s="46">
        <v>0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/>
      <c r="AK113" s="46"/>
      <c r="AL113" s="46"/>
      <c r="AM113" s="46"/>
      <c r="AN113" s="46"/>
      <c r="AO113" s="46"/>
      <c r="AP113" s="46"/>
      <c r="AQ113" s="46">
        <f t="shared" si="6"/>
        <v>0</v>
      </c>
      <c r="AR113" s="7">
        <f t="shared" si="7"/>
        <v>0</v>
      </c>
    </row>
    <row r="114" spans="1:44" x14ac:dyDescent="0.3">
      <c r="A114" s="5">
        <v>113</v>
      </c>
      <c r="B114" s="107" t="s">
        <v>119</v>
      </c>
      <c r="C114" s="97" t="s">
        <v>654</v>
      </c>
      <c r="D114" s="112" t="s">
        <v>716</v>
      </c>
      <c r="E114" s="121" t="s">
        <v>1259</v>
      </c>
      <c r="F114" s="110" t="s">
        <v>30</v>
      </c>
      <c r="G114" s="6" t="s">
        <v>12</v>
      </c>
      <c r="H114" s="6" t="s">
        <v>976</v>
      </c>
      <c r="I114" s="6" t="s">
        <v>35</v>
      </c>
      <c r="J114" s="5">
        <v>20</v>
      </c>
      <c r="K114" s="12" t="s">
        <v>589</v>
      </c>
      <c r="L114" s="46">
        <v>0</v>
      </c>
      <c r="M114" s="46">
        <v>0</v>
      </c>
      <c r="N114" s="46">
        <v>54.965000000000003</v>
      </c>
      <c r="O114" s="46">
        <v>114.94200000000002</v>
      </c>
      <c r="P114" s="46">
        <v>106.97500000000001</v>
      </c>
      <c r="Q114" s="46">
        <v>155.28800000000001</v>
      </c>
      <c r="R114" s="46">
        <v>199.95300000000003</v>
      </c>
      <c r="S114" s="46">
        <v>200.79599999999996</v>
      </c>
      <c r="T114" s="46">
        <v>170.54799999999997</v>
      </c>
      <c r="U114" s="46">
        <v>150.58900000000003</v>
      </c>
      <c r="V114" s="46">
        <v>157.434</v>
      </c>
      <c r="W114" s="46">
        <v>115.09200000000001</v>
      </c>
      <c r="X114" s="46">
        <v>158.173</v>
      </c>
      <c r="Y114" s="46">
        <v>147.714</v>
      </c>
      <c r="Z114" s="46">
        <v>285.39099999999996</v>
      </c>
      <c r="AA114" s="46">
        <v>173.12</v>
      </c>
      <c r="AB114" s="10">
        <v>125.20200000000001</v>
      </c>
      <c r="AC114" s="10">
        <v>146.90099999999998</v>
      </c>
      <c r="AD114" s="10">
        <v>104.87700000000001</v>
      </c>
      <c r="AE114" s="10">
        <v>139.13000000000002</v>
      </c>
      <c r="AF114" s="10">
        <v>128.06799999999998</v>
      </c>
      <c r="AG114" s="123">
        <v>180.98499999999996</v>
      </c>
      <c r="AH114" s="10">
        <v>152.79899999999998</v>
      </c>
      <c r="AI114" s="10">
        <v>374.7170000000001</v>
      </c>
      <c r="AJ114" s="10"/>
      <c r="AK114" s="46"/>
      <c r="AL114" s="46"/>
      <c r="AM114" s="46"/>
      <c r="AN114" s="46"/>
      <c r="AO114" s="46"/>
      <c r="AP114" s="46"/>
      <c r="AQ114" s="46">
        <f t="shared" si="6"/>
        <v>147.65245833333336</v>
      </c>
      <c r="AR114" s="7">
        <f t="shared" si="7"/>
        <v>7.3826229166666675</v>
      </c>
    </row>
    <row r="115" spans="1:44" x14ac:dyDescent="0.3">
      <c r="A115" s="5">
        <v>114</v>
      </c>
      <c r="B115" s="107" t="s">
        <v>119</v>
      </c>
      <c r="C115" s="97" t="s">
        <v>655</v>
      </c>
      <c r="D115" s="112" t="s">
        <v>726</v>
      </c>
      <c r="E115" s="121" t="s">
        <v>1260</v>
      </c>
      <c r="F115" s="110" t="s">
        <v>30</v>
      </c>
      <c r="G115" s="6" t="s">
        <v>12</v>
      </c>
      <c r="H115" s="6" t="s">
        <v>976</v>
      </c>
      <c r="I115" s="6" t="s">
        <v>35</v>
      </c>
      <c r="J115" s="5">
        <v>3</v>
      </c>
      <c r="K115" s="12" t="s">
        <v>589</v>
      </c>
      <c r="L115" s="46">
        <v>0</v>
      </c>
      <c r="M115" s="46">
        <v>0</v>
      </c>
      <c r="N115" s="46">
        <v>0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0</v>
      </c>
      <c r="AD115" s="46">
        <v>0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/>
      <c r="AK115" s="46"/>
      <c r="AL115" s="46"/>
      <c r="AM115" s="46"/>
      <c r="AN115" s="46"/>
      <c r="AO115" s="46"/>
      <c r="AP115" s="46"/>
      <c r="AQ115" s="46">
        <f t="shared" si="6"/>
        <v>0</v>
      </c>
      <c r="AR115" s="7">
        <f t="shared" si="7"/>
        <v>0</v>
      </c>
    </row>
    <row r="116" spans="1:44" x14ac:dyDescent="0.3">
      <c r="A116" s="5">
        <v>115</v>
      </c>
      <c r="B116" s="107" t="s">
        <v>578</v>
      </c>
      <c r="C116" s="97" t="s">
        <v>657</v>
      </c>
      <c r="D116" s="113" t="s">
        <v>951</v>
      </c>
      <c r="E116" s="121" t="s">
        <v>1261</v>
      </c>
      <c r="F116" s="110" t="s">
        <v>128</v>
      </c>
      <c r="G116" s="6" t="s">
        <v>12</v>
      </c>
      <c r="H116" s="6" t="s">
        <v>973</v>
      </c>
      <c r="I116" s="6" t="s">
        <v>80</v>
      </c>
      <c r="J116" s="5">
        <v>1</v>
      </c>
      <c r="K116" s="67" t="s">
        <v>160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0</v>
      </c>
      <c r="AD116" s="46">
        <v>0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/>
      <c r="AK116" s="46"/>
      <c r="AL116" s="46"/>
      <c r="AM116" s="46"/>
      <c r="AN116" s="46"/>
      <c r="AO116" s="46"/>
      <c r="AP116" s="46"/>
      <c r="AQ116" s="46">
        <f t="shared" si="6"/>
        <v>0</v>
      </c>
      <c r="AR116" s="7">
        <f t="shared" si="7"/>
        <v>0</v>
      </c>
    </row>
    <row r="117" spans="1:44" x14ac:dyDescent="0.3">
      <c r="A117" s="5">
        <v>116</v>
      </c>
      <c r="B117" s="107" t="s">
        <v>576</v>
      </c>
      <c r="C117" s="97" t="s">
        <v>658</v>
      </c>
      <c r="D117" s="112" t="s">
        <v>788</v>
      </c>
      <c r="E117" s="121" t="s">
        <v>1262</v>
      </c>
      <c r="F117" s="110" t="s">
        <v>128</v>
      </c>
      <c r="G117" s="6" t="s">
        <v>12</v>
      </c>
      <c r="H117" s="6" t="s">
        <v>973</v>
      </c>
      <c r="I117" s="6" t="s">
        <v>80</v>
      </c>
      <c r="J117" s="5">
        <v>1</v>
      </c>
      <c r="K117" s="67" t="s">
        <v>160</v>
      </c>
      <c r="L117" s="46">
        <v>0</v>
      </c>
      <c r="M117" s="46">
        <v>0</v>
      </c>
      <c r="N117" s="46">
        <v>0</v>
      </c>
      <c r="O117" s="46">
        <v>0</v>
      </c>
      <c r="P117" s="46">
        <v>0</v>
      </c>
      <c r="Q117" s="46">
        <v>0</v>
      </c>
      <c r="R117" s="46">
        <v>1.81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11.479999999999999</v>
      </c>
      <c r="Z117" s="46">
        <v>0</v>
      </c>
      <c r="AA117" s="46">
        <v>0</v>
      </c>
      <c r="AB117" s="46">
        <v>0</v>
      </c>
      <c r="AC117" s="46">
        <v>0</v>
      </c>
      <c r="AD117" s="46">
        <v>0</v>
      </c>
      <c r="AE117" s="46">
        <v>0</v>
      </c>
      <c r="AF117" s="46">
        <v>0</v>
      </c>
      <c r="AG117" s="46">
        <v>0</v>
      </c>
      <c r="AH117" s="10">
        <v>0.92999999999999994</v>
      </c>
      <c r="AI117" s="46">
        <v>0</v>
      </c>
      <c r="AJ117" s="46"/>
      <c r="AK117" s="46"/>
      <c r="AL117" s="46"/>
      <c r="AM117" s="46"/>
      <c r="AN117" s="46"/>
      <c r="AO117" s="46"/>
      <c r="AP117" s="46"/>
      <c r="AQ117" s="46">
        <f t="shared" si="6"/>
        <v>0.59249999999999992</v>
      </c>
      <c r="AR117" s="7">
        <f t="shared" si="7"/>
        <v>0.59249999999999992</v>
      </c>
    </row>
    <row r="118" spans="1:44" x14ac:dyDescent="0.3">
      <c r="A118" s="5">
        <v>117</v>
      </c>
      <c r="B118" s="107" t="s">
        <v>499</v>
      </c>
      <c r="C118" s="97" t="s">
        <v>660</v>
      </c>
      <c r="D118" s="39" t="s">
        <v>789</v>
      </c>
      <c r="E118" s="121" t="s">
        <v>1263</v>
      </c>
      <c r="F118" s="110" t="s">
        <v>128</v>
      </c>
      <c r="G118" s="6" t="s">
        <v>12</v>
      </c>
      <c r="H118" s="6" t="s">
        <v>973</v>
      </c>
      <c r="I118" s="6" t="s">
        <v>80</v>
      </c>
      <c r="J118" s="5">
        <v>1</v>
      </c>
      <c r="K118" s="67" t="s">
        <v>160</v>
      </c>
      <c r="L118" s="46">
        <v>0</v>
      </c>
      <c r="M118" s="46">
        <v>0</v>
      </c>
      <c r="N118" s="46">
        <v>0</v>
      </c>
      <c r="O118" s="46">
        <v>0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0</v>
      </c>
      <c r="AD118" s="46">
        <v>0</v>
      </c>
      <c r="AE118" s="46">
        <v>0</v>
      </c>
      <c r="AF118" s="10">
        <v>9.3800000000000008</v>
      </c>
      <c r="AG118" s="46">
        <v>0</v>
      </c>
      <c r="AH118" s="46">
        <v>0</v>
      </c>
      <c r="AI118" s="46">
        <v>0</v>
      </c>
      <c r="AJ118" s="46"/>
      <c r="AK118" s="46"/>
      <c r="AL118" s="46"/>
      <c r="AM118" s="46"/>
      <c r="AN118" s="46"/>
      <c r="AO118" s="46"/>
      <c r="AP118" s="46"/>
      <c r="AQ118" s="46">
        <f t="shared" si="6"/>
        <v>0.39083333333333337</v>
      </c>
      <c r="AR118" s="7">
        <f t="shared" si="7"/>
        <v>0.39083333333333337</v>
      </c>
    </row>
    <row r="119" spans="1:44" x14ac:dyDescent="0.3">
      <c r="A119" s="5">
        <v>118</v>
      </c>
      <c r="B119" s="109" t="s">
        <v>560</v>
      </c>
      <c r="C119" s="97" t="s">
        <v>661</v>
      </c>
      <c r="D119" s="112" t="s">
        <v>913</v>
      </c>
      <c r="E119" s="121" t="s">
        <v>1264</v>
      </c>
      <c r="F119" s="110" t="s">
        <v>128</v>
      </c>
      <c r="G119" s="6" t="s">
        <v>12</v>
      </c>
      <c r="H119" s="6" t="s">
        <v>973</v>
      </c>
      <c r="I119" s="6" t="s">
        <v>80</v>
      </c>
      <c r="J119" s="5">
        <v>1</v>
      </c>
      <c r="K119" s="67" t="s">
        <v>160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>
        <v>0</v>
      </c>
      <c r="AF119" s="46">
        <v>0</v>
      </c>
      <c r="AG119" s="46">
        <v>0</v>
      </c>
      <c r="AH119" s="46">
        <v>0</v>
      </c>
      <c r="AI119" s="46">
        <v>0</v>
      </c>
      <c r="AJ119" s="46"/>
      <c r="AK119" s="46"/>
      <c r="AL119" s="46"/>
      <c r="AM119" s="46"/>
      <c r="AN119" s="46"/>
      <c r="AO119" s="46"/>
      <c r="AP119" s="46"/>
      <c r="AQ119" s="46">
        <f t="shared" si="6"/>
        <v>0</v>
      </c>
      <c r="AR119" s="7">
        <f t="shared" si="7"/>
        <v>0</v>
      </c>
    </row>
    <row r="120" spans="1:44" x14ac:dyDescent="0.3">
      <c r="A120" s="5">
        <v>119</v>
      </c>
      <c r="B120" s="107" t="s">
        <v>862</v>
      </c>
      <c r="C120" s="97" t="s">
        <v>864</v>
      </c>
      <c r="D120" s="112" t="s">
        <v>952</v>
      </c>
      <c r="E120" s="121" t="s">
        <v>1265</v>
      </c>
      <c r="F120" s="110" t="s">
        <v>128</v>
      </c>
      <c r="G120" s="6" t="s">
        <v>12</v>
      </c>
      <c r="H120" s="6" t="s">
        <v>973</v>
      </c>
      <c r="I120" s="6" t="s">
        <v>80</v>
      </c>
      <c r="J120" s="5">
        <v>1</v>
      </c>
      <c r="K120" s="67" t="s">
        <v>160</v>
      </c>
      <c r="L120" s="46">
        <v>0</v>
      </c>
      <c r="M120" s="46">
        <v>0</v>
      </c>
      <c r="N120" s="46">
        <v>0</v>
      </c>
      <c r="O120" s="46">
        <v>0</v>
      </c>
      <c r="P120" s="46">
        <v>0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46">
        <v>0</v>
      </c>
      <c r="AA120" s="46">
        <v>0</v>
      </c>
      <c r="AB120" s="46">
        <v>0</v>
      </c>
      <c r="AC120" s="46">
        <v>0</v>
      </c>
      <c r="AD120" s="46">
        <v>0</v>
      </c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/>
      <c r="AK120" s="46"/>
      <c r="AL120" s="46"/>
      <c r="AM120" s="46"/>
      <c r="AN120" s="46"/>
      <c r="AO120" s="46"/>
      <c r="AP120" s="46"/>
      <c r="AQ120" s="46">
        <f t="shared" si="6"/>
        <v>0</v>
      </c>
      <c r="AR120" s="7">
        <f t="shared" si="7"/>
        <v>0</v>
      </c>
    </row>
    <row r="121" spans="1:44" x14ac:dyDescent="0.3">
      <c r="A121" s="5">
        <v>120</v>
      </c>
      <c r="B121" s="107" t="s">
        <v>1014</v>
      </c>
      <c r="C121" s="97" t="s">
        <v>1142</v>
      </c>
      <c r="D121" s="10" t="s">
        <v>1013</v>
      </c>
      <c r="E121" s="121" t="s">
        <v>1143</v>
      </c>
      <c r="F121" s="6" t="s">
        <v>128</v>
      </c>
      <c r="G121" s="6" t="s">
        <v>12</v>
      </c>
      <c r="H121" s="6" t="s">
        <v>973</v>
      </c>
      <c r="I121" s="6" t="s">
        <v>80</v>
      </c>
      <c r="J121" s="92">
        <v>1</v>
      </c>
      <c r="K121" s="67" t="s">
        <v>160</v>
      </c>
      <c r="L121" s="46">
        <v>0</v>
      </c>
      <c r="M121" s="46">
        <v>0</v>
      </c>
      <c r="N121" s="46">
        <v>0</v>
      </c>
      <c r="O121" s="46">
        <v>0</v>
      </c>
      <c r="P121" s="46">
        <v>0</v>
      </c>
      <c r="Q121" s="46">
        <v>6.42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46">
        <v>0</v>
      </c>
      <c r="AA121" s="46">
        <v>0</v>
      </c>
      <c r="AB121" s="46">
        <v>0</v>
      </c>
      <c r="AC121" s="46">
        <v>0</v>
      </c>
      <c r="AD121" s="46">
        <v>0</v>
      </c>
      <c r="AE121" s="10">
        <v>0.84</v>
      </c>
      <c r="AF121" s="10">
        <v>0</v>
      </c>
      <c r="AG121" s="46">
        <v>0</v>
      </c>
      <c r="AH121" s="46">
        <v>0</v>
      </c>
      <c r="AI121" s="46">
        <v>0</v>
      </c>
      <c r="AJ121" s="46"/>
      <c r="AK121" s="46"/>
      <c r="AL121" s="46"/>
      <c r="AM121" s="46"/>
      <c r="AN121" s="46"/>
      <c r="AO121" s="46"/>
      <c r="AP121" s="46"/>
      <c r="AQ121" s="46">
        <f t="shared" si="6"/>
        <v>0.30249999999999999</v>
      </c>
      <c r="AR121" s="7">
        <f t="shared" si="7"/>
        <v>0.30249999999999999</v>
      </c>
    </row>
    <row r="122" spans="1:44" x14ac:dyDescent="0.3">
      <c r="A122" s="5">
        <v>121</v>
      </c>
      <c r="B122" s="107" t="s">
        <v>905</v>
      </c>
      <c r="C122" s="97" t="s">
        <v>1144</v>
      </c>
      <c r="D122" s="39" t="s">
        <v>906</v>
      </c>
      <c r="E122" s="121" t="s">
        <v>1145</v>
      </c>
      <c r="F122" s="110" t="s">
        <v>128</v>
      </c>
      <c r="G122" s="6" t="s">
        <v>12</v>
      </c>
      <c r="H122" s="6" t="s">
        <v>973</v>
      </c>
      <c r="I122" s="6" t="s">
        <v>80</v>
      </c>
      <c r="J122" s="5">
        <v>2</v>
      </c>
      <c r="K122" s="67" t="s">
        <v>590</v>
      </c>
      <c r="L122" s="46">
        <v>0</v>
      </c>
      <c r="M122" s="46">
        <v>0</v>
      </c>
      <c r="N122" s="46">
        <v>0</v>
      </c>
      <c r="O122" s="46">
        <v>0</v>
      </c>
      <c r="P122" s="46">
        <v>14.18</v>
      </c>
      <c r="Q122" s="46">
        <v>19.02</v>
      </c>
      <c r="R122" s="46">
        <v>0.67</v>
      </c>
      <c r="S122" s="46">
        <v>32.83</v>
      </c>
      <c r="T122" s="46">
        <v>19.13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10">
        <v>19.63</v>
      </c>
      <c r="AC122" s="10">
        <v>0</v>
      </c>
      <c r="AD122" s="10">
        <v>0.52</v>
      </c>
      <c r="AE122" s="10">
        <v>8.27</v>
      </c>
      <c r="AF122" s="10">
        <v>27.46</v>
      </c>
      <c r="AG122" s="10">
        <v>28.830000000000002</v>
      </c>
      <c r="AH122" s="10">
        <v>1.52</v>
      </c>
      <c r="AI122" s="10">
        <v>26.97</v>
      </c>
      <c r="AJ122" s="10"/>
      <c r="AK122" s="46"/>
      <c r="AL122" s="46"/>
      <c r="AM122" s="46"/>
      <c r="AN122" s="46"/>
      <c r="AO122" s="46"/>
      <c r="AP122" s="46"/>
      <c r="AQ122" s="46">
        <f t="shared" si="6"/>
        <v>8.2929166666666667</v>
      </c>
      <c r="AR122" s="7">
        <f t="shared" si="7"/>
        <v>4.1464583333333334</v>
      </c>
    </row>
    <row r="123" spans="1:44" x14ac:dyDescent="0.3">
      <c r="A123" s="5">
        <v>122</v>
      </c>
      <c r="B123" s="109" t="s">
        <v>563</v>
      </c>
      <c r="C123" s="97" t="s">
        <v>659</v>
      </c>
      <c r="D123" s="112" t="s">
        <v>791</v>
      </c>
      <c r="E123" s="121" t="s">
        <v>1266</v>
      </c>
      <c r="F123" s="110" t="s">
        <v>128</v>
      </c>
      <c r="G123" s="6" t="s">
        <v>12</v>
      </c>
      <c r="H123" s="6" t="s">
        <v>973</v>
      </c>
      <c r="I123" s="6" t="s">
        <v>80</v>
      </c>
      <c r="J123" s="5">
        <v>1</v>
      </c>
      <c r="K123" s="67" t="s">
        <v>160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/>
      <c r="AK123" s="46"/>
      <c r="AL123" s="46"/>
      <c r="AM123" s="46"/>
      <c r="AN123" s="46"/>
      <c r="AO123" s="46"/>
      <c r="AP123" s="46"/>
      <c r="AQ123" s="46">
        <f t="shared" si="6"/>
        <v>0</v>
      </c>
      <c r="AR123" s="7">
        <f t="shared" si="7"/>
        <v>0</v>
      </c>
    </row>
    <row r="124" spans="1:44" x14ac:dyDescent="0.3">
      <c r="A124" s="5">
        <v>123</v>
      </c>
      <c r="B124" s="101" t="s">
        <v>832</v>
      </c>
      <c r="C124" s="97" t="s">
        <v>833</v>
      </c>
      <c r="D124" s="112" t="s">
        <v>834</v>
      </c>
      <c r="E124" s="121" t="s">
        <v>1267</v>
      </c>
      <c r="F124" s="110" t="s">
        <v>128</v>
      </c>
      <c r="G124" s="6" t="s">
        <v>12</v>
      </c>
      <c r="H124" s="6" t="s">
        <v>973</v>
      </c>
      <c r="I124" s="6" t="s">
        <v>80</v>
      </c>
      <c r="J124" s="92">
        <v>1</v>
      </c>
      <c r="K124" s="67" t="s">
        <v>160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/>
      <c r="AK124" s="46"/>
      <c r="AL124" s="46"/>
      <c r="AM124" s="46"/>
      <c r="AN124" s="46"/>
      <c r="AO124" s="46"/>
      <c r="AP124" s="46"/>
      <c r="AQ124" s="46">
        <f t="shared" si="6"/>
        <v>0</v>
      </c>
      <c r="AR124" s="7">
        <f t="shared" si="7"/>
        <v>0</v>
      </c>
    </row>
    <row r="125" spans="1:44" x14ac:dyDescent="0.3">
      <c r="A125" s="5">
        <v>124</v>
      </c>
      <c r="B125" s="109" t="s">
        <v>597</v>
      </c>
      <c r="C125" s="97" t="s">
        <v>699</v>
      </c>
      <c r="D125" s="112" t="s">
        <v>792</v>
      </c>
      <c r="E125" s="121" t="s">
        <v>1268</v>
      </c>
      <c r="F125" s="110" t="s">
        <v>128</v>
      </c>
      <c r="G125" s="6" t="s">
        <v>12</v>
      </c>
      <c r="H125" s="6" t="s">
        <v>973</v>
      </c>
      <c r="I125" s="6" t="s">
        <v>80</v>
      </c>
      <c r="J125" s="5">
        <v>1</v>
      </c>
      <c r="K125" s="67" t="s">
        <v>160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/>
      <c r="AK125" s="46"/>
      <c r="AL125" s="46"/>
      <c r="AM125" s="46"/>
      <c r="AN125" s="46"/>
      <c r="AO125" s="46"/>
      <c r="AP125" s="46"/>
      <c r="AQ125" s="46">
        <f t="shared" si="6"/>
        <v>0</v>
      </c>
      <c r="AR125" s="7">
        <f t="shared" si="7"/>
        <v>0</v>
      </c>
    </row>
    <row r="126" spans="1:44" x14ac:dyDescent="0.3">
      <c r="A126" s="5">
        <v>125</v>
      </c>
      <c r="B126" s="109" t="s">
        <v>885</v>
      </c>
      <c r="C126" s="97" t="s">
        <v>887</v>
      </c>
      <c r="D126" s="112" t="s">
        <v>886</v>
      </c>
      <c r="E126" s="121" t="s">
        <v>1269</v>
      </c>
      <c r="F126" s="110" t="s">
        <v>128</v>
      </c>
      <c r="G126" s="6" t="s">
        <v>12</v>
      </c>
      <c r="H126" s="6" t="s">
        <v>973</v>
      </c>
      <c r="I126" s="6" t="s">
        <v>80</v>
      </c>
      <c r="J126" s="5">
        <v>1</v>
      </c>
      <c r="K126" s="67" t="s">
        <v>160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12.558999999999999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/>
      <c r="AK126" s="46"/>
      <c r="AL126" s="46"/>
      <c r="AM126" s="46"/>
      <c r="AN126" s="46"/>
      <c r="AO126" s="46"/>
      <c r="AP126" s="46"/>
      <c r="AQ126" s="46">
        <f t="shared" si="6"/>
        <v>0.5232916666666666</v>
      </c>
      <c r="AR126" s="7">
        <f t="shared" si="7"/>
        <v>0.5232916666666666</v>
      </c>
    </row>
    <row r="127" spans="1:44" x14ac:dyDescent="0.3">
      <c r="A127" s="5">
        <v>126</v>
      </c>
      <c r="B127" s="109" t="s">
        <v>598</v>
      </c>
      <c r="C127" s="97" t="s">
        <v>700</v>
      </c>
      <c r="D127" s="112" t="s">
        <v>793</v>
      </c>
      <c r="E127" s="121" t="s">
        <v>1270</v>
      </c>
      <c r="F127" s="110" t="s">
        <v>128</v>
      </c>
      <c r="G127" s="6" t="s">
        <v>12</v>
      </c>
      <c r="H127" s="6" t="s">
        <v>973</v>
      </c>
      <c r="I127" s="6" t="s">
        <v>80</v>
      </c>
      <c r="J127" s="5">
        <v>1</v>
      </c>
      <c r="K127" s="67" t="s">
        <v>160</v>
      </c>
      <c r="L127" s="46">
        <v>0</v>
      </c>
      <c r="M127" s="46">
        <v>0</v>
      </c>
      <c r="N127" s="46">
        <v>0</v>
      </c>
      <c r="O127" s="46">
        <v>0</v>
      </c>
      <c r="P127" s="46">
        <v>0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/>
      <c r="AK127" s="46"/>
      <c r="AL127" s="46"/>
      <c r="AM127" s="46"/>
      <c r="AN127" s="46"/>
      <c r="AO127" s="46"/>
      <c r="AP127" s="46"/>
      <c r="AQ127" s="46">
        <f t="shared" si="6"/>
        <v>0</v>
      </c>
      <c r="AR127" s="7">
        <f t="shared" si="7"/>
        <v>0</v>
      </c>
    </row>
    <row r="128" spans="1:44" x14ac:dyDescent="0.3">
      <c r="A128" s="5">
        <v>127</v>
      </c>
      <c r="B128" s="109" t="s">
        <v>708</v>
      </c>
      <c r="C128" s="97" t="s">
        <v>709</v>
      </c>
      <c r="D128" s="112" t="s">
        <v>794</v>
      </c>
      <c r="E128" s="121" t="s">
        <v>1271</v>
      </c>
      <c r="F128" s="110" t="s">
        <v>128</v>
      </c>
      <c r="G128" s="6" t="s">
        <v>12</v>
      </c>
      <c r="H128" s="6" t="s">
        <v>973</v>
      </c>
      <c r="I128" s="6" t="s">
        <v>80</v>
      </c>
      <c r="J128" s="5">
        <v>1</v>
      </c>
      <c r="K128" s="67" t="s">
        <v>160</v>
      </c>
      <c r="L128" s="46">
        <v>0</v>
      </c>
      <c r="M128" s="46">
        <v>0</v>
      </c>
      <c r="N128" s="46">
        <v>0</v>
      </c>
      <c r="O128" s="46">
        <v>0</v>
      </c>
      <c r="P128" s="46">
        <v>0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46">
        <v>0</v>
      </c>
      <c r="AA128" s="46">
        <v>0</v>
      </c>
      <c r="AB128" s="46">
        <v>0</v>
      </c>
      <c r="AC128" s="46">
        <v>0</v>
      </c>
      <c r="AD128" s="46">
        <v>0</v>
      </c>
      <c r="AE128" s="46">
        <v>0</v>
      </c>
      <c r="AF128" s="46">
        <v>0</v>
      </c>
      <c r="AG128" s="46">
        <v>0</v>
      </c>
      <c r="AH128" s="46">
        <v>0</v>
      </c>
      <c r="AI128" s="46">
        <v>0</v>
      </c>
      <c r="AJ128" s="46"/>
      <c r="AK128" s="46"/>
      <c r="AL128" s="46"/>
      <c r="AM128" s="46"/>
      <c r="AN128" s="46"/>
      <c r="AO128" s="46"/>
      <c r="AP128" s="46"/>
      <c r="AQ128" s="46">
        <f t="shared" si="6"/>
        <v>0</v>
      </c>
      <c r="AR128" s="7">
        <f t="shared" si="7"/>
        <v>0</v>
      </c>
    </row>
    <row r="129" spans="1:44" x14ac:dyDescent="0.3">
      <c r="A129" s="5">
        <v>128</v>
      </c>
      <c r="B129" s="95" t="s">
        <v>822</v>
      </c>
      <c r="C129" s="97" t="s">
        <v>823</v>
      </c>
      <c r="D129" s="112" t="s">
        <v>824</v>
      </c>
      <c r="E129" s="121" t="s">
        <v>1272</v>
      </c>
      <c r="F129" s="110" t="s">
        <v>128</v>
      </c>
      <c r="G129" s="6" t="s">
        <v>12</v>
      </c>
      <c r="H129" s="6" t="s">
        <v>973</v>
      </c>
      <c r="I129" s="6" t="s">
        <v>80</v>
      </c>
      <c r="J129" s="5">
        <v>1</v>
      </c>
      <c r="K129" s="67" t="s">
        <v>160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/>
      <c r="AK129" s="46"/>
      <c r="AL129" s="46"/>
      <c r="AM129" s="46"/>
      <c r="AN129" s="46"/>
      <c r="AO129" s="46"/>
      <c r="AP129" s="46"/>
      <c r="AQ129" s="46">
        <f t="shared" si="6"/>
        <v>0</v>
      </c>
      <c r="AR129" s="7">
        <f t="shared" si="7"/>
        <v>0</v>
      </c>
    </row>
    <row r="130" spans="1:44" x14ac:dyDescent="0.3">
      <c r="A130" s="5">
        <v>129</v>
      </c>
      <c r="B130" s="95" t="s">
        <v>882</v>
      </c>
      <c r="C130" s="97" t="s">
        <v>884</v>
      </c>
      <c r="D130" s="112" t="s">
        <v>883</v>
      </c>
      <c r="E130" s="121" t="s">
        <v>1273</v>
      </c>
      <c r="F130" s="110" t="s">
        <v>128</v>
      </c>
      <c r="G130" s="6" t="s">
        <v>12</v>
      </c>
      <c r="H130" s="6" t="s">
        <v>973</v>
      </c>
      <c r="I130" s="6" t="s">
        <v>80</v>
      </c>
      <c r="J130" s="5">
        <v>1</v>
      </c>
      <c r="K130" s="67" t="s">
        <v>160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/>
      <c r="AK130" s="46"/>
      <c r="AL130" s="46"/>
      <c r="AM130" s="46"/>
      <c r="AN130" s="46"/>
      <c r="AO130" s="46"/>
      <c r="AP130" s="46"/>
      <c r="AQ130" s="46">
        <f t="shared" ref="AQ130:AQ161" si="8">AVERAGE(L130:AO130)</f>
        <v>0</v>
      </c>
      <c r="AR130" s="7">
        <f t="shared" ref="AR130:AR161" si="9">AQ130/J130</f>
        <v>0</v>
      </c>
    </row>
    <row r="131" spans="1:44" x14ac:dyDescent="0.3">
      <c r="A131" s="5">
        <v>130</v>
      </c>
      <c r="B131" s="107" t="s">
        <v>55</v>
      </c>
      <c r="C131" s="97" t="s">
        <v>662</v>
      </c>
      <c r="D131" s="112" t="s">
        <v>731</v>
      </c>
      <c r="E131" s="121" t="s">
        <v>1274</v>
      </c>
      <c r="F131" s="110" t="s">
        <v>57</v>
      </c>
      <c r="G131" s="6" t="s">
        <v>12</v>
      </c>
      <c r="H131" s="6" t="s">
        <v>976</v>
      </c>
      <c r="I131" s="6" t="s">
        <v>35</v>
      </c>
      <c r="J131" s="5">
        <v>42</v>
      </c>
      <c r="K131" s="12" t="s">
        <v>589</v>
      </c>
      <c r="L131" s="46">
        <v>99.204999999999998</v>
      </c>
      <c r="M131" s="46">
        <v>308.28800000000012</v>
      </c>
      <c r="N131" s="46">
        <v>341.62699999999995</v>
      </c>
      <c r="O131" s="46">
        <v>397.43799999999987</v>
      </c>
      <c r="P131" s="46">
        <v>338.09999999999991</v>
      </c>
      <c r="Q131" s="46">
        <v>136.00200000000004</v>
      </c>
      <c r="R131" s="46">
        <v>280.72300000000007</v>
      </c>
      <c r="S131" s="46">
        <v>219.42100000000002</v>
      </c>
      <c r="T131" s="46">
        <v>306.27299999999991</v>
      </c>
      <c r="U131" s="46">
        <v>284.50400000000002</v>
      </c>
      <c r="V131" s="46">
        <v>440.23899999999992</v>
      </c>
      <c r="W131" s="46">
        <v>371.45800000000008</v>
      </c>
      <c r="X131" s="46">
        <v>88.626000000000005</v>
      </c>
      <c r="Y131" s="46">
        <v>266.91099999999994</v>
      </c>
      <c r="Z131" s="46">
        <v>89.506000000000014</v>
      </c>
      <c r="AA131" s="46">
        <v>343.87199999999996</v>
      </c>
      <c r="AB131" s="10">
        <v>326.30099999999999</v>
      </c>
      <c r="AC131" s="10">
        <v>563.02399999999977</v>
      </c>
      <c r="AD131" s="10">
        <v>470.29</v>
      </c>
      <c r="AE131" s="10">
        <v>66.8</v>
      </c>
      <c r="AF131" s="10">
        <v>423.68599999999992</v>
      </c>
      <c r="AG131" s="10">
        <v>249.05600000000001</v>
      </c>
      <c r="AH131" s="10">
        <v>153.24799999999996</v>
      </c>
      <c r="AI131" s="10">
        <v>1028.1249999999998</v>
      </c>
      <c r="AJ131" s="10"/>
      <c r="AK131" s="46"/>
      <c r="AL131" s="46"/>
      <c r="AM131" s="46"/>
      <c r="AN131" s="46"/>
      <c r="AO131" s="46"/>
      <c r="AP131" s="46"/>
      <c r="AQ131" s="46">
        <f t="shared" si="8"/>
        <v>316.36345833333326</v>
      </c>
      <c r="AR131" s="7">
        <f t="shared" si="9"/>
        <v>7.5324632936507916</v>
      </c>
    </row>
    <row r="132" spans="1:44" x14ac:dyDescent="0.3">
      <c r="A132" s="5">
        <v>131</v>
      </c>
      <c r="B132" s="107" t="s">
        <v>919</v>
      </c>
      <c r="C132" s="97" t="s">
        <v>1146</v>
      </c>
      <c r="D132" s="39" t="s">
        <v>989</v>
      </c>
      <c r="E132" s="121" t="s">
        <v>1147</v>
      </c>
      <c r="F132" s="110" t="s">
        <v>128</v>
      </c>
      <c r="G132" s="6" t="s">
        <v>12</v>
      </c>
      <c r="H132" s="6" t="s">
        <v>977</v>
      </c>
      <c r="I132" s="6" t="s">
        <v>80</v>
      </c>
      <c r="J132" s="92">
        <v>1</v>
      </c>
      <c r="K132" s="12" t="s">
        <v>590</v>
      </c>
      <c r="L132" s="46">
        <v>3.33</v>
      </c>
      <c r="M132" s="46">
        <v>16.100000000000001</v>
      </c>
      <c r="N132" s="46">
        <v>21.07</v>
      </c>
      <c r="O132" s="46">
        <v>23.14</v>
      </c>
      <c r="P132" s="46">
        <v>54.3</v>
      </c>
      <c r="Q132" s="46">
        <v>42.68</v>
      </c>
      <c r="R132" s="46">
        <v>54.519999999999996</v>
      </c>
      <c r="S132" s="46">
        <v>31.870000000000005</v>
      </c>
      <c r="T132" s="46">
        <v>1.44</v>
      </c>
      <c r="U132" s="46">
        <v>50.92</v>
      </c>
      <c r="V132" s="46">
        <v>41.6</v>
      </c>
      <c r="W132" s="46">
        <v>21.720000000000002</v>
      </c>
      <c r="X132" s="46">
        <v>51.09</v>
      </c>
      <c r="Y132" s="46">
        <v>46.46</v>
      </c>
      <c r="Z132" s="46">
        <v>43.16</v>
      </c>
      <c r="AA132" s="46">
        <v>0</v>
      </c>
      <c r="AB132" s="10">
        <v>28.669999999999998</v>
      </c>
      <c r="AC132" s="10">
        <v>28.540000000000003</v>
      </c>
      <c r="AD132" s="10">
        <v>43.510000000000005</v>
      </c>
      <c r="AE132" s="10">
        <v>28.28</v>
      </c>
      <c r="AF132" s="10">
        <v>24.32</v>
      </c>
      <c r="AG132" s="10">
        <v>27.92</v>
      </c>
      <c r="AH132" s="10">
        <v>6.3500000000000005</v>
      </c>
      <c r="AI132" s="10">
        <v>63.519999999999996</v>
      </c>
      <c r="AJ132" s="10"/>
      <c r="AK132" s="46"/>
      <c r="AL132" s="46"/>
      <c r="AM132" s="46"/>
      <c r="AN132" s="46"/>
      <c r="AO132" s="46"/>
      <c r="AP132" s="46"/>
      <c r="AQ132" s="46">
        <f t="shared" si="8"/>
        <v>31.437916666666666</v>
      </c>
      <c r="AR132" s="7">
        <f t="shared" si="9"/>
        <v>31.437916666666666</v>
      </c>
    </row>
    <row r="133" spans="1:44" x14ac:dyDescent="0.3">
      <c r="A133" s="5">
        <v>132</v>
      </c>
      <c r="B133" s="6" t="s">
        <v>1008</v>
      </c>
      <c r="C133" s="97" t="s">
        <v>1148</v>
      </c>
      <c r="D133" s="39" t="s">
        <v>1009</v>
      </c>
      <c r="E133" s="121" t="s">
        <v>1149</v>
      </c>
      <c r="F133" s="6" t="s">
        <v>128</v>
      </c>
      <c r="G133" s="6" t="s">
        <v>12</v>
      </c>
      <c r="H133" s="6" t="s">
        <v>973</v>
      </c>
      <c r="I133" s="6" t="s">
        <v>80</v>
      </c>
      <c r="J133" s="92">
        <v>1</v>
      </c>
      <c r="K133" s="67" t="s">
        <v>160</v>
      </c>
      <c r="L133" s="46">
        <v>0</v>
      </c>
      <c r="M133" s="46">
        <v>0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3.26</v>
      </c>
      <c r="AB133" s="46">
        <v>0</v>
      </c>
      <c r="AC133" s="46">
        <v>0</v>
      </c>
      <c r="AD133" s="46">
        <v>0</v>
      </c>
      <c r="AE133" s="46">
        <v>0</v>
      </c>
      <c r="AF133" s="46">
        <v>0</v>
      </c>
      <c r="AG133" s="46">
        <v>0</v>
      </c>
      <c r="AH133" s="10">
        <v>14.51</v>
      </c>
      <c r="AI133" s="10">
        <v>9.64</v>
      </c>
      <c r="AJ133" s="10"/>
      <c r="AK133" s="46"/>
      <c r="AL133" s="46"/>
      <c r="AM133" s="46"/>
      <c r="AN133" s="46"/>
      <c r="AO133" s="46"/>
      <c r="AP133" s="46"/>
      <c r="AQ133" s="46">
        <f t="shared" si="8"/>
        <v>1.1420833333333333</v>
      </c>
      <c r="AR133" s="7">
        <f t="shared" si="9"/>
        <v>1.1420833333333333</v>
      </c>
    </row>
    <row r="134" spans="1:44" x14ac:dyDescent="0.3">
      <c r="A134" s="5">
        <v>133</v>
      </c>
      <c r="B134" s="108" t="s">
        <v>221</v>
      </c>
      <c r="C134" s="97" t="s">
        <v>664</v>
      </c>
      <c r="D134" s="112" t="s">
        <v>795</v>
      </c>
      <c r="E134" s="121" t="s">
        <v>1275</v>
      </c>
      <c r="F134" s="110" t="s">
        <v>30</v>
      </c>
      <c r="G134" s="6" t="s">
        <v>12</v>
      </c>
      <c r="H134" s="6" t="s">
        <v>976</v>
      </c>
      <c r="I134" s="6" t="s">
        <v>35</v>
      </c>
      <c r="J134" s="5">
        <v>19</v>
      </c>
      <c r="K134" s="12" t="s">
        <v>589</v>
      </c>
      <c r="L134" s="46">
        <v>5.6690000000000005</v>
      </c>
      <c r="M134" s="46">
        <v>2.3409999999999997</v>
      </c>
      <c r="N134" s="46">
        <v>2.9039999999999999</v>
      </c>
      <c r="O134" s="46">
        <v>3.3449999999999998</v>
      </c>
      <c r="P134" s="46">
        <v>1.643</v>
      </c>
      <c r="Q134" s="46">
        <v>2.9969999999999999</v>
      </c>
      <c r="R134" s="46">
        <v>2.0869999999999997</v>
      </c>
      <c r="S134" s="46">
        <v>3.2279999999999998</v>
      </c>
      <c r="T134" s="46">
        <v>4.8829999999999991</v>
      </c>
      <c r="U134" s="46">
        <v>3.391</v>
      </c>
      <c r="V134" s="46">
        <v>2.657</v>
      </c>
      <c r="W134" s="46">
        <v>1.8979999999999999</v>
      </c>
      <c r="X134" s="46">
        <v>2.6269999999999998</v>
      </c>
      <c r="Y134" s="46">
        <v>2.6070000000000002</v>
      </c>
      <c r="Z134" s="46">
        <v>2.476</v>
      </c>
      <c r="AA134" s="46">
        <v>5.4409999999999998</v>
      </c>
      <c r="AB134" s="10">
        <v>3.6219999999999999</v>
      </c>
      <c r="AC134" s="10">
        <v>3.71</v>
      </c>
      <c r="AD134" s="10">
        <v>3.4790000000000001</v>
      </c>
      <c r="AE134" s="10">
        <v>4.5920000000000005</v>
      </c>
      <c r="AF134" s="10">
        <v>4.1159999999999997</v>
      </c>
      <c r="AG134" s="10">
        <v>2.9989999999999997</v>
      </c>
      <c r="AH134" s="10">
        <v>3.665</v>
      </c>
      <c r="AI134" s="10">
        <v>5.9189999999999996</v>
      </c>
      <c r="AJ134" s="10"/>
      <c r="AK134" s="46"/>
      <c r="AL134" s="46"/>
      <c r="AM134" s="46"/>
      <c r="AN134" s="46"/>
      <c r="AO134" s="46"/>
      <c r="AP134" s="46"/>
      <c r="AQ134" s="46">
        <f t="shared" si="8"/>
        <v>3.4290000000000003</v>
      </c>
      <c r="AR134" s="7">
        <f t="shared" si="9"/>
        <v>0.18047368421052634</v>
      </c>
    </row>
    <row r="135" spans="1:44" ht="13.5" customHeight="1" x14ac:dyDescent="0.3">
      <c r="A135" s="5">
        <v>134</v>
      </c>
      <c r="B135" s="108" t="s">
        <v>222</v>
      </c>
      <c r="C135" s="97" t="s">
        <v>663</v>
      </c>
      <c r="D135" s="112" t="s">
        <v>796</v>
      </c>
      <c r="E135" s="121" t="s">
        <v>1276</v>
      </c>
      <c r="F135" s="110" t="s">
        <v>69</v>
      </c>
      <c r="G135" s="6" t="s">
        <v>12</v>
      </c>
      <c r="H135" s="6" t="s">
        <v>979</v>
      </c>
      <c r="I135" s="6" t="s">
        <v>35</v>
      </c>
      <c r="J135" s="5">
        <v>2</v>
      </c>
      <c r="K135" s="12" t="s">
        <v>160</v>
      </c>
      <c r="L135" s="46">
        <v>0</v>
      </c>
      <c r="M135" s="46">
        <v>0</v>
      </c>
      <c r="N135" s="46">
        <v>26.183</v>
      </c>
      <c r="O135" s="46">
        <v>0</v>
      </c>
      <c r="P135" s="46">
        <v>0</v>
      </c>
      <c r="Q135" s="46">
        <v>0</v>
      </c>
      <c r="R135" s="46">
        <v>6.8879999999999999</v>
      </c>
      <c r="S135" s="46">
        <v>0</v>
      </c>
      <c r="T135" s="46">
        <v>0</v>
      </c>
      <c r="U135" s="46">
        <v>0</v>
      </c>
      <c r="V135" s="46">
        <v>0</v>
      </c>
      <c r="W135" s="46">
        <v>17.199000000000002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10">
        <v>31.931999999999999</v>
      </c>
      <c r="AH135" s="46">
        <v>0</v>
      </c>
      <c r="AI135" s="10">
        <v>19.55</v>
      </c>
      <c r="AJ135" s="10"/>
      <c r="AK135" s="46"/>
      <c r="AL135" s="46"/>
      <c r="AM135" s="46"/>
      <c r="AN135" s="46"/>
      <c r="AO135" s="46"/>
      <c r="AP135" s="46"/>
      <c r="AQ135" s="46">
        <f t="shared" si="8"/>
        <v>4.2396666666666665</v>
      </c>
      <c r="AR135" s="7">
        <f t="shared" si="9"/>
        <v>2.1198333333333332</v>
      </c>
    </row>
    <row r="136" spans="1:44" x14ac:dyDescent="0.3">
      <c r="A136" s="5">
        <v>135</v>
      </c>
      <c r="B136" s="108" t="s">
        <v>175</v>
      </c>
      <c r="C136" s="97" t="s">
        <v>665</v>
      </c>
      <c r="D136" s="112" t="s">
        <v>718</v>
      </c>
      <c r="E136" s="121" t="s">
        <v>1277</v>
      </c>
      <c r="F136" s="110" t="s">
        <v>128</v>
      </c>
      <c r="G136" s="6" t="s">
        <v>12</v>
      </c>
      <c r="H136" s="6" t="s">
        <v>976</v>
      </c>
      <c r="I136" s="6" t="s">
        <v>35</v>
      </c>
      <c r="J136" s="5">
        <v>10</v>
      </c>
      <c r="K136" s="12" t="s">
        <v>589</v>
      </c>
      <c r="L136" s="46">
        <v>0</v>
      </c>
      <c r="M136" s="46">
        <v>0</v>
      </c>
      <c r="N136" s="46">
        <v>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/>
      <c r="AK136" s="46"/>
      <c r="AL136" s="46"/>
      <c r="AM136" s="46"/>
      <c r="AN136" s="46"/>
      <c r="AO136" s="46"/>
      <c r="AP136" s="46"/>
      <c r="AQ136" s="46">
        <f t="shared" si="8"/>
        <v>0</v>
      </c>
      <c r="AR136" s="7">
        <f t="shared" si="9"/>
        <v>0</v>
      </c>
    </row>
    <row r="137" spans="1:44" x14ac:dyDescent="0.3">
      <c r="A137" s="5">
        <v>136</v>
      </c>
      <c r="B137" s="108" t="s">
        <v>175</v>
      </c>
      <c r="C137" s="97" t="s">
        <v>666</v>
      </c>
      <c r="D137" s="112" t="s">
        <v>799</v>
      </c>
      <c r="E137" s="121" t="s">
        <v>1278</v>
      </c>
      <c r="F137" s="110" t="s">
        <v>128</v>
      </c>
      <c r="G137" s="6" t="s">
        <v>12</v>
      </c>
      <c r="H137" s="6" t="s">
        <v>971</v>
      </c>
      <c r="I137" s="6" t="s">
        <v>80</v>
      </c>
      <c r="J137" s="5">
        <v>1</v>
      </c>
      <c r="K137" s="67" t="s">
        <v>160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/>
      <c r="AK137" s="46"/>
      <c r="AL137" s="46"/>
      <c r="AM137" s="46"/>
      <c r="AN137" s="46"/>
      <c r="AO137" s="46"/>
      <c r="AP137" s="46"/>
      <c r="AQ137" s="46">
        <f t="shared" si="8"/>
        <v>0</v>
      </c>
      <c r="AR137" s="7">
        <f t="shared" si="9"/>
        <v>0</v>
      </c>
    </row>
    <row r="138" spans="1:44" x14ac:dyDescent="0.3">
      <c r="A138" s="5">
        <v>137</v>
      </c>
      <c r="B138" s="108" t="s">
        <v>175</v>
      </c>
      <c r="C138" s="97" t="s">
        <v>667</v>
      </c>
      <c r="D138" s="112" t="s">
        <v>798</v>
      </c>
      <c r="E138" s="121" t="s">
        <v>1279</v>
      </c>
      <c r="F138" s="110" t="s">
        <v>128</v>
      </c>
      <c r="G138" s="6" t="s">
        <v>12</v>
      </c>
      <c r="H138" s="6" t="s">
        <v>971</v>
      </c>
      <c r="I138" s="6" t="s">
        <v>80</v>
      </c>
      <c r="J138" s="5">
        <v>1</v>
      </c>
      <c r="K138" s="67" t="s">
        <v>160</v>
      </c>
      <c r="L138" s="46">
        <v>0</v>
      </c>
      <c r="M138" s="46">
        <v>0</v>
      </c>
      <c r="N138" s="46">
        <v>0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/>
      <c r="AK138" s="46"/>
      <c r="AL138" s="46"/>
      <c r="AM138" s="46"/>
      <c r="AN138" s="46"/>
      <c r="AO138" s="46"/>
      <c r="AP138" s="46"/>
      <c r="AQ138" s="46">
        <f t="shared" si="8"/>
        <v>0</v>
      </c>
      <c r="AR138" s="7">
        <f t="shared" si="9"/>
        <v>0</v>
      </c>
    </row>
    <row r="139" spans="1:44" x14ac:dyDescent="0.3">
      <c r="A139" s="5">
        <v>138</v>
      </c>
      <c r="B139" s="108" t="s">
        <v>175</v>
      </c>
      <c r="C139" s="97" t="s">
        <v>668</v>
      </c>
      <c r="D139" s="112" t="s">
        <v>797</v>
      </c>
      <c r="E139" s="121" t="s">
        <v>1280</v>
      </c>
      <c r="F139" s="110" t="s">
        <v>128</v>
      </c>
      <c r="G139" s="6" t="s">
        <v>12</v>
      </c>
      <c r="H139" s="6" t="s">
        <v>971</v>
      </c>
      <c r="I139" s="6" t="s">
        <v>80</v>
      </c>
      <c r="J139" s="5">
        <v>1</v>
      </c>
      <c r="K139" s="67" t="s">
        <v>160</v>
      </c>
      <c r="L139" s="46">
        <v>0</v>
      </c>
      <c r="M139" s="46">
        <v>0</v>
      </c>
      <c r="N139" s="46">
        <v>0</v>
      </c>
      <c r="O139" s="46">
        <v>0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0</v>
      </c>
      <c r="AF139" s="46">
        <v>0</v>
      </c>
      <c r="AG139" s="46">
        <v>0</v>
      </c>
      <c r="AH139" s="46">
        <v>0</v>
      </c>
      <c r="AI139" s="46">
        <v>0</v>
      </c>
      <c r="AJ139" s="46"/>
      <c r="AK139" s="46"/>
      <c r="AL139" s="46"/>
      <c r="AM139" s="46"/>
      <c r="AN139" s="46"/>
      <c r="AO139" s="46"/>
      <c r="AP139" s="46"/>
      <c r="AQ139" s="46">
        <f t="shared" si="8"/>
        <v>0</v>
      </c>
      <c r="AR139" s="7">
        <f t="shared" si="9"/>
        <v>0</v>
      </c>
    </row>
    <row r="140" spans="1:44" x14ac:dyDescent="0.3">
      <c r="A140" s="5">
        <v>139</v>
      </c>
      <c r="B140" s="108" t="s">
        <v>565</v>
      </c>
      <c r="C140" s="97" t="s">
        <v>669</v>
      </c>
      <c r="D140" s="39" t="s">
        <v>764</v>
      </c>
      <c r="E140" s="121" t="s">
        <v>1281</v>
      </c>
      <c r="F140" s="110" t="s">
        <v>128</v>
      </c>
      <c r="G140" s="6" t="s">
        <v>12</v>
      </c>
      <c r="H140" s="6" t="s">
        <v>976</v>
      </c>
      <c r="I140" s="6" t="s">
        <v>35</v>
      </c>
      <c r="J140" s="5">
        <v>15</v>
      </c>
      <c r="K140" s="94" t="s">
        <v>273</v>
      </c>
      <c r="L140" s="46">
        <v>300.81299999999999</v>
      </c>
      <c r="M140" s="46">
        <v>339.23299999999983</v>
      </c>
      <c r="N140" s="46">
        <v>329.38699999999994</v>
      </c>
      <c r="O140" s="46">
        <v>320.37500000000017</v>
      </c>
      <c r="P140" s="46">
        <v>311.08300000000008</v>
      </c>
      <c r="Q140" s="46">
        <v>313.80799999999999</v>
      </c>
      <c r="R140" s="46">
        <v>295.36700000000013</v>
      </c>
      <c r="S140" s="46">
        <v>291.94700000000006</v>
      </c>
      <c r="T140" s="46">
        <v>248.79099999999994</v>
      </c>
      <c r="U140" s="46">
        <v>240.34900000000005</v>
      </c>
      <c r="V140" s="46">
        <v>235.11300000000003</v>
      </c>
      <c r="W140" s="46">
        <v>274.87700000000007</v>
      </c>
      <c r="X140" s="46">
        <v>294.71000000000026</v>
      </c>
      <c r="Y140" s="46">
        <v>290.87200000000007</v>
      </c>
      <c r="Z140" s="46">
        <v>304.92799999999994</v>
      </c>
      <c r="AA140" s="46">
        <v>270.32199999999995</v>
      </c>
      <c r="AB140" s="10">
        <v>350.98400000000004</v>
      </c>
      <c r="AC140" s="10">
        <v>309.70300000000015</v>
      </c>
      <c r="AD140" s="10">
        <v>300.16999999999996</v>
      </c>
      <c r="AE140" s="10">
        <v>291.73899999999992</v>
      </c>
      <c r="AF140" s="10">
        <v>320.62499999999994</v>
      </c>
      <c r="AG140" s="10">
        <v>265.13799999999998</v>
      </c>
      <c r="AH140" s="10">
        <v>333.35600000000005</v>
      </c>
      <c r="AI140" s="10">
        <v>578.16299999999978</v>
      </c>
      <c r="AJ140" s="10"/>
      <c r="AK140" s="46"/>
      <c r="AL140" s="46"/>
      <c r="AM140" s="46"/>
      <c r="AN140" s="46"/>
      <c r="AO140" s="46"/>
      <c r="AP140" s="46"/>
      <c r="AQ140" s="46">
        <f t="shared" si="8"/>
        <v>308.82720833333332</v>
      </c>
      <c r="AR140" s="7">
        <f t="shared" si="9"/>
        <v>20.588480555555556</v>
      </c>
    </row>
    <row r="141" spans="1:44" x14ac:dyDescent="0.3">
      <c r="A141" s="5">
        <v>140</v>
      </c>
      <c r="B141" s="108" t="s">
        <v>565</v>
      </c>
      <c r="C141" s="97" t="s">
        <v>669</v>
      </c>
      <c r="D141" s="39" t="s">
        <v>912</v>
      </c>
      <c r="E141" s="121" t="s">
        <v>1281</v>
      </c>
      <c r="F141" s="110" t="s">
        <v>128</v>
      </c>
      <c r="G141" s="6" t="s">
        <v>12</v>
      </c>
      <c r="H141" s="6" t="s">
        <v>971</v>
      </c>
      <c r="I141" s="6" t="s">
        <v>80</v>
      </c>
      <c r="J141" s="5">
        <v>0</v>
      </c>
      <c r="K141" s="94" t="s">
        <v>273</v>
      </c>
      <c r="L141" s="46">
        <v>0</v>
      </c>
      <c r="M141" s="46">
        <v>0</v>
      </c>
      <c r="N141" s="46">
        <v>0</v>
      </c>
      <c r="O141" s="46">
        <v>0</v>
      </c>
      <c r="P141" s="46">
        <v>0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0</v>
      </c>
      <c r="Z141" s="46">
        <v>1.87</v>
      </c>
      <c r="AA141" s="46">
        <v>0</v>
      </c>
      <c r="AB141" s="46">
        <v>0</v>
      </c>
      <c r="AC141" s="46">
        <v>0</v>
      </c>
      <c r="AD141" s="10">
        <v>4.37</v>
      </c>
      <c r="AE141" s="10">
        <v>3.06</v>
      </c>
      <c r="AF141" s="10">
        <v>7.3999999999999995</v>
      </c>
      <c r="AG141" s="10">
        <v>0</v>
      </c>
      <c r="AH141" s="46">
        <v>0</v>
      </c>
      <c r="AI141" s="10">
        <v>0</v>
      </c>
      <c r="AJ141" s="10"/>
      <c r="AK141" s="46"/>
      <c r="AL141" s="46"/>
      <c r="AM141" s="46"/>
      <c r="AN141" s="46"/>
      <c r="AO141" s="46"/>
      <c r="AP141" s="46"/>
      <c r="AQ141" s="46">
        <f t="shared" si="8"/>
        <v>0.6958333333333333</v>
      </c>
      <c r="AR141" s="7" t="e">
        <f t="shared" si="9"/>
        <v>#DIV/0!</v>
      </c>
    </row>
    <row r="142" spans="1:44" ht="14.25" customHeight="1" x14ac:dyDescent="0.3">
      <c r="A142" s="5">
        <v>141</v>
      </c>
      <c r="B142" s="107" t="s">
        <v>65</v>
      </c>
      <c r="C142" s="97" t="s">
        <v>670</v>
      </c>
      <c r="D142" s="12" t="s">
        <v>732</v>
      </c>
      <c r="E142" s="121" t="s">
        <v>1282</v>
      </c>
      <c r="F142" s="110" t="s">
        <v>30</v>
      </c>
      <c r="G142" s="6" t="s">
        <v>12</v>
      </c>
      <c r="H142" s="6" t="s">
        <v>976</v>
      </c>
      <c r="I142" s="6" t="s">
        <v>35</v>
      </c>
      <c r="J142" s="5">
        <v>5</v>
      </c>
      <c r="K142" s="12" t="s">
        <v>589</v>
      </c>
      <c r="L142" s="46">
        <v>0</v>
      </c>
      <c r="M142" s="46">
        <v>0</v>
      </c>
      <c r="N142" s="46">
        <v>2.91</v>
      </c>
      <c r="O142" s="46">
        <v>0</v>
      </c>
      <c r="P142" s="46">
        <v>0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46">
        <v>0</v>
      </c>
      <c r="AA142" s="46">
        <v>0</v>
      </c>
      <c r="AB142" s="46">
        <v>0</v>
      </c>
      <c r="AC142" s="46">
        <v>0</v>
      </c>
      <c r="AD142" s="46">
        <v>0</v>
      </c>
      <c r="AE142" s="46">
        <v>0</v>
      </c>
      <c r="AF142" s="46">
        <v>0</v>
      </c>
      <c r="AG142" s="46">
        <v>0</v>
      </c>
      <c r="AH142" s="46">
        <v>0</v>
      </c>
      <c r="AI142" s="46">
        <v>0</v>
      </c>
      <c r="AJ142" s="46"/>
      <c r="AK142" s="46"/>
      <c r="AL142" s="46"/>
      <c r="AM142" s="46"/>
      <c r="AN142" s="46"/>
      <c r="AO142" s="46"/>
      <c r="AP142" s="46"/>
      <c r="AQ142" s="46">
        <f t="shared" si="8"/>
        <v>0.12125000000000001</v>
      </c>
      <c r="AR142" s="7">
        <f t="shared" si="9"/>
        <v>2.4250000000000001E-2</v>
      </c>
    </row>
    <row r="143" spans="1:44" x14ac:dyDescent="0.3">
      <c r="A143" s="5">
        <v>142</v>
      </c>
      <c r="B143" s="107" t="s">
        <v>65</v>
      </c>
      <c r="C143" s="97" t="s">
        <v>671</v>
      </c>
      <c r="D143" s="12" t="s">
        <v>723</v>
      </c>
      <c r="E143" s="121" t="s">
        <v>1283</v>
      </c>
      <c r="F143" s="110" t="s">
        <v>30</v>
      </c>
      <c r="G143" s="6" t="s">
        <v>12</v>
      </c>
      <c r="H143" s="6" t="s">
        <v>976</v>
      </c>
      <c r="I143" s="6" t="s">
        <v>35</v>
      </c>
      <c r="J143" s="5">
        <v>16</v>
      </c>
      <c r="K143" s="12" t="s">
        <v>589</v>
      </c>
      <c r="L143" s="46">
        <v>61.612000000000002</v>
      </c>
      <c r="M143" s="46">
        <v>22.332000000000001</v>
      </c>
      <c r="N143" s="46">
        <v>34.400999999999996</v>
      </c>
      <c r="O143" s="46">
        <v>56.187999999999995</v>
      </c>
      <c r="P143" s="46">
        <v>17.283000000000001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/>
      <c r="AK143" s="46"/>
      <c r="AL143" s="46"/>
      <c r="AM143" s="46"/>
      <c r="AN143" s="46"/>
      <c r="AO143" s="46"/>
      <c r="AP143" s="46"/>
      <c r="AQ143" s="46">
        <f t="shared" si="8"/>
        <v>7.992333333333332</v>
      </c>
      <c r="AR143" s="7">
        <f t="shared" si="9"/>
        <v>0.49952083333333325</v>
      </c>
    </row>
    <row r="144" spans="1:44" x14ac:dyDescent="0.3">
      <c r="A144" s="5">
        <v>143</v>
      </c>
      <c r="B144" s="107" t="s">
        <v>65</v>
      </c>
      <c r="C144" s="97" t="s">
        <v>672</v>
      </c>
      <c r="D144" s="12" t="s">
        <v>818</v>
      </c>
      <c r="E144" s="121" t="s">
        <v>1284</v>
      </c>
      <c r="F144" s="110" t="s">
        <v>30</v>
      </c>
      <c r="G144" s="6" t="s">
        <v>12</v>
      </c>
      <c r="H144" s="6" t="s">
        <v>976</v>
      </c>
      <c r="I144" s="6" t="s">
        <v>35</v>
      </c>
      <c r="J144" s="5">
        <v>10</v>
      </c>
      <c r="K144" s="12" t="s">
        <v>589</v>
      </c>
      <c r="L144" s="46">
        <v>0</v>
      </c>
      <c r="M144" s="46">
        <v>0</v>
      </c>
      <c r="N144" s="46">
        <v>0</v>
      </c>
      <c r="O144" s="46">
        <v>0</v>
      </c>
      <c r="P144" s="46">
        <v>0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46">
        <v>0</v>
      </c>
      <c r="AA144" s="46">
        <v>0</v>
      </c>
      <c r="AB144" s="46">
        <v>0</v>
      </c>
      <c r="AC144" s="46">
        <v>0</v>
      </c>
      <c r="AD144" s="46">
        <v>0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J144" s="46"/>
      <c r="AK144" s="46"/>
      <c r="AL144" s="46"/>
      <c r="AM144" s="46"/>
      <c r="AN144" s="46"/>
      <c r="AO144" s="46"/>
      <c r="AP144" s="46"/>
      <c r="AQ144" s="46">
        <f t="shared" si="8"/>
        <v>0</v>
      </c>
      <c r="AR144" s="7">
        <f t="shared" si="9"/>
        <v>0</v>
      </c>
    </row>
    <row r="145" spans="1:44" x14ac:dyDescent="0.3">
      <c r="A145" s="5">
        <v>144</v>
      </c>
      <c r="B145" s="107" t="s">
        <v>65</v>
      </c>
      <c r="C145" s="97" t="s">
        <v>673</v>
      </c>
      <c r="D145" s="12" t="s">
        <v>719</v>
      </c>
      <c r="E145" s="121" t="s">
        <v>1285</v>
      </c>
      <c r="F145" s="110" t="s">
        <v>30</v>
      </c>
      <c r="G145" s="6" t="s">
        <v>12</v>
      </c>
      <c r="H145" s="6" t="s">
        <v>976</v>
      </c>
      <c r="I145" s="6" t="s">
        <v>35</v>
      </c>
      <c r="J145" s="5">
        <v>13</v>
      </c>
      <c r="K145" s="12" t="s">
        <v>589</v>
      </c>
      <c r="L145" s="46">
        <v>0</v>
      </c>
      <c r="M145" s="46">
        <v>0</v>
      </c>
      <c r="N145" s="46">
        <v>0</v>
      </c>
      <c r="O145" s="46">
        <v>0</v>
      </c>
      <c r="P145" s="46">
        <v>0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46">
        <v>0</v>
      </c>
      <c r="AA145" s="46">
        <v>0</v>
      </c>
      <c r="AB145" s="46">
        <v>0</v>
      </c>
      <c r="AC145" s="46">
        <v>0</v>
      </c>
      <c r="AD145" s="46">
        <v>0</v>
      </c>
      <c r="AE145" s="46">
        <v>0</v>
      </c>
      <c r="AF145" s="46">
        <v>0</v>
      </c>
      <c r="AG145" s="46">
        <v>0</v>
      </c>
      <c r="AH145" s="46">
        <v>0</v>
      </c>
      <c r="AI145" s="46">
        <v>0</v>
      </c>
      <c r="AJ145" s="46"/>
      <c r="AK145" s="46"/>
      <c r="AL145" s="46"/>
      <c r="AM145" s="46"/>
      <c r="AN145" s="46"/>
      <c r="AO145" s="46"/>
      <c r="AP145" s="46"/>
      <c r="AQ145" s="46">
        <f t="shared" si="8"/>
        <v>0</v>
      </c>
      <c r="AR145" s="7">
        <f t="shared" si="9"/>
        <v>0</v>
      </c>
    </row>
    <row r="146" spans="1:44" x14ac:dyDescent="0.3">
      <c r="A146" s="5">
        <v>145</v>
      </c>
      <c r="B146" s="107" t="s">
        <v>65</v>
      </c>
      <c r="C146" s="97" t="s">
        <v>941</v>
      </c>
      <c r="D146" s="112" t="s">
        <v>904</v>
      </c>
      <c r="E146" s="121" t="s">
        <v>1286</v>
      </c>
      <c r="F146" s="110" t="s">
        <v>128</v>
      </c>
      <c r="G146" s="6" t="s">
        <v>12</v>
      </c>
      <c r="H146" s="6" t="s">
        <v>976</v>
      </c>
      <c r="I146" s="6" t="s">
        <v>35</v>
      </c>
      <c r="J146" s="5">
        <v>15</v>
      </c>
      <c r="K146" s="94" t="s">
        <v>273</v>
      </c>
      <c r="L146" s="46">
        <v>438.58699999999999</v>
      </c>
      <c r="M146" s="46">
        <v>368.32100000000003</v>
      </c>
      <c r="N146" s="46">
        <v>305.63600000000008</v>
      </c>
      <c r="O146" s="46">
        <v>360.58800000000008</v>
      </c>
      <c r="P146" s="46">
        <v>276.83399999999995</v>
      </c>
      <c r="Q146" s="46">
        <v>298.37200000000001</v>
      </c>
      <c r="R146" s="46">
        <v>425.16000000000014</v>
      </c>
      <c r="S146" s="46">
        <v>358.01400000000007</v>
      </c>
      <c r="T146" s="46">
        <v>411.11199999999991</v>
      </c>
      <c r="U146" s="46">
        <v>339.762</v>
      </c>
      <c r="V146" s="46">
        <v>341.51500000000004</v>
      </c>
      <c r="W146" s="46">
        <v>338.92700000000008</v>
      </c>
      <c r="X146" s="46">
        <v>320.12600000000003</v>
      </c>
      <c r="Y146" s="46">
        <v>323.06399999999996</v>
      </c>
      <c r="Z146" s="46">
        <v>332.44400000000002</v>
      </c>
      <c r="AA146" s="46">
        <v>260.56899999999996</v>
      </c>
      <c r="AB146" s="46">
        <v>0</v>
      </c>
      <c r="AC146" s="46">
        <v>0</v>
      </c>
      <c r="AD146" s="10">
        <v>203.42899999999997</v>
      </c>
      <c r="AE146" s="10">
        <v>282.03400000000005</v>
      </c>
      <c r="AF146" s="10">
        <v>292.10200000000003</v>
      </c>
      <c r="AG146" s="10">
        <v>369.04900000000004</v>
      </c>
      <c r="AH146" s="10">
        <v>270.798</v>
      </c>
      <c r="AI146" s="10">
        <v>637.01699999999971</v>
      </c>
      <c r="AJ146" s="10"/>
      <c r="AK146" s="46"/>
      <c r="AL146" s="46"/>
      <c r="AM146" s="46"/>
      <c r="AN146" s="46"/>
      <c r="AO146" s="46"/>
      <c r="AP146" s="46"/>
      <c r="AQ146" s="46">
        <f t="shared" si="8"/>
        <v>314.72750000000002</v>
      </c>
      <c r="AR146" s="7">
        <f t="shared" si="9"/>
        <v>20.981833333333334</v>
      </c>
    </row>
    <row r="147" spans="1:44" x14ac:dyDescent="0.3">
      <c r="A147" s="5">
        <v>146</v>
      </c>
      <c r="B147" s="107" t="s">
        <v>65</v>
      </c>
      <c r="C147" s="97" t="s">
        <v>674</v>
      </c>
      <c r="D147" s="12" t="s">
        <v>730</v>
      </c>
      <c r="E147" s="121" t="s">
        <v>1286</v>
      </c>
      <c r="F147" s="110" t="s">
        <v>30</v>
      </c>
      <c r="G147" s="6" t="s">
        <v>12</v>
      </c>
      <c r="H147" s="6" t="s">
        <v>976</v>
      </c>
      <c r="I147" s="6" t="s">
        <v>35</v>
      </c>
      <c r="J147" s="5">
        <v>23</v>
      </c>
      <c r="K147" s="12" t="s">
        <v>589</v>
      </c>
      <c r="L147" s="46">
        <v>282.64800000000002</v>
      </c>
      <c r="M147" s="46">
        <v>178.09800000000001</v>
      </c>
      <c r="N147" s="46">
        <v>235.63200000000003</v>
      </c>
      <c r="O147" s="46">
        <v>264.64099999999991</v>
      </c>
      <c r="P147" s="46">
        <v>239.58600000000004</v>
      </c>
      <c r="Q147" s="46">
        <v>261.86</v>
      </c>
      <c r="R147" s="46">
        <v>265.31700000000006</v>
      </c>
      <c r="S147" s="46">
        <v>248.83600000000001</v>
      </c>
      <c r="T147" s="46">
        <v>198.221</v>
      </c>
      <c r="U147" s="46">
        <v>186.15299999999999</v>
      </c>
      <c r="V147" s="46">
        <v>202.035</v>
      </c>
      <c r="W147" s="46">
        <v>311.58299999999997</v>
      </c>
      <c r="X147" s="46">
        <v>285.27</v>
      </c>
      <c r="Y147" s="46">
        <v>283.39400000000006</v>
      </c>
      <c r="Z147" s="46">
        <v>302.94900000000001</v>
      </c>
      <c r="AA147" s="46">
        <v>331.46100000000007</v>
      </c>
      <c r="AB147" s="10">
        <v>369.08500000000015</v>
      </c>
      <c r="AC147" s="10">
        <v>291.22899999999998</v>
      </c>
      <c r="AD147" s="10">
        <v>327.65300000000008</v>
      </c>
      <c r="AE147" s="10">
        <v>321.01</v>
      </c>
      <c r="AF147" s="10">
        <v>340.17099999999999</v>
      </c>
      <c r="AG147" s="10">
        <v>239.34700000000009</v>
      </c>
      <c r="AH147" s="10">
        <v>298.8540000000001</v>
      </c>
      <c r="AI147" s="10">
        <v>621.22299999999984</v>
      </c>
      <c r="AJ147" s="10"/>
      <c r="AK147" s="46"/>
      <c r="AL147" s="46"/>
      <c r="AM147" s="46"/>
      <c r="AN147" s="46"/>
      <c r="AO147" s="46"/>
      <c r="AP147" s="46"/>
      <c r="AQ147" s="46">
        <f t="shared" si="8"/>
        <v>286.92733333333337</v>
      </c>
      <c r="AR147" s="7">
        <f t="shared" si="9"/>
        <v>12.475101449275364</v>
      </c>
    </row>
    <row r="148" spans="1:44" x14ac:dyDescent="0.3">
      <c r="A148" s="5">
        <v>147</v>
      </c>
      <c r="B148" s="107" t="s">
        <v>65</v>
      </c>
      <c r="C148" s="97" t="s">
        <v>942</v>
      </c>
      <c r="D148" s="112" t="s">
        <v>922</v>
      </c>
      <c r="E148" s="121" t="s">
        <v>1286</v>
      </c>
      <c r="F148" s="110" t="s">
        <v>30</v>
      </c>
      <c r="G148" s="6" t="s">
        <v>12</v>
      </c>
      <c r="H148" s="6" t="s">
        <v>971</v>
      </c>
      <c r="I148" s="6" t="s">
        <v>80</v>
      </c>
      <c r="J148" s="5">
        <v>3</v>
      </c>
      <c r="K148" s="12" t="s">
        <v>589</v>
      </c>
      <c r="L148" s="46">
        <v>25.999999999999996</v>
      </c>
      <c r="M148" s="46">
        <v>32.910000000000004</v>
      </c>
      <c r="N148" s="46">
        <v>33.24</v>
      </c>
      <c r="O148" s="46">
        <v>15.02</v>
      </c>
      <c r="P148" s="46">
        <v>0.23</v>
      </c>
      <c r="Q148" s="46">
        <v>23.57</v>
      </c>
      <c r="R148" s="46">
        <v>11.37</v>
      </c>
      <c r="S148" s="46">
        <v>26.04</v>
      </c>
      <c r="T148" s="46">
        <v>35.9</v>
      </c>
      <c r="U148" s="46">
        <v>37.129999999999995</v>
      </c>
      <c r="V148" s="46">
        <v>20.12</v>
      </c>
      <c r="W148" s="46">
        <v>8.1999999999999993</v>
      </c>
      <c r="X148" s="46">
        <v>18.350000000000001</v>
      </c>
      <c r="Y148" s="46">
        <v>0</v>
      </c>
      <c r="Z148" s="46">
        <v>9.1199999999999992</v>
      </c>
      <c r="AA148" s="46">
        <v>3.2099999999999995</v>
      </c>
      <c r="AB148" s="10">
        <v>225.73500000000001</v>
      </c>
      <c r="AC148" s="10">
        <v>274.71600000000001</v>
      </c>
      <c r="AD148" s="46">
        <v>0</v>
      </c>
      <c r="AE148" s="46">
        <v>0</v>
      </c>
      <c r="AF148" s="46">
        <v>0</v>
      </c>
      <c r="AG148" s="46">
        <v>0</v>
      </c>
      <c r="AH148" s="46">
        <v>0</v>
      </c>
      <c r="AI148" s="10">
        <v>6.89</v>
      </c>
      <c r="AJ148" s="10"/>
      <c r="AK148" s="46"/>
      <c r="AL148" s="46"/>
      <c r="AM148" s="46"/>
      <c r="AN148" s="46"/>
      <c r="AO148" s="46"/>
      <c r="AP148" s="46"/>
      <c r="AQ148" s="46">
        <f t="shared" si="8"/>
        <v>33.656291666666668</v>
      </c>
      <c r="AR148" s="7">
        <f t="shared" si="9"/>
        <v>11.218763888888889</v>
      </c>
    </row>
    <row r="149" spans="1:44" x14ac:dyDescent="0.3">
      <c r="A149" s="5">
        <v>148</v>
      </c>
      <c r="B149" s="107" t="s">
        <v>65</v>
      </c>
      <c r="C149" s="97" t="s">
        <v>675</v>
      </c>
      <c r="D149" s="12" t="s">
        <v>800</v>
      </c>
      <c r="E149" s="121" t="s">
        <v>1287</v>
      </c>
      <c r="F149" s="110" t="s">
        <v>30</v>
      </c>
      <c r="G149" s="6" t="s">
        <v>12</v>
      </c>
      <c r="H149" s="6" t="s">
        <v>976</v>
      </c>
      <c r="I149" s="6" t="s">
        <v>35</v>
      </c>
      <c r="J149" s="5">
        <v>1</v>
      </c>
      <c r="K149" s="12" t="s">
        <v>160</v>
      </c>
      <c r="L149" s="46">
        <v>0</v>
      </c>
      <c r="M149" s="46">
        <v>0</v>
      </c>
      <c r="N149" s="46">
        <v>0</v>
      </c>
      <c r="O149" s="46">
        <v>0</v>
      </c>
      <c r="P149" s="46">
        <v>0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46">
        <v>0</v>
      </c>
      <c r="AA149" s="46">
        <v>0</v>
      </c>
      <c r="AB149" s="46">
        <v>0</v>
      </c>
      <c r="AC149" s="46">
        <v>0</v>
      </c>
      <c r="AD149" s="46">
        <v>0</v>
      </c>
      <c r="AE149" s="46">
        <v>0</v>
      </c>
      <c r="AF149" s="46">
        <v>0</v>
      </c>
      <c r="AG149" s="46">
        <v>0</v>
      </c>
      <c r="AH149" s="46">
        <v>0</v>
      </c>
      <c r="AI149" s="46">
        <v>0</v>
      </c>
      <c r="AJ149" s="46"/>
      <c r="AK149" s="46"/>
      <c r="AL149" s="46"/>
      <c r="AM149" s="46"/>
      <c r="AN149" s="46"/>
      <c r="AO149" s="46"/>
      <c r="AP149" s="46"/>
      <c r="AQ149" s="46">
        <f t="shared" si="8"/>
        <v>0</v>
      </c>
      <c r="AR149" s="7">
        <f t="shared" si="9"/>
        <v>0</v>
      </c>
    </row>
    <row r="150" spans="1:44" x14ac:dyDescent="0.3">
      <c r="A150" s="5">
        <v>149</v>
      </c>
      <c r="B150" s="107" t="s">
        <v>65</v>
      </c>
      <c r="C150" s="97" t="s">
        <v>676</v>
      </c>
      <c r="D150" s="12" t="s">
        <v>801</v>
      </c>
      <c r="E150" s="121" t="s">
        <v>1288</v>
      </c>
      <c r="F150" s="110" t="s">
        <v>30</v>
      </c>
      <c r="G150" s="6" t="s">
        <v>12</v>
      </c>
      <c r="H150" s="6" t="s">
        <v>976</v>
      </c>
      <c r="I150" s="6" t="s">
        <v>35</v>
      </c>
      <c r="J150" s="5">
        <v>1</v>
      </c>
      <c r="K150" s="12" t="s">
        <v>160</v>
      </c>
      <c r="L150" s="46">
        <v>0</v>
      </c>
      <c r="M150" s="46">
        <v>0</v>
      </c>
      <c r="N150" s="46">
        <v>0</v>
      </c>
      <c r="O150" s="46">
        <v>0</v>
      </c>
      <c r="P150" s="46">
        <v>0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46">
        <v>0</v>
      </c>
      <c r="AA150" s="46">
        <v>0</v>
      </c>
      <c r="AB150" s="46">
        <v>0</v>
      </c>
      <c r="AC150" s="46">
        <v>0</v>
      </c>
      <c r="AD150" s="46">
        <v>0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J150" s="46"/>
      <c r="AK150" s="46"/>
      <c r="AL150" s="46"/>
      <c r="AM150" s="46"/>
      <c r="AN150" s="46"/>
      <c r="AO150" s="46"/>
      <c r="AP150" s="46"/>
      <c r="AQ150" s="46">
        <f t="shared" si="8"/>
        <v>0</v>
      </c>
      <c r="AR150" s="7">
        <f t="shared" si="9"/>
        <v>0</v>
      </c>
    </row>
    <row r="151" spans="1:44" x14ac:dyDescent="0.3">
      <c r="A151" s="5">
        <v>150</v>
      </c>
      <c r="B151" s="107" t="s">
        <v>65</v>
      </c>
      <c r="C151" s="97" t="s">
        <v>677</v>
      </c>
      <c r="D151" s="12" t="s">
        <v>990</v>
      </c>
      <c r="E151" s="121" t="s">
        <v>1289</v>
      </c>
      <c r="F151" s="110" t="s">
        <v>128</v>
      </c>
      <c r="G151" s="6" t="s">
        <v>12</v>
      </c>
      <c r="H151" s="6" t="s">
        <v>979</v>
      </c>
      <c r="I151" s="6" t="s">
        <v>35</v>
      </c>
      <c r="J151" s="5">
        <v>3</v>
      </c>
      <c r="K151" s="67" t="s">
        <v>160</v>
      </c>
      <c r="L151" s="46">
        <v>0</v>
      </c>
      <c r="M151" s="46">
        <v>0</v>
      </c>
      <c r="N151" s="46">
        <v>0</v>
      </c>
      <c r="O151" s="46">
        <v>23.433</v>
      </c>
      <c r="P151" s="46">
        <v>0</v>
      </c>
      <c r="Q151" s="46">
        <v>0</v>
      </c>
      <c r="R151" s="46">
        <v>27.010999999999999</v>
      </c>
      <c r="S151" s="46">
        <v>40.580999999999996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46">
        <v>0</v>
      </c>
      <c r="AA151" s="46">
        <v>0</v>
      </c>
      <c r="AB151" s="10">
        <v>29.139000000000003</v>
      </c>
      <c r="AC151" s="10">
        <v>0</v>
      </c>
      <c r="AD151" s="46">
        <v>0</v>
      </c>
      <c r="AE151" s="46">
        <v>0</v>
      </c>
      <c r="AF151" s="46">
        <v>0</v>
      </c>
      <c r="AG151" s="46">
        <v>0</v>
      </c>
      <c r="AH151" s="46">
        <v>0</v>
      </c>
      <c r="AI151" s="10">
        <v>60.103999999999999</v>
      </c>
      <c r="AJ151" s="10"/>
      <c r="AK151" s="46"/>
      <c r="AL151" s="46"/>
      <c r="AM151" s="46"/>
      <c r="AN151" s="46"/>
      <c r="AO151" s="46"/>
      <c r="AP151" s="46"/>
      <c r="AQ151" s="46">
        <f t="shared" si="8"/>
        <v>7.5111666666666679</v>
      </c>
      <c r="AR151" s="7">
        <f t="shared" si="9"/>
        <v>2.5037222222222226</v>
      </c>
    </row>
    <row r="152" spans="1:44" ht="15.75" customHeight="1" x14ac:dyDescent="0.3">
      <c r="A152" s="5">
        <v>151</v>
      </c>
      <c r="B152" s="107" t="s">
        <v>65</v>
      </c>
      <c r="C152" s="97" t="s">
        <v>678</v>
      </c>
      <c r="D152" s="12" t="s">
        <v>803</v>
      </c>
      <c r="E152" s="121" t="s">
        <v>1290</v>
      </c>
      <c r="F152" s="110"/>
      <c r="G152" s="6" t="s">
        <v>130</v>
      </c>
      <c r="H152" s="6" t="s">
        <v>976</v>
      </c>
      <c r="I152" s="6" t="s">
        <v>35</v>
      </c>
      <c r="J152" s="5">
        <v>2</v>
      </c>
      <c r="K152" s="12" t="s">
        <v>590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/>
      <c r="AK152" s="46"/>
      <c r="AL152" s="46"/>
      <c r="AM152" s="46"/>
      <c r="AN152" s="46"/>
      <c r="AO152" s="46"/>
      <c r="AP152" s="46"/>
      <c r="AQ152" s="46">
        <f t="shared" si="8"/>
        <v>0</v>
      </c>
      <c r="AR152" s="7">
        <f t="shared" si="9"/>
        <v>0</v>
      </c>
    </row>
    <row r="153" spans="1:44" x14ac:dyDescent="0.3">
      <c r="A153" s="5">
        <v>152</v>
      </c>
      <c r="B153" s="107" t="s">
        <v>65</v>
      </c>
      <c r="C153" s="97" t="s">
        <v>679</v>
      </c>
      <c r="D153" s="12" t="s">
        <v>737</v>
      </c>
      <c r="E153" s="121" t="s">
        <v>1291</v>
      </c>
      <c r="F153" s="110" t="s">
        <v>128</v>
      </c>
      <c r="G153" s="6" t="s">
        <v>19</v>
      </c>
      <c r="H153" s="6" t="s">
        <v>976</v>
      </c>
      <c r="I153" s="6" t="s">
        <v>35</v>
      </c>
      <c r="J153" s="5">
        <v>6</v>
      </c>
      <c r="K153" s="12" t="s">
        <v>590</v>
      </c>
      <c r="L153" s="46">
        <v>14.356000000000002</v>
      </c>
      <c r="M153" s="46">
        <v>19.671000000000003</v>
      </c>
      <c r="N153" s="46">
        <v>0</v>
      </c>
      <c r="O153" s="46">
        <v>0</v>
      </c>
      <c r="P153" s="46">
        <v>16.201000000000001</v>
      </c>
      <c r="Q153" s="46">
        <v>12.122</v>
      </c>
      <c r="R153" s="46">
        <v>19.182999999999996</v>
      </c>
      <c r="S153" s="46">
        <v>15.911999999999999</v>
      </c>
      <c r="T153" s="46">
        <v>25.684999999999999</v>
      </c>
      <c r="U153" s="46">
        <v>0.02</v>
      </c>
      <c r="V153" s="46">
        <v>0</v>
      </c>
      <c r="W153" s="46">
        <v>0</v>
      </c>
      <c r="X153" s="46">
        <v>26.119999999999997</v>
      </c>
      <c r="Y153" s="46">
        <v>1.4159999999999999</v>
      </c>
      <c r="Z153" s="46">
        <v>6.1660000000000004</v>
      </c>
      <c r="AA153" s="46">
        <v>11.032</v>
      </c>
      <c r="AB153" s="46">
        <v>0</v>
      </c>
      <c r="AC153" s="46">
        <v>0</v>
      </c>
      <c r="AD153" s="10">
        <v>3.8849999999999998</v>
      </c>
      <c r="AE153" s="10">
        <v>15.521999999999998</v>
      </c>
      <c r="AF153" s="10">
        <v>34.828000000000003</v>
      </c>
      <c r="AG153" s="10">
        <v>4.125</v>
      </c>
      <c r="AH153" s="10">
        <v>15.279</v>
      </c>
      <c r="AI153" s="46">
        <v>0</v>
      </c>
      <c r="AJ153" s="46"/>
      <c r="AK153" s="46"/>
      <c r="AL153" s="46"/>
      <c r="AM153" s="46"/>
      <c r="AN153" s="46"/>
      <c r="AO153" s="46"/>
      <c r="AP153" s="46"/>
      <c r="AQ153" s="46">
        <f t="shared" si="8"/>
        <v>10.063458333333331</v>
      </c>
      <c r="AR153" s="7">
        <f t="shared" si="9"/>
        <v>1.6772430555555553</v>
      </c>
    </row>
    <row r="154" spans="1:44" x14ac:dyDescent="0.3">
      <c r="A154" s="5">
        <v>153</v>
      </c>
      <c r="B154" s="107" t="s">
        <v>65</v>
      </c>
      <c r="C154" s="97" t="s">
        <v>680</v>
      </c>
      <c r="D154" s="12" t="s">
        <v>751</v>
      </c>
      <c r="E154" s="121" t="s">
        <v>1292</v>
      </c>
      <c r="F154" s="110" t="s">
        <v>128</v>
      </c>
      <c r="G154" s="6" t="s">
        <v>12</v>
      </c>
      <c r="H154" s="6" t="s">
        <v>976</v>
      </c>
      <c r="I154" s="6" t="s">
        <v>35</v>
      </c>
      <c r="J154" s="5">
        <v>20</v>
      </c>
      <c r="K154" s="94" t="s">
        <v>273</v>
      </c>
      <c r="L154" s="46">
        <v>100.21599999999999</v>
      </c>
      <c r="M154" s="46">
        <v>91.122000000000014</v>
      </c>
      <c r="N154" s="46">
        <v>86.360000000000014</v>
      </c>
      <c r="O154" s="46">
        <v>110.98299999999999</v>
      </c>
      <c r="P154" s="46">
        <v>134.63500000000002</v>
      </c>
      <c r="Q154" s="46">
        <v>143.25200000000001</v>
      </c>
      <c r="R154" s="46">
        <v>168.71399999999997</v>
      </c>
      <c r="S154" s="46">
        <v>138.56300000000002</v>
      </c>
      <c r="T154" s="46">
        <v>134.78800000000001</v>
      </c>
      <c r="U154" s="46">
        <v>113.84500000000001</v>
      </c>
      <c r="V154" s="46">
        <v>95.422000000000011</v>
      </c>
      <c r="W154" s="46">
        <v>137.38599999999997</v>
      </c>
      <c r="X154" s="46">
        <v>107.151</v>
      </c>
      <c r="Y154" s="46">
        <v>74.764000000000024</v>
      </c>
      <c r="Z154" s="46">
        <v>105.56499999999998</v>
      </c>
      <c r="AA154" s="46">
        <v>108.88799999999999</v>
      </c>
      <c r="AB154" s="10">
        <v>111.38899999999998</v>
      </c>
      <c r="AC154" s="10">
        <v>74.423000000000002</v>
      </c>
      <c r="AD154" s="10">
        <v>41.403999999999996</v>
      </c>
      <c r="AE154" s="10">
        <v>51.328999999999994</v>
      </c>
      <c r="AF154" s="10">
        <v>60.152000000000008</v>
      </c>
      <c r="AG154" s="10">
        <v>67.548999999999992</v>
      </c>
      <c r="AH154" s="10">
        <v>84.022999999999996</v>
      </c>
      <c r="AI154" s="10">
        <v>148.32400000000001</v>
      </c>
      <c r="AJ154" s="10"/>
      <c r="AK154" s="46"/>
      <c r="AL154" s="46"/>
      <c r="AM154" s="46"/>
      <c r="AN154" s="46"/>
      <c r="AO154" s="46"/>
      <c r="AP154" s="46"/>
      <c r="AQ154" s="46">
        <f t="shared" si="8"/>
        <v>103.76029166666667</v>
      </c>
      <c r="AR154" s="7">
        <f t="shared" si="9"/>
        <v>5.1880145833333335</v>
      </c>
    </row>
    <row r="155" spans="1:44" x14ac:dyDescent="0.3">
      <c r="A155" s="5">
        <v>154</v>
      </c>
      <c r="B155" s="107" t="s">
        <v>65</v>
      </c>
      <c r="C155" s="97" t="s">
        <v>945</v>
      </c>
      <c r="D155" s="112" t="s">
        <v>946</v>
      </c>
      <c r="E155" s="121" t="s">
        <v>1292</v>
      </c>
      <c r="F155" s="110" t="s">
        <v>128</v>
      </c>
      <c r="G155" s="6" t="s">
        <v>12</v>
      </c>
      <c r="H155" s="6" t="s">
        <v>979</v>
      </c>
      <c r="I155" s="6" t="s">
        <v>35</v>
      </c>
      <c r="J155" s="5">
        <v>1</v>
      </c>
      <c r="K155" s="67" t="s">
        <v>160</v>
      </c>
      <c r="L155" s="46">
        <v>29.380000000000003</v>
      </c>
      <c r="M155" s="46">
        <v>18.003</v>
      </c>
      <c r="N155" s="46">
        <v>22.5</v>
      </c>
      <c r="O155" s="46">
        <v>18.047000000000001</v>
      </c>
      <c r="P155" s="46">
        <v>15.484000000000002</v>
      </c>
      <c r="Q155" s="46">
        <v>21.963000000000001</v>
      </c>
      <c r="R155" s="46">
        <v>21.437999999999999</v>
      </c>
      <c r="S155" s="46">
        <v>14.328000000000001</v>
      </c>
      <c r="T155" s="46">
        <v>22.972999999999999</v>
      </c>
      <c r="U155" s="46">
        <v>7.9980000000000002</v>
      </c>
      <c r="V155" s="46">
        <v>39.129000000000005</v>
      </c>
      <c r="W155" s="46">
        <v>19.146999999999998</v>
      </c>
      <c r="X155" s="46">
        <v>36.042999999999999</v>
      </c>
      <c r="Y155" s="46">
        <v>32.071999999999996</v>
      </c>
      <c r="Z155" s="46">
        <v>14.173</v>
      </c>
      <c r="AA155" s="46">
        <v>0</v>
      </c>
      <c r="AB155" s="10">
        <v>38.369</v>
      </c>
      <c r="AC155" s="10">
        <v>18.972999999999999</v>
      </c>
      <c r="AD155" s="10">
        <v>28.716999999999999</v>
      </c>
      <c r="AE155" s="10">
        <v>16.721</v>
      </c>
      <c r="AF155" s="10">
        <v>7.843</v>
      </c>
      <c r="AG155" s="10">
        <v>17.707999999999998</v>
      </c>
      <c r="AH155" s="10">
        <v>29.712000000000003</v>
      </c>
      <c r="AI155" s="10">
        <v>32.118000000000002</v>
      </c>
      <c r="AJ155" s="10"/>
      <c r="AK155" s="46"/>
      <c r="AL155" s="46"/>
      <c r="AM155" s="46"/>
      <c r="AN155" s="46"/>
      <c r="AO155" s="46"/>
      <c r="AP155" s="46"/>
      <c r="AQ155" s="46">
        <f t="shared" si="8"/>
        <v>21.784958333333336</v>
      </c>
      <c r="AR155" s="7">
        <f t="shared" si="9"/>
        <v>21.784958333333336</v>
      </c>
    </row>
    <row r="156" spans="1:44" x14ac:dyDescent="0.3">
      <c r="A156" s="5">
        <v>155</v>
      </c>
      <c r="B156" s="107" t="s">
        <v>65</v>
      </c>
      <c r="C156" s="97" t="s">
        <v>945</v>
      </c>
      <c r="D156" s="112" t="s">
        <v>946</v>
      </c>
      <c r="E156" s="121" t="s">
        <v>1292</v>
      </c>
      <c r="F156" s="110" t="s">
        <v>128</v>
      </c>
      <c r="G156" s="6" t="s">
        <v>12</v>
      </c>
      <c r="H156" s="6" t="s">
        <v>971</v>
      </c>
      <c r="I156" s="6" t="s">
        <v>80</v>
      </c>
      <c r="J156" s="5">
        <v>1</v>
      </c>
      <c r="K156" s="12" t="s">
        <v>589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/>
      <c r="AK156" s="59"/>
      <c r="AL156" s="46"/>
      <c r="AM156" s="46"/>
      <c r="AN156" s="46"/>
      <c r="AO156" s="46"/>
      <c r="AP156" s="46"/>
      <c r="AQ156" s="46">
        <f t="shared" si="8"/>
        <v>0</v>
      </c>
      <c r="AR156" s="7">
        <f t="shared" si="9"/>
        <v>0</v>
      </c>
    </row>
    <row r="157" spans="1:44" x14ac:dyDescent="0.3">
      <c r="A157" s="5">
        <v>156</v>
      </c>
      <c r="B157" s="107" t="s">
        <v>65</v>
      </c>
      <c r="C157" s="97" t="s">
        <v>701</v>
      </c>
      <c r="D157" s="112" t="s">
        <v>938</v>
      </c>
      <c r="E157" s="121" t="s">
        <v>1293</v>
      </c>
      <c r="F157" s="110" t="s">
        <v>128</v>
      </c>
      <c r="G157" s="6" t="s">
        <v>12</v>
      </c>
      <c r="H157" s="6" t="s">
        <v>976</v>
      </c>
      <c r="I157" s="6" t="s">
        <v>35</v>
      </c>
      <c r="J157" s="5">
        <v>5</v>
      </c>
      <c r="K157" s="12" t="s">
        <v>589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59">
        <v>0</v>
      </c>
      <c r="V157" s="46">
        <v>0</v>
      </c>
      <c r="W157" s="59">
        <v>0</v>
      </c>
      <c r="X157" s="59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/>
      <c r="AK157" s="46"/>
      <c r="AL157" s="46"/>
      <c r="AM157" s="46"/>
      <c r="AN157" s="46"/>
      <c r="AO157" s="46"/>
      <c r="AP157" s="46"/>
      <c r="AQ157" s="46">
        <f t="shared" si="8"/>
        <v>0</v>
      </c>
      <c r="AR157" s="7">
        <f t="shared" si="9"/>
        <v>0</v>
      </c>
    </row>
    <row r="158" spans="1:44" x14ac:dyDescent="0.3">
      <c r="A158" s="5">
        <v>157</v>
      </c>
      <c r="B158" s="107" t="s">
        <v>65</v>
      </c>
      <c r="C158" s="97" t="s">
        <v>681</v>
      </c>
      <c r="D158" s="12" t="s">
        <v>757</v>
      </c>
      <c r="E158" s="121" t="s">
        <v>1294</v>
      </c>
      <c r="F158" s="110" t="s">
        <v>128</v>
      </c>
      <c r="G158" s="6" t="s">
        <v>12</v>
      </c>
      <c r="H158" s="6" t="s">
        <v>976</v>
      </c>
      <c r="I158" s="6" t="s">
        <v>35</v>
      </c>
      <c r="J158" s="5">
        <v>15</v>
      </c>
      <c r="K158" s="94" t="s">
        <v>273</v>
      </c>
      <c r="L158" s="46">
        <v>249.88200000000001</v>
      </c>
      <c r="M158" s="46">
        <v>202.63600000000002</v>
      </c>
      <c r="N158" s="46">
        <v>247.26799999999997</v>
      </c>
      <c r="O158" s="46">
        <v>227.36999999999998</v>
      </c>
      <c r="P158" s="46">
        <v>199.49800000000005</v>
      </c>
      <c r="Q158" s="46">
        <v>240.67700000000005</v>
      </c>
      <c r="R158" s="46">
        <v>238.97600000000006</v>
      </c>
      <c r="S158" s="46">
        <v>257.74400000000009</v>
      </c>
      <c r="T158" s="46">
        <v>266.65100000000007</v>
      </c>
      <c r="U158" s="46">
        <v>260.85599999999994</v>
      </c>
      <c r="V158" s="46">
        <v>237.92199999999997</v>
      </c>
      <c r="W158" s="46">
        <v>281.28400000000005</v>
      </c>
      <c r="X158" s="46">
        <v>198.83299999999994</v>
      </c>
      <c r="Y158" s="46">
        <v>198.18200000000004</v>
      </c>
      <c r="Z158" s="46">
        <v>165.06799999999998</v>
      </c>
      <c r="AA158" s="46">
        <v>182.60799999999995</v>
      </c>
      <c r="AB158" s="10">
        <v>207.53</v>
      </c>
      <c r="AC158" s="10">
        <v>185.30699999999996</v>
      </c>
      <c r="AD158" s="10">
        <v>183.976</v>
      </c>
      <c r="AE158" s="10">
        <v>224.405</v>
      </c>
      <c r="AF158" s="10">
        <v>162.416</v>
      </c>
      <c r="AG158" s="10">
        <v>184.17499999999998</v>
      </c>
      <c r="AH158" s="10">
        <v>201.874</v>
      </c>
      <c r="AI158" s="10">
        <v>412.9989999999998</v>
      </c>
      <c r="AJ158" s="10"/>
      <c r="AK158" s="46"/>
      <c r="AL158" s="46"/>
      <c r="AM158" s="46"/>
      <c r="AN158" s="46"/>
      <c r="AO158" s="46"/>
      <c r="AP158" s="46"/>
      <c r="AQ158" s="46">
        <f t="shared" si="8"/>
        <v>225.75570833333336</v>
      </c>
      <c r="AR158" s="7">
        <f t="shared" si="9"/>
        <v>15.050380555555558</v>
      </c>
    </row>
    <row r="159" spans="1:44" x14ac:dyDescent="0.3">
      <c r="A159" s="5">
        <v>158</v>
      </c>
      <c r="B159" s="107" t="s">
        <v>65</v>
      </c>
      <c r="C159" s="97" t="s">
        <v>943</v>
      </c>
      <c r="D159" s="112" t="s">
        <v>944</v>
      </c>
      <c r="E159" s="121" t="s">
        <v>1295</v>
      </c>
      <c r="F159" s="110" t="s">
        <v>128</v>
      </c>
      <c r="G159" s="6" t="s">
        <v>12</v>
      </c>
      <c r="H159" s="6" t="s">
        <v>971</v>
      </c>
      <c r="I159" s="6" t="s">
        <v>80</v>
      </c>
      <c r="J159" s="5">
        <v>1</v>
      </c>
      <c r="K159" s="94" t="s">
        <v>273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/>
      <c r="AK159" s="46"/>
      <c r="AL159" s="46"/>
      <c r="AM159" s="46"/>
      <c r="AN159" s="46"/>
      <c r="AO159" s="46"/>
      <c r="AP159" s="46"/>
      <c r="AQ159" s="46">
        <f t="shared" si="8"/>
        <v>0</v>
      </c>
      <c r="AR159" s="7">
        <f t="shared" si="9"/>
        <v>0</v>
      </c>
    </row>
    <row r="160" spans="1:44" x14ac:dyDescent="0.3">
      <c r="A160" s="5">
        <v>159</v>
      </c>
      <c r="B160" s="107" t="s">
        <v>65</v>
      </c>
      <c r="C160" s="97" t="s">
        <v>682</v>
      </c>
      <c r="D160" s="12" t="s">
        <v>744</v>
      </c>
      <c r="E160" s="121" t="s">
        <v>1296</v>
      </c>
      <c r="F160" s="110" t="s">
        <v>128</v>
      </c>
      <c r="G160" s="6" t="s">
        <v>12</v>
      </c>
      <c r="H160" s="6" t="s">
        <v>976</v>
      </c>
      <c r="I160" s="6" t="s">
        <v>35</v>
      </c>
      <c r="J160" s="5">
        <v>4</v>
      </c>
      <c r="K160" s="12" t="s">
        <v>160</v>
      </c>
      <c r="L160" s="46">
        <v>0</v>
      </c>
      <c r="M160" s="46">
        <v>0</v>
      </c>
      <c r="N160" s="46">
        <v>0.219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0.39100000000000001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10">
        <v>2.2370000000000001</v>
      </c>
      <c r="AG160" s="46">
        <v>0</v>
      </c>
      <c r="AH160" s="46">
        <v>0</v>
      </c>
      <c r="AI160" s="46">
        <v>0</v>
      </c>
      <c r="AJ160" s="46"/>
      <c r="AK160" s="46"/>
      <c r="AL160" s="46"/>
      <c r="AM160" s="46"/>
      <c r="AN160" s="46"/>
      <c r="AO160" s="46"/>
      <c r="AP160" s="46"/>
      <c r="AQ160" s="46">
        <f t="shared" si="8"/>
        <v>0.11862499999999999</v>
      </c>
      <c r="AR160" s="7">
        <f t="shared" si="9"/>
        <v>2.9656249999999999E-2</v>
      </c>
    </row>
    <row r="161" spans="1:44" x14ac:dyDescent="0.3">
      <c r="A161" s="5">
        <v>160</v>
      </c>
      <c r="B161" s="107" t="s">
        <v>65</v>
      </c>
      <c r="C161" s="97" t="s">
        <v>682</v>
      </c>
      <c r="D161" s="12" t="s">
        <v>744</v>
      </c>
      <c r="E161" s="121" t="s">
        <v>1296</v>
      </c>
      <c r="F161" s="110" t="s">
        <v>128</v>
      </c>
      <c r="G161" s="6" t="s">
        <v>12</v>
      </c>
      <c r="H161" s="6" t="s">
        <v>979</v>
      </c>
      <c r="I161" s="6" t="s">
        <v>35</v>
      </c>
      <c r="J161" s="5">
        <v>2</v>
      </c>
      <c r="K161" s="12" t="s">
        <v>160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/>
      <c r="AK161" s="46"/>
      <c r="AL161" s="46"/>
      <c r="AM161" s="46"/>
      <c r="AN161" s="46"/>
      <c r="AO161" s="46"/>
      <c r="AP161" s="46"/>
      <c r="AQ161" s="46">
        <f t="shared" si="8"/>
        <v>0</v>
      </c>
      <c r="AR161" s="7">
        <f t="shared" si="9"/>
        <v>0</v>
      </c>
    </row>
    <row r="162" spans="1:44" x14ac:dyDescent="0.3">
      <c r="A162" s="5">
        <v>161</v>
      </c>
      <c r="B162" s="107" t="s">
        <v>65</v>
      </c>
      <c r="C162" s="97" t="s">
        <v>702</v>
      </c>
      <c r="D162" s="12" t="s">
        <v>734</v>
      </c>
      <c r="E162" s="121" t="s">
        <v>1297</v>
      </c>
      <c r="F162" s="110" t="s">
        <v>236</v>
      </c>
      <c r="G162" s="6" t="s">
        <v>12</v>
      </c>
      <c r="H162" s="6" t="s">
        <v>976</v>
      </c>
      <c r="I162" s="6" t="s">
        <v>35</v>
      </c>
      <c r="J162" s="5">
        <v>3</v>
      </c>
      <c r="K162" s="67" t="s">
        <v>160</v>
      </c>
      <c r="L162" s="46">
        <v>8.6170000000000009</v>
      </c>
      <c r="M162" s="46">
        <v>16.578999999999997</v>
      </c>
      <c r="N162" s="46">
        <v>9.2099999999999991</v>
      </c>
      <c r="O162" s="46">
        <v>4.2759999999999998</v>
      </c>
      <c r="P162" s="46">
        <v>0</v>
      </c>
      <c r="Q162" s="46">
        <v>7.25</v>
      </c>
      <c r="R162" s="46">
        <v>7.2190000000000003</v>
      </c>
      <c r="S162" s="46">
        <v>6.8890000000000002</v>
      </c>
      <c r="T162" s="46">
        <v>0</v>
      </c>
      <c r="U162" s="46">
        <v>8.6790000000000003</v>
      </c>
      <c r="V162" s="46">
        <v>1.762</v>
      </c>
      <c r="W162" s="46">
        <v>1.095</v>
      </c>
      <c r="X162" s="46">
        <v>7.59</v>
      </c>
      <c r="Y162" s="46">
        <v>10.353</v>
      </c>
      <c r="Z162" s="46">
        <v>0</v>
      </c>
      <c r="AA162" s="46">
        <v>5.375</v>
      </c>
      <c r="AB162" s="10">
        <v>9.9480000000000004</v>
      </c>
      <c r="AC162" s="10">
        <v>18.094000000000001</v>
      </c>
      <c r="AD162" s="10">
        <v>13.718000000000002</v>
      </c>
      <c r="AE162" s="10">
        <v>3.5049999999999999</v>
      </c>
      <c r="AF162" s="10">
        <v>8.8840000000000003</v>
      </c>
      <c r="AG162" s="10">
        <v>15.300000000000002</v>
      </c>
      <c r="AH162" s="10">
        <v>11.243</v>
      </c>
      <c r="AI162" s="10">
        <v>29.156999999999996</v>
      </c>
      <c r="AJ162" s="10"/>
      <c r="AK162" s="46"/>
      <c r="AL162" s="46"/>
      <c r="AM162" s="46"/>
      <c r="AN162" s="46"/>
      <c r="AO162" s="46"/>
      <c r="AP162" s="46"/>
      <c r="AQ162" s="46">
        <f t="shared" ref="AQ162:AQ194" si="10">AVERAGE(L162:AO162)</f>
        <v>8.5309583333333325</v>
      </c>
      <c r="AR162" s="7">
        <f t="shared" ref="AR162:AR193" si="11">AQ162/J162</f>
        <v>2.8436527777777774</v>
      </c>
    </row>
    <row r="163" spans="1:44" x14ac:dyDescent="0.3">
      <c r="A163" s="5">
        <v>162</v>
      </c>
      <c r="B163" s="107" t="s">
        <v>65</v>
      </c>
      <c r="C163" s="97" t="s">
        <v>683</v>
      </c>
      <c r="D163" s="12" t="s">
        <v>927</v>
      </c>
      <c r="E163" s="121" t="s">
        <v>1298</v>
      </c>
      <c r="F163" s="110" t="s">
        <v>236</v>
      </c>
      <c r="G163" s="6" t="s">
        <v>12</v>
      </c>
      <c r="H163" s="6" t="s">
        <v>976</v>
      </c>
      <c r="I163" s="6" t="s">
        <v>35</v>
      </c>
      <c r="J163" s="5">
        <v>3</v>
      </c>
      <c r="K163" s="67" t="s">
        <v>160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/>
      <c r="AK163" s="46"/>
      <c r="AL163" s="46"/>
      <c r="AM163" s="46"/>
      <c r="AN163" s="46"/>
      <c r="AO163" s="46"/>
      <c r="AP163" s="46"/>
      <c r="AQ163" s="46">
        <f t="shared" si="10"/>
        <v>0</v>
      </c>
      <c r="AR163" s="7">
        <f t="shared" si="11"/>
        <v>0</v>
      </c>
    </row>
    <row r="164" spans="1:44" x14ac:dyDescent="0.3">
      <c r="A164" s="5">
        <v>163</v>
      </c>
      <c r="B164" s="107" t="s">
        <v>65</v>
      </c>
      <c r="C164" s="97" t="s">
        <v>684</v>
      </c>
      <c r="D164" s="12" t="s">
        <v>926</v>
      </c>
      <c r="E164" s="121" t="s">
        <v>1299</v>
      </c>
      <c r="F164" s="110" t="s">
        <v>236</v>
      </c>
      <c r="G164" s="6" t="s">
        <v>12</v>
      </c>
      <c r="H164" s="6" t="s">
        <v>976</v>
      </c>
      <c r="I164" s="6" t="s">
        <v>35</v>
      </c>
      <c r="J164" s="5">
        <v>3</v>
      </c>
      <c r="K164" s="67" t="s">
        <v>160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/>
      <c r="AK164" s="46"/>
      <c r="AL164" s="46"/>
      <c r="AM164" s="46"/>
      <c r="AN164" s="46"/>
      <c r="AO164" s="46"/>
      <c r="AP164" s="46"/>
      <c r="AQ164" s="46">
        <f t="shared" si="10"/>
        <v>0</v>
      </c>
      <c r="AR164" s="7">
        <f t="shared" si="11"/>
        <v>0</v>
      </c>
    </row>
    <row r="165" spans="1:44" x14ac:dyDescent="0.3">
      <c r="A165" s="5">
        <v>164</v>
      </c>
      <c r="B165" s="107" t="s">
        <v>65</v>
      </c>
      <c r="C165" s="97" t="s">
        <v>684</v>
      </c>
      <c r="D165" s="12" t="s">
        <v>926</v>
      </c>
      <c r="E165" s="121" t="s">
        <v>1299</v>
      </c>
      <c r="F165" s="110" t="s">
        <v>236</v>
      </c>
      <c r="G165" s="6" t="s">
        <v>12</v>
      </c>
      <c r="H165" s="6" t="s">
        <v>971</v>
      </c>
      <c r="I165" s="6" t="s">
        <v>80</v>
      </c>
      <c r="J165" s="5">
        <v>1</v>
      </c>
      <c r="K165" s="67" t="s">
        <v>160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/>
      <c r="AK165" s="46"/>
      <c r="AL165" s="46"/>
      <c r="AM165" s="46"/>
      <c r="AN165" s="46"/>
      <c r="AO165" s="46"/>
      <c r="AP165" s="46"/>
      <c r="AQ165" s="46">
        <f t="shared" si="10"/>
        <v>0</v>
      </c>
      <c r="AR165" s="7">
        <f t="shared" si="11"/>
        <v>0</v>
      </c>
    </row>
    <row r="166" spans="1:44" x14ac:dyDescent="0.3">
      <c r="A166" s="5">
        <v>165</v>
      </c>
      <c r="B166" s="107" t="s">
        <v>65</v>
      </c>
      <c r="C166" s="97" t="s">
        <v>685</v>
      </c>
      <c r="D166" s="12" t="s">
        <v>928</v>
      </c>
      <c r="E166" s="121" t="s">
        <v>1300</v>
      </c>
      <c r="F166" s="110" t="s">
        <v>236</v>
      </c>
      <c r="G166" s="6" t="s">
        <v>12</v>
      </c>
      <c r="H166" s="6" t="s">
        <v>976</v>
      </c>
      <c r="I166" s="6" t="s">
        <v>35</v>
      </c>
      <c r="J166" s="5">
        <v>3</v>
      </c>
      <c r="K166" s="67" t="s">
        <v>160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/>
      <c r="AK166" s="46"/>
      <c r="AL166" s="46"/>
      <c r="AM166" s="46"/>
      <c r="AN166" s="46"/>
      <c r="AO166" s="46"/>
      <c r="AP166" s="46"/>
      <c r="AQ166" s="46">
        <f t="shared" si="10"/>
        <v>0</v>
      </c>
      <c r="AR166" s="7">
        <f t="shared" si="11"/>
        <v>0</v>
      </c>
    </row>
    <row r="167" spans="1:44" x14ac:dyDescent="0.3">
      <c r="A167" s="5">
        <v>166</v>
      </c>
      <c r="B167" s="107" t="s">
        <v>65</v>
      </c>
      <c r="C167" s="97" t="s">
        <v>686</v>
      </c>
      <c r="D167" s="12" t="s">
        <v>929</v>
      </c>
      <c r="E167" s="121" t="s">
        <v>1301</v>
      </c>
      <c r="F167" s="110" t="s">
        <v>236</v>
      </c>
      <c r="G167" s="6" t="s">
        <v>12</v>
      </c>
      <c r="H167" s="6" t="s">
        <v>976</v>
      </c>
      <c r="I167" s="6" t="s">
        <v>35</v>
      </c>
      <c r="J167" s="5">
        <v>3</v>
      </c>
      <c r="K167" s="67" t="s">
        <v>160</v>
      </c>
      <c r="L167" s="46">
        <v>20.669</v>
      </c>
      <c r="M167" s="46">
        <v>4.2190000000000003</v>
      </c>
      <c r="N167" s="46">
        <v>13.279</v>
      </c>
      <c r="O167" s="46">
        <v>22.811</v>
      </c>
      <c r="P167" s="46">
        <v>6.6529999999999996</v>
      </c>
      <c r="Q167" s="46">
        <v>18.937000000000001</v>
      </c>
      <c r="R167" s="46">
        <v>25.786999999999999</v>
      </c>
      <c r="S167" s="46">
        <v>5.0190000000000001</v>
      </c>
      <c r="T167" s="46">
        <v>11.16</v>
      </c>
      <c r="U167" s="46">
        <v>15.416</v>
      </c>
      <c r="V167" s="46">
        <v>10.832000000000001</v>
      </c>
      <c r="W167" s="46">
        <v>0.16300000000000001</v>
      </c>
      <c r="X167" s="46">
        <v>13.494</v>
      </c>
      <c r="Y167" s="46">
        <v>19.715</v>
      </c>
      <c r="Z167" s="46">
        <v>4.8689999999999998</v>
      </c>
      <c r="AA167" s="46">
        <v>18.231000000000002</v>
      </c>
      <c r="AB167" s="10">
        <v>10.89</v>
      </c>
      <c r="AC167" s="10">
        <v>21.749000000000002</v>
      </c>
      <c r="AD167" s="10">
        <v>3.681</v>
      </c>
      <c r="AE167" s="10">
        <v>7.7510000000000003</v>
      </c>
      <c r="AF167" s="10">
        <v>15.457000000000001</v>
      </c>
      <c r="AG167" s="10">
        <v>11.811999999999999</v>
      </c>
      <c r="AH167" s="10">
        <v>24.514000000000003</v>
      </c>
      <c r="AI167" s="10">
        <v>22.335000000000001</v>
      </c>
      <c r="AJ167" s="10"/>
      <c r="AK167" s="46"/>
      <c r="AL167" s="46"/>
      <c r="AM167" s="46"/>
      <c r="AN167" s="46"/>
      <c r="AO167" s="46"/>
      <c r="AP167" s="46"/>
      <c r="AQ167" s="46">
        <f t="shared" si="10"/>
        <v>13.726791666666669</v>
      </c>
      <c r="AR167" s="7">
        <f t="shared" si="11"/>
        <v>4.575597222222223</v>
      </c>
    </row>
    <row r="168" spans="1:44" x14ac:dyDescent="0.3">
      <c r="A168" s="5">
        <v>167</v>
      </c>
      <c r="B168" s="107" t="s">
        <v>65</v>
      </c>
      <c r="C168" s="97" t="s">
        <v>687</v>
      </c>
      <c r="D168" s="12" t="s">
        <v>930</v>
      </c>
      <c r="E168" s="121" t="s">
        <v>1302</v>
      </c>
      <c r="F168" s="110" t="s">
        <v>236</v>
      </c>
      <c r="G168" s="6" t="s">
        <v>12</v>
      </c>
      <c r="H168" s="6" t="s">
        <v>976</v>
      </c>
      <c r="I168" s="6" t="s">
        <v>35</v>
      </c>
      <c r="J168" s="5">
        <v>3</v>
      </c>
      <c r="K168" s="67" t="s">
        <v>160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/>
      <c r="AK168" s="46"/>
      <c r="AL168" s="46"/>
      <c r="AM168" s="46"/>
      <c r="AN168" s="46"/>
      <c r="AO168" s="46"/>
      <c r="AP168" s="46"/>
      <c r="AQ168" s="46">
        <f t="shared" si="10"/>
        <v>0</v>
      </c>
      <c r="AR168" s="7">
        <f t="shared" si="11"/>
        <v>0</v>
      </c>
    </row>
    <row r="169" spans="1:44" x14ac:dyDescent="0.3">
      <c r="A169" s="5">
        <v>168</v>
      </c>
      <c r="B169" s="107" t="s">
        <v>65</v>
      </c>
      <c r="C169" s="97" t="s">
        <v>688</v>
      </c>
      <c r="D169" s="12" t="s">
        <v>931</v>
      </c>
      <c r="E169" s="121" t="s">
        <v>1303</v>
      </c>
      <c r="F169" s="110" t="s">
        <v>236</v>
      </c>
      <c r="G169" s="6" t="s">
        <v>12</v>
      </c>
      <c r="H169" s="6" t="s">
        <v>976</v>
      </c>
      <c r="I169" s="6" t="s">
        <v>35</v>
      </c>
      <c r="J169" s="5">
        <v>3</v>
      </c>
      <c r="K169" s="67" t="s">
        <v>160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/>
      <c r="AK169" s="46"/>
      <c r="AL169" s="46"/>
      <c r="AM169" s="46"/>
      <c r="AN169" s="46"/>
      <c r="AO169" s="46"/>
      <c r="AP169" s="46"/>
      <c r="AQ169" s="46">
        <f t="shared" si="10"/>
        <v>0</v>
      </c>
      <c r="AR169" s="7">
        <f t="shared" si="11"/>
        <v>0</v>
      </c>
    </row>
    <row r="170" spans="1:44" x14ac:dyDescent="0.3">
      <c r="A170" s="5">
        <v>169</v>
      </c>
      <c r="B170" s="107" t="s">
        <v>65</v>
      </c>
      <c r="C170" s="97" t="s">
        <v>689</v>
      </c>
      <c r="D170" s="12" t="s">
        <v>811</v>
      </c>
      <c r="E170" s="121" t="s">
        <v>1304</v>
      </c>
      <c r="F170" s="110" t="s">
        <v>30</v>
      </c>
      <c r="G170" s="6" t="s">
        <v>12</v>
      </c>
      <c r="H170" s="6" t="s">
        <v>976</v>
      </c>
      <c r="I170" s="6" t="s">
        <v>35</v>
      </c>
      <c r="J170" s="5">
        <v>4</v>
      </c>
      <c r="K170" s="12" t="s">
        <v>590</v>
      </c>
      <c r="L170" s="46">
        <v>5.9980000000000002</v>
      </c>
      <c r="M170" s="46">
        <v>0</v>
      </c>
      <c r="N170" s="46">
        <v>1.45</v>
      </c>
      <c r="O170" s="46">
        <v>0</v>
      </c>
      <c r="P170" s="46">
        <v>0</v>
      </c>
      <c r="Q170" s="46">
        <v>0</v>
      </c>
      <c r="R170" s="46">
        <v>2.4849999999999999</v>
      </c>
      <c r="S170" s="46">
        <v>1.2270000000000001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10">
        <v>1.2729999999999999</v>
      </c>
      <c r="AC170" s="10">
        <v>0</v>
      </c>
      <c r="AD170" s="46">
        <v>0</v>
      </c>
      <c r="AE170" s="46">
        <v>0</v>
      </c>
      <c r="AF170" s="10">
        <v>6.2759999999999998</v>
      </c>
      <c r="AG170" s="46">
        <v>0</v>
      </c>
      <c r="AH170" s="10">
        <v>7.2030000000000003</v>
      </c>
      <c r="AI170" s="46">
        <v>0</v>
      </c>
      <c r="AJ170" s="46"/>
      <c r="AK170" s="46"/>
      <c r="AL170" s="46"/>
      <c r="AM170" s="46"/>
      <c r="AN170" s="46"/>
      <c r="AO170" s="46"/>
      <c r="AP170" s="46"/>
      <c r="AQ170" s="46">
        <f t="shared" si="10"/>
        <v>1.0796666666666666</v>
      </c>
      <c r="AR170" s="7">
        <f t="shared" si="11"/>
        <v>0.26991666666666664</v>
      </c>
    </row>
    <row r="171" spans="1:44" ht="15.75" customHeight="1" x14ac:dyDescent="0.3">
      <c r="A171" s="5">
        <v>170</v>
      </c>
      <c r="B171" s="107" t="s">
        <v>65</v>
      </c>
      <c r="C171" s="97" t="s">
        <v>690</v>
      </c>
      <c r="D171" s="12" t="s">
        <v>769</v>
      </c>
      <c r="E171" s="121" t="s">
        <v>1305</v>
      </c>
      <c r="F171" s="110" t="s">
        <v>128</v>
      </c>
      <c r="G171" s="6" t="s">
        <v>12</v>
      </c>
      <c r="H171" s="6" t="s">
        <v>976</v>
      </c>
      <c r="I171" s="6" t="s">
        <v>35</v>
      </c>
      <c r="J171" s="5">
        <v>15</v>
      </c>
      <c r="K171" s="94" t="s">
        <v>273</v>
      </c>
      <c r="L171" s="46">
        <v>77.646000000000001</v>
      </c>
      <c r="M171" s="46">
        <v>30.634</v>
      </c>
      <c r="N171" s="46">
        <v>45.829000000000001</v>
      </c>
      <c r="O171" s="46">
        <v>53.902000000000001</v>
      </c>
      <c r="P171" s="46">
        <v>60.956000000000003</v>
      </c>
      <c r="Q171" s="46">
        <v>64.7</v>
      </c>
      <c r="R171" s="46">
        <v>48.86399999999999</v>
      </c>
      <c r="S171" s="46">
        <v>53.431999999999995</v>
      </c>
      <c r="T171" s="46">
        <v>60.891000000000005</v>
      </c>
      <c r="U171" s="46">
        <v>70.682999999999993</v>
      </c>
      <c r="V171" s="46">
        <v>72.765000000000015</v>
      </c>
      <c r="W171" s="46">
        <v>73.320999999999998</v>
      </c>
      <c r="X171" s="46">
        <v>60.958999999999989</v>
      </c>
      <c r="Y171" s="46">
        <v>64.063000000000002</v>
      </c>
      <c r="Z171" s="46">
        <v>85.310999999999993</v>
      </c>
      <c r="AA171" s="46">
        <v>89.266000000000005</v>
      </c>
      <c r="AB171" s="10">
        <v>63.530999999999992</v>
      </c>
      <c r="AC171" s="10">
        <v>63.844999999999999</v>
      </c>
      <c r="AD171" s="10">
        <v>77.866</v>
      </c>
      <c r="AE171" s="10">
        <v>92.539999999999992</v>
      </c>
      <c r="AF171" s="10">
        <v>84.59</v>
      </c>
      <c r="AG171" s="10">
        <v>84.710000000000008</v>
      </c>
      <c r="AH171" s="10">
        <v>101.71199999999999</v>
      </c>
      <c r="AI171" s="10">
        <v>169.41700000000003</v>
      </c>
      <c r="AJ171" s="10"/>
      <c r="AK171" s="46"/>
      <c r="AL171" s="46"/>
      <c r="AM171" s="46"/>
      <c r="AN171" s="46"/>
      <c r="AO171" s="46"/>
      <c r="AP171" s="46"/>
      <c r="AQ171" s="46">
        <f t="shared" si="10"/>
        <v>72.976375000000004</v>
      </c>
      <c r="AR171" s="7">
        <f t="shared" si="11"/>
        <v>4.8650916666666673</v>
      </c>
    </row>
    <row r="172" spans="1:44" ht="15.75" customHeight="1" x14ac:dyDescent="0.3">
      <c r="A172" s="5">
        <v>171</v>
      </c>
      <c r="B172" s="107" t="s">
        <v>65</v>
      </c>
      <c r="C172" s="97" t="s">
        <v>947</v>
      </c>
      <c r="D172" s="112" t="s">
        <v>948</v>
      </c>
      <c r="E172" s="121" t="s">
        <v>1305</v>
      </c>
      <c r="F172" s="110" t="s">
        <v>128</v>
      </c>
      <c r="G172" s="6" t="s">
        <v>12</v>
      </c>
      <c r="H172" s="6" t="s">
        <v>971</v>
      </c>
      <c r="I172" s="6" t="s">
        <v>80</v>
      </c>
      <c r="J172" s="5">
        <v>1</v>
      </c>
      <c r="K172" s="67" t="s">
        <v>160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9.4400000000000013</v>
      </c>
      <c r="AJ172" s="10"/>
      <c r="AK172" s="46"/>
      <c r="AL172" s="46"/>
      <c r="AM172" s="46"/>
      <c r="AN172" s="46"/>
      <c r="AO172" s="46"/>
      <c r="AP172" s="46"/>
      <c r="AQ172" s="46">
        <f t="shared" si="10"/>
        <v>0.39333333333333337</v>
      </c>
      <c r="AR172" s="7">
        <f t="shared" si="11"/>
        <v>0.39333333333333337</v>
      </c>
    </row>
    <row r="173" spans="1:44" x14ac:dyDescent="0.3">
      <c r="A173" s="5">
        <v>172</v>
      </c>
      <c r="B173" s="107" t="s">
        <v>65</v>
      </c>
      <c r="C173" s="97" t="s">
        <v>691</v>
      </c>
      <c r="D173" s="12" t="s">
        <v>932</v>
      </c>
      <c r="E173" s="121" t="s">
        <v>1306</v>
      </c>
      <c r="F173" s="110" t="s">
        <v>407</v>
      </c>
      <c r="G173" s="6" t="s">
        <v>19</v>
      </c>
      <c r="H173" s="6" t="s">
        <v>976</v>
      </c>
      <c r="I173" s="6" t="s">
        <v>35</v>
      </c>
      <c r="J173" s="5">
        <v>2</v>
      </c>
      <c r="K173" s="12" t="s">
        <v>590</v>
      </c>
      <c r="L173" s="46">
        <v>9.7099999999999991</v>
      </c>
      <c r="M173" s="46">
        <v>0</v>
      </c>
      <c r="N173" s="46">
        <v>0</v>
      </c>
      <c r="O173" s="46">
        <v>0</v>
      </c>
      <c r="P173" s="46">
        <v>0</v>
      </c>
      <c r="Q173" s="46">
        <v>8.6940000000000008</v>
      </c>
      <c r="R173" s="46">
        <v>8.0470000000000006</v>
      </c>
      <c r="S173" s="46">
        <v>0</v>
      </c>
      <c r="T173" s="46">
        <v>7.7320000000000002</v>
      </c>
      <c r="U173" s="46">
        <v>0</v>
      </c>
      <c r="V173" s="46">
        <v>0</v>
      </c>
      <c r="W173" s="46">
        <v>0</v>
      </c>
      <c r="X173" s="46">
        <v>5.9450000000000003</v>
      </c>
      <c r="Y173" s="46">
        <v>4.7379999999999995</v>
      </c>
      <c r="Z173" s="46">
        <v>0</v>
      </c>
      <c r="AA173" s="46">
        <v>10.606999999999999</v>
      </c>
      <c r="AB173" s="46">
        <v>0</v>
      </c>
      <c r="AC173" s="46">
        <v>0</v>
      </c>
      <c r="AD173" s="46">
        <v>0</v>
      </c>
      <c r="AE173" s="10">
        <v>5.28</v>
      </c>
      <c r="AF173" s="10">
        <v>3.2810000000000001</v>
      </c>
      <c r="AG173" s="10">
        <v>7.6669999999999998</v>
      </c>
      <c r="AH173" s="46">
        <v>0</v>
      </c>
      <c r="AI173" s="46">
        <v>0</v>
      </c>
      <c r="AJ173" s="46"/>
      <c r="AK173" s="46"/>
      <c r="AL173" s="46"/>
      <c r="AM173" s="46"/>
      <c r="AN173" s="46"/>
      <c r="AO173" s="46"/>
      <c r="AP173" s="46"/>
      <c r="AQ173" s="46">
        <f t="shared" si="10"/>
        <v>2.987541666666667</v>
      </c>
      <c r="AR173" s="7">
        <f t="shared" si="11"/>
        <v>1.4937708333333335</v>
      </c>
    </row>
    <row r="174" spans="1:44" x14ac:dyDescent="0.3">
      <c r="A174" s="5">
        <v>173</v>
      </c>
      <c r="B174" s="107" t="s">
        <v>65</v>
      </c>
      <c r="C174" s="97" t="s">
        <v>692</v>
      </c>
      <c r="D174" s="12" t="s">
        <v>933</v>
      </c>
      <c r="E174" s="121" t="s">
        <v>1307</v>
      </c>
      <c r="F174" s="110" t="s">
        <v>432</v>
      </c>
      <c r="G174" s="6" t="s">
        <v>19</v>
      </c>
      <c r="H174" s="6" t="s">
        <v>976</v>
      </c>
      <c r="I174" s="6" t="s">
        <v>35</v>
      </c>
      <c r="J174" s="5">
        <v>2</v>
      </c>
      <c r="K174" s="12" t="s">
        <v>590</v>
      </c>
      <c r="L174" s="46">
        <v>0</v>
      </c>
      <c r="M174" s="46">
        <v>0</v>
      </c>
      <c r="N174" s="46">
        <v>0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46">
        <v>0</v>
      </c>
      <c r="AA174" s="46">
        <v>0</v>
      </c>
      <c r="AB174" s="46">
        <v>0</v>
      </c>
      <c r="AC174" s="46">
        <v>0</v>
      </c>
      <c r="AD174" s="46">
        <v>0</v>
      </c>
      <c r="AE174" s="46">
        <v>0</v>
      </c>
      <c r="AF174" s="46">
        <v>0</v>
      </c>
      <c r="AG174" s="46">
        <v>0</v>
      </c>
      <c r="AH174" s="46">
        <v>0</v>
      </c>
      <c r="AI174" s="46">
        <v>0</v>
      </c>
      <c r="AJ174" s="46"/>
      <c r="AK174" s="46"/>
      <c r="AL174" s="46"/>
      <c r="AM174" s="46"/>
      <c r="AN174" s="46"/>
      <c r="AO174" s="46"/>
      <c r="AP174" s="46"/>
      <c r="AQ174" s="46">
        <f t="shared" si="10"/>
        <v>0</v>
      </c>
      <c r="AR174" s="7">
        <f t="shared" si="11"/>
        <v>0</v>
      </c>
    </row>
    <row r="175" spans="1:44" x14ac:dyDescent="0.3">
      <c r="A175" s="5">
        <v>174</v>
      </c>
      <c r="B175" s="107" t="s">
        <v>65</v>
      </c>
      <c r="C175" s="97" t="s">
        <v>693</v>
      </c>
      <c r="D175" s="12" t="s">
        <v>934</v>
      </c>
      <c r="E175" s="121" t="s">
        <v>1308</v>
      </c>
      <c r="F175" s="110" t="s">
        <v>407</v>
      </c>
      <c r="G175" s="6" t="s">
        <v>19</v>
      </c>
      <c r="H175" s="6" t="s">
        <v>976</v>
      </c>
      <c r="I175" s="6" t="s">
        <v>35</v>
      </c>
      <c r="J175" s="5">
        <v>1</v>
      </c>
      <c r="K175" s="12" t="s">
        <v>590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/>
      <c r="AK175" s="46"/>
      <c r="AL175" s="46"/>
      <c r="AM175" s="46"/>
      <c r="AN175" s="46"/>
      <c r="AO175" s="46"/>
      <c r="AP175" s="46"/>
      <c r="AQ175" s="46">
        <f t="shared" si="10"/>
        <v>0</v>
      </c>
      <c r="AR175" s="7">
        <f t="shared" si="11"/>
        <v>0</v>
      </c>
    </row>
    <row r="176" spans="1:44" x14ac:dyDescent="0.3">
      <c r="A176" s="5">
        <v>175</v>
      </c>
      <c r="B176" s="107" t="s">
        <v>65</v>
      </c>
      <c r="C176" s="97" t="s">
        <v>694</v>
      </c>
      <c r="D176" s="112" t="s">
        <v>935</v>
      </c>
      <c r="E176" s="121" t="s">
        <v>1309</v>
      </c>
      <c r="F176" s="110" t="s">
        <v>432</v>
      </c>
      <c r="G176" s="6" t="s">
        <v>19</v>
      </c>
      <c r="H176" s="6" t="s">
        <v>976</v>
      </c>
      <c r="I176" s="6" t="s">
        <v>35</v>
      </c>
      <c r="J176" s="5">
        <v>2</v>
      </c>
      <c r="K176" s="12" t="s">
        <v>590</v>
      </c>
      <c r="L176" s="46">
        <v>0</v>
      </c>
      <c r="M176" s="46">
        <v>0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0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/>
      <c r="AK176" s="46"/>
      <c r="AL176" s="46"/>
      <c r="AM176" s="46"/>
      <c r="AN176" s="46"/>
      <c r="AO176" s="46"/>
      <c r="AP176" s="46"/>
      <c r="AQ176" s="46">
        <f t="shared" si="10"/>
        <v>0</v>
      </c>
      <c r="AR176" s="7">
        <f t="shared" si="11"/>
        <v>0</v>
      </c>
    </row>
    <row r="177" spans="1:44" x14ac:dyDescent="0.3">
      <c r="A177" s="5">
        <v>176</v>
      </c>
      <c r="B177" s="107" t="s">
        <v>65</v>
      </c>
      <c r="C177" s="97" t="s">
        <v>695</v>
      </c>
      <c r="D177" s="112" t="s">
        <v>936</v>
      </c>
      <c r="E177" s="121" t="s">
        <v>1310</v>
      </c>
      <c r="F177" s="110" t="s">
        <v>521</v>
      </c>
      <c r="G177" s="6" t="s">
        <v>19</v>
      </c>
      <c r="H177" s="6" t="s">
        <v>976</v>
      </c>
      <c r="I177" s="6" t="s">
        <v>35</v>
      </c>
      <c r="J177" s="5">
        <v>1</v>
      </c>
      <c r="K177" s="12" t="s">
        <v>590</v>
      </c>
      <c r="L177" s="46">
        <v>0</v>
      </c>
      <c r="M177" s="46">
        <v>0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0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/>
      <c r="AK177" s="46"/>
      <c r="AL177" s="46"/>
      <c r="AM177" s="46"/>
      <c r="AN177" s="46"/>
      <c r="AO177" s="46"/>
      <c r="AP177" s="46"/>
      <c r="AQ177" s="46">
        <f t="shared" si="10"/>
        <v>0</v>
      </c>
      <c r="AR177" s="7">
        <f t="shared" si="11"/>
        <v>0</v>
      </c>
    </row>
    <row r="178" spans="1:44" x14ac:dyDescent="0.3">
      <c r="A178" s="5">
        <v>177</v>
      </c>
      <c r="B178" s="107" t="s">
        <v>65</v>
      </c>
      <c r="C178" s="97" t="s">
        <v>846</v>
      </c>
      <c r="D178" s="39" t="s">
        <v>841</v>
      </c>
      <c r="E178" s="121" t="s">
        <v>1311</v>
      </c>
      <c r="F178" s="110" t="s">
        <v>521</v>
      </c>
      <c r="G178" s="6" t="s">
        <v>19</v>
      </c>
      <c r="H178" s="6" t="s">
        <v>976</v>
      </c>
      <c r="I178" s="6" t="s">
        <v>35</v>
      </c>
      <c r="J178" s="5">
        <v>2</v>
      </c>
      <c r="K178" s="12" t="s">
        <v>590</v>
      </c>
      <c r="L178" s="46">
        <v>11.935</v>
      </c>
      <c r="M178" s="46">
        <v>6.577</v>
      </c>
      <c r="N178" s="46">
        <v>0</v>
      </c>
      <c r="O178" s="46">
        <v>0</v>
      </c>
      <c r="P178" s="46">
        <v>11.24</v>
      </c>
      <c r="Q178" s="46">
        <v>11.189</v>
      </c>
      <c r="R178" s="46">
        <v>10.561</v>
      </c>
      <c r="S178" s="46">
        <v>8.1940000000000008</v>
      </c>
      <c r="T178" s="46">
        <v>7.6470000000000002</v>
      </c>
      <c r="U178" s="46">
        <v>0</v>
      </c>
      <c r="V178" s="46">
        <v>0</v>
      </c>
      <c r="W178" s="46">
        <v>0</v>
      </c>
      <c r="X178" s="46">
        <v>10.748000000000001</v>
      </c>
      <c r="Y178" s="46">
        <v>6.9909999999999997</v>
      </c>
      <c r="Z178" s="46">
        <v>8.7919999999999998</v>
      </c>
      <c r="AA178" s="46">
        <v>8.0730000000000004</v>
      </c>
      <c r="AB178" s="46">
        <v>0</v>
      </c>
      <c r="AC178" s="46">
        <v>0</v>
      </c>
      <c r="AD178" s="10">
        <v>11.449000000000002</v>
      </c>
      <c r="AE178" s="10">
        <v>8.3859999999999992</v>
      </c>
      <c r="AF178" s="46">
        <v>0</v>
      </c>
      <c r="AG178" s="10">
        <v>15.753</v>
      </c>
      <c r="AH178" s="10">
        <v>8.9570000000000007</v>
      </c>
      <c r="AI178" s="46">
        <v>0</v>
      </c>
      <c r="AJ178" s="46"/>
      <c r="AK178" s="46"/>
      <c r="AL178" s="46"/>
      <c r="AM178" s="46"/>
      <c r="AN178" s="46"/>
      <c r="AO178" s="46"/>
      <c r="AP178" s="46"/>
      <c r="AQ178" s="46">
        <f t="shared" si="10"/>
        <v>6.1038333333333332</v>
      </c>
      <c r="AR178" s="7">
        <f t="shared" si="11"/>
        <v>3.0519166666666666</v>
      </c>
    </row>
    <row r="179" spans="1:44" x14ac:dyDescent="0.3">
      <c r="A179" s="5">
        <v>178</v>
      </c>
      <c r="B179" s="107" t="s">
        <v>65</v>
      </c>
      <c r="C179" s="97" t="s">
        <v>696</v>
      </c>
      <c r="D179" s="112" t="s">
        <v>937</v>
      </c>
      <c r="E179" s="121" t="s">
        <v>1312</v>
      </c>
      <c r="F179" s="110" t="s">
        <v>128</v>
      </c>
      <c r="G179" s="6" t="s">
        <v>12</v>
      </c>
      <c r="H179" s="6" t="s">
        <v>976</v>
      </c>
      <c r="I179" s="6" t="s">
        <v>35</v>
      </c>
      <c r="J179" s="5">
        <v>15</v>
      </c>
      <c r="K179" s="94" t="s">
        <v>273</v>
      </c>
      <c r="L179" s="46">
        <v>49.798000000000002</v>
      </c>
      <c r="M179" s="46">
        <v>61.611999999999995</v>
      </c>
      <c r="N179" s="46">
        <v>58.166000000000004</v>
      </c>
      <c r="O179" s="46">
        <v>49.556000000000004</v>
      </c>
      <c r="P179" s="46">
        <v>62.429000000000002</v>
      </c>
      <c r="Q179" s="46">
        <v>71.061000000000007</v>
      </c>
      <c r="R179" s="46">
        <v>65.94</v>
      </c>
      <c r="S179" s="46">
        <v>75.402000000000001</v>
      </c>
      <c r="T179" s="46">
        <v>81.266000000000005</v>
      </c>
      <c r="U179" s="46">
        <v>48.336999999999996</v>
      </c>
      <c r="V179" s="46">
        <v>72.956000000000003</v>
      </c>
      <c r="W179" s="46">
        <v>52.155000000000001</v>
      </c>
      <c r="X179" s="46">
        <v>77.144999999999996</v>
      </c>
      <c r="Y179" s="46">
        <v>59.696999999999989</v>
      </c>
      <c r="Z179" s="46">
        <v>61.48</v>
      </c>
      <c r="AA179" s="46">
        <v>50.981999999999999</v>
      </c>
      <c r="AB179" s="10">
        <v>69.683999999999997</v>
      </c>
      <c r="AC179" s="10">
        <v>47.75800000000001</v>
      </c>
      <c r="AD179" s="10">
        <v>73.435000000000002</v>
      </c>
      <c r="AE179" s="10">
        <v>64.527999999999992</v>
      </c>
      <c r="AF179" s="10">
        <v>66.646000000000001</v>
      </c>
      <c r="AG179" s="10">
        <v>73.161999999999978</v>
      </c>
      <c r="AH179" s="10">
        <v>84.50200000000001</v>
      </c>
      <c r="AI179" s="10">
        <v>182.92899999999995</v>
      </c>
      <c r="AJ179" s="10"/>
      <c r="AK179" s="46"/>
      <c r="AL179" s="46"/>
      <c r="AM179" s="46"/>
      <c r="AN179" s="46"/>
      <c r="AO179" s="46"/>
      <c r="AP179" s="46"/>
      <c r="AQ179" s="46">
        <f t="shared" si="10"/>
        <v>69.19274999999999</v>
      </c>
      <c r="AR179" s="7">
        <f t="shared" si="11"/>
        <v>4.612849999999999</v>
      </c>
    </row>
    <row r="180" spans="1:44" x14ac:dyDescent="0.3">
      <c r="A180" s="5">
        <v>179</v>
      </c>
      <c r="B180" s="107" t="s">
        <v>65</v>
      </c>
      <c r="C180" s="97" t="s">
        <v>939</v>
      </c>
      <c r="D180" s="112" t="s">
        <v>940</v>
      </c>
      <c r="E180" s="121" t="s">
        <v>1312</v>
      </c>
      <c r="F180" s="110" t="s">
        <v>128</v>
      </c>
      <c r="G180" s="6" t="s">
        <v>12</v>
      </c>
      <c r="H180" s="6" t="s">
        <v>971</v>
      </c>
      <c r="I180" s="6" t="s">
        <v>80</v>
      </c>
      <c r="J180" s="5">
        <v>2</v>
      </c>
      <c r="K180" s="94" t="s">
        <v>273</v>
      </c>
      <c r="L180" s="46">
        <v>0</v>
      </c>
      <c r="M180" s="46">
        <v>0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0</v>
      </c>
      <c r="AD180" s="46">
        <v>0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AJ180" s="46"/>
      <c r="AK180" s="46"/>
      <c r="AL180" s="46"/>
      <c r="AM180" s="46"/>
      <c r="AN180" s="46"/>
      <c r="AO180" s="46"/>
      <c r="AP180" s="46"/>
      <c r="AQ180" s="46">
        <f t="shared" si="10"/>
        <v>0</v>
      </c>
      <c r="AR180" s="7">
        <f t="shared" si="11"/>
        <v>0</v>
      </c>
    </row>
    <row r="181" spans="1:44" x14ac:dyDescent="0.3">
      <c r="A181" s="5">
        <v>180</v>
      </c>
      <c r="B181" s="107" t="s">
        <v>65</v>
      </c>
      <c r="C181" s="97" t="s">
        <v>1150</v>
      </c>
      <c r="D181" s="112" t="s">
        <v>1012</v>
      </c>
      <c r="E181" s="121" t="s">
        <v>1151</v>
      </c>
      <c r="F181" s="6" t="s">
        <v>128</v>
      </c>
      <c r="G181" s="6" t="s">
        <v>12</v>
      </c>
      <c r="H181" s="6" t="s">
        <v>13</v>
      </c>
      <c r="I181" s="6" t="s">
        <v>35</v>
      </c>
      <c r="J181" s="92">
        <v>2</v>
      </c>
      <c r="K181" s="94" t="s">
        <v>273</v>
      </c>
      <c r="L181" s="46">
        <v>6.6080000000000005</v>
      </c>
      <c r="M181" s="46">
        <v>0</v>
      </c>
      <c r="N181" s="46">
        <v>3.48</v>
      </c>
      <c r="O181" s="46">
        <v>0</v>
      </c>
      <c r="P181" s="46">
        <v>0</v>
      </c>
      <c r="Q181" s="46">
        <v>0</v>
      </c>
      <c r="R181" s="46">
        <v>2.1989999999999998</v>
      </c>
      <c r="S181" s="46">
        <v>4.5110000000000001</v>
      </c>
      <c r="T181" s="46">
        <v>0</v>
      </c>
      <c r="U181" s="46">
        <v>0</v>
      </c>
      <c r="V181" s="46">
        <v>0</v>
      </c>
      <c r="W181" s="46">
        <v>4.3579999999999997</v>
      </c>
      <c r="X181" s="46">
        <v>0</v>
      </c>
      <c r="Y181" s="46">
        <v>0</v>
      </c>
      <c r="Z181" s="46">
        <v>11.027999999999999</v>
      </c>
      <c r="AA181" s="46">
        <v>0</v>
      </c>
      <c r="AB181" s="10">
        <v>24.581000000000003</v>
      </c>
      <c r="AC181" s="10">
        <v>0</v>
      </c>
      <c r="AD181" s="10">
        <v>16.501999999999999</v>
      </c>
      <c r="AE181" s="10">
        <v>9.4469999999999992</v>
      </c>
      <c r="AF181" s="46">
        <v>0</v>
      </c>
      <c r="AG181" s="10">
        <v>7.52</v>
      </c>
      <c r="AH181" s="46">
        <v>0</v>
      </c>
      <c r="AI181" s="10">
        <v>12.155000000000001</v>
      </c>
      <c r="AJ181" s="10"/>
      <c r="AK181" s="46"/>
      <c r="AL181" s="46"/>
      <c r="AM181" s="46"/>
      <c r="AN181" s="46"/>
      <c r="AO181" s="46"/>
      <c r="AP181" s="46"/>
      <c r="AQ181" s="46">
        <f t="shared" si="10"/>
        <v>4.2662083333333332</v>
      </c>
      <c r="AR181" s="7">
        <f t="shared" si="11"/>
        <v>2.1331041666666666</v>
      </c>
    </row>
    <row r="182" spans="1:44" x14ac:dyDescent="0.3">
      <c r="A182" s="5">
        <v>181</v>
      </c>
      <c r="B182" s="107" t="s">
        <v>65</v>
      </c>
      <c r="C182" s="97" t="s">
        <v>1152</v>
      </c>
      <c r="D182" s="10" t="s">
        <v>1062</v>
      </c>
      <c r="E182" s="121" t="s">
        <v>1153</v>
      </c>
      <c r="F182" s="6" t="s">
        <v>128</v>
      </c>
      <c r="G182" s="6" t="s">
        <v>12</v>
      </c>
      <c r="H182" s="6" t="s">
        <v>13</v>
      </c>
      <c r="I182" s="6" t="s">
        <v>35</v>
      </c>
      <c r="J182" s="92">
        <v>1</v>
      </c>
      <c r="K182" s="94" t="s">
        <v>160</v>
      </c>
      <c r="L182" s="46">
        <v>6.5299999999999994</v>
      </c>
      <c r="M182" s="46">
        <v>0</v>
      </c>
      <c r="N182" s="46">
        <v>0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0</v>
      </c>
      <c r="AD182" s="10">
        <v>0</v>
      </c>
      <c r="AE182" s="10">
        <v>0</v>
      </c>
      <c r="AF182" s="10">
        <v>0</v>
      </c>
      <c r="AG182" s="46">
        <v>0</v>
      </c>
      <c r="AH182" s="10">
        <v>0</v>
      </c>
      <c r="AI182" s="46">
        <v>0</v>
      </c>
      <c r="AJ182" s="46"/>
      <c r="AK182" s="46"/>
      <c r="AL182" s="46"/>
      <c r="AM182" s="46"/>
      <c r="AN182" s="46"/>
      <c r="AO182" s="46"/>
      <c r="AP182" s="46"/>
      <c r="AQ182" s="46">
        <f t="shared" si="10"/>
        <v>0.27208333333333329</v>
      </c>
      <c r="AR182" s="7">
        <f t="shared" si="11"/>
        <v>0.27208333333333329</v>
      </c>
    </row>
    <row r="183" spans="1:44" x14ac:dyDescent="0.3">
      <c r="A183" s="5">
        <v>182</v>
      </c>
      <c r="B183" s="107" t="s">
        <v>65</v>
      </c>
      <c r="C183" s="97" t="s">
        <v>1154</v>
      </c>
      <c r="D183" s="10" t="s">
        <v>1063</v>
      </c>
      <c r="E183" s="121" t="s">
        <v>1155</v>
      </c>
      <c r="F183" s="6" t="s">
        <v>128</v>
      </c>
      <c r="G183" s="6" t="s">
        <v>12</v>
      </c>
      <c r="H183" s="6" t="s">
        <v>13</v>
      </c>
      <c r="I183" s="6" t="s">
        <v>35</v>
      </c>
      <c r="J183" s="92">
        <v>1</v>
      </c>
      <c r="K183" s="94" t="s">
        <v>160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2.9779999999999998</v>
      </c>
      <c r="R183" s="46">
        <v>0</v>
      </c>
      <c r="S183" s="46">
        <v>0</v>
      </c>
      <c r="T183" s="46">
        <v>0.156</v>
      </c>
      <c r="U183" s="46">
        <v>0</v>
      </c>
      <c r="V183" s="46">
        <v>0</v>
      </c>
      <c r="W183" s="46">
        <v>0</v>
      </c>
      <c r="X183" s="46">
        <v>0</v>
      </c>
      <c r="Y183" s="46">
        <v>8.7999999999999995E-2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10">
        <v>0</v>
      </c>
      <c r="AG183" s="46">
        <v>0</v>
      </c>
      <c r="AH183" s="46">
        <v>0</v>
      </c>
      <c r="AI183" s="46">
        <v>0</v>
      </c>
      <c r="AJ183" s="46"/>
      <c r="AK183" s="46"/>
      <c r="AL183" s="46"/>
      <c r="AM183" s="46"/>
      <c r="AN183" s="46"/>
      <c r="AO183" s="46"/>
      <c r="AP183" s="46"/>
      <c r="AQ183" s="46">
        <f t="shared" si="10"/>
        <v>0.13425000000000001</v>
      </c>
      <c r="AR183" s="7">
        <f t="shared" si="11"/>
        <v>0.13425000000000001</v>
      </c>
    </row>
    <row r="184" spans="1:44" x14ac:dyDescent="0.3">
      <c r="A184" s="5">
        <v>183</v>
      </c>
      <c r="B184" s="107" t="s">
        <v>65</v>
      </c>
      <c r="C184" s="97" t="s">
        <v>1156</v>
      </c>
      <c r="D184" s="10" t="s">
        <v>1064</v>
      </c>
      <c r="E184" s="121" t="s">
        <v>1157</v>
      </c>
      <c r="F184" s="6" t="s">
        <v>128</v>
      </c>
      <c r="G184" s="6" t="s">
        <v>12</v>
      </c>
      <c r="H184" s="6" t="s">
        <v>13</v>
      </c>
      <c r="I184" s="6" t="s">
        <v>35</v>
      </c>
      <c r="J184" s="92">
        <v>1</v>
      </c>
      <c r="K184" s="94" t="s">
        <v>160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/>
      <c r="AK184" s="46"/>
      <c r="AL184" s="46"/>
      <c r="AM184" s="46"/>
      <c r="AN184" s="46"/>
      <c r="AO184" s="46"/>
      <c r="AP184" s="46"/>
      <c r="AQ184" s="46">
        <f t="shared" si="10"/>
        <v>0</v>
      </c>
      <c r="AR184" s="7">
        <f t="shared" si="11"/>
        <v>0</v>
      </c>
    </row>
    <row r="185" spans="1:44" x14ac:dyDescent="0.3">
      <c r="A185" s="5">
        <v>184</v>
      </c>
      <c r="B185" s="107" t="s">
        <v>65</v>
      </c>
      <c r="C185" s="97" t="s">
        <v>1158</v>
      </c>
      <c r="D185" s="10" t="s">
        <v>1066</v>
      </c>
      <c r="E185" s="121" t="s">
        <v>1159</v>
      </c>
      <c r="F185" s="6" t="s">
        <v>128</v>
      </c>
      <c r="G185" s="6" t="s">
        <v>12</v>
      </c>
      <c r="H185" s="6" t="s">
        <v>135</v>
      </c>
      <c r="I185" s="6" t="s">
        <v>35</v>
      </c>
      <c r="J185" s="92">
        <v>1</v>
      </c>
      <c r="K185" s="6" t="s">
        <v>160</v>
      </c>
      <c r="L185" s="46">
        <v>0</v>
      </c>
      <c r="M185" s="46">
        <v>0</v>
      </c>
      <c r="N185" s="46">
        <v>0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0</v>
      </c>
      <c r="AD185" s="46">
        <v>0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/>
      <c r="AK185" s="46"/>
      <c r="AL185" s="46"/>
      <c r="AM185" s="46"/>
      <c r="AN185" s="46"/>
      <c r="AO185" s="46"/>
      <c r="AP185" s="46"/>
      <c r="AQ185" s="46">
        <f t="shared" si="10"/>
        <v>0</v>
      </c>
      <c r="AR185" s="7">
        <f t="shared" si="11"/>
        <v>0</v>
      </c>
    </row>
    <row r="186" spans="1:44" x14ac:dyDescent="0.3">
      <c r="A186" s="5">
        <v>185</v>
      </c>
      <c r="B186" s="107" t="s">
        <v>65</v>
      </c>
      <c r="C186" s="97" t="s">
        <v>1160</v>
      </c>
      <c r="D186" s="10" t="s">
        <v>1065</v>
      </c>
      <c r="E186" s="121" t="s">
        <v>1161</v>
      </c>
      <c r="F186" s="6" t="s">
        <v>128</v>
      </c>
      <c r="G186" s="6" t="s">
        <v>12</v>
      </c>
      <c r="H186" s="6" t="s">
        <v>13</v>
      </c>
      <c r="I186" s="6" t="s">
        <v>35</v>
      </c>
      <c r="J186" s="92">
        <v>1</v>
      </c>
      <c r="K186" s="94" t="s">
        <v>160</v>
      </c>
      <c r="L186" s="46">
        <v>0</v>
      </c>
      <c r="M186" s="46">
        <v>3</v>
      </c>
      <c r="N186" s="46">
        <v>0</v>
      </c>
      <c r="O186" s="46">
        <v>0.48799999999999999</v>
      </c>
      <c r="P186" s="46">
        <v>0</v>
      </c>
      <c r="Q186" s="46">
        <v>0</v>
      </c>
      <c r="R186" s="46">
        <v>0</v>
      </c>
      <c r="S186" s="46">
        <v>2.036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3.234</v>
      </c>
      <c r="Z186" s="46">
        <v>0</v>
      </c>
      <c r="AA186" s="46">
        <v>0</v>
      </c>
      <c r="AB186" s="46">
        <v>0</v>
      </c>
      <c r="AC186" s="46">
        <v>0</v>
      </c>
      <c r="AD186" s="10">
        <v>0.59099999999999997</v>
      </c>
      <c r="AE186" s="46">
        <v>0</v>
      </c>
      <c r="AF186" s="46">
        <v>0</v>
      </c>
      <c r="AG186" s="46">
        <v>0</v>
      </c>
      <c r="AH186" s="46">
        <v>0</v>
      </c>
      <c r="AI186" s="46">
        <v>0</v>
      </c>
      <c r="AJ186" s="46"/>
      <c r="AK186" s="46"/>
      <c r="AL186" s="46"/>
      <c r="AM186" s="46"/>
      <c r="AN186" s="46"/>
      <c r="AO186" s="46"/>
      <c r="AP186" s="46"/>
      <c r="AQ186" s="46">
        <f t="shared" si="10"/>
        <v>0.38954166666666662</v>
      </c>
      <c r="AR186" s="7">
        <f t="shared" si="11"/>
        <v>0.38954166666666662</v>
      </c>
    </row>
    <row r="187" spans="1:44" x14ac:dyDescent="0.3">
      <c r="A187" s="5">
        <v>186</v>
      </c>
      <c r="B187" s="107" t="s">
        <v>65</v>
      </c>
      <c r="C187" s="97" t="s">
        <v>1162</v>
      </c>
      <c r="D187" s="10" t="s">
        <v>1067</v>
      </c>
      <c r="E187" s="121" t="s">
        <v>1163</v>
      </c>
      <c r="F187" s="6" t="s">
        <v>128</v>
      </c>
      <c r="G187" s="6" t="s">
        <v>12</v>
      </c>
      <c r="H187" s="6" t="s">
        <v>13</v>
      </c>
      <c r="I187" s="6" t="s">
        <v>35</v>
      </c>
      <c r="J187" s="92">
        <v>1</v>
      </c>
      <c r="K187" s="94" t="s">
        <v>160</v>
      </c>
      <c r="L187" s="46">
        <v>0</v>
      </c>
      <c r="M187" s="46">
        <v>0.997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2.7330000000000001</v>
      </c>
      <c r="W187" s="46">
        <v>0</v>
      </c>
      <c r="X187" s="46">
        <v>0</v>
      </c>
      <c r="Y187" s="46">
        <v>0</v>
      </c>
      <c r="Z187" s="46">
        <v>0</v>
      </c>
      <c r="AA187" s="46">
        <v>1.2610000000000001</v>
      </c>
      <c r="AB187" s="46">
        <v>0</v>
      </c>
      <c r="AC187" s="46">
        <v>0</v>
      </c>
      <c r="AD187" s="10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/>
      <c r="AK187" s="46"/>
      <c r="AL187" s="46"/>
      <c r="AM187" s="46"/>
      <c r="AN187" s="46"/>
      <c r="AO187" s="46"/>
      <c r="AP187" s="46"/>
      <c r="AQ187" s="46">
        <f t="shared" si="10"/>
        <v>0.20795833333333333</v>
      </c>
      <c r="AR187" s="7">
        <f t="shared" si="11"/>
        <v>0.20795833333333333</v>
      </c>
    </row>
    <row r="188" spans="1:44" x14ac:dyDescent="0.3">
      <c r="A188" s="5">
        <v>187</v>
      </c>
      <c r="B188" s="107" t="s">
        <v>65</v>
      </c>
      <c r="C188" s="97" t="s">
        <v>1164</v>
      </c>
      <c r="D188" s="10" t="s">
        <v>1069</v>
      </c>
      <c r="E188" s="121" t="s">
        <v>1165</v>
      </c>
      <c r="F188" s="6" t="s">
        <v>128</v>
      </c>
      <c r="G188" s="6" t="s">
        <v>12</v>
      </c>
      <c r="H188" s="6" t="s">
        <v>13</v>
      </c>
      <c r="I188" s="6" t="s">
        <v>35</v>
      </c>
      <c r="J188" s="92">
        <v>1</v>
      </c>
      <c r="K188" s="94" t="s">
        <v>160</v>
      </c>
      <c r="L188" s="46">
        <v>0</v>
      </c>
      <c r="M188" s="46">
        <v>0</v>
      </c>
      <c r="N188" s="46">
        <v>0</v>
      </c>
      <c r="O188" s="46">
        <v>0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0</v>
      </c>
      <c r="AD188" s="46">
        <v>0</v>
      </c>
      <c r="AE188" s="46">
        <v>0</v>
      </c>
      <c r="AF188" s="10">
        <v>0</v>
      </c>
      <c r="AG188" s="46">
        <v>0</v>
      </c>
      <c r="AH188" s="46">
        <v>0</v>
      </c>
      <c r="AI188" s="46">
        <v>0</v>
      </c>
      <c r="AJ188" s="46"/>
      <c r="AK188" s="46"/>
      <c r="AL188" s="46"/>
      <c r="AM188" s="46"/>
      <c r="AN188" s="46"/>
      <c r="AO188" s="46"/>
      <c r="AP188" s="46"/>
      <c r="AQ188" s="46">
        <f t="shared" si="10"/>
        <v>0</v>
      </c>
      <c r="AR188" s="7">
        <f t="shared" si="11"/>
        <v>0</v>
      </c>
    </row>
    <row r="189" spans="1:44" x14ac:dyDescent="0.3">
      <c r="A189" s="5">
        <v>188</v>
      </c>
      <c r="B189" s="107" t="s">
        <v>65</v>
      </c>
      <c r="C189" s="97" t="s">
        <v>1166</v>
      </c>
      <c r="D189" s="10" t="s">
        <v>1070</v>
      </c>
      <c r="E189" s="121" t="s">
        <v>1167</v>
      </c>
      <c r="F189" s="6" t="s">
        <v>128</v>
      </c>
      <c r="G189" s="6" t="s">
        <v>12</v>
      </c>
      <c r="H189" s="6" t="s">
        <v>135</v>
      </c>
      <c r="I189" s="6" t="s">
        <v>35</v>
      </c>
      <c r="J189" s="92">
        <v>1</v>
      </c>
      <c r="K189" s="94" t="s">
        <v>160</v>
      </c>
      <c r="L189" s="46">
        <v>0</v>
      </c>
      <c r="M189" s="46">
        <v>0</v>
      </c>
      <c r="N189" s="46">
        <v>0</v>
      </c>
      <c r="O189" s="46">
        <v>0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0</v>
      </c>
      <c r="AD189" s="10">
        <v>1.24</v>
      </c>
      <c r="AE189" s="46">
        <v>0</v>
      </c>
      <c r="AF189" s="46">
        <v>0</v>
      </c>
      <c r="AG189" s="10">
        <v>5.2690000000000001</v>
      </c>
      <c r="AH189" s="46">
        <v>0</v>
      </c>
      <c r="AI189" s="10">
        <v>4.63</v>
      </c>
      <c r="AJ189" s="10"/>
      <c r="AK189" s="46"/>
      <c r="AL189" s="46"/>
      <c r="AM189" s="46"/>
      <c r="AN189" s="46"/>
      <c r="AO189" s="46"/>
      <c r="AP189" s="46"/>
      <c r="AQ189" s="46">
        <f t="shared" si="10"/>
        <v>0.46412499999999995</v>
      </c>
      <c r="AR189" s="7">
        <f t="shared" si="11"/>
        <v>0.46412499999999995</v>
      </c>
    </row>
    <row r="190" spans="1:44" x14ac:dyDescent="0.3">
      <c r="A190" s="5">
        <v>189</v>
      </c>
      <c r="B190" s="107" t="s">
        <v>65</v>
      </c>
      <c r="C190" s="97" t="s">
        <v>1168</v>
      </c>
      <c r="D190" s="10" t="s">
        <v>1071</v>
      </c>
      <c r="E190" s="121" t="s">
        <v>1169</v>
      </c>
      <c r="F190" s="6" t="s">
        <v>128</v>
      </c>
      <c r="G190" s="6" t="s">
        <v>12</v>
      </c>
      <c r="H190" s="6" t="s">
        <v>135</v>
      </c>
      <c r="I190" s="6" t="s">
        <v>35</v>
      </c>
      <c r="J190" s="92">
        <v>1</v>
      </c>
      <c r="K190" s="94" t="s">
        <v>160</v>
      </c>
      <c r="L190" s="46">
        <v>0</v>
      </c>
      <c r="M190" s="46">
        <v>0</v>
      </c>
      <c r="N190" s="46">
        <v>37.675000000000004</v>
      </c>
      <c r="O190" s="46">
        <v>15.183999999999999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10">
        <v>3.0510000000000002</v>
      </c>
      <c r="AC190" s="10">
        <v>9.2360000000000007</v>
      </c>
      <c r="AD190" s="46">
        <v>0</v>
      </c>
      <c r="AE190" s="46">
        <v>0</v>
      </c>
      <c r="AF190" s="10">
        <v>0</v>
      </c>
      <c r="AG190" s="46">
        <v>0</v>
      </c>
      <c r="AH190" s="46">
        <v>0</v>
      </c>
      <c r="AI190" s="46">
        <v>0</v>
      </c>
      <c r="AJ190" s="46"/>
      <c r="AK190" s="46"/>
      <c r="AL190" s="46"/>
      <c r="AM190" s="46"/>
      <c r="AN190" s="46"/>
      <c r="AO190" s="46"/>
      <c r="AP190" s="46"/>
      <c r="AQ190" s="46">
        <f t="shared" si="10"/>
        <v>2.7144166666666667</v>
      </c>
      <c r="AR190" s="7">
        <f t="shared" si="11"/>
        <v>2.7144166666666667</v>
      </c>
    </row>
    <row r="191" spans="1:44" x14ac:dyDescent="0.3">
      <c r="A191" s="5">
        <v>190</v>
      </c>
      <c r="B191" s="107" t="s">
        <v>65</v>
      </c>
      <c r="C191" s="97" t="s">
        <v>1170</v>
      </c>
      <c r="D191" s="10" t="s">
        <v>1072</v>
      </c>
      <c r="E191" s="121" t="s">
        <v>1171</v>
      </c>
      <c r="F191" s="6" t="s">
        <v>128</v>
      </c>
      <c r="G191" s="6" t="s">
        <v>12</v>
      </c>
      <c r="H191" s="6" t="s">
        <v>13</v>
      </c>
      <c r="I191" s="6" t="s">
        <v>35</v>
      </c>
      <c r="J191" s="92">
        <v>1</v>
      </c>
      <c r="K191" s="94" t="s">
        <v>160</v>
      </c>
      <c r="L191" s="46">
        <v>0</v>
      </c>
      <c r="M191" s="46">
        <v>0.11899999999999999</v>
      </c>
      <c r="N191" s="46">
        <v>0</v>
      </c>
      <c r="O191" s="46">
        <v>0.996</v>
      </c>
      <c r="P191" s="46">
        <v>5.6550000000000002</v>
      </c>
      <c r="Q191" s="46">
        <v>0</v>
      </c>
      <c r="R191" s="46">
        <v>0</v>
      </c>
      <c r="S191" s="46">
        <v>1.3029999999999999</v>
      </c>
      <c r="T191" s="46">
        <v>0</v>
      </c>
      <c r="U191" s="46">
        <v>0</v>
      </c>
      <c r="V191" s="46">
        <v>0</v>
      </c>
      <c r="W191" s="46">
        <v>4.9359999999999999</v>
      </c>
      <c r="X191" s="46">
        <v>1.226</v>
      </c>
      <c r="Y191" s="46">
        <v>2.6909999999999998</v>
      </c>
      <c r="Z191" s="46">
        <v>0</v>
      </c>
      <c r="AA191" s="46">
        <v>4.194</v>
      </c>
      <c r="AB191" s="10">
        <v>14.737</v>
      </c>
      <c r="AC191" s="10">
        <v>0</v>
      </c>
      <c r="AD191" s="10">
        <v>2.0070000000000001</v>
      </c>
      <c r="AE191" s="10">
        <v>3.7750000000000004</v>
      </c>
      <c r="AF191" s="10">
        <v>0</v>
      </c>
      <c r="AG191" s="46">
        <v>0</v>
      </c>
      <c r="AH191" s="46">
        <v>0</v>
      </c>
      <c r="AI191" s="10">
        <v>8.0670000000000002</v>
      </c>
      <c r="AJ191" s="10"/>
      <c r="AK191" s="46"/>
      <c r="AL191" s="46"/>
      <c r="AM191" s="46"/>
      <c r="AN191" s="46"/>
      <c r="AO191" s="46"/>
      <c r="AP191" s="46"/>
      <c r="AQ191" s="46">
        <f t="shared" si="10"/>
        <v>2.0710833333333332</v>
      </c>
      <c r="AR191" s="7">
        <f t="shared" si="11"/>
        <v>2.0710833333333332</v>
      </c>
    </row>
    <row r="192" spans="1:44" x14ac:dyDescent="0.3">
      <c r="A192" s="5">
        <v>191</v>
      </c>
      <c r="B192" s="107" t="s">
        <v>65</v>
      </c>
      <c r="C192" s="97" t="s">
        <v>1172</v>
      </c>
      <c r="D192" s="10" t="s">
        <v>1073</v>
      </c>
      <c r="E192" s="121" t="s">
        <v>1173</v>
      </c>
      <c r="F192" s="6" t="s">
        <v>128</v>
      </c>
      <c r="G192" s="6" t="s">
        <v>12</v>
      </c>
      <c r="H192" s="6" t="s">
        <v>13</v>
      </c>
      <c r="I192" s="6" t="s">
        <v>35</v>
      </c>
      <c r="J192" s="92">
        <v>1</v>
      </c>
      <c r="K192" s="94" t="s">
        <v>160</v>
      </c>
      <c r="L192" s="46">
        <v>0</v>
      </c>
      <c r="M192" s="46">
        <v>0</v>
      </c>
      <c r="N192" s="46">
        <v>0</v>
      </c>
      <c r="O192" s="46">
        <v>0</v>
      </c>
      <c r="P192" s="46">
        <v>0</v>
      </c>
      <c r="Q192" s="46">
        <v>0</v>
      </c>
      <c r="R192" s="46">
        <v>0</v>
      </c>
      <c r="S192" s="46">
        <v>8.7620000000000005</v>
      </c>
      <c r="T192" s="46">
        <v>2.044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0</v>
      </c>
      <c r="AI192" s="46">
        <v>0</v>
      </c>
      <c r="AJ192" s="46"/>
      <c r="AK192" s="46"/>
      <c r="AL192" s="46"/>
      <c r="AM192" s="46"/>
      <c r="AN192" s="46"/>
      <c r="AO192" s="46"/>
      <c r="AP192" s="46"/>
      <c r="AQ192" s="46">
        <f t="shared" si="10"/>
        <v>0.45025000000000004</v>
      </c>
      <c r="AR192" s="7">
        <f t="shared" si="11"/>
        <v>0.45025000000000004</v>
      </c>
    </row>
    <row r="193" spans="1:44" x14ac:dyDescent="0.3">
      <c r="A193" s="5">
        <v>192</v>
      </c>
      <c r="B193" s="107" t="s">
        <v>65</v>
      </c>
      <c r="C193" s="97" t="s">
        <v>1174</v>
      </c>
      <c r="D193" s="10" t="s">
        <v>1074</v>
      </c>
      <c r="E193" s="121" t="s">
        <v>1175</v>
      </c>
      <c r="F193" s="6" t="s">
        <v>128</v>
      </c>
      <c r="G193" s="6" t="s">
        <v>12</v>
      </c>
      <c r="H193" s="6" t="s">
        <v>135</v>
      </c>
      <c r="I193" s="6" t="s">
        <v>35</v>
      </c>
      <c r="J193" s="92">
        <v>1</v>
      </c>
      <c r="K193" s="94" t="s">
        <v>160</v>
      </c>
      <c r="L193" s="46">
        <v>0</v>
      </c>
      <c r="M193" s="46">
        <v>0</v>
      </c>
      <c r="N193" s="46">
        <v>0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10">
        <v>16.093</v>
      </c>
      <c r="AG193" s="46">
        <v>0</v>
      </c>
      <c r="AH193" s="46">
        <v>0</v>
      </c>
      <c r="AI193" s="46">
        <v>0</v>
      </c>
      <c r="AJ193" s="46"/>
      <c r="AK193" s="46"/>
      <c r="AL193" s="46"/>
      <c r="AM193" s="46"/>
      <c r="AN193" s="46"/>
      <c r="AO193" s="46"/>
      <c r="AP193" s="46"/>
      <c r="AQ193" s="46">
        <f t="shared" si="10"/>
        <v>0.6705416666666667</v>
      </c>
      <c r="AR193" s="7">
        <f t="shared" si="11"/>
        <v>0.6705416666666667</v>
      </c>
    </row>
    <row r="194" spans="1:44" x14ac:dyDescent="0.3">
      <c r="A194" s="5">
        <v>193</v>
      </c>
      <c r="B194" s="107" t="s">
        <v>65</v>
      </c>
      <c r="C194" s="97" t="s">
        <v>1176</v>
      </c>
      <c r="D194" s="10" t="s">
        <v>1075</v>
      </c>
      <c r="E194" s="121" t="s">
        <v>1177</v>
      </c>
      <c r="F194" s="6" t="s">
        <v>128</v>
      </c>
      <c r="G194" s="6" t="s">
        <v>12</v>
      </c>
      <c r="H194" s="6" t="s">
        <v>13</v>
      </c>
      <c r="I194" s="6" t="s">
        <v>35</v>
      </c>
      <c r="J194" s="92">
        <v>1</v>
      </c>
      <c r="K194" s="94" t="s">
        <v>160</v>
      </c>
      <c r="L194" s="46">
        <v>0</v>
      </c>
      <c r="M194" s="46">
        <v>0</v>
      </c>
      <c r="N194" s="46">
        <v>0</v>
      </c>
      <c r="O194" s="46">
        <v>0</v>
      </c>
      <c r="P194" s="46">
        <v>0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10">
        <v>2E-3</v>
      </c>
      <c r="AE194" s="46">
        <v>0</v>
      </c>
      <c r="AF194" s="10">
        <v>0</v>
      </c>
      <c r="AG194" s="46">
        <v>0</v>
      </c>
      <c r="AH194" s="46">
        <v>0</v>
      </c>
      <c r="AI194" s="46">
        <v>0</v>
      </c>
      <c r="AJ194" s="46"/>
      <c r="AK194" s="46"/>
      <c r="AL194" s="46"/>
      <c r="AM194" s="46"/>
      <c r="AN194" s="46"/>
      <c r="AO194" s="46"/>
      <c r="AP194" s="46"/>
      <c r="AQ194" s="46">
        <f t="shared" si="10"/>
        <v>8.3333333333333331E-5</v>
      </c>
      <c r="AR194" s="7">
        <f t="shared" ref="AR194" si="12">AQ194/J194</f>
        <v>8.3333333333333331E-5</v>
      </c>
    </row>
    <row r="195" spans="1:44" x14ac:dyDescent="0.3">
      <c r="A195" s="5">
        <v>194</v>
      </c>
      <c r="B195" s="107" t="s">
        <v>65</v>
      </c>
      <c r="C195" s="97" t="s">
        <v>1178</v>
      </c>
      <c r="D195" s="10" t="s">
        <v>1090</v>
      </c>
      <c r="E195" s="121" t="s">
        <v>1179</v>
      </c>
      <c r="F195" s="6" t="s">
        <v>128</v>
      </c>
      <c r="G195" s="6" t="s">
        <v>12</v>
      </c>
      <c r="H195" s="6" t="s">
        <v>135</v>
      </c>
      <c r="I195" s="6" t="s">
        <v>35</v>
      </c>
      <c r="J195" s="92">
        <v>1</v>
      </c>
      <c r="K195" s="94" t="s">
        <v>160</v>
      </c>
      <c r="L195" s="46"/>
      <c r="M195" s="46"/>
      <c r="N195" s="46"/>
      <c r="O195" s="46"/>
      <c r="P195" s="46"/>
      <c r="Q195" s="46"/>
      <c r="R195" s="46"/>
      <c r="S195" s="46">
        <v>0</v>
      </c>
      <c r="T195" s="46">
        <v>0</v>
      </c>
      <c r="U195" s="46">
        <v>0</v>
      </c>
      <c r="V195" s="46">
        <v>4.7809999999999997</v>
      </c>
      <c r="W195" s="46">
        <v>0</v>
      </c>
      <c r="X195" s="46">
        <v>0</v>
      </c>
      <c r="Y195" s="46">
        <v>1E-3</v>
      </c>
      <c r="Z195" s="46">
        <v>0</v>
      </c>
      <c r="AA195" s="46">
        <v>0</v>
      </c>
      <c r="AB195" s="46">
        <v>0</v>
      </c>
      <c r="AC195" s="46">
        <v>0</v>
      </c>
      <c r="AD195" s="46">
        <v>0</v>
      </c>
      <c r="AE195" s="46">
        <v>0</v>
      </c>
      <c r="AF195" s="46">
        <v>0</v>
      </c>
      <c r="AG195" s="46">
        <v>0</v>
      </c>
      <c r="AH195" s="46">
        <v>0</v>
      </c>
      <c r="AI195" s="46">
        <v>0</v>
      </c>
      <c r="AJ195" s="46"/>
      <c r="AK195" s="46"/>
      <c r="AL195" s="46"/>
      <c r="AM195" s="46"/>
      <c r="AN195" s="46"/>
      <c r="AO195" s="46"/>
      <c r="AP195" s="46"/>
      <c r="AQ195" s="46"/>
      <c r="AR195" s="7"/>
    </row>
    <row r="196" spans="1:44" x14ac:dyDescent="0.3">
      <c r="A196" s="5">
        <v>195</v>
      </c>
      <c r="B196" s="107" t="s">
        <v>1077</v>
      </c>
      <c r="C196" s="97" t="s">
        <v>1180</v>
      </c>
      <c r="D196" s="10" t="s">
        <v>1076</v>
      </c>
      <c r="E196" s="121" t="s">
        <v>1181</v>
      </c>
      <c r="F196" s="6" t="s">
        <v>128</v>
      </c>
      <c r="G196" s="6" t="s">
        <v>12</v>
      </c>
      <c r="H196" s="6" t="s">
        <v>290</v>
      </c>
      <c r="I196" s="6" t="s">
        <v>80</v>
      </c>
      <c r="J196" s="92">
        <v>1</v>
      </c>
      <c r="K196" s="94" t="s">
        <v>160</v>
      </c>
      <c r="L196" s="46">
        <v>0</v>
      </c>
      <c r="M196" s="46">
        <v>5.52</v>
      </c>
      <c r="N196" s="46">
        <v>0</v>
      </c>
      <c r="O196" s="46">
        <v>0</v>
      </c>
      <c r="P196" s="46">
        <v>16.169999999999998</v>
      </c>
      <c r="Q196" s="46">
        <v>0</v>
      </c>
      <c r="R196" s="46">
        <v>0</v>
      </c>
      <c r="S196" s="46">
        <v>2.2200000000000002</v>
      </c>
      <c r="T196" s="46">
        <v>12.76</v>
      </c>
      <c r="U196" s="46">
        <v>0</v>
      </c>
      <c r="V196" s="46">
        <v>0</v>
      </c>
      <c r="W196" s="46">
        <v>3.77</v>
      </c>
      <c r="X196" s="46">
        <v>25.5</v>
      </c>
      <c r="Y196" s="46">
        <v>3.94</v>
      </c>
      <c r="Z196" s="46">
        <v>0</v>
      </c>
      <c r="AA196" s="46">
        <v>0</v>
      </c>
      <c r="AB196" s="10">
        <v>0</v>
      </c>
      <c r="AC196" s="10">
        <v>3.8</v>
      </c>
      <c r="AD196" s="10">
        <v>5.48</v>
      </c>
      <c r="AE196" s="46">
        <v>0</v>
      </c>
      <c r="AF196" s="46">
        <v>0</v>
      </c>
      <c r="AG196" s="46">
        <v>0</v>
      </c>
      <c r="AH196" s="10">
        <v>12.55</v>
      </c>
      <c r="AI196" s="10">
        <v>11.12</v>
      </c>
      <c r="AJ196" s="10"/>
      <c r="AK196" s="46"/>
      <c r="AL196" s="46"/>
      <c r="AM196" s="46"/>
      <c r="AN196" s="46"/>
      <c r="AO196" s="46"/>
      <c r="AP196" s="46"/>
      <c r="AQ196" s="46">
        <f t="shared" ref="AQ196:AQ207" si="13">AVERAGE(L196:AO196)</f>
        <v>4.284583333333333</v>
      </c>
      <c r="AR196" s="7">
        <f t="shared" ref="AR196:AR207" si="14">AQ196/J196</f>
        <v>4.284583333333333</v>
      </c>
    </row>
    <row r="197" spans="1:44" x14ac:dyDescent="0.3">
      <c r="A197" s="5">
        <v>196</v>
      </c>
      <c r="B197" s="107" t="s">
        <v>1080</v>
      </c>
      <c r="C197" s="97" t="s">
        <v>1182</v>
      </c>
      <c r="D197" s="10" t="s">
        <v>1079</v>
      </c>
      <c r="E197" s="121" t="s">
        <v>1183</v>
      </c>
      <c r="F197" s="6" t="s">
        <v>128</v>
      </c>
      <c r="G197" s="6" t="s">
        <v>12</v>
      </c>
      <c r="H197" s="6" t="s">
        <v>290</v>
      </c>
      <c r="I197" s="6" t="s">
        <v>80</v>
      </c>
      <c r="J197" s="92">
        <v>1</v>
      </c>
      <c r="K197" s="94" t="s">
        <v>160</v>
      </c>
      <c r="L197" s="46">
        <v>0</v>
      </c>
      <c r="M197" s="46">
        <v>7.05</v>
      </c>
      <c r="N197" s="46">
        <v>0</v>
      </c>
      <c r="O197" s="46">
        <v>0</v>
      </c>
      <c r="P197" s="46">
        <v>0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</v>
      </c>
      <c r="AA197" s="46">
        <v>0</v>
      </c>
      <c r="AB197" s="46">
        <v>0</v>
      </c>
      <c r="AC197" s="46">
        <v>0</v>
      </c>
      <c r="AD197" s="46">
        <v>0</v>
      </c>
      <c r="AE197" s="46">
        <v>0</v>
      </c>
      <c r="AF197" s="46">
        <v>0</v>
      </c>
      <c r="AG197" s="46">
        <v>0</v>
      </c>
      <c r="AH197" s="46">
        <v>0</v>
      </c>
      <c r="AI197" s="46">
        <v>0</v>
      </c>
      <c r="AJ197" s="46"/>
      <c r="AK197" s="46"/>
      <c r="AL197" s="46"/>
      <c r="AM197" s="46"/>
      <c r="AN197" s="46"/>
      <c r="AO197" s="46"/>
      <c r="AP197" s="46"/>
      <c r="AQ197" s="46">
        <f t="shared" si="13"/>
        <v>0.29375000000000001</v>
      </c>
      <c r="AR197" s="7">
        <f t="shared" si="14"/>
        <v>0.29375000000000001</v>
      </c>
    </row>
    <row r="198" spans="1:44" x14ac:dyDescent="0.3">
      <c r="A198" s="5">
        <v>197</v>
      </c>
      <c r="B198" s="107" t="s">
        <v>65</v>
      </c>
      <c r="C198" s="97" t="s">
        <v>1184</v>
      </c>
      <c r="D198" s="10" t="s">
        <v>1082</v>
      </c>
      <c r="E198" s="121" t="s">
        <v>1185</v>
      </c>
      <c r="F198" s="6" t="s">
        <v>128</v>
      </c>
      <c r="G198" s="6" t="s">
        <v>12</v>
      </c>
      <c r="H198" s="6" t="s">
        <v>13</v>
      </c>
      <c r="I198" s="6" t="s">
        <v>35</v>
      </c>
      <c r="J198" s="92">
        <v>1</v>
      </c>
      <c r="K198" s="94" t="s">
        <v>160</v>
      </c>
      <c r="L198" s="46">
        <v>0</v>
      </c>
      <c r="M198" s="46">
        <v>0</v>
      </c>
      <c r="N198" s="46">
        <v>2.2429999999999999</v>
      </c>
      <c r="O198" s="46">
        <v>0</v>
      </c>
      <c r="P198" s="46">
        <v>0</v>
      </c>
      <c r="Q198" s="46">
        <v>0</v>
      </c>
      <c r="R198" s="46">
        <v>0</v>
      </c>
      <c r="S198" s="46">
        <v>0.42099999999999999</v>
      </c>
      <c r="T198" s="46">
        <v>0</v>
      </c>
      <c r="U198" s="46">
        <v>0</v>
      </c>
      <c r="V198" s="46">
        <v>0</v>
      </c>
      <c r="W198" s="46">
        <v>1.5129999999999999</v>
      </c>
      <c r="X198" s="46">
        <v>0</v>
      </c>
      <c r="Y198" s="46">
        <v>2.1509999999999998</v>
      </c>
      <c r="Z198" s="46">
        <v>0</v>
      </c>
      <c r="AA198" s="46">
        <v>0</v>
      </c>
      <c r="AB198" s="10">
        <v>8.9689999999999994</v>
      </c>
      <c r="AC198" s="10">
        <v>9.9960000000000004</v>
      </c>
      <c r="AD198" s="10">
        <v>0</v>
      </c>
      <c r="AE198" s="10">
        <v>2.6960000000000002</v>
      </c>
      <c r="AF198" s="46">
        <v>0</v>
      </c>
      <c r="AG198" s="46">
        <v>0</v>
      </c>
      <c r="AH198" s="10">
        <v>4.9380000000000006</v>
      </c>
      <c r="AI198" s="46">
        <v>0</v>
      </c>
      <c r="AJ198" s="46"/>
      <c r="AK198" s="46"/>
      <c r="AL198" s="46"/>
      <c r="AM198" s="46"/>
      <c r="AN198" s="46"/>
      <c r="AO198" s="46"/>
      <c r="AP198" s="46"/>
      <c r="AQ198" s="46">
        <f t="shared" si="13"/>
        <v>1.3719583333333334</v>
      </c>
      <c r="AR198" s="7">
        <f t="shared" si="14"/>
        <v>1.3719583333333334</v>
      </c>
    </row>
    <row r="199" spans="1:44" x14ac:dyDescent="0.3">
      <c r="A199" s="5">
        <v>198</v>
      </c>
      <c r="B199" s="107" t="s">
        <v>1080</v>
      </c>
      <c r="C199" s="97" t="s">
        <v>1186</v>
      </c>
      <c r="D199" s="10" t="s">
        <v>1081</v>
      </c>
      <c r="E199" s="121" t="s">
        <v>1187</v>
      </c>
      <c r="F199" s="6" t="s">
        <v>128</v>
      </c>
      <c r="G199" s="6" t="s">
        <v>12</v>
      </c>
      <c r="H199" s="6" t="s">
        <v>135</v>
      </c>
      <c r="I199" s="6" t="s">
        <v>35</v>
      </c>
      <c r="J199" s="92">
        <v>1</v>
      </c>
      <c r="K199" s="94" t="s">
        <v>160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18.018000000000001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10">
        <v>30.242999999999999</v>
      </c>
      <c r="AG199" s="10">
        <v>0.66200000000000003</v>
      </c>
      <c r="AH199" s="46">
        <v>0</v>
      </c>
      <c r="AI199" s="46">
        <v>0</v>
      </c>
      <c r="AJ199" s="46"/>
      <c r="AK199" s="46"/>
      <c r="AL199" s="46"/>
      <c r="AM199" s="46"/>
      <c r="AN199" s="46"/>
      <c r="AO199" s="46"/>
      <c r="AP199" s="46"/>
      <c r="AQ199" s="46">
        <f t="shared" si="13"/>
        <v>2.0384583333333333</v>
      </c>
      <c r="AR199" s="7">
        <f t="shared" si="14"/>
        <v>2.0384583333333333</v>
      </c>
    </row>
    <row r="200" spans="1:44" x14ac:dyDescent="0.3">
      <c r="A200" s="5">
        <v>199</v>
      </c>
      <c r="B200" s="107" t="s">
        <v>65</v>
      </c>
      <c r="C200" s="97"/>
      <c r="D200" s="39" t="s">
        <v>115</v>
      </c>
      <c r="E200" s="121"/>
      <c r="F200" s="6" t="s">
        <v>113</v>
      </c>
      <c r="G200" s="6" t="s">
        <v>19</v>
      </c>
      <c r="H200" s="6" t="s">
        <v>973</v>
      </c>
      <c r="I200" s="6" t="s">
        <v>80</v>
      </c>
      <c r="J200" s="92">
        <v>1</v>
      </c>
      <c r="K200" s="67" t="s">
        <v>160</v>
      </c>
      <c r="L200" s="46">
        <v>0</v>
      </c>
      <c r="M200" s="46">
        <v>0</v>
      </c>
      <c r="N200" s="46">
        <v>0</v>
      </c>
      <c r="O200" s="46">
        <v>0</v>
      </c>
      <c r="P200" s="46">
        <v>0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J200" s="46"/>
      <c r="AK200" s="46"/>
      <c r="AL200" s="46"/>
      <c r="AM200" s="46"/>
      <c r="AN200" s="46"/>
      <c r="AO200" s="46"/>
      <c r="AP200" s="46"/>
      <c r="AQ200" s="46">
        <f t="shared" si="13"/>
        <v>0</v>
      </c>
      <c r="AR200" s="7">
        <f t="shared" si="14"/>
        <v>0</v>
      </c>
    </row>
    <row r="201" spans="1:44" x14ac:dyDescent="0.3">
      <c r="A201" s="5">
        <v>200</v>
      </c>
      <c r="B201" s="107" t="s">
        <v>65</v>
      </c>
      <c r="C201" s="97"/>
      <c r="D201" s="39" t="s">
        <v>117</v>
      </c>
      <c r="E201" s="121"/>
      <c r="F201" s="6" t="s">
        <v>113</v>
      </c>
      <c r="G201" s="6" t="s">
        <v>19</v>
      </c>
      <c r="H201" s="6" t="s">
        <v>973</v>
      </c>
      <c r="I201" s="6" t="s">
        <v>80</v>
      </c>
      <c r="J201" s="92">
        <v>1</v>
      </c>
      <c r="K201" s="67" t="s">
        <v>160</v>
      </c>
      <c r="L201" s="46">
        <v>0</v>
      </c>
      <c r="M201" s="46">
        <v>0</v>
      </c>
      <c r="N201" s="46">
        <v>0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0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0</v>
      </c>
      <c r="AF201" s="46">
        <v>0</v>
      </c>
      <c r="AG201" s="46">
        <v>0</v>
      </c>
      <c r="AH201" s="46">
        <v>0</v>
      </c>
      <c r="AI201" s="46">
        <v>0</v>
      </c>
      <c r="AJ201" s="46"/>
      <c r="AK201" s="46"/>
      <c r="AL201" s="46"/>
      <c r="AM201" s="46"/>
      <c r="AN201" s="46"/>
      <c r="AO201" s="46"/>
      <c r="AP201" s="46"/>
      <c r="AQ201" s="46">
        <f t="shared" si="13"/>
        <v>0</v>
      </c>
      <c r="AR201" s="7">
        <f t="shared" si="14"/>
        <v>0</v>
      </c>
    </row>
    <row r="202" spans="1:44" x14ac:dyDescent="0.3">
      <c r="A202" s="5">
        <v>201</v>
      </c>
      <c r="B202" s="107" t="s">
        <v>65</v>
      </c>
      <c r="C202" s="97"/>
      <c r="D202" s="6" t="s">
        <v>66</v>
      </c>
      <c r="E202" s="121"/>
      <c r="F202" s="6" t="s">
        <v>67</v>
      </c>
      <c r="G202" s="6" t="s">
        <v>12</v>
      </c>
      <c r="H202" s="6" t="s">
        <v>976</v>
      </c>
      <c r="I202" s="6" t="s">
        <v>14</v>
      </c>
      <c r="J202" s="92">
        <v>87</v>
      </c>
      <c r="K202" s="67" t="s">
        <v>160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/>
      <c r="AK202" s="46"/>
      <c r="AL202" s="46"/>
      <c r="AM202" s="46"/>
      <c r="AN202" s="46"/>
      <c r="AO202" s="46"/>
      <c r="AP202" s="46"/>
      <c r="AQ202" s="46">
        <f t="shared" si="13"/>
        <v>0</v>
      </c>
      <c r="AR202" s="7">
        <f t="shared" si="14"/>
        <v>0</v>
      </c>
    </row>
    <row r="203" spans="1:44" x14ac:dyDescent="0.3">
      <c r="A203" s="5">
        <v>202</v>
      </c>
      <c r="B203" s="107" t="s">
        <v>65</v>
      </c>
      <c r="C203" s="97"/>
      <c r="D203" s="6" t="s">
        <v>70</v>
      </c>
      <c r="E203" s="121"/>
      <c r="F203" s="6"/>
      <c r="G203" s="6" t="s">
        <v>12</v>
      </c>
      <c r="H203" s="6" t="s">
        <v>976</v>
      </c>
      <c r="I203" s="6" t="s">
        <v>14</v>
      </c>
      <c r="J203" s="92">
        <v>82</v>
      </c>
      <c r="K203" s="67" t="s">
        <v>160</v>
      </c>
      <c r="L203" s="46">
        <v>0</v>
      </c>
      <c r="M203" s="46">
        <v>0</v>
      </c>
      <c r="N203" s="46">
        <v>0</v>
      </c>
      <c r="O203" s="46">
        <v>0</v>
      </c>
      <c r="P203" s="46">
        <v>0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0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0</v>
      </c>
      <c r="AF203" s="46">
        <v>0</v>
      </c>
      <c r="AG203" s="46">
        <v>0</v>
      </c>
      <c r="AH203" s="46">
        <v>0</v>
      </c>
      <c r="AI203" s="46">
        <v>0</v>
      </c>
      <c r="AJ203" s="46"/>
      <c r="AK203" s="46"/>
      <c r="AL203" s="46"/>
      <c r="AM203" s="46"/>
      <c r="AN203" s="46"/>
      <c r="AO203" s="46"/>
      <c r="AP203" s="46"/>
      <c r="AQ203" s="46">
        <f t="shared" si="13"/>
        <v>0</v>
      </c>
      <c r="AR203" s="7">
        <f t="shared" si="14"/>
        <v>0</v>
      </c>
    </row>
    <row r="204" spans="1:44" x14ac:dyDescent="0.3">
      <c r="A204" s="5">
        <v>203</v>
      </c>
      <c r="B204" s="107" t="s">
        <v>65</v>
      </c>
      <c r="C204" s="97"/>
      <c r="D204" s="6" t="s">
        <v>74</v>
      </c>
      <c r="E204" s="121"/>
      <c r="F204" s="6" t="s">
        <v>30</v>
      </c>
      <c r="G204" s="6" t="s">
        <v>19</v>
      </c>
      <c r="H204" s="6" t="s">
        <v>976</v>
      </c>
      <c r="I204" s="6" t="s">
        <v>14</v>
      </c>
      <c r="J204" s="92">
        <v>2</v>
      </c>
      <c r="K204" s="67" t="s">
        <v>160</v>
      </c>
      <c r="L204" s="46">
        <v>0</v>
      </c>
      <c r="M204" s="46">
        <v>0</v>
      </c>
      <c r="N204" s="46">
        <v>0</v>
      </c>
      <c r="O204" s="46">
        <v>0</v>
      </c>
      <c r="P204" s="46">
        <v>0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/>
      <c r="AK204" s="46"/>
      <c r="AL204" s="46"/>
      <c r="AM204" s="46"/>
      <c r="AN204" s="46"/>
      <c r="AO204" s="46"/>
      <c r="AP204" s="46"/>
      <c r="AQ204" s="46">
        <f t="shared" si="13"/>
        <v>0</v>
      </c>
      <c r="AR204" s="7">
        <f t="shared" si="14"/>
        <v>0</v>
      </c>
    </row>
    <row r="205" spans="1:44" x14ac:dyDescent="0.3">
      <c r="A205" s="5">
        <v>204</v>
      </c>
      <c r="B205" s="107" t="s">
        <v>65</v>
      </c>
      <c r="C205" s="97"/>
      <c r="D205" s="39" t="s">
        <v>122</v>
      </c>
      <c r="E205" s="121"/>
      <c r="F205" s="6" t="s">
        <v>30</v>
      </c>
      <c r="G205" s="6" t="s">
        <v>19</v>
      </c>
      <c r="H205" s="6" t="s">
        <v>976</v>
      </c>
      <c r="I205" s="6" t="s">
        <v>14</v>
      </c>
      <c r="J205" s="92">
        <v>3</v>
      </c>
      <c r="K205" s="67" t="s">
        <v>160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/>
      <c r="AK205" s="46"/>
      <c r="AL205" s="46"/>
      <c r="AM205" s="46"/>
      <c r="AN205" s="46"/>
      <c r="AO205" s="46"/>
      <c r="AP205" s="46"/>
      <c r="AQ205" s="46">
        <f t="shared" si="13"/>
        <v>0</v>
      </c>
      <c r="AR205" s="7">
        <f t="shared" si="14"/>
        <v>0</v>
      </c>
    </row>
    <row r="206" spans="1:44" ht="15.6" x14ac:dyDescent="0.3">
      <c r="A206" s="5">
        <v>205</v>
      </c>
      <c r="B206" s="107" t="s">
        <v>572</v>
      </c>
      <c r="C206" s="97" t="s">
        <v>697</v>
      </c>
      <c r="D206" s="114" t="s">
        <v>950</v>
      </c>
      <c r="E206" s="121" t="s">
        <v>1313</v>
      </c>
      <c r="F206" s="6" t="s">
        <v>61</v>
      </c>
      <c r="G206" s="6" t="s">
        <v>12</v>
      </c>
      <c r="H206" s="6" t="s">
        <v>976</v>
      </c>
      <c r="I206" s="6" t="s">
        <v>35</v>
      </c>
      <c r="J206" s="92">
        <v>7</v>
      </c>
      <c r="K206" s="12" t="s">
        <v>160</v>
      </c>
      <c r="L206" s="46">
        <v>0</v>
      </c>
      <c r="M206" s="46">
        <v>0</v>
      </c>
      <c r="N206" s="46">
        <v>0</v>
      </c>
      <c r="O206" s="46">
        <v>0</v>
      </c>
      <c r="P206" s="46">
        <v>0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46">
        <v>0</v>
      </c>
      <c r="Z206" s="46">
        <v>0</v>
      </c>
      <c r="AA206" s="46">
        <v>0</v>
      </c>
      <c r="AB206" s="46">
        <v>0</v>
      </c>
      <c r="AC206" s="46">
        <v>0</v>
      </c>
      <c r="AD206" s="46">
        <v>0</v>
      </c>
      <c r="AE206" s="46">
        <v>0</v>
      </c>
      <c r="AF206" s="46">
        <v>0</v>
      </c>
      <c r="AG206" s="46">
        <v>0</v>
      </c>
      <c r="AH206" s="46">
        <v>0</v>
      </c>
      <c r="AI206" s="46">
        <v>0</v>
      </c>
      <c r="AJ206" s="46"/>
      <c r="AK206" s="46"/>
      <c r="AL206" s="46"/>
      <c r="AM206" s="46"/>
      <c r="AN206" s="46"/>
      <c r="AO206" s="46"/>
      <c r="AP206" s="46"/>
      <c r="AQ206" s="46">
        <f t="shared" si="13"/>
        <v>0</v>
      </c>
      <c r="AR206" s="7">
        <f t="shared" si="14"/>
        <v>0</v>
      </c>
    </row>
    <row r="207" spans="1:44" ht="15.6" x14ac:dyDescent="0.3">
      <c r="A207" s="5">
        <v>206</v>
      </c>
      <c r="B207" s="107" t="s">
        <v>572</v>
      </c>
      <c r="C207" s="97" t="s">
        <v>949</v>
      </c>
      <c r="D207" s="114" t="s">
        <v>810</v>
      </c>
      <c r="E207" s="121" t="s">
        <v>1314</v>
      </c>
      <c r="F207" s="6" t="s">
        <v>61</v>
      </c>
      <c r="G207" s="6" t="s">
        <v>12</v>
      </c>
      <c r="H207" s="6" t="s">
        <v>976</v>
      </c>
      <c r="I207" s="6" t="s">
        <v>35</v>
      </c>
      <c r="J207" s="92">
        <v>12</v>
      </c>
      <c r="K207" s="12" t="s">
        <v>160</v>
      </c>
      <c r="L207" s="46">
        <v>0</v>
      </c>
      <c r="M207" s="46">
        <v>0</v>
      </c>
      <c r="N207" s="46">
        <v>0</v>
      </c>
      <c r="O207" s="46">
        <v>0</v>
      </c>
      <c r="P207" s="46">
        <v>0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46">
        <v>0</v>
      </c>
      <c r="Z207" s="46">
        <v>0</v>
      </c>
      <c r="AA207" s="46">
        <v>0</v>
      </c>
      <c r="AB207" s="46">
        <v>0</v>
      </c>
      <c r="AC207" s="46">
        <v>0</v>
      </c>
      <c r="AD207" s="46">
        <v>0</v>
      </c>
      <c r="AE207" s="46">
        <v>0</v>
      </c>
      <c r="AF207" s="46">
        <v>0</v>
      </c>
      <c r="AG207" s="46">
        <v>0</v>
      </c>
      <c r="AH207" s="46">
        <v>0</v>
      </c>
      <c r="AI207" s="46">
        <v>0</v>
      </c>
      <c r="AJ207" s="46"/>
      <c r="AK207" s="46"/>
      <c r="AL207" s="46"/>
      <c r="AM207" s="46"/>
      <c r="AN207" s="46"/>
      <c r="AO207" s="46"/>
      <c r="AP207" s="46"/>
      <c r="AQ207" s="46">
        <f t="shared" si="13"/>
        <v>0</v>
      </c>
      <c r="AR207" s="7">
        <f t="shared" si="14"/>
        <v>0</v>
      </c>
    </row>
    <row r="208" spans="1:44" x14ac:dyDescent="0.3">
      <c r="A208" s="5">
        <v>207</v>
      </c>
      <c r="B208" s="107" t="s">
        <v>65</v>
      </c>
      <c r="C208" s="97" t="s">
        <v>1188</v>
      </c>
      <c r="D208" s="10" t="s">
        <v>1083</v>
      </c>
      <c r="E208" s="121" t="s">
        <v>1189</v>
      </c>
      <c r="F208" s="110" t="s">
        <v>128</v>
      </c>
      <c r="G208" s="6" t="s">
        <v>12</v>
      </c>
      <c r="H208" s="6" t="s">
        <v>13</v>
      </c>
      <c r="I208" s="6" t="s">
        <v>35</v>
      </c>
      <c r="J208" s="5">
        <v>1</v>
      </c>
      <c r="K208" s="94" t="s">
        <v>160</v>
      </c>
      <c r="L208" s="46"/>
      <c r="M208" s="46"/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/>
      <c r="AK208" s="46"/>
      <c r="AL208" s="46"/>
      <c r="AM208" s="46"/>
      <c r="AN208" s="46"/>
      <c r="AO208" s="46"/>
      <c r="AP208" s="46"/>
      <c r="AQ208" s="46"/>
      <c r="AR208" s="7"/>
    </row>
    <row r="209" spans="1:44" x14ac:dyDescent="0.3">
      <c r="A209" s="5">
        <v>208</v>
      </c>
      <c r="B209" s="107" t="s">
        <v>65</v>
      </c>
      <c r="C209" s="97" t="s">
        <v>1190</v>
      </c>
      <c r="D209" s="10" t="s">
        <v>1084</v>
      </c>
      <c r="E209" s="121" t="s">
        <v>1191</v>
      </c>
      <c r="F209" s="110" t="s">
        <v>128</v>
      </c>
      <c r="G209" s="6" t="s">
        <v>12</v>
      </c>
      <c r="H209" s="6" t="s">
        <v>13</v>
      </c>
      <c r="I209" s="6" t="s">
        <v>35</v>
      </c>
      <c r="J209" s="5">
        <v>1</v>
      </c>
      <c r="K209" s="94" t="s">
        <v>160</v>
      </c>
      <c r="L209" s="46"/>
      <c r="M209" s="46"/>
      <c r="N209" s="46">
        <v>0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46">
        <v>0</v>
      </c>
      <c r="AA209" s="46">
        <v>0</v>
      </c>
      <c r="AB209" s="46">
        <v>0</v>
      </c>
      <c r="AC209" s="46">
        <v>0</v>
      </c>
      <c r="AD209" s="10">
        <v>1.1299999999999999</v>
      </c>
      <c r="AE209" s="10">
        <v>1.375</v>
      </c>
      <c r="AF209" s="46">
        <v>0</v>
      </c>
      <c r="AG209" s="46">
        <v>0</v>
      </c>
      <c r="AH209" s="46">
        <v>0</v>
      </c>
      <c r="AI209" s="46">
        <v>0</v>
      </c>
      <c r="AJ209" s="46"/>
      <c r="AK209" s="46"/>
      <c r="AL209" s="46"/>
      <c r="AM209" s="46"/>
      <c r="AN209" s="46"/>
      <c r="AO209" s="46"/>
      <c r="AP209" s="46"/>
      <c r="AQ209" s="46"/>
      <c r="AR209" s="7"/>
    </row>
    <row r="210" spans="1:44" x14ac:dyDescent="0.3">
      <c r="A210" s="5">
        <v>209</v>
      </c>
      <c r="B210" s="107" t="s">
        <v>65</v>
      </c>
      <c r="C210" s="97" t="s">
        <v>1192</v>
      </c>
      <c r="D210" s="10" t="s">
        <v>1085</v>
      </c>
      <c r="E210" s="121" t="s">
        <v>1193</v>
      </c>
      <c r="F210" s="110" t="s">
        <v>128</v>
      </c>
      <c r="G210" s="6" t="s">
        <v>12</v>
      </c>
      <c r="H210" s="6" t="s">
        <v>13</v>
      </c>
      <c r="I210" s="6" t="s">
        <v>35</v>
      </c>
      <c r="J210" s="5">
        <v>1</v>
      </c>
      <c r="K210" s="94" t="s">
        <v>160</v>
      </c>
      <c r="L210" s="46"/>
      <c r="M210" s="46"/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10">
        <v>4.5999999999999999E-2</v>
      </c>
      <c r="AG210" s="46">
        <v>0</v>
      </c>
      <c r="AH210" s="10">
        <v>0</v>
      </c>
      <c r="AI210" s="10">
        <v>7.0140000000000002</v>
      </c>
      <c r="AJ210" s="10"/>
      <c r="AK210" s="46"/>
      <c r="AL210" s="46"/>
      <c r="AM210" s="46"/>
      <c r="AN210" s="46"/>
      <c r="AO210" s="46"/>
      <c r="AP210" s="46"/>
      <c r="AQ210" s="46"/>
      <c r="AR210" s="7"/>
    </row>
    <row r="211" spans="1:44" x14ac:dyDescent="0.3">
      <c r="A211" s="5">
        <v>210</v>
      </c>
      <c r="B211" s="107" t="s">
        <v>65</v>
      </c>
      <c r="C211" s="97" t="s">
        <v>1194</v>
      </c>
      <c r="D211" s="10" t="s">
        <v>1086</v>
      </c>
      <c r="E211" s="121" t="s">
        <v>1195</v>
      </c>
      <c r="F211" s="110" t="s">
        <v>128</v>
      </c>
      <c r="G211" s="6" t="s">
        <v>12</v>
      </c>
      <c r="H211" s="6" t="s">
        <v>13</v>
      </c>
      <c r="I211" s="6" t="s">
        <v>35</v>
      </c>
      <c r="J211" s="5">
        <v>1</v>
      </c>
      <c r="K211" s="94" t="s">
        <v>160</v>
      </c>
      <c r="L211" s="46"/>
      <c r="M211" s="46"/>
      <c r="N211" s="46">
        <v>0</v>
      </c>
      <c r="O211" s="46">
        <v>0</v>
      </c>
      <c r="P211" s="46">
        <v>0</v>
      </c>
      <c r="Q211" s="46">
        <v>0.27300000000000002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v>0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/>
      <c r="AK211" s="46"/>
      <c r="AL211" s="46"/>
      <c r="AM211" s="46"/>
      <c r="AN211" s="46"/>
      <c r="AO211" s="46"/>
      <c r="AP211" s="46"/>
      <c r="AQ211" s="46"/>
      <c r="AR211" s="7"/>
    </row>
    <row r="212" spans="1:44" x14ac:dyDescent="0.3">
      <c r="A212" s="5">
        <v>211</v>
      </c>
      <c r="B212" s="107" t="s">
        <v>65</v>
      </c>
      <c r="C212" s="97" t="s">
        <v>1196</v>
      </c>
      <c r="D212" s="10" t="s">
        <v>1087</v>
      </c>
      <c r="E212" s="121" t="s">
        <v>1197</v>
      </c>
      <c r="F212" s="110" t="s">
        <v>128</v>
      </c>
      <c r="G212" s="6" t="s">
        <v>12</v>
      </c>
      <c r="H212" s="6" t="s">
        <v>13</v>
      </c>
      <c r="I212" s="6" t="s">
        <v>35</v>
      </c>
      <c r="J212" s="5">
        <v>1</v>
      </c>
      <c r="K212" s="94" t="s">
        <v>160</v>
      </c>
      <c r="L212" s="46"/>
      <c r="M212" s="46"/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10">
        <v>0</v>
      </c>
      <c r="AF212" s="46">
        <v>0</v>
      </c>
      <c r="AG212" s="46">
        <v>0</v>
      </c>
      <c r="AH212" s="46">
        <v>0</v>
      </c>
      <c r="AI212" s="46">
        <v>0</v>
      </c>
      <c r="AJ212" s="46"/>
      <c r="AK212" s="46"/>
      <c r="AL212" s="46"/>
      <c r="AM212" s="46"/>
      <c r="AN212" s="46"/>
      <c r="AO212" s="46"/>
      <c r="AP212" s="46"/>
      <c r="AQ212" s="46"/>
      <c r="AR212" s="7"/>
    </row>
    <row r="213" spans="1:44" x14ac:dyDescent="0.3">
      <c r="A213" s="5">
        <v>212</v>
      </c>
      <c r="B213" s="107" t="s">
        <v>65</v>
      </c>
      <c r="C213" s="97" t="s">
        <v>1198</v>
      </c>
      <c r="D213" s="10" t="s">
        <v>1088</v>
      </c>
      <c r="E213" s="121" t="s">
        <v>1199</v>
      </c>
      <c r="F213" s="110" t="s">
        <v>128</v>
      </c>
      <c r="G213" s="6" t="s">
        <v>12</v>
      </c>
      <c r="H213" s="6" t="s">
        <v>13</v>
      </c>
      <c r="I213" s="6" t="s">
        <v>35</v>
      </c>
      <c r="J213" s="5">
        <v>1</v>
      </c>
      <c r="K213" s="94" t="s">
        <v>160</v>
      </c>
      <c r="L213" s="46"/>
      <c r="M213" s="46"/>
      <c r="N213" s="46">
        <v>0</v>
      </c>
      <c r="O213" s="46">
        <v>0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0</v>
      </c>
      <c r="AD213" s="46">
        <v>0</v>
      </c>
      <c r="AE213" s="46">
        <v>0</v>
      </c>
      <c r="AF213" s="46">
        <v>0</v>
      </c>
      <c r="AG213" s="46">
        <v>0</v>
      </c>
      <c r="AH213" s="46">
        <v>0</v>
      </c>
      <c r="AI213" s="46">
        <v>0</v>
      </c>
      <c r="AJ213" s="46"/>
      <c r="AK213" s="46"/>
      <c r="AL213" s="46"/>
      <c r="AM213" s="46"/>
      <c r="AN213" s="46"/>
      <c r="AO213" s="46"/>
      <c r="AP213" s="46"/>
      <c r="AQ213" s="46"/>
      <c r="AR213" s="7"/>
    </row>
    <row r="214" spans="1:44" x14ac:dyDescent="0.3">
      <c r="A214" s="5">
        <v>213</v>
      </c>
      <c r="B214" s="107" t="s">
        <v>65</v>
      </c>
      <c r="C214" s="97" t="s">
        <v>1200</v>
      </c>
      <c r="D214" s="10" t="s">
        <v>1089</v>
      </c>
      <c r="E214" s="121" t="s">
        <v>1201</v>
      </c>
      <c r="F214" s="110" t="s">
        <v>128</v>
      </c>
      <c r="G214" s="6" t="s">
        <v>12</v>
      </c>
      <c r="H214" s="6" t="s">
        <v>13</v>
      </c>
      <c r="I214" s="6" t="s">
        <v>35</v>
      </c>
      <c r="J214" s="5">
        <v>1</v>
      </c>
      <c r="K214" s="94" t="s">
        <v>160</v>
      </c>
      <c r="L214" s="46"/>
      <c r="M214" s="46"/>
      <c r="N214" s="46">
        <v>0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0</v>
      </c>
      <c r="AD214" s="46">
        <v>0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/>
      <c r="AK214" s="46"/>
      <c r="AL214" s="46"/>
      <c r="AM214" s="46"/>
      <c r="AN214" s="46"/>
      <c r="AO214" s="46"/>
      <c r="AP214" s="46"/>
      <c r="AQ214" s="46"/>
      <c r="AR214" s="7"/>
    </row>
    <row r="215" spans="1:44" x14ac:dyDescent="0.3">
      <c r="I215" s="89" t="s">
        <v>79</v>
      </c>
      <c r="J215" s="90">
        <f>SUM(J2:J214)</f>
        <v>1045</v>
      </c>
      <c r="K215" s="90"/>
      <c r="L215" s="91">
        <f t="shared" ref="L215:AG215" si="15">SUM(L2:L212)</f>
        <v>7937.1419999999989</v>
      </c>
      <c r="M215" s="91">
        <f t="shared" si="15"/>
        <v>7561.1449999999977</v>
      </c>
      <c r="N215" s="91">
        <f t="shared" si="15"/>
        <v>8247.7769999999964</v>
      </c>
      <c r="O215" s="91">
        <f t="shared" si="15"/>
        <v>7734.4389999999994</v>
      </c>
      <c r="P215" s="91">
        <f t="shared" si="15"/>
        <v>8009.2310000000007</v>
      </c>
      <c r="Q215" s="91">
        <f t="shared" si="15"/>
        <v>8028.563000000001</v>
      </c>
      <c r="R215" s="91">
        <f t="shared" si="15"/>
        <v>8955.5350000000053</v>
      </c>
      <c r="S215" s="91">
        <f t="shared" si="15"/>
        <v>8351.2910000000047</v>
      </c>
      <c r="T215" s="91">
        <f t="shared" si="15"/>
        <v>8853.7469999999994</v>
      </c>
      <c r="U215" s="91">
        <f t="shared" si="15"/>
        <v>7853.1760000000022</v>
      </c>
      <c r="V215" s="91">
        <f t="shared" si="15"/>
        <v>7475.1399999999994</v>
      </c>
      <c r="W215" s="91">
        <f t="shared" si="15"/>
        <v>8271.8330000000024</v>
      </c>
      <c r="X215" s="91">
        <f t="shared" si="15"/>
        <v>7902.5099999999975</v>
      </c>
      <c r="Y215" s="91">
        <f t="shared" si="15"/>
        <v>9059.1529999999984</v>
      </c>
      <c r="Z215" s="91">
        <f t="shared" si="15"/>
        <v>8831.6429999999982</v>
      </c>
      <c r="AA215" s="91">
        <f t="shared" si="15"/>
        <v>9106.6269999999986</v>
      </c>
      <c r="AB215" s="91">
        <f t="shared" si="15"/>
        <v>9260.4069999999992</v>
      </c>
      <c r="AC215" s="91">
        <f t="shared" si="15"/>
        <v>8403.2509999999984</v>
      </c>
      <c r="AD215" s="91">
        <f t="shared" si="15"/>
        <v>9313.319000000005</v>
      </c>
      <c r="AE215" s="91">
        <f t="shared" si="15"/>
        <v>8732.6270000000004</v>
      </c>
      <c r="AF215" s="91">
        <f t="shared" si="15"/>
        <v>8798.2850000000035</v>
      </c>
      <c r="AG215" s="91">
        <f t="shared" si="15"/>
        <v>8466.2719999999936</v>
      </c>
      <c r="AH215" s="91">
        <f t="shared" ref="AH215" si="16">SUM(AH2:AH212)</f>
        <v>9301.275999999998</v>
      </c>
      <c r="AI215" s="91">
        <f t="shared" ref="AI215:AO215" si="17">SUM(AI2:AI213)</f>
        <v>17191.467999999993</v>
      </c>
      <c r="AJ215" s="91">
        <f t="shared" si="17"/>
        <v>0</v>
      </c>
      <c r="AK215" s="91">
        <f t="shared" si="17"/>
        <v>0</v>
      </c>
      <c r="AL215" s="91">
        <f t="shared" si="17"/>
        <v>0</v>
      </c>
      <c r="AM215" s="91">
        <f t="shared" si="17"/>
        <v>0</v>
      </c>
      <c r="AN215" s="91">
        <f t="shared" si="17"/>
        <v>0</v>
      </c>
      <c r="AO215" s="91">
        <f t="shared" si="17"/>
        <v>0</v>
      </c>
      <c r="AP215" s="91"/>
      <c r="AQ215" s="46">
        <f>AVERAGE(L215:AO215)</f>
        <v>7054.8619000000008</v>
      </c>
      <c r="AR215" s="7">
        <f>AQ215/J215</f>
        <v>6.7510640191387568</v>
      </c>
    </row>
    <row r="216" spans="1:44" x14ac:dyDescent="0.3">
      <c r="AL216" s="81"/>
      <c r="AQ216" s="50"/>
    </row>
    <row r="219" spans="1:44" x14ac:dyDescent="0.3">
      <c r="AD219" s="119"/>
    </row>
    <row r="220" spans="1:44" x14ac:dyDescent="0.3">
      <c r="X220" s="88"/>
    </row>
    <row r="221" spans="1:44" x14ac:dyDescent="0.3">
      <c r="AC221" s="88"/>
      <c r="AF221" s="119"/>
      <c r="AG221" s="119"/>
    </row>
  </sheetData>
  <autoFilter ref="A1:AR215" xr:uid="{00000000-0009-0000-0000-000042000000}">
    <sortState xmlns:xlrd2="http://schemas.microsoft.com/office/spreadsheetml/2017/richdata2" ref="A2:AR215">
      <sortCondition ref="A2:A215"/>
    </sortState>
  </autoFilter>
  <pageMargins left="0.7" right="0.7" top="0.75" bottom="0.75" header="0.3" footer="0.3"/>
  <pageSetup scale="1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V26"/>
  <sheetViews>
    <sheetView workbookViewId="0">
      <selection activeCell="L15" sqref="L15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3" width="8.33203125" bestFit="1" customWidth="1"/>
    <col min="4" max="4" width="6.33203125" bestFit="1" customWidth="1"/>
    <col min="5" max="5" width="8.21875" bestFit="1" customWidth="1"/>
    <col min="6" max="6" width="6" bestFit="1" customWidth="1"/>
    <col min="7" max="7" width="5.88671875" bestFit="1" customWidth="1"/>
    <col min="8" max="8" width="8.5546875" bestFit="1" customWidth="1"/>
    <col min="9" max="9" width="9.44140625" bestFit="1" customWidth="1"/>
    <col min="10" max="10" width="6.109375" bestFit="1" customWidth="1"/>
    <col min="11" max="11" width="12.109375" bestFit="1" customWidth="1"/>
    <col min="12" max="12" width="10.6640625" bestFit="1" customWidth="1"/>
    <col min="13" max="13" width="7.88671875" bestFit="1" customWidth="1"/>
    <col min="14" max="14" width="10.88671875" bestFit="1" customWidth="1"/>
    <col min="15" max="15" width="9.33203125" bestFit="1" customWidth="1"/>
    <col min="16" max="16" width="9" bestFit="1" customWidth="1"/>
    <col min="17" max="17" width="8.6640625" bestFit="1" customWidth="1"/>
    <col min="18" max="18" width="10" bestFit="1" customWidth="1"/>
    <col min="19" max="20" width="9.77734375" bestFit="1" customWidth="1"/>
    <col min="21" max="21" width="7" bestFit="1" customWidth="1"/>
    <col min="22" max="22" width="10.21875" bestFit="1" customWidth="1"/>
    <col min="23" max="23" width="8.88671875" bestFit="1" customWidth="1"/>
    <col min="24" max="24" width="8.77734375" bestFit="1" customWidth="1"/>
    <col min="25" max="25" width="12.44140625" bestFit="1" customWidth="1"/>
    <col min="26" max="26" width="7" bestFit="1" customWidth="1"/>
    <col min="27" max="27" width="9" bestFit="1" customWidth="1"/>
    <col min="28" max="28" width="8.6640625" bestFit="1" customWidth="1"/>
    <col min="29" max="29" width="7.33203125" bestFit="1" customWidth="1"/>
    <col min="30" max="30" width="8" bestFit="1" customWidth="1"/>
    <col min="31" max="31" width="7.6640625" bestFit="1" customWidth="1"/>
    <col min="32" max="32" width="6" bestFit="1" customWidth="1"/>
    <col min="33" max="33" width="11" bestFit="1" customWidth="1"/>
    <col min="34" max="34" width="7.6640625" bestFit="1" customWidth="1"/>
    <col min="35" max="35" width="5.88671875" bestFit="1" customWidth="1"/>
    <col min="36" max="36" width="12" bestFit="1" customWidth="1"/>
    <col min="37" max="37" width="9" bestFit="1" customWidth="1"/>
    <col min="38" max="38" width="6.44140625" bestFit="1" customWidth="1"/>
    <col min="39" max="39" width="12.44140625" bestFit="1" customWidth="1"/>
    <col min="40" max="40" width="9" bestFit="1" customWidth="1"/>
    <col min="41" max="41" width="9.77734375" bestFit="1" customWidth="1"/>
    <col min="42" max="42" width="8.77734375" bestFit="1" customWidth="1"/>
    <col min="43" max="43" width="4.77734375" bestFit="1" customWidth="1"/>
    <col min="44" max="44" width="5.44140625" bestFit="1" customWidth="1"/>
    <col min="45" max="45" width="10.77734375" bestFit="1" customWidth="1"/>
    <col min="46" max="46" width="14.21875" bestFit="1" customWidth="1"/>
    <col min="47" max="47" width="9" bestFit="1" customWidth="1"/>
    <col min="48" max="48" width="10.77734375" bestFit="1" customWidth="1"/>
    <col min="49" max="92" width="16.33203125" bestFit="1" customWidth="1"/>
    <col min="93" max="94" width="20.44140625" bestFit="1" customWidth="1"/>
  </cols>
  <sheetData>
    <row r="1" spans="1:48" x14ac:dyDescent="0.3">
      <c r="B1" s="29" t="s">
        <v>144</v>
      </c>
    </row>
    <row r="2" spans="1:48" x14ac:dyDescent="0.3">
      <c r="A2" s="29" t="s">
        <v>131</v>
      </c>
      <c r="B2" t="s">
        <v>708</v>
      </c>
      <c r="C2" t="s">
        <v>576</v>
      </c>
      <c r="D2" t="s">
        <v>578</v>
      </c>
      <c r="E2" t="s">
        <v>832</v>
      </c>
      <c r="F2" t="s">
        <v>905</v>
      </c>
      <c r="G2" t="s">
        <v>1014</v>
      </c>
      <c r="H2" t="s">
        <v>175</v>
      </c>
      <c r="I2" t="s">
        <v>58</v>
      </c>
      <c r="J2" t="s">
        <v>885</v>
      </c>
      <c r="K2" t="s">
        <v>844</v>
      </c>
      <c r="L2" t="s">
        <v>1080</v>
      </c>
      <c r="M2" t="s">
        <v>569</v>
      </c>
      <c r="N2" t="s">
        <v>476</v>
      </c>
      <c r="O2" t="s">
        <v>1077</v>
      </c>
      <c r="P2" t="s">
        <v>65</v>
      </c>
      <c r="Q2" t="s">
        <v>919</v>
      </c>
      <c r="R2" t="s">
        <v>892</v>
      </c>
      <c r="S2" t="s">
        <v>222</v>
      </c>
      <c r="T2" t="s">
        <v>862</v>
      </c>
      <c r="U2" t="s">
        <v>134</v>
      </c>
      <c r="V2" t="s">
        <v>9</v>
      </c>
      <c r="W2" t="s">
        <v>1047</v>
      </c>
      <c r="X2" t="s">
        <v>822</v>
      </c>
      <c r="Y2" t="s">
        <v>866</v>
      </c>
      <c r="Z2" t="s">
        <v>536</v>
      </c>
      <c r="AA2" t="s">
        <v>55</v>
      </c>
      <c r="AB2" t="s">
        <v>499</v>
      </c>
      <c r="AC2" t="s">
        <v>563</v>
      </c>
      <c r="AD2" t="s">
        <v>119</v>
      </c>
      <c r="AE2" t="s">
        <v>560</v>
      </c>
      <c r="AF2" t="s">
        <v>221</v>
      </c>
      <c r="AG2" t="s">
        <v>1048</v>
      </c>
      <c r="AH2" t="s">
        <v>1008</v>
      </c>
      <c r="AI2" t="s">
        <v>572</v>
      </c>
      <c r="AJ2" t="s">
        <v>895</v>
      </c>
      <c r="AK2" t="s">
        <v>565</v>
      </c>
      <c r="AL2" t="s">
        <v>882</v>
      </c>
      <c r="AM2" t="s">
        <v>246</v>
      </c>
      <c r="AN2" t="s">
        <v>1024</v>
      </c>
      <c r="AO2" t="s">
        <v>829</v>
      </c>
      <c r="AP2" t="s">
        <v>1050</v>
      </c>
      <c r="AQ2" t="s">
        <v>598</v>
      </c>
      <c r="AR2" t="s">
        <v>597</v>
      </c>
      <c r="AS2" t="s">
        <v>49</v>
      </c>
      <c r="AT2" t="s">
        <v>52</v>
      </c>
      <c r="AU2" t="s">
        <v>498</v>
      </c>
      <c r="AV2" t="s">
        <v>83</v>
      </c>
    </row>
    <row r="3" spans="1:48" x14ac:dyDescent="0.3">
      <c r="A3" s="26" t="s">
        <v>1091</v>
      </c>
      <c r="B3" s="136">
        <v>0</v>
      </c>
      <c r="C3" s="136">
        <v>0</v>
      </c>
      <c r="D3" s="136">
        <v>0</v>
      </c>
      <c r="E3" s="136">
        <v>0</v>
      </c>
      <c r="F3" s="136">
        <v>0</v>
      </c>
      <c r="G3" s="136">
        <v>0</v>
      </c>
      <c r="H3" s="136">
        <v>0</v>
      </c>
      <c r="I3" s="136">
        <v>387.19600000000003</v>
      </c>
      <c r="J3" s="136">
        <v>0</v>
      </c>
      <c r="K3" s="136">
        <v>0</v>
      </c>
      <c r="L3" s="136">
        <v>0</v>
      </c>
      <c r="M3" s="136">
        <v>0</v>
      </c>
      <c r="N3" s="136">
        <v>0</v>
      </c>
      <c r="O3" s="136">
        <v>0</v>
      </c>
      <c r="P3" s="136">
        <v>1400.192</v>
      </c>
      <c r="Q3" s="136">
        <v>3.33</v>
      </c>
      <c r="R3" s="136">
        <v>10.210000000000001</v>
      </c>
      <c r="S3" s="136">
        <v>0</v>
      </c>
      <c r="T3" s="136">
        <v>0</v>
      </c>
      <c r="U3" s="136">
        <v>26.778000000000002</v>
      </c>
      <c r="V3" s="136">
        <v>4286.6100000000006</v>
      </c>
      <c r="W3" s="136">
        <v>0</v>
      </c>
      <c r="X3" s="136">
        <v>0</v>
      </c>
      <c r="Y3" s="136">
        <v>0</v>
      </c>
      <c r="Z3" s="136">
        <v>0</v>
      </c>
      <c r="AA3" s="136">
        <v>99.204999999999998</v>
      </c>
      <c r="AB3" s="136">
        <v>0</v>
      </c>
      <c r="AC3" s="136">
        <v>0</v>
      </c>
      <c r="AD3" s="136">
        <v>0</v>
      </c>
      <c r="AE3" s="136">
        <v>0</v>
      </c>
      <c r="AF3" s="136">
        <v>5.6690000000000005</v>
      </c>
      <c r="AG3" s="136">
        <v>0</v>
      </c>
      <c r="AH3" s="136">
        <v>0</v>
      </c>
      <c r="AI3" s="136">
        <v>0</v>
      </c>
      <c r="AJ3" s="136">
        <v>0</v>
      </c>
      <c r="AK3" s="136">
        <v>300.81299999999999</v>
      </c>
      <c r="AL3" s="136">
        <v>0</v>
      </c>
      <c r="AM3" s="136">
        <v>28.323</v>
      </c>
      <c r="AN3" s="136">
        <v>785.17499999999995</v>
      </c>
      <c r="AO3" s="136">
        <v>0</v>
      </c>
      <c r="AP3" s="136">
        <v>0</v>
      </c>
      <c r="AQ3" s="136">
        <v>0</v>
      </c>
      <c r="AR3" s="136">
        <v>0</v>
      </c>
      <c r="AS3" s="136">
        <v>600.57299999999998</v>
      </c>
      <c r="AT3" s="136">
        <v>3.0679999999999996</v>
      </c>
      <c r="AU3" s="136">
        <v>0</v>
      </c>
      <c r="AV3" s="136">
        <v>7937.1420000000016</v>
      </c>
    </row>
    <row r="4" spans="1:48" x14ac:dyDescent="0.3">
      <c r="A4" s="26" t="s">
        <v>1092</v>
      </c>
      <c r="B4" s="136">
        <v>0</v>
      </c>
      <c r="C4" s="136">
        <v>0</v>
      </c>
      <c r="D4" s="136">
        <v>0</v>
      </c>
      <c r="E4" s="136">
        <v>0</v>
      </c>
      <c r="F4" s="136">
        <v>0</v>
      </c>
      <c r="G4" s="136">
        <v>0</v>
      </c>
      <c r="H4" s="136">
        <v>0</v>
      </c>
      <c r="I4" s="136">
        <v>269.61600000000004</v>
      </c>
      <c r="J4" s="136">
        <v>0</v>
      </c>
      <c r="K4" s="136">
        <v>0</v>
      </c>
      <c r="L4" s="136">
        <v>7.05</v>
      </c>
      <c r="M4" s="136">
        <v>0</v>
      </c>
      <c r="N4" s="136">
        <v>0</v>
      </c>
      <c r="O4" s="136">
        <v>5.52</v>
      </c>
      <c r="P4" s="136">
        <v>1056.8300000000002</v>
      </c>
      <c r="Q4" s="136">
        <v>16.100000000000001</v>
      </c>
      <c r="R4" s="136">
        <v>6.41</v>
      </c>
      <c r="S4" s="136">
        <v>0</v>
      </c>
      <c r="T4" s="136">
        <v>0</v>
      </c>
      <c r="U4" s="136">
        <v>43.997999999999998</v>
      </c>
      <c r="V4" s="136">
        <v>4380.3559999999989</v>
      </c>
      <c r="W4" s="136">
        <v>0</v>
      </c>
      <c r="X4" s="136">
        <v>0</v>
      </c>
      <c r="Y4" s="136">
        <v>2.5</v>
      </c>
      <c r="Z4" s="136">
        <v>0</v>
      </c>
      <c r="AA4" s="136">
        <v>308.28800000000012</v>
      </c>
      <c r="AB4" s="136">
        <v>0</v>
      </c>
      <c r="AC4" s="136">
        <v>0</v>
      </c>
      <c r="AD4" s="136">
        <v>0</v>
      </c>
      <c r="AE4" s="136">
        <v>0</v>
      </c>
      <c r="AF4" s="136">
        <v>2.3409999999999997</v>
      </c>
      <c r="AG4" s="136">
        <v>25.82</v>
      </c>
      <c r="AH4" s="136">
        <v>0</v>
      </c>
      <c r="AI4" s="136">
        <v>0</v>
      </c>
      <c r="AJ4" s="136">
        <v>0</v>
      </c>
      <c r="AK4" s="136">
        <v>339.23299999999983</v>
      </c>
      <c r="AL4" s="136">
        <v>0</v>
      </c>
      <c r="AM4" s="136">
        <v>4.5739999999999998</v>
      </c>
      <c r="AN4" s="136">
        <v>597.77499999999998</v>
      </c>
      <c r="AO4" s="136">
        <v>0</v>
      </c>
      <c r="AP4" s="136">
        <v>0</v>
      </c>
      <c r="AQ4" s="136">
        <v>0</v>
      </c>
      <c r="AR4" s="136">
        <v>0</v>
      </c>
      <c r="AS4" s="136">
        <v>494.73399999999998</v>
      </c>
      <c r="AT4" s="136">
        <v>0</v>
      </c>
      <c r="AU4" s="136">
        <v>0</v>
      </c>
      <c r="AV4" s="136">
        <v>7561.1449999999995</v>
      </c>
    </row>
    <row r="5" spans="1:48" x14ac:dyDescent="0.3">
      <c r="A5" s="26" t="s">
        <v>1093</v>
      </c>
      <c r="B5" s="136">
        <v>0</v>
      </c>
      <c r="C5" s="136">
        <v>0</v>
      </c>
      <c r="D5" s="136">
        <v>0</v>
      </c>
      <c r="E5" s="136">
        <v>0</v>
      </c>
      <c r="F5" s="136">
        <v>0</v>
      </c>
      <c r="G5" s="136">
        <v>0</v>
      </c>
      <c r="H5" s="136">
        <v>0</v>
      </c>
      <c r="I5" s="136">
        <v>330.32700000000006</v>
      </c>
      <c r="J5" s="136">
        <v>0</v>
      </c>
      <c r="K5" s="136">
        <v>0</v>
      </c>
      <c r="L5" s="136">
        <v>0</v>
      </c>
      <c r="M5" s="136">
        <v>0</v>
      </c>
      <c r="N5" s="136">
        <v>0</v>
      </c>
      <c r="O5" s="136">
        <v>0</v>
      </c>
      <c r="P5" s="136">
        <v>1139.498</v>
      </c>
      <c r="Q5" s="136">
        <v>21.07</v>
      </c>
      <c r="R5" s="136">
        <v>0</v>
      </c>
      <c r="S5" s="136">
        <v>26.183</v>
      </c>
      <c r="T5" s="136">
        <v>0</v>
      </c>
      <c r="U5" s="136">
        <v>25.472999999999999</v>
      </c>
      <c r="V5" s="136">
        <v>4753.8379999999997</v>
      </c>
      <c r="W5" s="136">
        <v>0</v>
      </c>
      <c r="X5" s="136">
        <v>0</v>
      </c>
      <c r="Y5" s="136">
        <v>5.43</v>
      </c>
      <c r="Z5" s="136">
        <v>0</v>
      </c>
      <c r="AA5" s="136">
        <v>341.62699999999995</v>
      </c>
      <c r="AB5" s="136">
        <v>0</v>
      </c>
      <c r="AC5" s="136">
        <v>0</v>
      </c>
      <c r="AD5" s="136">
        <v>54.965000000000003</v>
      </c>
      <c r="AE5" s="136">
        <v>0</v>
      </c>
      <c r="AF5" s="136">
        <v>2.9039999999999999</v>
      </c>
      <c r="AG5" s="136">
        <v>0</v>
      </c>
      <c r="AH5" s="136">
        <v>0</v>
      </c>
      <c r="AI5" s="136">
        <v>0</v>
      </c>
      <c r="AJ5" s="136">
        <v>0</v>
      </c>
      <c r="AK5" s="136">
        <v>329.38699999999994</v>
      </c>
      <c r="AL5" s="136">
        <v>0</v>
      </c>
      <c r="AM5" s="136">
        <v>0</v>
      </c>
      <c r="AN5" s="136">
        <v>671.92499999999995</v>
      </c>
      <c r="AO5" s="136">
        <v>0</v>
      </c>
      <c r="AP5" s="136">
        <v>0</v>
      </c>
      <c r="AQ5" s="136">
        <v>0</v>
      </c>
      <c r="AR5" s="136">
        <v>0</v>
      </c>
      <c r="AS5" s="136">
        <v>545.15</v>
      </c>
      <c r="AT5" s="136">
        <v>0</v>
      </c>
      <c r="AU5" s="136">
        <v>0</v>
      </c>
      <c r="AV5" s="136">
        <v>8247.777</v>
      </c>
    </row>
    <row r="6" spans="1:48" x14ac:dyDescent="0.3">
      <c r="A6" s="26" t="s">
        <v>1094</v>
      </c>
      <c r="B6" s="136">
        <v>0</v>
      </c>
      <c r="C6" s="136">
        <v>0</v>
      </c>
      <c r="D6" s="136">
        <v>0</v>
      </c>
      <c r="E6" s="136">
        <v>0</v>
      </c>
      <c r="F6" s="136">
        <v>0</v>
      </c>
      <c r="G6" s="136">
        <v>0</v>
      </c>
      <c r="H6" s="136">
        <v>0</v>
      </c>
      <c r="I6" s="136">
        <v>323.50400000000002</v>
      </c>
      <c r="J6" s="136">
        <v>0</v>
      </c>
      <c r="K6" s="136">
        <v>0</v>
      </c>
      <c r="L6" s="136">
        <v>0</v>
      </c>
      <c r="M6" s="136">
        <v>0</v>
      </c>
      <c r="N6" s="136">
        <v>0</v>
      </c>
      <c r="O6" s="136">
        <v>0</v>
      </c>
      <c r="P6" s="136">
        <v>1223.4829999999999</v>
      </c>
      <c r="Q6" s="136">
        <v>23.14</v>
      </c>
      <c r="R6" s="136">
        <v>0</v>
      </c>
      <c r="S6" s="136">
        <v>0</v>
      </c>
      <c r="T6" s="136">
        <v>0</v>
      </c>
      <c r="U6" s="136">
        <v>58.86</v>
      </c>
      <c r="V6" s="136">
        <v>4059.1860000000001</v>
      </c>
      <c r="W6" s="136">
        <v>0</v>
      </c>
      <c r="X6" s="136">
        <v>0</v>
      </c>
      <c r="Y6" s="136">
        <v>0</v>
      </c>
      <c r="Z6" s="136">
        <v>0</v>
      </c>
      <c r="AA6" s="136">
        <v>397.43799999999987</v>
      </c>
      <c r="AB6" s="136">
        <v>0</v>
      </c>
      <c r="AC6" s="136">
        <v>0</v>
      </c>
      <c r="AD6" s="136">
        <v>114.94200000000002</v>
      </c>
      <c r="AE6" s="136">
        <v>0</v>
      </c>
      <c r="AF6" s="136">
        <v>3.3449999999999998</v>
      </c>
      <c r="AG6" s="136">
        <v>0</v>
      </c>
      <c r="AH6" s="136">
        <v>0</v>
      </c>
      <c r="AI6" s="136">
        <v>0</v>
      </c>
      <c r="AJ6" s="136">
        <v>0</v>
      </c>
      <c r="AK6" s="136">
        <v>320.37500000000017</v>
      </c>
      <c r="AL6" s="136">
        <v>0</v>
      </c>
      <c r="AM6" s="136">
        <v>0</v>
      </c>
      <c r="AN6" s="136">
        <v>762.77500000000009</v>
      </c>
      <c r="AO6" s="136">
        <v>0</v>
      </c>
      <c r="AP6" s="136">
        <v>0</v>
      </c>
      <c r="AQ6" s="136">
        <v>0</v>
      </c>
      <c r="AR6" s="136">
        <v>0</v>
      </c>
      <c r="AS6" s="136">
        <v>447.39100000000002</v>
      </c>
      <c r="AT6" s="136">
        <v>0</v>
      </c>
      <c r="AU6" s="136">
        <v>0</v>
      </c>
      <c r="AV6" s="136">
        <v>7734.4390000000003</v>
      </c>
    </row>
    <row r="7" spans="1:48" x14ac:dyDescent="0.3">
      <c r="A7" s="26" t="s">
        <v>1095</v>
      </c>
      <c r="B7" s="136">
        <v>0</v>
      </c>
      <c r="C7" s="136">
        <v>0</v>
      </c>
      <c r="D7" s="136">
        <v>0</v>
      </c>
      <c r="E7" s="136">
        <v>0</v>
      </c>
      <c r="F7" s="136">
        <v>14.18</v>
      </c>
      <c r="G7" s="136">
        <v>0</v>
      </c>
      <c r="H7" s="136">
        <v>0</v>
      </c>
      <c r="I7" s="136">
        <v>339.11600000000004</v>
      </c>
      <c r="J7" s="136">
        <v>0</v>
      </c>
      <c r="K7" s="136">
        <v>0</v>
      </c>
      <c r="L7" s="136">
        <v>0</v>
      </c>
      <c r="M7" s="136">
        <v>2.6480000000000001</v>
      </c>
      <c r="N7" s="136">
        <v>0</v>
      </c>
      <c r="O7" s="136">
        <v>16.169999999999998</v>
      </c>
      <c r="P7" s="136">
        <v>1046.6840000000002</v>
      </c>
      <c r="Q7" s="136">
        <v>54.3</v>
      </c>
      <c r="R7" s="136">
        <v>0</v>
      </c>
      <c r="S7" s="136">
        <v>0</v>
      </c>
      <c r="T7" s="136">
        <v>0</v>
      </c>
      <c r="U7" s="136">
        <v>47.088000000000001</v>
      </c>
      <c r="V7" s="136">
        <v>4500.7410000000009</v>
      </c>
      <c r="W7" s="136">
        <v>0</v>
      </c>
      <c r="X7" s="136">
        <v>0</v>
      </c>
      <c r="Y7" s="136">
        <v>0</v>
      </c>
      <c r="Z7" s="136">
        <v>0</v>
      </c>
      <c r="AA7" s="136">
        <v>338.09999999999991</v>
      </c>
      <c r="AB7" s="136">
        <v>0</v>
      </c>
      <c r="AC7" s="136">
        <v>0</v>
      </c>
      <c r="AD7" s="136">
        <v>106.97500000000001</v>
      </c>
      <c r="AE7" s="136">
        <v>0</v>
      </c>
      <c r="AF7" s="136">
        <v>1.643</v>
      </c>
      <c r="AG7" s="136">
        <v>0</v>
      </c>
      <c r="AH7" s="136">
        <v>0</v>
      </c>
      <c r="AI7" s="136">
        <v>0</v>
      </c>
      <c r="AJ7" s="136">
        <v>0</v>
      </c>
      <c r="AK7" s="136">
        <v>311.08300000000008</v>
      </c>
      <c r="AL7" s="136">
        <v>0</v>
      </c>
      <c r="AM7" s="136">
        <v>0</v>
      </c>
      <c r="AN7" s="136">
        <v>727.64899999999989</v>
      </c>
      <c r="AO7" s="136">
        <v>0</v>
      </c>
      <c r="AP7" s="136">
        <v>0</v>
      </c>
      <c r="AQ7" s="136">
        <v>0</v>
      </c>
      <c r="AR7" s="136">
        <v>0</v>
      </c>
      <c r="AS7" s="136">
        <v>502.85400000000004</v>
      </c>
      <c r="AT7" s="136">
        <v>0</v>
      </c>
      <c r="AU7" s="136">
        <v>0</v>
      </c>
      <c r="AV7" s="136">
        <v>8009.2310000000025</v>
      </c>
    </row>
    <row r="8" spans="1:48" x14ac:dyDescent="0.3">
      <c r="A8" s="26" t="s">
        <v>1096</v>
      </c>
      <c r="B8" s="136">
        <v>0</v>
      </c>
      <c r="C8" s="136">
        <v>0</v>
      </c>
      <c r="D8" s="136">
        <v>0</v>
      </c>
      <c r="E8" s="136">
        <v>0</v>
      </c>
      <c r="F8" s="136">
        <v>19.02</v>
      </c>
      <c r="G8" s="136">
        <v>6.42</v>
      </c>
      <c r="H8" s="136">
        <v>0</v>
      </c>
      <c r="I8" s="136">
        <v>378.59600000000006</v>
      </c>
      <c r="J8" s="136">
        <v>0</v>
      </c>
      <c r="K8" s="136">
        <v>0</v>
      </c>
      <c r="L8" s="136">
        <v>0</v>
      </c>
      <c r="M8" s="136">
        <v>2.3289999999999997</v>
      </c>
      <c r="N8" s="136">
        <v>0</v>
      </c>
      <c r="O8" s="136">
        <v>0</v>
      </c>
      <c r="P8" s="136">
        <v>1186.8979999999999</v>
      </c>
      <c r="Q8" s="136">
        <v>42.68</v>
      </c>
      <c r="R8" s="136">
        <v>0</v>
      </c>
      <c r="S8" s="136">
        <v>0</v>
      </c>
      <c r="T8" s="136">
        <v>0</v>
      </c>
      <c r="U8" s="136">
        <v>32.853999999999999</v>
      </c>
      <c r="V8" s="136">
        <v>4872.8459999999986</v>
      </c>
      <c r="W8" s="136">
        <v>0</v>
      </c>
      <c r="X8" s="136">
        <v>0</v>
      </c>
      <c r="Y8" s="136">
        <v>0</v>
      </c>
      <c r="Z8" s="136">
        <v>0</v>
      </c>
      <c r="AA8" s="136">
        <v>136.00200000000004</v>
      </c>
      <c r="AB8" s="136">
        <v>0</v>
      </c>
      <c r="AC8" s="136">
        <v>0</v>
      </c>
      <c r="AD8" s="136">
        <v>155.28800000000001</v>
      </c>
      <c r="AE8" s="136">
        <v>0</v>
      </c>
      <c r="AF8" s="136">
        <v>2.9969999999999999</v>
      </c>
      <c r="AG8" s="136">
        <v>0</v>
      </c>
      <c r="AH8" s="136">
        <v>0</v>
      </c>
      <c r="AI8" s="136">
        <v>0</v>
      </c>
      <c r="AJ8" s="136">
        <v>0</v>
      </c>
      <c r="AK8" s="136">
        <v>313.80799999999999</v>
      </c>
      <c r="AL8" s="136">
        <v>0</v>
      </c>
      <c r="AM8" s="136">
        <v>0</v>
      </c>
      <c r="AN8" s="136">
        <v>433.702</v>
      </c>
      <c r="AO8" s="136">
        <v>0</v>
      </c>
      <c r="AP8" s="136">
        <v>0</v>
      </c>
      <c r="AQ8" s="136">
        <v>0</v>
      </c>
      <c r="AR8" s="136">
        <v>0</v>
      </c>
      <c r="AS8" s="136">
        <v>445.12299999999999</v>
      </c>
      <c r="AT8" s="136">
        <v>0</v>
      </c>
      <c r="AU8" s="136">
        <v>0</v>
      </c>
      <c r="AV8" s="136">
        <v>8028.5629999999992</v>
      </c>
    </row>
    <row r="9" spans="1:48" x14ac:dyDescent="0.3">
      <c r="A9" s="26" t="s">
        <v>1097</v>
      </c>
      <c r="B9" s="136">
        <v>0</v>
      </c>
      <c r="C9" s="136">
        <v>1.81</v>
      </c>
      <c r="D9" s="136">
        <v>0</v>
      </c>
      <c r="E9" s="136">
        <v>0</v>
      </c>
      <c r="F9" s="136">
        <v>0.67</v>
      </c>
      <c r="G9" s="136">
        <v>0</v>
      </c>
      <c r="H9" s="136">
        <v>0</v>
      </c>
      <c r="I9" s="136">
        <v>370.79499999999996</v>
      </c>
      <c r="J9" s="136">
        <v>0</v>
      </c>
      <c r="K9" s="136">
        <v>0</v>
      </c>
      <c r="L9" s="136">
        <v>0</v>
      </c>
      <c r="M9" s="136">
        <v>0</v>
      </c>
      <c r="N9" s="136">
        <v>0</v>
      </c>
      <c r="O9" s="136">
        <v>0</v>
      </c>
      <c r="P9" s="136">
        <v>1348.2710000000002</v>
      </c>
      <c r="Q9" s="136">
        <v>54.519999999999996</v>
      </c>
      <c r="R9" s="136">
        <v>0</v>
      </c>
      <c r="S9" s="136">
        <v>6.8879999999999999</v>
      </c>
      <c r="T9" s="136">
        <v>0</v>
      </c>
      <c r="U9" s="136">
        <v>33.282000000000004</v>
      </c>
      <c r="V9" s="136">
        <v>5504.2859999999991</v>
      </c>
      <c r="W9" s="136">
        <v>0</v>
      </c>
      <c r="X9" s="136">
        <v>0</v>
      </c>
      <c r="Y9" s="136">
        <v>0</v>
      </c>
      <c r="Z9" s="136">
        <v>0</v>
      </c>
      <c r="AA9" s="136">
        <v>280.72300000000007</v>
      </c>
      <c r="AB9" s="136">
        <v>0</v>
      </c>
      <c r="AC9" s="136">
        <v>0</v>
      </c>
      <c r="AD9" s="136">
        <v>199.95300000000003</v>
      </c>
      <c r="AE9" s="136">
        <v>0</v>
      </c>
      <c r="AF9" s="136">
        <v>2.0869999999999997</v>
      </c>
      <c r="AG9" s="136">
        <v>21.26</v>
      </c>
      <c r="AH9" s="136">
        <v>0</v>
      </c>
      <c r="AI9" s="136">
        <v>0</v>
      </c>
      <c r="AJ9" s="136">
        <v>0</v>
      </c>
      <c r="AK9" s="136">
        <v>295.36700000000013</v>
      </c>
      <c r="AL9" s="136">
        <v>0</v>
      </c>
      <c r="AM9" s="136">
        <v>0</v>
      </c>
      <c r="AN9" s="136">
        <v>458.82600000000002</v>
      </c>
      <c r="AO9" s="136">
        <v>0</v>
      </c>
      <c r="AP9" s="136">
        <v>0</v>
      </c>
      <c r="AQ9" s="136">
        <v>0</v>
      </c>
      <c r="AR9" s="136">
        <v>0</v>
      </c>
      <c r="AS9" s="136">
        <v>376.79699999999997</v>
      </c>
      <c r="AT9" s="136">
        <v>0</v>
      </c>
      <c r="AU9" s="136">
        <v>0</v>
      </c>
      <c r="AV9" s="136">
        <v>8955.5350000000017</v>
      </c>
    </row>
    <row r="10" spans="1:48" x14ac:dyDescent="0.3">
      <c r="A10" s="26" t="s">
        <v>1098</v>
      </c>
      <c r="B10" s="81">
        <v>0</v>
      </c>
      <c r="C10" s="81">
        <v>0</v>
      </c>
      <c r="D10" s="81">
        <v>0</v>
      </c>
      <c r="E10" s="81">
        <v>0</v>
      </c>
      <c r="F10" s="81">
        <v>32.83</v>
      </c>
      <c r="G10" s="81">
        <v>0</v>
      </c>
      <c r="H10" s="81">
        <v>0</v>
      </c>
      <c r="I10" s="81">
        <v>459.43300000000011</v>
      </c>
      <c r="J10" s="81">
        <v>0</v>
      </c>
      <c r="K10" s="81">
        <v>0</v>
      </c>
      <c r="L10" s="81">
        <v>0</v>
      </c>
      <c r="M10" s="81">
        <v>1.141</v>
      </c>
      <c r="N10" s="81">
        <v>0</v>
      </c>
      <c r="O10" s="81">
        <v>2.2200000000000002</v>
      </c>
      <c r="P10" s="81">
        <v>1267.2140000000004</v>
      </c>
      <c r="Q10" s="81">
        <v>31.870000000000005</v>
      </c>
      <c r="R10" s="81">
        <v>0</v>
      </c>
      <c r="S10" s="81">
        <v>0</v>
      </c>
      <c r="T10" s="81">
        <v>0</v>
      </c>
      <c r="U10" s="81">
        <v>39.67</v>
      </c>
      <c r="V10" s="81">
        <v>4521.1360000000004</v>
      </c>
      <c r="W10" s="81">
        <v>0</v>
      </c>
      <c r="X10" s="81">
        <v>0</v>
      </c>
      <c r="Y10" s="81">
        <v>0</v>
      </c>
      <c r="Z10" s="81">
        <v>0</v>
      </c>
      <c r="AA10" s="81">
        <v>219.42100000000002</v>
      </c>
      <c r="AB10" s="81">
        <v>0</v>
      </c>
      <c r="AC10" s="81">
        <v>0</v>
      </c>
      <c r="AD10" s="81">
        <v>200.79599999999996</v>
      </c>
      <c r="AE10" s="81">
        <v>0</v>
      </c>
      <c r="AF10" s="81">
        <v>3.2279999999999998</v>
      </c>
      <c r="AG10" s="81">
        <v>10.69</v>
      </c>
      <c r="AH10" s="81">
        <v>0</v>
      </c>
      <c r="AI10" s="81">
        <v>0</v>
      </c>
      <c r="AJ10" s="81">
        <v>0</v>
      </c>
      <c r="AK10" s="81">
        <v>291.94700000000006</v>
      </c>
      <c r="AL10" s="81">
        <v>0</v>
      </c>
      <c r="AM10" s="81">
        <v>0</v>
      </c>
      <c r="AN10" s="81">
        <v>661.3</v>
      </c>
      <c r="AO10" s="81">
        <v>0</v>
      </c>
      <c r="AP10" s="81">
        <v>0</v>
      </c>
      <c r="AQ10" s="81">
        <v>0</v>
      </c>
      <c r="AR10" s="81">
        <v>0</v>
      </c>
      <c r="AS10" s="81">
        <v>608.3950000000001</v>
      </c>
      <c r="AT10" s="81">
        <v>0</v>
      </c>
      <c r="AU10" s="81">
        <v>0</v>
      </c>
      <c r="AV10" s="81">
        <v>8351.2910000000011</v>
      </c>
    </row>
    <row r="11" spans="1:48" x14ac:dyDescent="0.3">
      <c r="A11" s="26" t="s">
        <v>1099</v>
      </c>
      <c r="B11" s="81">
        <v>0</v>
      </c>
      <c r="C11" s="81">
        <v>0</v>
      </c>
      <c r="D11" s="81">
        <v>0</v>
      </c>
      <c r="E11" s="81">
        <v>0</v>
      </c>
      <c r="F11" s="81">
        <v>19.13</v>
      </c>
      <c r="G11" s="81">
        <v>0</v>
      </c>
      <c r="H11" s="81">
        <v>0</v>
      </c>
      <c r="I11" s="81">
        <v>484.53899999999999</v>
      </c>
      <c r="J11" s="81">
        <v>0</v>
      </c>
      <c r="K11" s="81">
        <v>0</v>
      </c>
      <c r="L11" s="81">
        <v>0</v>
      </c>
      <c r="M11" s="81">
        <v>2.3109999999999999</v>
      </c>
      <c r="N11" s="81">
        <v>0</v>
      </c>
      <c r="O11" s="81">
        <v>12.76</v>
      </c>
      <c r="P11" s="81">
        <v>1266.2260000000001</v>
      </c>
      <c r="Q11" s="81">
        <v>1.44</v>
      </c>
      <c r="R11" s="81">
        <v>0</v>
      </c>
      <c r="S11" s="81">
        <v>0</v>
      </c>
      <c r="T11" s="81">
        <v>0</v>
      </c>
      <c r="U11" s="81">
        <v>17.692999999999998</v>
      </c>
      <c r="V11" s="81">
        <v>5002.1499999999996</v>
      </c>
      <c r="W11" s="81">
        <v>0</v>
      </c>
      <c r="X11" s="81">
        <v>0</v>
      </c>
      <c r="Y11" s="81">
        <v>0</v>
      </c>
      <c r="Z11" s="81">
        <v>0</v>
      </c>
      <c r="AA11" s="81">
        <v>306.27299999999991</v>
      </c>
      <c r="AB11" s="81">
        <v>0</v>
      </c>
      <c r="AC11" s="81">
        <v>0</v>
      </c>
      <c r="AD11" s="81">
        <v>170.54799999999997</v>
      </c>
      <c r="AE11" s="81">
        <v>0</v>
      </c>
      <c r="AF11" s="81">
        <v>4.8829999999999991</v>
      </c>
      <c r="AG11" s="81">
        <v>0</v>
      </c>
      <c r="AH11" s="81">
        <v>0</v>
      </c>
      <c r="AI11" s="81">
        <v>0</v>
      </c>
      <c r="AJ11" s="81">
        <v>0</v>
      </c>
      <c r="AK11" s="81">
        <v>248.79099999999994</v>
      </c>
      <c r="AL11" s="81">
        <v>0</v>
      </c>
      <c r="AM11" s="81">
        <v>0</v>
      </c>
      <c r="AN11" s="81">
        <v>830.50099999999986</v>
      </c>
      <c r="AO11" s="81">
        <v>0</v>
      </c>
      <c r="AP11" s="81">
        <v>0</v>
      </c>
      <c r="AQ11" s="81">
        <v>0</v>
      </c>
      <c r="AR11" s="81">
        <v>0</v>
      </c>
      <c r="AS11" s="81">
        <v>486.50200000000007</v>
      </c>
      <c r="AT11" s="81">
        <v>0</v>
      </c>
      <c r="AU11" s="81">
        <v>0</v>
      </c>
      <c r="AV11" s="81">
        <v>8853.7469999999994</v>
      </c>
    </row>
    <row r="12" spans="1:48" x14ac:dyDescent="0.3">
      <c r="A12" s="26" t="s">
        <v>1100</v>
      </c>
      <c r="B12" s="81">
        <v>0</v>
      </c>
      <c r="C12" s="81">
        <v>0</v>
      </c>
      <c r="D12" s="81">
        <v>0</v>
      </c>
      <c r="E12" s="81">
        <v>0</v>
      </c>
      <c r="F12" s="81">
        <v>0</v>
      </c>
      <c r="G12" s="81">
        <v>0</v>
      </c>
      <c r="H12" s="81">
        <v>0</v>
      </c>
      <c r="I12" s="81">
        <v>446.32299999999998</v>
      </c>
      <c r="J12" s="81">
        <v>0</v>
      </c>
      <c r="K12" s="81">
        <v>0</v>
      </c>
      <c r="L12" s="81">
        <v>0</v>
      </c>
      <c r="M12" s="81">
        <v>1.286</v>
      </c>
      <c r="N12" s="81">
        <v>0</v>
      </c>
      <c r="O12" s="81">
        <v>0</v>
      </c>
      <c r="P12" s="81">
        <v>1088.8789999999999</v>
      </c>
      <c r="Q12" s="81">
        <v>50.92</v>
      </c>
      <c r="R12" s="81">
        <v>0</v>
      </c>
      <c r="S12" s="81">
        <v>0</v>
      </c>
      <c r="T12" s="81">
        <v>0</v>
      </c>
      <c r="U12" s="81">
        <v>69.397000000000006</v>
      </c>
      <c r="V12" s="81">
        <v>4405.6010000000015</v>
      </c>
      <c r="W12" s="81">
        <v>0</v>
      </c>
      <c r="X12" s="81">
        <v>0</v>
      </c>
      <c r="Y12" s="81">
        <v>0</v>
      </c>
      <c r="Z12" s="81">
        <v>0</v>
      </c>
      <c r="AA12" s="81">
        <v>284.50400000000002</v>
      </c>
      <c r="AB12" s="81">
        <v>0</v>
      </c>
      <c r="AC12" s="81">
        <v>0</v>
      </c>
      <c r="AD12" s="81">
        <v>150.58900000000003</v>
      </c>
      <c r="AE12" s="81">
        <v>0</v>
      </c>
      <c r="AF12" s="81">
        <v>3.391</v>
      </c>
      <c r="AG12" s="81">
        <v>0</v>
      </c>
      <c r="AH12" s="81">
        <v>0</v>
      </c>
      <c r="AI12" s="81">
        <v>0</v>
      </c>
      <c r="AJ12" s="81">
        <v>0</v>
      </c>
      <c r="AK12" s="81">
        <v>240.34900000000005</v>
      </c>
      <c r="AL12" s="81">
        <v>0</v>
      </c>
      <c r="AM12" s="81">
        <v>0</v>
      </c>
      <c r="AN12" s="81">
        <v>581.375</v>
      </c>
      <c r="AO12" s="81">
        <v>0</v>
      </c>
      <c r="AP12" s="81">
        <v>0</v>
      </c>
      <c r="AQ12" s="81">
        <v>0</v>
      </c>
      <c r="AR12" s="81">
        <v>0</v>
      </c>
      <c r="AS12" s="81">
        <v>530.56200000000001</v>
      </c>
      <c r="AT12" s="81">
        <v>0</v>
      </c>
      <c r="AU12" s="81">
        <v>0</v>
      </c>
      <c r="AV12" s="81">
        <v>7853.1760000000004</v>
      </c>
    </row>
    <row r="13" spans="1:48" x14ac:dyDescent="0.3">
      <c r="A13" s="26" t="s">
        <v>1101</v>
      </c>
      <c r="B13" s="81">
        <v>0</v>
      </c>
      <c r="C13" s="81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395.97300000000001</v>
      </c>
      <c r="J13" s="81">
        <v>0</v>
      </c>
      <c r="K13" s="81">
        <v>0</v>
      </c>
      <c r="L13" s="81">
        <v>0</v>
      </c>
      <c r="M13" s="81">
        <v>2.8940000000000001</v>
      </c>
      <c r="N13" s="81">
        <v>0</v>
      </c>
      <c r="O13" s="81">
        <v>0</v>
      </c>
      <c r="P13" s="81">
        <v>1101.9719999999998</v>
      </c>
      <c r="Q13" s="81">
        <v>41.6</v>
      </c>
      <c r="R13" s="81">
        <v>0</v>
      </c>
      <c r="S13" s="81">
        <v>0</v>
      </c>
      <c r="T13" s="81">
        <v>0</v>
      </c>
      <c r="U13" s="81">
        <v>48.360999999999997</v>
      </c>
      <c r="V13" s="81">
        <v>3514.7549999999992</v>
      </c>
      <c r="W13" s="81">
        <v>0</v>
      </c>
      <c r="X13" s="81">
        <v>0</v>
      </c>
      <c r="Y13" s="81">
        <v>0</v>
      </c>
      <c r="Z13" s="81">
        <v>0</v>
      </c>
      <c r="AA13" s="81">
        <v>440.23899999999992</v>
      </c>
      <c r="AB13" s="81">
        <v>0</v>
      </c>
      <c r="AC13" s="81">
        <v>0</v>
      </c>
      <c r="AD13" s="81">
        <v>157.434</v>
      </c>
      <c r="AE13" s="81">
        <v>0</v>
      </c>
      <c r="AF13" s="81">
        <v>2.657</v>
      </c>
      <c r="AG13" s="81">
        <v>0</v>
      </c>
      <c r="AH13" s="81">
        <v>0</v>
      </c>
      <c r="AI13" s="81">
        <v>0</v>
      </c>
      <c r="AJ13" s="81">
        <v>0</v>
      </c>
      <c r="AK13" s="81">
        <v>235.11300000000003</v>
      </c>
      <c r="AL13" s="81">
        <v>0</v>
      </c>
      <c r="AM13" s="81">
        <v>0</v>
      </c>
      <c r="AN13" s="81">
        <v>1064.7760000000001</v>
      </c>
      <c r="AO13" s="81">
        <v>0</v>
      </c>
      <c r="AP13" s="81">
        <v>0</v>
      </c>
      <c r="AQ13" s="81">
        <v>0</v>
      </c>
      <c r="AR13" s="81">
        <v>0</v>
      </c>
      <c r="AS13" s="81">
        <v>469.36599999999999</v>
      </c>
      <c r="AT13" s="81">
        <v>0</v>
      </c>
      <c r="AU13" s="81">
        <v>0</v>
      </c>
      <c r="AV13" s="81">
        <v>7475.1399999999985</v>
      </c>
    </row>
    <row r="14" spans="1:48" x14ac:dyDescent="0.3">
      <c r="A14" s="26" t="s">
        <v>1102</v>
      </c>
      <c r="B14" s="81">
        <v>0</v>
      </c>
      <c r="C14" s="81">
        <v>0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398.39399999999995</v>
      </c>
      <c r="J14" s="81">
        <v>12.558999999999999</v>
      </c>
      <c r="K14" s="81">
        <v>0</v>
      </c>
      <c r="L14" s="81">
        <v>0</v>
      </c>
      <c r="M14" s="81">
        <v>0</v>
      </c>
      <c r="N14" s="81">
        <v>0</v>
      </c>
      <c r="O14" s="81">
        <v>3.77</v>
      </c>
      <c r="P14" s="81">
        <v>1234.4589999999998</v>
      </c>
      <c r="Q14" s="81">
        <v>21.720000000000002</v>
      </c>
      <c r="R14" s="81">
        <v>0</v>
      </c>
      <c r="S14" s="81">
        <v>17.199000000000002</v>
      </c>
      <c r="T14" s="81">
        <v>0</v>
      </c>
      <c r="U14" s="81">
        <v>33.713999999999999</v>
      </c>
      <c r="V14" s="81">
        <v>4493.577000000002</v>
      </c>
      <c r="W14" s="81">
        <v>0</v>
      </c>
      <c r="X14" s="81">
        <v>0</v>
      </c>
      <c r="Y14" s="81">
        <v>0</v>
      </c>
      <c r="Z14" s="81">
        <v>0</v>
      </c>
      <c r="AA14" s="81">
        <v>371.45800000000008</v>
      </c>
      <c r="AB14" s="81">
        <v>0</v>
      </c>
      <c r="AC14" s="81">
        <v>0</v>
      </c>
      <c r="AD14" s="81">
        <v>115.09200000000001</v>
      </c>
      <c r="AE14" s="81">
        <v>0</v>
      </c>
      <c r="AF14" s="81">
        <v>1.8979999999999999</v>
      </c>
      <c r="AG14" s="81">
        <v>0</v>
      </c>
      <c r="AH14" s="81">
        <v>0</v>
      </c>
      <c r="AI14" s="81">
        <v>0</v>
      </c>
      <c r="AJ14" s="81">
        <v>0</v>
      </c>
      <c r="AK14" s="81">
        <v>274.87700000000007</v>
      </c>
      <c r="AL14" s="81">
        <v>0</v>
      </c>
      <c r="AM14" s="81">
        <v>0</v>
      </c>
      <c r="AN14" s="81">
        <v>801.1</v>
      </c>
      <c r="AO14" s="81">
        <v>0</v>
      </c>
      <c r="AP14" s="81">
        <v>0</v>
      </c>
      <c r="AQ14" s="81">
        <v>0</v>
      </c>
      <c r="AR14" s="81">
        <v>0</v>
      </c>
      <c r="AS14" s="81">
        <v>492.01600000000002</v>
      </c>
      <c r="AT14" s="81">
        <v>0</v>
      </c>
      <c r="AU14" s="81">
        <v>0</v>
      </c>
      <c r="AV14" s="81">
        <v>8271.8330000000024</v>
      </c>
    </row>
    <row r="15" spans="1:48" x14ac:dyDescent="0.3">
      <c r="A15" s="26" t="s">
        <v>1103</v>
      </c>
      <c r="B15" s="81">
        <v>0</v>
      </c>
      <c r="C15" s="81">
        <v>0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376.428</v>
      </c>
      <c r="J15" s="81">
        <v>0</v>
      </c>
      <c r="K15" s="81">
        <v>0</v>
      </c>
      <c r="L15" s="81">
        <v>18.018000000000001</v>
      </c>
      <c r="M15" s="81">
        <v>0</v>
      </c>
      <c r="N15" s="81">
        <v>0</v>
      </c>
      <c r="O15" s="81">
        <v>25.5</v>
      </c>
      <c r="P15" s="81">
        <v>1169</v>
      </c>
      <c r="Q15" s="81">
        <v>51.09</v>
      </c>
      <c r="R15" s="81">
        <v>0</v>
      </c>
      <c r="S15" s="81">
        <v>0</v>
      </c>
      <c r="T15" s="81">
        <v>0</v>
      </c>
      <c r="U15" s="81">
        <v>25.17</v>
      </c>
      <c r="V15" s="81">
        <v>4847.7179999999998</v>
      </c>
      <c r="W15" s="81">
        <v>0</v>
      </c>
      <c r="X15" s="81">
        <v>0</v>
      </c>
      <c r="Y15" s="81">
        <v>0</v>
      </c>
      <c r="Z15" s="81">
        <v>0</v>
      </c>
      <c r="AA15" s="81">
        <v>88.626000000000005</v>
      </c>
      <c r="AB15" s="81">
        <v>0</v>
      </c>
      <c r="AC15" s="81">
        <v>0</v>
      </c>
      <c r="AD15" s="81">
        <v>158.173</v>
      </c>
      <c r="AE15" s="81">
        <v>0</v>
      </c>
      <c r="AF15" s="81">
        <v>2.6269999999999998</v>
      </c>
      <c r="AG15" s="81">
        <v>19.13</v>
      </c>
      <c r="AH15" s="81">
        <v>0</v>
      </c>
      <c r="AI15" s="81">
        <v>0</v>
      </c>
      <c r="AJ15" s="81">
        <v>0</v>
      </c>
      <c r="AK15" s="81">
        <v>294.71000000000026</v>
      </c>
      <c r="AL15" s="81">
        <v>0</v>
      </c>
      <c r="AM15" s="81">
        <v>0</v>
      </c>
      <c r="AN15" s="81">
        <v>544.52499999999998</v>
      </c>
      <c r="AO15" s="81">
        <v>0</v>
      </c>
      <c r="AP15" s="81">
        <v>0</v>
      </c>
      <c r="AQ15" s="81">
        <v>0</v>
      </c>
      <c r="AR15" s="81">
        <v>0</v>
      </c>
      <c r="AS15" s="81">
        <v>281.79500000000002</v>
      </c>
      <c r="AT15" s="81">
        <v>0</v>
      </c>
      <c r="AU15" s="81">
        <v>0</v>
      </c>
      <c r="AV15" s="81">
        <v>7902.51</v>
      </c>
    </row>
    <row r="16" spans="1:48" x14ac:dyDescent="0.3">
      <c r="A16" s="26" t="s">
        <v>1104</v>
      </c>
      <c r="B16" s="81">
        <v>0</v>
      </c>
      <c r="C16" s="81">
        <v>11.479999999999999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352.92700000000002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3.94</v>
      </c>
      <c r="P16" s="81">
        <v>1086.614</v>
      </c>
      <c r="Q16" s="81">
        <v>46.46</v>
      </c>
      <c r="R16" s="81">
        <v>0</v>
      </c>
      <c r="S16" s="81">
        <v>0</v>
      </c>
      <c r="T16" s="81">
        <v>0</v>
      </c>
      <c r="U16" s="81">
        <v>62.939000000000007</v>
      </c>
      <c r="V16" s="81">
        <v>5517.857</v>
      </c>
      <c r="W16" s="81">
        <v>0</v>
      </c>
      <c r="X16" s="81">
        <v>0</v>
      </c>
      <c r="Y16" s="81">
        <v>0</v>
      </c>
      <c r="Z16" s="81">
        <v>0</v>
      </c>
      <c r="AA16" s="81">
        <v>266.91099999999994</v>
      </c>
      <c r="AB16" s="81">
        <v>0</v>
      </c>
      <c r="AC16" s="81">
        <v>0</v>
      </c>
      <c r="AD16" s="81">
        <v>147.714</v>
      </c>
      <c r="AE16" s="81">
        <v>0</v>
      </c>
      <c r="AF16" s="81">
        <v>2.6070000000000002</v>
      </c>
      <c r="AG16" s="81">
        <v>0</v>
      </c>
      <c r="AH16" s="81">
        <v>0</v>
      </c>
      <c r="AI16" s="81">
        <v>0</v>
      </c>
      <c r="AJ16" s="81">
        <v>0</v>
      </c>
      <c r="AK16" s="81">
        <v>290.87200000000007</v>
      </c>
      <c r="AL16" s="81">
        <v>0</v>
      </c>
      <c r="AM16" s="81">
        <v>0</v>
      </c>
      <c r="AN16" s="81">
        <v>619.02499999999998</v>
      </c>
      <c r="AO16" s="81">
        <v>0</v>
      </c>
      <c r="AP16" s="81">
        <v>0</v>
      </c>
      <c r="AQ16" s="81">
        <v>0</v>
      </c>
      <c r="AR16" s="81">
        <v>0</v>
      </c>
      <c r="AS16" s="81">
        <v>649.80700000000002</v>
      </c>
      <c r="AT16" s="81">
        <v>0</v>
      </c>
      <c r="AU16" s="81">
        <v>0</v>
      </c>
      <c r="AV16" s="81">
        <v>9059.1530000000021</v>
      </c>
    </row>
    <row r="17" spans="1:48" x14ac:dyDescent="0.3">
      <c r="A17" s="26" t="s">
        <v>1105</v>
      </c>
      <c r="B17" s="81">
        <v>0</v>
      </c>
      <c r="C17" s="81">
        <v>0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315.21200000000005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1106.9649999999999</v>
      </c>
      <c r="Q17" s="81">
        <v>43.16</v>
      </c>
      <c r="R17" s="81">
        <v>0</v>
      </c>
      <c r="S17" s="81">
        <v>0</v>
      </c>
      <c r="T17" s="81">
        <v>0</v>
      </c>
      <c r="U17" s="81">
        <v>23.157</v>
      </c>
      <c r="V17" s="81">
        <v>5006.74</v>
      </c>
      <c r="W17" s="81">
        <v>0</v>
      </c>
      <c r="X17" s="81">
        <v>0</v>
      </c>
      <c r="Y17" s="81">
        <v>0</v>
      </c>
      <c r="Z17" s="81">
        <v>0</v>
      </c>
      <c r="AA17" s="81">
        <v>89.506000000000014</v>
      </c>
      <c r="AB17" s="81">
        <v>0</v>
      </c>
      <c r="AC17" s="81">
        <v>0</v>
      </c>
      <c r="AD17" s="81">
        <v>285.39099999999996</v>
      </c>
      <c r="AE17" s="81">
        <v>0</v>
      </c>
      <c r="AF17" s="81">
        <v>2.476</v>
      </c>
      <c r="AG17" s="81">
        <v>16.190000000000001</v>
      </c>
      <c r="AH17" s="81">
        <v>0</v>
      </c>
      <c r="AI17" s="81">
        <v>0</v>
      </c>
      <c r="AJ17" s="81">
        <v>0</v>
      </c>
      <c r="AK17" s="81">
        <v>306.79799999999994</v>
      </c>
      <c r="AL17" s="81">
        <v>0</v>
      </c>
      <c r="AM17" s="81">
        <v>0</v>
      </c>
      <c r="AN17" s="81">
        <v>907.00000000000023</v>
      </c>
      <c r="AO17" s="81">
        <v>0</v>
      </c>
      <c r="AP17" s="81">
        <v>0</v>
      </c>
      <c r="AQ17" s="81">
        <v>0</v>
      </c>
      <c r="AR17" s="81">
        <v>0</v>
      </c>
      <c r="AS17" s="81">
        <v>729.04799999999989</v>
      </c>
      <c r="AT17" s="81">
        <v>0</v>
      </c>
      <c r="AU17" s="81">
        <v>0</v>
      </c>
      <c r="AV17" s="81">
        <v>8831.6429999999982</v>
      </c>
    </row>
    <row r="18" spans="1:48" x14ac:dyDescent="0.3">
      <c r="A18" s="26" t="s">
        <v>1106</v>
      </c>
      <c r="B18" s="81">
        <v>0</v>
      </c>
      <c r="C18" s="81">
        <v>0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254.07100000000003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1085.7569999999998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5424.3149999999987</v>
      </c>
      <c r="W18" s="81">
        <v>0</v>
      </c>
      <c r="X18" s="81">
        <v>0</v>
      </c>
      <c r="Y18" s="81">
        <v>0</v>
      </c>
      <c r="Z18" s="81">
        <v>0</v>
      </c>
      <c r="AA18" s="81">
        <v>343.87199999999996</v>
      </c>
      <c r="AB18" s="81">
        <v>0</v>
      </c>
      <c r="AC18" s="81">
        <v>0</v>
      </c>
      <c r="AD18" s="81">
        <v>173.12</v>
      </c>
      <c r="AE18" s="81">
        <v>0</v>
      </c>
      <c r="AF18" s="81">
        <v>5.4409999999999998</v>
      </c>
      <c r="AG18" s="81">
        <v>0</v>
      </c>
      <c r="AH18" s="81">
        <v>3.26</v>
      </c>
      <c r="AI18" s="81">
        <v>0</v>
      </c>
      <c r="AJ18" s="81">
        <v>0</v>
      </c>
      <c r="AK18" s="81">
        <v>270.32199999999995</v>
      </c>
      <c r="AL18" s="81">
        <v>0</v>
      </c>
      <c r="AM18" s="81">
        <v>0</v>
      </c>
      <c r="AN18" s="81">
        <v>662.94999999999993</v>
      </c>
      <c r="AO18" s="81">
        <v>0</v>
      </c>
      <c r="AP18" s="81">
        <v>0</v>
      </c>
      <c r="AQ18" s="81">
        <v>0</v>
      </c>
      <c r="AR18" s="81">
        <v>0</v>
      </c>
      <c r="AS18" s="81">
        <v>883.51899999999989</v>
      </c>
      <c r="AT18" s="81">
        <v>0</v>
      </c>
      <c r="AU18" s="81">
        <v>0</v>
      </c>
      <c r="AV18" s="81">
        <v>9106.6269999999986</v>
      </c>
    </row>
    <row r="19" spans="1:48" x14ac:dyDescent="0.3">
      <c r="A19" s="26" t="s">
        <v>1107</v>
      </c>
      <c r="B19" s="136">
        <v>0</v>
      </c>
      <c r="C19" s="136">
        <v>0</v>
      </c>
      <c r="D19" s="136">
        <v>0</v>
      </c>
      <c r="E19" s="136">
        <v>0</v>
      </c>
      <c r="F19" s="136">
        <v>19.63</v>
      </c>
      <c r="G19" s="136">
        <v>0</v>
      </c>
      <c r="H19" s="136">
        <v>0</v>
      </c>
      <c r="I19" s="136">
        <v>200.858</v>
      </c>
      <c r="J19" s="136">
        <v>0</v>
      </c>
      <c r="K19" s="136">
        <v>0</v>
      </c>
      <c r="L19" s="136">
        <v>0</v>
      </c>
      <c r="M19" s="136">
        <v>0</v>
      </c>
      <c r="N19" s="136">
        <v>0</v>
      </c>
      <c r="O19" s="136">
        <v>0</v>
      </c>
      <c r="P19" s="136">
        <v>1187.9110000000001</v>
      </c>
      <c r="Q19" s="136">
        <v>28.669999999999998</v>
      </c>
      <c r="R19" s="136">
        <v>0</v>
      </c>
      <c r="S19" s="136">
        <v>0</v>
      </c>
      <c r="T19" s="136">
        <v>0</v>
      </c>
      <c r="U19" s="136">
        <v>47.265999999999998</v>
      </c>
      <c r="V19" s="136">
        <v>5069.9859999999999</v>
      </c>
      <c r="W19" s="136">
        <v>0</v>
      </c>
      <c r="X19" s="136">
        <v>0</v>
      </c>
      <c r="Y19" s="136">
        <v>0</v>
      </c>
      <c r="Z19" s="136">
        <v>0</v>
      </c>
      <c r="AA19" s="136">
        <v>326.30099999999999</v>
      </c>
      <c r="AB19" s="136">
        <v>0</v>
      </c>
      <c r="AC19" s="136">
        <v>0</v>
      </c>
      <c r="AD19" s="136">
        <v>125.20200000000001</v>
      </c>
      <c r="AE19" s="136">
        <v>0</v>
      </c>
      <c r="AF19" s="136">
        <v>3.6219999999999999</v>
      </c>
      <c r="AG19" s="136">
        <v>0</v>
      </c>
      <c r="AH19" s="136">
        <v>0</v>
      </c>
      <c r="AI19" s="136">
        <v>0</v>
      </c>
      <c r="AJ19" s="136">
        <v>0</v>
      </c>
      <c r="AK19" s="136">
        <v>350.98400000000004</v>
      </c>
      <c r="AL19" s="136">
        <v>0</v>
      </c>
      <c r="AM19" s="136">
        <v>0</v>
      </c>
      <c r="AN19" s="136">
        <v>1013.075</v>
      </c>
      <c r="AO19" s="136">
        <v>0</v>
      </c>
      <c r="AP19" s="136">
        <v>0</v>
      </c>
      <c r="AQ19" s="136">
        <v>0</v>
      </c>
      <c r="AR19" s="136">
        <v>0</v>
      </c>
      <c r="AS19" s="136">
        <v>886.90199999999993</v>
      </c>
      <c r="AT19" s="136">
        <v>0</v>
      </c>
      <c r="AU19" s="136">
        <v>0</v>
      </c>
      <c r="AV19" s="136">
        <v>9260.4070000000011</v>
      </c>
    </row>
    <row r="20" spans="1:48" x14ac:dyDescent="0.3">
      <c r="A20" s="26" t="s">
        <v>1108</v>
      </c>
      <c r="B20" s="136">
        <v>0</v>
      </c>
      <c r="C20" s="136">
        <v>0</v>
      </c>
      <c r="D20" s="136">
        <v>0</v>
      </c>
      <c r="E20" s="136">
        <v>0</v>
      </c>
      <c r="F20" s="136">
        <v>0</v>
      </c>
      <c r="G20" s="136">
        <v>0</v>
      </c>
      <c r="H20" s="136">
        <v>0</v>
      </c>
      <c r="I20" s="136">
        <v>248.82300000000001</v>
      </c>
      <c r="J20" s="136">
        <v>0</v>
      </c>
      <c r="K20" s="136">
        <v>0</v>
      </c>
      <c r="L20" s="136">
        <v>0</v>
      </c>
      <c r="M20" s="136">
        <v>0</v>
      </c>
      <c r="N20" s="136">
        <v>0</v>
      </c>
      <c r="O20" s="136">
        <v>3.8</v>
      </c>
      <c r="P20" s="136">
        <v>1015.326</v>
      </c>
      <c r="Q20" s="136">
        <v>28.540000000000003</v>
      </c>
      <c r="R20" s="136">
        <v>0</v>
      </c>
      <c r="S20" s="136">
        <v>0</v>
      </c>
      <c r="T20" s="136">
        <v>0</v>
      </c>
      <c r="U20" s="136">
        <v>28.631</v>
      </c>
      <c r="V20" s="136">
        <v>4053.4130000000009</v>
      </c>
      <c r="W20" s="136">
        <v>0</v>
      </c>
      <c r="X20" s="136">
        <v>0</v>
      </c>
      <c r="Y20" s="136">
        <v>0</v>
      </c>
      <c r="Z20" s="136">
        <v>0</v>
      </c>
      <c r="AA20" s="136">
        <v>563.02399999999977</v>
      </c>
      <c r="AB20" s="136">
        <v>0</v>
      </c>
      <c r="AC20" s="136">
        <v>0</v>
      </c>
      <c r="AD20" s="136">
        <v>146.90099999999998</v>
      </c>
      <c r="AE20" s="136">
        <v>0</v>
      </c>
      <c r="AF20" s="136">
        <v>3.71</v>
      </c>
      <c r="AG20" s="136">
        <v>0</v>
      </c>
      <c r="AH20" s="136">
        <v>0</v>
      </c>
      <c r="AI20" s="136">
        <v>0</v>
      </c>
      <c r="AJ20" s="136">
        <v>0</v>
      </c>
      <c r="AK20" s="136">
        <v>309.70300000000015</v>
      </c>
      <c r="AL20" s="136">
        <v>0</v>
      </c>
      <c r="AM20" s="136">
        <v>0</v>
      </c>
      <c r="AN20" s="136">
        <v>1132.3999999999996</v>
      </c>
      <c r="AO20" s="136">
        <v>0</v>
      </c>
      <c r="AP20" s="136">
        <v>0</v>
      </c>
      <c r="AQ20" s="136">
        <v>0</v>
      </c>
      <c r="AR20" s="136">
        <v>0</v>
      </c>
      <c r="AS20" s="136">
        <v>868.98</v>
      </c>
      <c r="AT20" s="136">
        <v>0</v>
      </c>
      <c r="AU20" s="136">
        <v>0</v>
      </c>
      <c r="AV20" s="136">
        <v>8403.2510000000002</v>
      </c>
    </row>
    <row r="21" spans="1:48" x14ac:dyDescent="0.3">
      <c r="A21" s="26" t="s">
        <v>1109</v>
      </c>
      <c r="B21" s="136">
        <v>0</v>
      </c>
      <c r="C21" s="136">
        <v>0</v>
      </c>
      <c r="D21" s="136">
        <v>0</v>
      </c>
      <c r="E21" s="136">
        <v>0</v>
      </c>
      <c r="F21" s="136">
        <v>0.52</v>
      </c>
      <c r="G21" s="136">
        <v>0</v>
      </c>
      <c r="H21" s="136">
        <v>0</v>
      </c>
      <c r="I21" s="136">
        <v>249.19200000000001</v>
      </c>
      <c r="J21" s="136">
        <v>0</v>
      </c>
      <c r="K21" s="136">
        <v>0</v>
      </c>
      <c r="L21" s="136">
        <v>0</v>
      </c>
      <c r="M21" s="136">
        <v>0</v>
      </c>
      <c r="N21" s="136">
        <v>0</v>
      </c>
      <c r="O21" s="136">
        <v>5.48</v>
      </c>
      <c r="P21" s="136">
        <v>990.68499999999983</v>
      </c>
      <c r="Q21" s="136">
        <v>43.510000000000005</v>
      </c>
      <c r="R21" s="136">
        <v>5.43</v>
      </c>
      <c r="S21" s="136">
        <v>0</v>
      </c>
      <c r="T21" s="136">
        <v>0</v>
      </c>
      <c r="U21" s="136">
        <v>35.363999999999997</v>
      </c>
      <c r="V21" s="136">
        <v>5110.1799999999985</v>
      </c>
      <c r="W21" s="136">
        <v>0</v>
      </c>
      <c r="X21" s="136">
        <v>0</v>
      </c>
      <c r="Y21" s="136">
        <v>0</v>
      </c>
      <c r="Z21" s="136">
        <v>0</v>
      </c>
      <c r="AA21" s="136">
        <v>470.29</v>
      </c>
      <c r="AB21" s="136">
        <v>0</v>
      </c>
      <c r="AC21" s="136">
        <v>0</v>
      </c>
      <c r="AD21" s="136">
        <v>104.87700000000001</v>
      </c>
      <c r="AE21" s="136">
        <v>0</v>
      </c>
      <c r="AF21" s="136">
        <v>3.4790000000000001</v>
      </c>
      <c r="AG21" s="136">
        <v>0</v>
      </c>
      <c r="AH21" s="136">
        <v>0</v>
      </c>
      <c r="AI21" s="136">
        <v>0</v>
      </c>
      <c r="AJ21" s="136">
        <v>0</v>
      </c>
      <c r="AK21" s="136">
        <v>304.53999999999996</v>
      </c>
      <c r="AL21" s="136">
        <v>0</v>
      </c>
      <c r="AM21" s="136">
        <v>0</v>
      </c>
      <c r="AN21" s="136">
        <v>1103.3</v>
      </c>
      <c r="AO21" s="136">
        <v>0</v>
      </c>
      <c r="AP21" s="136">
        <v>51.559999999999995</v>
      </c>
      <c r="AQ21" s="136">
        <v>0</v>
      </c>
      <c r="AR21" s="136">
        <v>0</v>
      </c>
      <c r="AS21" s="136">
        <v>834.91200000000003</v>
      </c>
      <c r="AT21" s="136">
        <v>0</v>
      </c>
      <c r="AU21" s="136">
        <v>0</v>
      </c>
      <c r="AV21" s="136">
        <v>9313.3189999999995</v>
      </c>
    </row>
    <row r="22" spans="1:48" x14ac:dyDescent="0.3">
      <c r="A22" s="26" t="s">
        <v>1315</v>
      </c>
      <c r="B22" s="136">
        <v>0</v>
      </c>
      <c r="C22" s="136">
        <v>0</v>
      </c>
      <c r="D22" s="136">
        <v>0</v>
      </c>
      <c r="E22" s="136">
        <v>0</v>
      </c>
      <c r="F22" s="136">
        <v>8.27</v>
      </c>
      <c r="G22" s="136">
        <v>0.84</v>
      </c>
      <c r="H22" s="136">
        <v>0</v>
      </c>
      <c r="I22" s="136">
        <v>255.51299999999998</v>
      </c>
      <c r="J22" s="136">
        <v>0</v>
      </c>
      <c r="K22" s="136">
        <v>0</v>
      </c>
      <c r="L22" s="136">
        <v>0</v>
      </c>
      <c r="M22" s="136">
        <v>0</v>
      </c>
      <c r="N22" s="136">
        <v>0</v>
      </c>
      <c r="O22" s="136">
        <v>0</v>
      </c>
      <c r="P22" s="136">
        <v>1110.3039999999999</v>
      </c>
      <c r="Q22" s="136">
        <v>28.28</v>
      </c>
      <c r="R22" s="136">
        <v>1.94</v>
      </c>
      <c r="S22" s="136">
        <v>0</v>
      </c>
      <c r="T22" s="136">
        <v>0</v>
      </c>
      <c r="U22" s="136">
        <v>36</v>
      </c>
      <c r="V22" s="136">
        <v>5578.1039999999994</v>
      </c>
      <c r="W22" s="136">
        <v>0</v>
      </c>
      <c r="X22" s="136">
        <v>0</v>
      </c>
      <c r="Y22" s="136">
        <v>0</v>
      </c>
      <c r="Z22" s="136">
        <v>0</v>
      </c>
      <c r="AA22" s="136">
        <v>66.8</v>
      </c>
      <c r="AB22" s="136">
        <v>0</v>
      </c>
      <c r="AC22" s="136">
        <v>0</v>
      </c>
      <c r="AD22" s="136">
        <v>139.13000000000002</v>
      </c>
      <c r="AE22" s="136">
        <v>0</v>
      </c>
      <c r="AF22" s="136">
        <v>4.5920000000000005</v>
      </c>
      <c r="AG22" s="136">
        <v>20.25</v>
      </c>
      <c r="AH22" s="136">
        <v>0</v>
      </c>
      <c r="AI22" s="136">
        <v>0</v>
      </c>
      <c r="AJ22" s="136">
        <v>0</v>
      </c>
      <c r="AK22" s="136">
        <v>294.79899999999992</v>
      </c>
      <c r="AL22" s="136">
        <v>0</v>
      </c>
      <c r="AM22" s="136">
        <v>0</v>
      </c>
      <c r="AN22" s="136">
        <v>661.52499999999998</v>
      </c>
      <c r="AO22" s="136">
        <v>0</v>
      </c>
      <c r="AP22" s="136">
        <v>30.509</v>
      </c>
      <c r="AQ22" s="136">
        <v>0</v>
      </c>
      <c r="AR22" s="136">
        <v>0</v>
      </c>
      <c r="AS22" s="136">
        <v>495.77100000000002</v>
      </c>
      <c r="AT22" s="136">
        <v>0</v>
      </c>
      <c r="AU22" s="136">
        <v>0</v>
      </c>
      <c r="AV22" s="136">
        <v>8732.6270000000004</v>
      </c>
    </row>
    <row r="23" spans="1:48" x14ac:dyDescent="0.3">
      <c r="A23" s="26" t="s">
        <v>1316</v>
      </c>
      <c r="B23" s="136">
        <v>0</v>
      </c>
      <c r="C23" s="136">
        <v>0</v>
      </c>
      <c r="D23" s="136">
        <v>0</v>
      </c>
      <c r="E23" s="136">
        <v>0</v>
      </c>
      <c r="F23" s="136">
        <v>27.46</v>
      </c>
      <c r="G23" s="136">
        <v>0</v>
      </c>
      <c r="H23" s="136">
        <v>0</v>
      </c>
      <c r="I23" s="136">
        <v>210.03100000000003</v>
      </c>
      <c r="J23" s="136">
        <v>0</v>
      </c>
      <c r="K23" s="136">
        <v>0</v>
      </c>
      <c r="L23" s="136">
        <v>30.242999999999999</v>
      </c>
      <c r="M23" s="136">
        <v>0</v>
      </c>
      <c r="N23" s="136">
        <v>0</v>
      </c>
      <c r="O23" s="136">
        <v>0</v>
      </c>
      <c r="P23" s="136">
        <v>1101.0219999999999</v>
      </c>
      <c r="Q23" s="136">
        <v>24.32</v>
      </c>
      <c r="R23" s="136">
        <v>5.01</v>
      </c>
      <c r="S23" s="136">
        <v>0</v>
      </c>
      <c r="T23" s="136">
        <v>0</v>
      </c>
      <c r="U23" s="136">
        <v>41.406999999999996</v>
      </c>
      <c r="V23" s="136">
        <v>4975.6559999999999</v>
      </c>
      <c r="W23" s="136">
        <v>0</v>
      </c>
      <c r="X23" s="136">
        <v>0</v>
      </c>
      <c r="Y23" s="136">
        <v>0</v>
      </c>
      <c r="Z23" s="136">
        <v>0</v>
      </c>
      <c r="AA23" s="136">
        <v>423.68599999999992</v>
      </c>
      <c r="AB23" s="136">
        <v>9.3800000000000008</v>
      </c>
      <c r="AC23" s="136">
        <v>0</v>
      </c>
      <c r="AD23" s="136">
        <v>128.06799999999998</v>
      </c>
      <c r="AE23" s="136">
        <v>0</v>
      </c>
      <c r="AF23" s="136">
        <v>4.1159999999999997</v>
      </c>
      <c r="AG23" s="136">
        <v>0</v>
      </c>
      <c r="AH23" s="136">
        <v>0</v>
      </c>
      <c r="AI23" s="136">
        <v>0</v>
      </c>
      <c r="AJ23" s="136">
        <v>0</v>
      </c>
      <c r="AK23" s="136">
        <v>328.02499999999992</v>
      </c>
      <c r="AL23" s="136">
        <v>0</v>
      </c>
      <c r="AM23" s="136">
        <v>0</v>
      </c>
      <c r="AN23" s="136">
        <v>777.7</v>
      </c>
      <c r="AO23" s="136">
        <v>0</v>
      </c>
      <c r="AP23" s="136">
        <v>13.573</v>
      </c>
      <c r="AQ23" s="136">
        <v>0</v>
      </c>
      <c r="AR23" s="136">
        <v>0</v>
      </c>
      <c r="AS23" s="136">
        <v>698.58799999999985</v>
      </c>
      <c r="AT23" s="136">
        <v>0</v>
      </c>
      <c r="AU23" s="136">
        <v>0</v>
      </c>
      <c r="AV23" s="136">
        <v>8798.2849999999999</v>
      </c>
    </row>
    <row r="24" spans="1:48" x14ac:dyDescent="0.3">
      <c r="A24" s="26" t="s">
        <v>1317</v>
      </c>
      <c r="B24" s="136">
        <v>0</v>
      </c>
      <c r="C24" s="136">
        <v>0</v>
      </c>
      <c r="D24" s="136">
        <v>0</v>
      </c>
      <c r="E24" s="136">
        <v>0</v>
      </c>
      <c r="F24" s="136">
        <v>28.830000000000002</v>
      </c>
      <c r="G24" s="136">
        <v>0</v>
      </c>
      <c r="H24" s="136">
        <v>0</v>
      </c>
      <c r="I24" s="136">
        <v>228.52900000000005</v>
      </c>
      <c r="J24" s="136">
        <v>0</v>
      </c>
      <c r="K24" s="136">
        <v>0</v>
      </c>
      <c r="L24" s="136">
        <v>0.66200000000000003</v>
      </c>
      <c r="M24" s="136">
        <v>0</v>
      </c>
      <c r="N24" s="136">
        <v>0</v>
      </c>
      <c r="O24" s="136">
        <v>0</v>
      </c>
      <c r="P24" s="136">
        <v>1103.1460000000002</v>
      </c>
      <c r="Q24" s="136">
        <v>27.92</v>
      </c>
      <c r="R24" s="136">
        <v>14.84</v>
      </c>
      <c r="S24" s="136">
        <v>31.931999999999999</v>
      </c>
      <c r="T24" s="136">
        <v>0</v>
      </c>
      <c r="U24" s="136">
        <v>45.182000000000002</v>
      </c>
      <c r="V24" s="136">
        <v>5065.6669999999986</v>
      </c>
      <c r="W24" s="136">
        <v>0</v>
      </c>
      <c r="X24" s="136">
        <v>0</v>
      </c>
      <c r="Y24" s="136">
        <v>0</v>
      </c>
      <c r="Z24" s="136">
        <v>0</v>
      </c>
      <c r="AA24" s="136">
        <v>249.05600000000001</v>
      </c>
      <c r="AB24" s="136">
        <v>0</v>
      </c>
      <c r="AC24" s="136">
        <v>0</v>
      </c>
      <c r="AD24" s="136">
        <v>180.98499999999996</v>
      </c>
      <c r="AE24" s="136">
        <v>0</v>
      </c>
      <c r="AF24" s="136">
        <v>2.9989999999999997</v>
      </c>
      <c r="AG24" s="136">
        <v>0</v>
      </c>
      <c r="AH24" s="136">
        <v>0</v>
      </c>
      <c r="AI24" s="136">
        <v>0</v>
      </c>
      <c r="AJ24" s="136">
        <v>0</v>
      </c>
      <c r="AK24" s="136">
        <v>265.13799999999998</v>
      </c>
      <c r="AL24" s="136">
        <v>0</v>
      </c>
      <c r="AM24" s="136">
        <v>0</v>
      </c>
      <c r="AN24" s="136">
        <v>428.22499999999997</v>
      </c>
      <c r="AO24" s="136">
        <v>0</v>
      </c>
      <c r="AP24" s="136">
        <v>18.465</v>
      </c>
      <c r="AQ24" s="136">
        <v>0</v>
      </c>
      <c r="AR24" s="136">
        <v>0</v>
      </c>
      <c r="AS24" s="136">
        <v>774.69599999999991</v>
      </c>
      <c r="AT24" s="136">
        <v>0</v>
      </c>
      <c r="AU24" s="136">
        <v>0</v>
      </c>
      <c r="AV24" s="136">
        <v>8466.2719999999972</v>
      </c>
    </row>
    <row r="25" spans="1:48" x14ac:dyDescent="0.3">
      <c r="A25" s="26" t="s">
        <v>1318</v>
      </c>
      <c r="B25" s="136">
        <v>0</v>
      </c>
      <c r="C25" s="136">
        <v>0.92999999999999994</v>
      </c>
      <c r="D25" s="136">
        <v>0</v>
      </c>
      <c r="E25" s="136">
        <v>0</v>
      </c>
      <c r="F25" s="136">
        <v>1.52</v>
      </c>
      <c r="G25" s="136">
        <v>0</v>
      </c>
      <c r="H25" s="136">
        <v>0</v>
      </c>
      <c r="I25" s="136">
        <v>224.62899999999996</v>
      </c>
      <c r="J25" s="136">
        <v>0</v>
      </c>
      <c r="K25" s="136">
        <v>0</v>
      </c>
      <c r="L25" s="136">
        <v>0</v>
      </c>
      <c r="M25" s="136">
        <v>0</v>
      </c>
      <c r="N25" s="136">
        <v>0</v>
      </c>
      <c r="O25" s="136">
        <v>12.55</v>
      </c>
      <c r="P25" s="136">
        <v>1143.6090000000002</v>
      </c>
      <c r="Q25" s="136">
        <v>6.3500000000000005</v>
      </c>
      <c r="R25" s="136">
        <v>0</v>
      </c>
      <c r="S25" s="136">
        <v>0</v>
      </c>
      <c r="T25" s="136">
        <v>0</v>
      </c>
      <c r="U25" s="136">
        <v>56.646999999999998</v>
      </c>
      <c r="V25" s="136">
        <v>5221.692</v>
      </c>
      <c r="W25" s="136">
        <v>0</v>
      </c>
      <c r="X25" s="136">
        <v>0</v>
      </c>
      <c r="Y25" s="136">
        <v>0</v>
      </c>
      <c r="Z25" s="136">
        <v>0</v>
      </c>
      <c r="AA25" s="136">
        <v>153.24799999999996</v>
      </c>
      <c r="AB25" s="136">
        <v>0</v>
      </c>
      <c r="AC25" s="136">
        <v>0</v>
      </c>
      <c r="AD25" s="136">
        <v>152.79899999999998</v>
      </c>
      <c r="AE25" s="136">
        <v>0</v>
      </c>
      <c r="AF25" s="136">
        <v>3.665</v>
      </c>
      <c r="AG25" s="136">
        <v>0</v>
      </c>
      <c r="AH25" s="136">
        <v>14.51</v>
      </c>
      <c r="AI25" s="136">
        <v>0</v>
      </c>
      <c r="AJ25" s="136">
        <v>0</v>
      </c>
      <c r="AK25" s="136">
        <v>333.35600000000005</v>
      </c>
      <c r="AL25" s="136">
        <v>0</v>
      </c>
      <c r="AM25" s="136">
        <v>0</v>
      </c>
      <c r="AN25" s="136">
        <v>1014.6469999999999</v>
      </c>
      <c r="AO25" s="136">
        <v>0</v>
      </c>
      <c r="AP25" s="136">
        <v>35.891999999999996</v>
      </c>
      <c r="AQ25" s="136">
        <v>0</v>
      </c>
      <c r="AR25" s="136">
        <v>0</v>
      </c>
      <c r="AS25" s="136">
        <v>925.23200000000008</v>
      </c>
      <c r="AT25" s="136">
        <v>0</v>
      </c>
      <c r="AU25" s="136">
        <v>0</v>
      </c>
      <c r="AV25" s="136">
        <v>9301.275999999998</v>
      </c>
    </row>
    <row r="26" spans="1:48" x14ac:dyDescent="0.3">
      <c r="A26" s="26" t="s">
        <v>1319</v>
      </c>
      <c r="B26" s="136">
        <v>0</v>
      </c>
      <c r="C26" s="136">
        <v>0</v>
      </c>
      <c r="D26" s="136">
        <v>0</v>
      </c>
      <c r="E26" s="136">
        <v>0</v>
      </c>
      <c r="F26" s="136">
        <v>26.97</v>
      </c>
      <c r="G26" s="136">
        <v>0</v>
      </c>
      <c r="H26" s="136">
        <v>0</v>
      </c>
      <c r="I26" s="136">
        <v>492.29199999999992</v>
      </c>
      <c r="J26" s="136">
        <v>0</v>
      </c>
      <c r="K26" s="136">
        <v>0</v>
      </c>
      <c r="L26" s="136">
        <v>0</v>
      </c>
      <c r="M26" s="136">
        <v>0</v>
      </c>
      <c r="N26" s="136">
        <v>0</v>
      </c>
      <c r="O26" s="136">
        <v>11.12</v>
      </c>
      <c r="P26" s="136">
        <v>2363.819</v>
      </c>
      <c r="Q26" s="136">
        <v>63.519999999999996</v>
      </c>
      <c r="R26" s="136">
        <v>0</v>
      </c>
      <c r="S26" s="136">
        <v>19.55</v>
      </c>
      <c r="T26" s="136">
        <v>0</v>
      </c>
      <c r="U26" s="136">
        <v>84.114999999999995</v>
      </c>
      <c r="V26" s="136">
        <v>8728.0049999999974</v>
      </c>
      <c r="W26" s="136">
        <v>0</v>
      </c>
      <c r="X26" s="136">
        <v>0</v>
      </c>
      <c r="Y26" s="136">
        <v>0</v>
      </c>
      <c r="Z26" s="136">
        <v>16.559000000000001</v>
      </c>
      <c r="AA26" s="136">
        <v>1028.1249999999998</v>
      </c>
      <c r="AB26" s="136">
        <v>0</v>
      </c>
      <c r="AC26" s="136">
        <v>0</v>
      </c>
      <c r="AD26" s="136">
        <v>374.7170000000001</v>
      </c>
      <c r="AE26" s="136">
        <v>0</v>
      </c>
      <c r="AF26" s="136">
        <v>5.9189999999999996</v>
      </c>
      <c r="AG26" s="136">
        <v>9.7899999999999991</v>
      </c>
      <c r="AH26" s="136">
        <v>9.64</v>
      </c>
      <c r="AI26" s="136">
        <v>0</v>
      </c>
      <c r="AJ26" s="136">
        <v>0</v>
      </c>
      <c r="AK26" s="136">
        <v>578.16299999999978</v>
      </c>
      <c r="AL26" s="136">
        <v>0</v>
      </c>
      <c r="AM26" s="136">
        <v>0</v>
      </c>
      <c r="AN26" s="136">
        <v>1717.2009999999993</v>
      </c>
      <c r="AO26" s="136">
        <v>0</v>
      </c>
      <c r="AP26" s="136">
        <v>0</v>
      </c>
      <c r="AQ26" s="136">
        <v>0</v>
      </c>
      <c r="AR26" s="136">
        <v>0</v>
      </c>
      <c r="AS26" s="136">
        <v>1661.963</v>
      </c>
      <c r="AT26" s="136">
        <v>0</v>
      </c>
      <c r="AU26" s="136">
        <v>0</v>
      </c>
      <c r="AV26" s="136">
        <v>17191.467999999997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71</vt:i4>
      </vt:variant>
      <vt:variant>
        <vt:lpstr>Named Ranges</vt:lpstr>
      </vt:variant>
      <vt:variant>
        <vt:i4>20</vt:i4>
      </vt:variant>
    </vt:vector>
  </HeadingPairs>
  <TitlesOfParts>
    <vt:vector size="91" baseType="lpstr">
      <vt:lpstr>April 25 (2)</vt:lpstr>
      <vt:lpstr>June</vt:lpstr>
      <vt:lpstr>July piv 2023</vt:lpstr>
      <vt:lpstr>July 2023</vt:lpstr>
      <vt:lpstr>Aug piv 2023</vt:lpstr>
      <vt:lpstr>August2023</vt:lpstr>
      <vt:lpstr>Sep 2023 piv</vt:lpstr>
      <vt:lpstr>Sep 2023 graph</vt:lpstr>
      <vt:lpstr>September 2023</vt:lpstr>
      <vt:lpstr>Oct2023Piv</vt:lpstr>
      <vt:lpstr>October 2023</vt:lpstr>
      <vt:lpstr>Oct 2023 Graph</vt:lpstr>
      <vt:lpstr>Nov 2023 Piv</vt:lpstr>
      <vt:lpstr>November 2023</vt:lpstr>
      <vt:lpstr>Nov 2023 Graph</vt:lpstr>
      <vt:lpstr>Dec 2023 Piv</vt:lpstr>
      <vt:lpstr>December 2023</vt:lpstr>
      <vt:lpstr>dec 2023 graph</vt:lpstr>
      <vt:lpstr>Jan Piv</vt:lpstr>
      <vt:lpstr>January 24</vt:lpstr>
      <vt:lpstr>Jan Graph</vt:lpstr>
      <vt:lpstr>Feb piv</vt:lpstr>
      <vt:lpstr>Feb 24</vt:lpstr>
      <vt:lpstr>Feb graph</vt:lpstr>
      <vt:lpstr>March piv</vt:lpstr>
      <vt:lpstr>March</vt:lpstr>
      <vt:lpstr>March graph</vt:lpstr>
      <vt:lpstr>April piv</vt:lpstr>
      <vt:lpstr>April</vt:lpstr>
      <vt:lpstr>April graph</vt:lpstr>
      <vt:lpstr>May Piv</vt:lpstr>
      <vt:lpstr>May</vt:lpstr>
      <vt:lpstr>May Graph</vt:lpstr>
      <vt:lpstr>June Piv</vt:lpstr>
      <vt:lpstr>June 24</vt:lpstr>
      <vt:lpstr>June Graph</vt:lpstr>
      <vt:lpstr>July piv</vt:lpstr>
      <vt:lpstr>July 24</vt:lpstr>
      <vt:lpstr>July 2024 graph</vt:lpstr>
      <vt:lpstr>Aug 24 piv</vt:lpstr>
      <vt:lpstr>August 24</vt:lpstr>
      <vt:lpstr>Aug 24 Graph</vt:lpstr>
      <vt:lpstr>Sep 24 piv</vt:lpstr>
      <vt:lpstr>Sep 24</vt:lpstr>
      <vt:lpstr>Sep 24 Graph</vt:lpstr>
      <vt:lpstr>Oct 24 Piv</vt:lpstr>
      <vt:lpstr>Oct 24</vt:lpstr>
      <vt:lpstr>Oct 24 Graph</vt:lpstr>
      <vt:lpstr>Nov 24 piv</vt:lpstr>
      <vt:lpstr>Nov 24</vt:lpstr>
      <vt:lpstr>Nov 24 Graph</vt:lpstr>
      <vt:lpstr>Dec 24 piv</vt:lpstr>
      <vt:lpstr>Dec 24</vt:lpstr>
      <vt:lpstr>Dec 24 Graph</vt:lpstr>
      <vt:lpstr>Jan 25 Piv</vt:lpstr>
      <vt:lpstr>Jan 25 </vt:lpstr>
      <vt:lpstr>Jan 25 Graph</vt:lpstr>
      <vt:lpstr>Feb 25 piv</vt:lpstr>
      <vt:lpstr>Feb 25 </vt:lpstr>
      <vt:lpstr>Feb 25 Graph</vt:lpstr>
      <vt:lpstr>March 25 Piv</vt:lpstr>
      <vt:lpstr>March 25</vt:lpstr>
      <vt:lpstr>March 25 graph</vt:lpstr>
      <vt:lpstr>April 25 piv</vt:lpstr>
      <vt:lpstr>April 25</vt:lpstr>
      <vt:lpstr>Sheet4</vt:lpstr>
      <vt:lpstr>April 25 copy</vt:lpstr>
      <vt:lpstr>April 25 Graph</vt:lpstr>
      <vt:lpstr>May 25 Piv</vt:lpstr>
      <vt:lpstr>May 25</vt:lpstr>
      <vt:lpstr>May 25 Graph</vt:lpstr>
      <vt:lpstr>April!Print_Area</vt:lpstr>
      <vt:lpstr>'April 25'!Print_Area</vt:lpstr>
      <vt:lpstr>'April 25 (2)'!Print_Area</vt:lpstr>
      <vt:lpstr>'April 25 copy'!Print_Area</vt:lpstr>
      <vt:lpstr>'August 24'!Print_Area</vt:lpstr>
      <vt:lpstr>'Dec 24'!Print_Area</vt:lpstr>
      <vt:lpstr>'December 2023'!Print_Area</vt:lpstr>
      <vt:lpstr>'Feb 24'!Print_Area</vt:lpstr>
      <vt:lpstr>'Feb 25 '!Print_Area</vt:lpstr>
      <vt:lpstr>'Jan 25 '!Print_Area</vt:lpstr>
      <vt:lpstr>'January 24'!Print_Area</vt:lpstr>
      <vt:lpstr>'July 24'!Print_Area</vt:lpstr>
      <vt:lpstr>'June 24'!Print_Area</vt:lpstr>
      <vt:lpstr>March!Print_Area</vt:lpstr>
      <vt:lpstr>'March 25'!Print_Area</vt:lpstr>
      <vt:lpstr>May!Print_Area</vt:lpstr>
      <vt:lpstr>'May 25'!Print_Area</vt:lpstr>
      <vt:lpstr>'Nov 24'!Print_Area</vt:lpstr>
      <vt:lpstr>'Oct 24'!Print_Area</vt:lpstr>
      <vt:lpstr>'Sep 24'!Print_Area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ALLEN JOSHUA RAJIV</cp:lastModifiedBy>
  <cp:lastPrinted>2025-05-20T09:26:11Z</cp:lastPrinted>
  <dcterms:created xsi:type="dcterms:W3CDTF">2023-10-07T07:35:23Z</dcterms:created>
  <dcterms:modified xsi:type="dcterms:W3CDTF">2025-05-31T07:29:41Z</dcterms:modified>
</cp:coreProperties>
</file>